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threadedComments/threadedComment1.xml" ContentType="application/vnd.ms-excel.threadedcomments+xml"/>
  <Override PartName="/xl/comments8.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updateLinks="never" codeName="ThisWorkbook" defaultThemeVersion="166925"/>
  <mc:AlternateContent xmlns:mc="http://schemas.openxmlformats.org/markup-compatibility/2006">
    <mc:Choice Requires="x15">
      <x15ac:absPath xmlns:x15ac="http://schemas.microsoft.com/office/spreadsheetml/2010/11/ac" url="D:\Data\GIT_MS\CRES5_GIT\src\CRES.NoteCalculatorServiceMVC\SettlementStatement\"/>
    </mc:Choice>
  </mc:AlternateContent>
  <xr:revisionPtr revIDLastSave="0" documentId="8_{68F5A5C2-949B-47BA-B40E-C7A46F08E96B}" xr6:coauthVersionLast="47" xr6:coauthVersionMax="47" xr10:uidLastSave="{00000000-0000-0000-0000-000000000000}"/>
  <bookViews>
    <workbookView xWindow="23880" yWindow="-1710" windowWidth="21840" windowHeight="13140" activeTab="3" xr2:uid="{00000000-000D-0000-FFFF-FFFF00000000}"/>
  </bookViews>
  <sheets>
    <sheet name="Investor Profile" sheetId="3" r:id="rId1"/>
    <sheet name="INPUT" sheetId="1" r:id="rId2"/>
    <sheet name="M61 Lookups" sheetId="41" state="hidden" r:id="rId3"/>
    <sheet name="For M61 Use Only" sheetId="39" r:id="rId4"/>
    <sheet name="Log" sheetId="42" state="hidden" r:id="rId5"/>
    <sheet name="Participation Splits" sheetId="35" r:id="rId6"/>
    <sheet name="S&amp;U Recon" sheetId="11" r:id="rId7"/>
    <sheet name="Drop Lists" sheetId="2" r:id="rId8"/>
    <sheet name="Project Budget Summary" sheetId="6" r:id="rId9"/>
    <sheet name="Budget-S&amp;U Codes Lookup" sheetId="12" r:id="rId10"/>
    <sheet name="Loan Settlement Stmt" sheetId="9" r:id="rId11"/>
    <sheet name="A Note Sale - " sheetId="37" r:id="rId12"/>
    <sheet name="Participation" sheetId="38" r:id="rId13"/>
    <sheet name="Debt Stack Calcs-Optional" sheetId="24" r:id="rId14"/>
    <sheet name="Backshop Escrows-Requires Input" sheetId="22" state="hidden" r:id="rId15"/>
    <sheet name="Delphi Capital Call" sheetId="14" r:id="rId16"/>
    <sheet name="Funding Instruction - Aflac US" sheetId="31" r:id="rId17"/>
    <sheet name="Funding Instruction - TRE ACR" sheetId="30" r:id="rId18"/>
    <sheet name="Funding Instruction - SILAC" sheetId="36" r:id="rId19"/>
    <sheet name="Tax Information Worksheet" sheetId="27" r:id="rId20"/>
    <sheet name="Tax Reserve" sheetId="4" r:id="rId21"/>
    <sheet name="Insurance Reserve" sheetId="5" r:id="rId22"/>
    <sheet name="Contractor's Budget Detail" sheetId="7" state="hidden" r:id="rId23"/>
    <sheet name="COST REPORT" sheetId="8" state="hidden" r:id="rId24"/>
    <sheet name="Amortization for Floating Rate" sheetId="23" r:id="rId25"/>
    <sheet name="Input Amortization-Fixed Rate " sheetId="32" r:id="rId26"/>
    <sheet name="Fixed Amortization Mort and Mez" sheetId="33" r:id="rId27"/>
    <sheet name="Fixed Amortization Single Note" sheetId="34" r:id="rId28"/>
    <sheet name="Financing Sources Defined" sheetId="25" r:id="rId29"/>
  </sheets>
  <functionGroups builtInGroupCount="19"/>
  <externalReferences>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 hidden="1">#N/A</definedName>
    <definedName name="__123Graph_ACASHFLOW" hidden="1">#N/A</definedName>
    <definedName name="__123Graph_ADRIVER2" hidden="1">#N/A</definedName>
    <definedName name="__123Graph_AINCOME1" hidden="1">#N/A</definedName>
    <definedName name="__123Graph_AINCOME2" hidden="1">#N/A</definedName>
    <definedName name="__123Graph_BCASHFLOW" hidden="1">#N/A</definedName>
    <definedName name="__123Graph_BDRIVER2" hidden="1">#N/A</definedName>
    <definedName name="__123Graph_BINCOME1" hidden="1">#N/A</definedName>
    <definedName name="__123Graph_BINCOME2" hidden="1">#N/A</definedName>
    <definedName name="__123Graph_D" localSheetId="19" hidden="1">[1]Proforma!#REF!</definedName>
    <definedName name="__123Graph_D" hidden="1">[1]Proforma!#REF!</definedName>
    <definedName name="__123Graph_XCASHFLOW" hidden="1">#N/A</definedName>
    <definedName name="__123Graph_XDRIVER2" hidden="1">#N/A</definedName>
    <definedName name="__123Graph_XINCOME1" hidden="1">#N/A</definedName>
    <definedName name="__123Graph_XINCOME2" hidden="1">#N/A</definedName>
    <definedName name="_10__123Graph_ACHART_1" hidden="1">[2]Sheet1!$AK$6:$AN$6</definedName>
    <definedName name="_13__123Graph_ACHART_12" hidden="1">'[3]1995 Cellular'!#REF!</definedName>
    <definedName name="_16__123Graph_ACHART_13" hidden="1">'[3]1995 Cellular'!#REF!</definedName>
    <definedName name="_19__123Graph_ACHART_14" hidden="1">'[3]1995 Cellular'!#REF!</definedName>
    <definedName name="_20__123Graph_ACHART_2" hidden="1">[2]Sheet1!$AD$11:$AJ$11</definedName>
    <definedName name="_21__123Graph_BCHART_1" hidden="1">[2]Sheet1!$AK$7:$AN$7</definedName>
    <definedName name="_24__123Graph_BCHART_12" hidden="1">'[3]1995 Cellular'!#REF!</definedName>
    <definedName name="_27__123Graph_BCHART_13" hidden="1">'[3]1995 Cellular'!#REF!</definedName>
    <definedName name="_30__123Graph_BCHART_14" hidden="1">'[3]1995 Cellular'!#REF!</definedName>
    <definedName name="_31__123Graph_BCHART_2" hidden="1">[2]Sheet1!$AD$12:$AJ$12</definedName>
    <definedName name="_34__123Graph_CCHART_12" hidden="1">'[3]1995 Cellular'!#REF!</definedName>
    <definedName name="_37__123Graph_CCHART_13" hidden="1">'[3]1995 Cellular'!#REF!</definedName>
    <definedName name="_40__123Graph_CCHART_14" hidden="1">'[3]1995 Cellular'!#REF!</definedName>
    <definedName name="_41__123Graph_CCHART_2" hidden="1">[2]Sheet1!$AD$14:$AJ$14</definedName>
    <definedName name="_42__123Graph_DCHART_1" hidden="1">[2]Sheet1!$AE$5:$AN$5</definedName>
    <definedName name="_43__123Graph_XCHART_1" hidden="1">[2]Sheet1!$AC$4:$AJ$4</definedName>
    <definedName name="_46__123Graph_XCHART_12" hidden="1">'[3]1995 Cellular'!#REF!</definedName>
    <definedName name="_49__123Graph_XCHART_13" hidden="1">'[3]1995 Cellular'!#REF!</definedName>
    <definedName name="_52__123Graph_XCHART_14" hidden="1">'[3]1995 Cellular'!#REF!</definedName>
    <definedName name="_53__123Graph_XCHART_2" hidden="1">[2]Sheet1!$AD$10:$AJ$10</definedName>
    <definedName name="_BQ4.1" hidden="1">#REF!</definedName>
    <definedName name="_BQ4.2"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Fill" hidden="1">#REF!</definedName>
    <definedName name="_xlnm._FilterDatabase" localSheetId="3" hidden="1">'For M61 Use Only'!$BU$10:$CB$34</definedName>
    <definedName name="_xlnm._FilterDatabase" localSheetId="2" hidden="1">'M61 Lookups'!$A$1:$E$363</definedName>
    <definedName name="_xlnm._FilterDatabase" hidden="1">#REF!</definedName>
    <definedName name="_Order1" hidden="1">0</definedName>
    <definedName name="_Order2" hidden="1">0</definedName>
    <definedName name="_Table1_In1" hidden="1">#REF!</definedName>
    <definedName name="_Table1_Out" hidden="1">#REF!</definedName>
    <definedName name="_Table2_In1" hidden="1">#REF!</definedName>
    <definedName name="_Table2_In2" hidden="1">#REF!</definedName>
    <definedName name="_Table2_Out" hidden="1">#REF!</definedName>
    <definedName name="anscount" hidden="1">1</definedName>
    <definedName name="asdg" hidden="1">#REF!</definedName>
    <definedName name="asf" hidden="1">#REF!</definedName>
    <definedName name="asfd" hidden="1">#REF!</definedName>
    <definedName name="asfdasg" hidden="1">#REF!</definedName>
    <definedName name="asgasdg" hidden="1">#REF!</definedName>
    <definedName name="asgasgd" hidden="1">#REF!</definedName>
    <definedName name="BLPH10" hidden="1">#REF!</definedName>
    <definedName name="BLPH11" hidden="1">#REF!</definedName>
    <definedName name="BLPH12" hidden="1">#REF!</definedName>
    <definedName name="BLPH13" hidden="1">#REF!</definedName>
    <definedName name="BLPH14" hidden="1">#REF!</definedName>
    <definedName name="BLPH15" hidden="1">#REF!</definedName>
    <definedName name="BLPH16" hidden="1">#REF!</definedName>
    <definedName name="BLPH17" hidden="1">#REF!</definedName>
    <definedName name="BLPH18" hidden="1">#REF!</definedName>
    <definedName name="BLPH19" hidden="1">#REF!</definedName>
    <definedName name="BLPH2" hidden="1">#REF!</definedName>
    <definedName name="BLPH20" hidden="1">#REF!</definedName>
    <definedName name="BLPH21" hidden="1">#REF!</definedName>
    <definedName name="BLPH22" hidden="1">#REF!</definedName>
    <definedName name="BLPH23" hidden="1">#REF!</definedName>
    <definedName name="BLPH3" hidden="1">#REF!</definedName>
    <definedName name="BLPH4" hidden="1">#REF!</definedName>
    <definedName name="BLPH5" hidden="1">#REF!</definedName>
    <definedName name="BLPH6" hidden="1">#REF!</definedName>
    <definedName name="BLPH7" hidden="1">#REF!</definedName>
    <definedName name="BLPH8" hidden="1">#REF!</definedName>
    <definedName name="BLPH9" hidden="1">#REF!</definedName>
    <definedName name="Clientnames">'M61 Lookups'!$B$828:$C$847</definedName>
    <definedName name="creditofficer">[4]MasterList!$E$6:$E$3000</definedName>
    <definedName name="Current_HardCost_Adjustments">#REF!</definedName>
    <definedName name="Current_HardDraw">#REF!</definedName>
    <definedName name="Current_Interest_Adjustments">#REF!</definedName>
    <definedName name="Current_InterestDraw">#REF!</definedName>
    <definedName name="Current_LandCost_Adjustments">#REF!</definedName>
    <definedName name="Current_LandDraw">#REF!</definedName>
    <definedName name="Current_SoftDraw">#REF!</definedName>
    <definedName name="DealID">#REF!</definedName>
    <definedName name="DealList">[5]MasterList!$A$6:$A$3000</definedName>
    <definedName name="dfg" hidden="1">#REF!</definedName>
    <definedName name="DishSelection">#REF!</definedName>
    <definedName name="FinancingSourceName">'M61 Lookups'!$B$848:$C$908</definedName>
    <definedName name="funding">[4]MasterList!$G$6:$G$3000</definedName>
    <definedName name="graph_bincome2" hidden="1">#N/A</definedName>
    <definedName name="Graph_Xdriver" hidden="1">#N/A</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CCOUNT_CHANGE" hidden="1">"c1449"</definedName>
    <definedName name="IQ_ACCOUNTING_FFIEC" hidden="1">"c13054"</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ENCY" hidden="1">"c8960"</definedName>
    <definedName name="IQ_AGENCY_INVEST_SECURITIES_FFIEC" hidden="1">"c13458"</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REUT" hidden="1">"c3630"</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UNUSED" hidden="1">"c7473"</definedName>
    <definedName name="IQ_BALANCE_GOODS_FC_UNUSED" hidden="1">"c7693"</definedName>
    <definedName name="IQ_BALANCE_GOODS_POP_FC_UNUSED" hidden="1">"c7913"</definedName>
    <definedName name="IQ_BALANCE_GOODS_POP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UNUSED" hidden="1">"c7253"</definedName>
    <definedName name="IQ_BALANCE_SERV_APR_FC_UNUSED" hidden="1">"c8355"</definedName>
    <definedName name="IQ_BALANCE_SERV_APR_UNUSED" hidden="1">"c7475"</definedName>
    <definedName name="IQ_BALANCE_SERV_FC_UNUSED" hidden="1">"c7695"</definedName>
    <definedName name="IQ_BALANCE_SERV_POP_FC_UNUSED" hidden="1">"c7915"</definedName>
    <definedName name="IQ_BALANCE_SERV_POP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UNUSED" hidden="1">"c7477"</definedName>
    <definedName name="IQ_BALANCE_TRADE_FC_UNUSED" hidden="1">"c7697"</definedName>
    <definedName name="IQ_BALANCE_TRADE_POP_FC_UNUSED" hidden="1">"c7917"</definedName>
    <definedName name="IQ_BALANCE_TRADE_POP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"c11749"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UNUSED" hidden="1">"c7479"</definedName>
    <definedName name="IQ_BUDGET_BALANCE_FC_UNUSED" hidden="1">"c7699"</definedName>
    <definedName name="IQ_BUDGET_BALANCE_POP_FC_UNUSED" hidden="1">"c7919"</definedName>
    <definedName name="IQ_BUDGET_BALANCE_POP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YOY_FC_UNUSED" hidden="1">"c8139"</definedName>
    <definedName name="IQ_BUDGET_BALANCE_YOY_UNUSED" hidden="1">"c7259"</definedName>
    <definedName name="IQ_BUDGET_RECEIPTS_APR_FC_UNUSED" hidden="1">"c8361"</definedName>
    <definedName name="IQ_BUDGET_RECEIPTS_APR_UNUSED" hidden="1">"c7481"</definedName>
    <definedName name="IQ_BUDGET_RECEIPTS_FC_UNUSED" hidden="1">"c7701"</definedName>
    <definedName name="IQ_BUDGET_RECEIPTS_POP_FC_UNUSED" hidden="1">"c7921"</definedName>
    <definedName name="IQ_BUDGET_RECEIPTS_POP_UNUSED" hidden="1">"c7041"</definedName>
    <definedName name="IQ_BUDGET_RECEIPTS_UNUSED" hidden="1">"c6821"</definedName>
    <definedName name="IQ_BUDGET_RECEIPTS_YOY_FC_UNUSED" hidden="1">"c8141"</definedName>
    <definedName name="IQ_BUDGET_RECEIPTS_YOY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COMBINATIONS_FFIEC" hidden="1">"c12967"</definedName>
    <definedName name="IQ_BUSINESS_DESCRIPTION" hidden="1">"c322"</definedName>
    <definedName name="IQ_BV_ACT_OR_EST_CIQ" hidden="1">"c5068"</definedName>
    <definedName name="IQ_BV_OVER_SHARES" hidden="1">"c1349"</definedName>
    <definedName name="IQ_BV_SHARE" hidden="1">"c100"</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Y" hidden="1">"c102"</definedName>
    <definedName name="IQ_CAL_Y_EST" hidden="1">"c6797"</definedName>
    <definedName name="IQ_CAL_Y_EST_CIQ" hidden="1">"c6809"</definedName>
    <definedName name="IQ_CAL_Y_EST_REUT" hidden="1">"c6801"</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BALANCES_DUE_FFIEC" hidden="1">"c12773"</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UNUSED" hidden="1">"c7620"</definedName>
    <definedName name="IQ_CHANGE_INVENT_REAL_FC_UNUSED" hidden="1">"c7840"</definedName>
    <definedName name="IQ_CHANGE_INVENT_REAL_POP_FC_UNUSED" hidden="1">"c8060"</definedName>
    <definedName name="IQ_CHANGE_INVENT_REAL_POP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INDUSTRIAL_LOANS_FFIEC" hidden="1">"c12821"</definedName>
    <definedName name="IQ_COMM_INDUSTRIAL_NON_US_LL_REC_FFIEC" hidden="1">"c12888"</definedName>
    <definedName name="IQ_COMM_INDUSTRIAL_US_LL_REC_FFIEC" hidden="1">"c12887"</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RECOV_FFIEC" hidden="1">"c13200"</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"c13596"</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E_DEPOSITS_ASSETS_TOT_FFIEC" hidden="1">"c13442"</definedName>
    <definedName name="IQ_CORP_GOODS_PRICE_INDEX_APR_FC_UNUSED" hidden="1">"c8381"</definedName>
    <definedName name="IQ_CORP_GOODS_PRICE_INDEX_APR_UNUSED" hidden="1">"c7501"</definedName>
    <definedName name="IQ_CORP_GOODS_PRICE_INDEX_FC_UNUSED" hidden="1">"c7721"</definedName>
    <definedName name="IQ_CORP_GOODS_PRICE_INDEX_POP_FC_UNUSED" hidden="1">"c7941"</definedName>
    <definedName name="IQ_CORP_GOODS_PRICE_INDEX_POP_UNUSED" hidden="1">"c7061"</definedName>
    <definedName name="IQ_CORP_GOODS_PRICE_INDEX_UNUSED" hidden="1">"c6841"</definedName>
    <definedName name="IQ_CORP_GOODS_PRICE_INDEX_YOY_FC_UNUSED" hidden="1">"c8161"</definedName>
    <definedName name="IQ_CORP_GOODS_PRICE_INDEX_YOY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UNUSED" hidden="1">"c7507"</definedName>
    <definedName name="IQ_CURR_ACCT_BALANCE_FC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A_PROCESSING_EXP_FFIEC" hidden="1">"c13047"</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ES" hidden="1">"c1356"</definedName>
    <definedName name="IQ_DEMAND_DEP" hidden="1">"c320"</definedName>
    <definedName name="IQ_DEMAND_DEPOSITS_COMMERCIAL_BANK_SUBS_FFIEC" hidden="1">"c12945"</definedName>
    <definedName name="IQ_DEMAND_DEPOSITS_FDIC" hidden="1">"c6489"</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CO_FFIEC" hidden="1">"c13032"</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ACT_OR_EST_CIQ" hidden="1">"c4841"</definedName>
    <definedName name="IQ_EBIT_SBC_GW_ACT_OR_EST" hidden="1">"c4320"</definedName>
    <definedName name="IQ_EBIT_SBC_GW_ACT_OR_EST_CIQ" hidden="1">"c4845"</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XCL_SBC" hidden="1">"c3081"</definedName>
    <definedName name="IQ_EBITDA_HIGH_EST" hidden="1">"c370"</definedName>
    <definedName name="IQ_EBITDA_HIGH_EST_CIQ" hidden="1">"c3624"</definedName>
    <definedName name="IQ_EBITDA_HIGH_EST_REUT" hidden="1">"c3642"</definedName>
    <definedName name="IQ_EBITDA_INT" hidden="1">"c373"</definedName>
    <definedName name="IQ_EBITDA_LOW_EST" hidden="1">"c371"</definedName>
    <definedName name="IQ_EBITDA_LOW_EST_CIQ" hidden="1">"c3625"</definedName>
    <definedName name="IQ_EBITDA_LOW_EST_REUT" hidden="1">"c3643"</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NUM_EST" hidden="1">"c374"</definedName>
    <definedName name="IQ_EBITDA_NUM_EST_CIQ" hidden="1">"c3626"</definedName>
    <definedName name="IQ_EBITDA_NUM_EST_REUT" hidden="1">"c3644"</definedName>
    <definedName name="IQ_EBITDA_OVER_TOTAL_IE" hidden="1">"c1371"</definedName>
    <definedName name="IQ_EBITDA_SBC_ACT_OR_EST" hidden="1">"c4337"</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 hidden="1">"c6825"</definedName>
    <definedName name="IQ_ECO_METRIC_6839_UNUSED" hidden="1">"c6839"</definedName>
    <definedName name="IQ_ECO_METRIC_6896_UNUSED" hidden="1">"c6896"</definedName>
    <definedName name="IQ_ECO_METRIC_6897_UNUSED" hidden="1">"c6897"</definedName>
    <definedName name="IQ_ECO_METRIC_6927" hidden="1">"c6927"</definedName>
    <definedName name="IQ_ECO_METRIC_6988_UNUSED" hidden="1">"c6988"</definedName>
    <definedName name="IQ_ECO_METRIC_7045_UNUSED" hidden="1">"c7045"</definedName>
    <definedName name="IQ_ECO_METRIC_7059_UNUSED" hidden="1">"c7059"</definedName>
    <definedName name="IQ_ECO_METRIC_7116_UNUSED" hidden="1">"c7116"</definedName>
    <definedName name="IQ_ECO_METRIC_7117_UNUSED" hidden="1">"c7117"</definedName>
    <definedName name="IQ_ECO_METRIC_7147" hidden="1">"c7147"</definedName>
    <definedName name="IQ_ECO_METRIC_7208_UNUSED" hidden="1">"c7208"</definedName>
    <definedName name="IQ_ECO_METRIC_7265_UNUSED" hidden="1">"c7265"</definedName>
    <definedName name="IQ_ECO_METRIC_7279_UNUSED" hidden="1">"c7279"</definedName>
    <definedName name="IQ_ECO_METRIC_7336_UNUSED" hidden="1">"c7336"</definedName>
    <definedName name="IQ_ECO_METRIC_7337_UNUSED" hidden="1">"c7337"</definedName>
    <definedName name="IQ_ECO_METRIC_7367" hidden="1">"c7367"</definedName>
    <definedName name="IQ_ECO_METRIC_7428_UNUSED" hidden="1">"c7428"</definedName>
    <definedName name="IQ_ECO_METRIC_7556_UNUSED" hidden="1">"c7556"</definedName>
    <definedName name="IQ_ECO_METRIC_7557_UNUSED" hidden="1">"c7557"</definedName>
    <definedName name="IQ_ECO_METRIC_7587" hidden="1">"c7587"</definedName>
    <definedName name="IQ_ECO_METRIC_7648_UNUSED" hidden="1">"c7648"</definedName>
    <definedName name="IQ_ECO_METRIC_7704" hidden="1">"c7704"</definedName>
    <definedName name="IQ_ECO_METRIC_7705_UNUSED" hidden="1">"c7705"</definedName>
    <definedName name="IQ_ECO_METRIC_7706" hidden="1">"c7706"</definedName>
    <definedName name="IQ_ECO_METRIC_7718" hidden="1">"c7718"</definedName>
    <definedName name="IQ_ECO_METRIC_7719_UNUSED" hidden="1">"c7719"</definedName>
    <definedName name="IQ_ECO_METRIC_7776_UNUSED" hidden="1">"c7776"</definedName>
    <definedName name="IQ_ECO_METRIC_7777_UNUSED" hidden="1">"c7777"</definedName>
    <definedName name="IQ_ECO_METRIC_7807" hidden="1">"c7807"</definedName>
    <definedName name="IQ_ECO_METRIC_7811" hidden="1">"c7811"</definedName>
    <definedName name="IQ_ECO_METRIC_7868_UNUSED" hidden="1">"c7868"</definedName>
    <definedName name="IQ_ECO_METRIC_7873" hidden="1">"c7873"</definedName>
    <definedName name="IQ_ECO_METRIC_7924" hidden="1">"c7924"</definedName>
    <definedName name="IQ_ECO_METRIC_7925_UNUSED" hidden="1">"c7925"</definedName>
    <definedName name="IQ_ECO_METRIC_7926" hidden="1">"c7926"</definedName>
    <definedName name="IQ_ECO_METRIC_7938" hidden="1">"c7938"</definedName>
    <definedName name="IQ_ECO_METRIC_7939_UNUSED" hidden="1">"c7939"</definedName>
    <definedName name="IQ_ECO_METRIC_7996_UNUSED" hidden="1">"c7996"</definedName>
    <definedName name="IQ_ECO_METRIC_7997_UNUSED" hidden="1">"c7997"</definedName>
    <definedName name="IQ_ECO_METRIC_8027" hidden="1">"c8027"</definedName>
    <definedName name="IQ_ECO_METRIC_8031" hidden="1">"c8031"</definedName>
    <definedName name="IQ_ECO_METRIC_8088_UNUSED" hidden="1">"c8088"</definedName>
    <definedName name="IQ_ECO_METRIC_8093" hidden="1">"c8093"</definedName>
    <definedName name="IQ_ECO_METRIC_8144" hidden="1">"c8144"</definedName>
    <definedName name="IQ_ECO_METRIC_8145_UNUSED" hidden="1">"c8145"</definedName>
    <definedName name="IQ_ECO_METRIC_8146" hidden="1">"c8146"</definedName>
    <definedName name="IQ_ECO_METRIC_8158" hidden="1">"c8158"</definedName>
    <definedName name="IQ_ECO_METRIC_8159_UNUSED" hidden="1">"c8159"</definedName>
    <definedName name="IQ_ECO_METRIC_8216_UNUSED" hidden="1">"c8216"</definedName>
    <definedName name="IQ_ECO_METRIC_8217_UNUSED" hidden="1">"c8217"</definedName>
    <definedName name="IQ_ECO_METRIC_8247" hidden="1">"c8247"</definedName>
    <definedName name="IQ_ECO_METRIC_8251" hidden="1">"c8251"</definedName>
    <definedName name="IQ_ECO_METRIC_8308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7_UNUSED" hidden="1">"c8437"</definedName>
    <definedName name="IQ_ECO_METRIC_8467" hidden="1">"c8467"</definedName>
    <definedName name="IQ_ECO_METRIC_8471" hidden="1">"c8471"</definedName>
    <definedName name="IQ_ECO_METRIC_8528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ST_REUT" hidden="1">"c5453"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EST_REUT" hidden="1">"c5389"</definedName>
    <definedName name="IQ_EPS_GW_HIGH_EST" hidden="1">"c1739"</definedName>
    <definedName name="IQ_EPS_GW_HIGH_EST_CIQ" hidden="1">"c4725"</definedName>
    <definedName name="IQ_EPS_GW_HIGH_EST_REUT" hidden="1">"c5391"</definedName>
    <definedName name="IQ_EPS_GW_LOW_EST" hidden="1">"c1740"</definedName>
    <definedName name="IQ_EPS_GW_LOW_EST_CIQ" hidden="1">"c4726"</definedName>
    <definedName name="IQ_EPS_GW_LOW_EST_REUT" hidden="1">"c5392"</definedName>
    <definedName name="IQ_EPS_GW_MEDIAN_EST" hidden="1">"c1738"</definedName>
    <definedName name="IQ_EPS_GW_MEDIAN_EST_CIQ" hidden="1">"c4724"</definedName>
    <definedName name="IQ_EPS_GW_MEDIAN_EST_REUT" hidden="1">"c5390"</definedName>
    <definedName name="IQ_EPS_GW_NUM_EST" hidden="1">"c1741"</definedName>
    <definedName name="IQ_EPS_GW_NUM_EST_CIQ" hidden="1">"c4727"</definedName>
    <definedName name="IQ_EPS_GW_NUM_EST_REUT" hidden="1">"c5393"</definedName>
    <definedName name="IQ_EPS_GW_STDDEV_EST" hidden="1">"c1742"</definedName>
    <definedName name="IQ_EPS_GW_STDDEV_EST_CIQ" hidden="1">"c4728"</definedName>
    <definedName name="IQ_EPS_GW_STDDEV_EST_REUT" hidden="1">"c5394"</definedName>
    <definedName name="IQ_EPS_HIGH_EST" hidden="1">"c400"</definedName>
    <definedName name="IQ_EPS_HIGH_EST_CIQ" hidden="1">"c4995"</definedName>
    <definedName name="IQ_EPS_HIGH_EST_REUT" hidden="1">"c5454"</definedName>
    <definedName name="IQ_EPS_LOW_EST" hidden="1">"c401"</definedName>
    <definedName name="IQ_EPS_LOW_EST_CIQ" hidden="1">"c4996"</definedName>
    <definedName name="IQ_EPS_LOW_EST_REUT" hidden="1">"c5455"</definedName>
    <definedName name="IQ_EPS_MEDIAN_EST" hidden="1">"c1661"</definedName>
    <definedName name="IQ_EPS_MEDIAN_EST_CIQ" hidden="1">"c4997"</definedName>
    <definedName name="IQ_EPS_MEDIAN_EST_REUT" hidden="1">"c5456"</definedName>
    <definedName name="IQ_EPS_NAME_AP" hidden="1">"c8918"</definedName>
    <definedName name="IQ_EPS_NAME_AP_ABS" hidden="1">"c8937"</definedName>
    <definedName name="IQ_EPS_NORM" hidden="1">"c1902"</definedName>
    <definedName name="IQ_EPS_NORM_EST" hidden="1">"c2226"</definedName>
    <definedName name="IQ_EPS_NORM_EST_BOTTOM_UP_CIQ" hidden="1">"c12027"</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EST_REUT" hidden="1">"c5396"</definedName>
    <definedName name="IQ_EPS_REPORTED_HIGH_EST" hidden="1">"c1746"</definedName>
    <definedName name="IQ_EPS_REPORTED_HIGH_EST_CIQ" hidden="1">"c4732"</definedName>
    <definedName name="IQ_EPS_REPORTED_HIGH_EST_REUT" hidden="1">"c5398"</definedName>
    <definedName name="IQ_EPS_REPORTED_LOW_EST" hidden="1">"c1747"</definedName>
    <definedName name="IQ_EPS_REPORTED_LOW_EST_CIQ" hidden="1">"c4733"</definedName>
    <definedName name="IQ_EPS_REPORTED_LOW_EST_REUT" hidden="1">"c5399"</definedName>
    <definedName name="IQ_EPS_REPORTED_MEDIAN_EST" hidden="1">"c1745"</definedName>
    <definedName name="IQ_EPS_REPORTED_MEDIAN_EST_CIQ" hidden="1">"c4731"</definedName>
    <definedName name="IQ_EPS_REPORTED_MEDIAN_EST_REUT" hidden="1">"c5397"</definedName>
    <definedName name="IQ_EPS_REPORTED_NUM_EST" hidden="1">"c1748"</definedName>
    <definedName name="IQ_EPS_REPORTED_NUM_EST_CIQ" hidden="1">"c4734"</definedName>
    <definedName name="IQ_EPS_REPORTED_NUM_EST_REUT" hidden="1">"c5400"</definedName>
    <definedName name="IQ_EPS_REPORTED_STDDEV_EST" hidden="1">"c1749"</definedName>
    <definedName name="IQ_EPS_REPORTED_STDDEV_EST_CIQ" hidden="1">"c4735"</definedName>
    <definedName name="IQ_EPS_REPORTED_STDDEV_EST_REUT" hidden="1">"c5401"</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WITHOUT_FAIR_VALUES_FFIEC" hidden="1">"c12846"</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OP_DEBT_GUARANTEED_FFIEC" hidden="1">"c12971"</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REUT" hidden="1">"c5395"</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REV" hidden="1">"c2113"</definedName>
    <definedName name="IQ_EST_ACT_REV_CIQ" hidden="1">"c3666"</definedName>
    <definedName name="IQ_EST_CURRENCY" hidden="1">"c2140"</definedName>
    <definedName name="IQ_EST_CURRENCY_CIQ" hidden="1">"c4769"</definedName>
    <definedName name="IQ_EST_CURRENCY_REUT" hidden="1">"c5437"</definedName>
    <definedName name="IQ_EST_DATE" hidden="1">"c1634"</definedName>
    <definedName name="IQ_EST_DATE_CIQ" hidden="1">"c4770"</definedName>
    <definedName name="IQ_EST_DATE_REUT" hidden="1">"c5438"</definedName>
    <definedName name="IQ_EST_EBITDA_DIFF" hidden="1">"c1867"</definedName>
    <definedName name="IQ_EST_EBITDA_DIFF_CIQ" hidden="1">"c3719"</definedName>
    <definedName name="IQ_EST_EBITDA_SURPRISE_PERCENT" hidden="1">"c1868"</definedName>
    <definedName name="IQ_EST_EBITDA_SURPRISE_PERCENT_CIQ" hidden="1">"c3720"</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1YR_REUT" hidden="1">"c3646"</definedName>
    <definedName name="IQ_EST_EPS_GROWTH_2YR" hidden="1">"c1637"</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REUT" hidden="1">"c3633"</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ROWTH_Q_1YR_REUT" hidden="1">"c5410"</definedName>
    <definedName name="IQ_EST_EPS_GW_DIFF" hidden="1">"c1891"</definedName>
    <definedName name="IQ_EST_EPS_GW_DIFF_CIQ" hidden="1">"c4761"</definedName>
    <definedName name="IQ_EST_EPS_GW_DIFF_REUT" hidden="1">"c5429"</definedName>
    <definedName name="IQ_EST_EPS_GW_SURPRISE_PERCENT" hidden="1">"c1892"</definedName>
    <definedName name="IQ_EST_EPS_GW_SURPRISE_PERCENT_CIQ" hidden="1">"c4762"</definedName>
    <definedName name="IQ_EST_EPS_GW_SURPRISE_PERCENT_REUT" hidden="1">"c5430"</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SURPRISE_PERCENT" hidden="1">"c1894"</definedName>
    <definedName name="IQ_EST_EPS_REPORT_SURPRISE_PERCENT_CIQ" hidden="1">"c4764"</definedName>
    <definedName name="IQ_EST_EPS_REPORT_SURPRISE_PERCENT_REUT" hidden="1">"c5432"</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OOTNOTE" hidden="1">"c4540"</definedName>
    <definedName name="IQ_EST_FOOTNOTE_CIQ" hidden="1">"c12022"</definedName>
    <definedName name="IQ_EST_REV_DIFF" hidden="1">"c1865"</definedName>
    <definedName name="IQ_EST_REV_DIFF_CIQ" hidden="1">"c3717"</definedName>
    <definedName name="IQ_EST_REV_GROWTH_1YR" hidden="1">"c1638"</definedName>
    <definedName name="IQ_EST_REV_GROWTH_2YR" hidden="1">"c1639"</definedName>
    <definedName name="IQ_EST_REV_GROWTH_Q_1YR" hidden="1">"c1640"</definedName>
    <definedName name="IQ_EST_REV_SURPRISE_PERCENT" hidden="1">"c1866"</definedName>
    <definedName name="IQ_EST_REV_SURPRISE_PERCENT_CIQ" hidden="1">"c3718"</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UNUSED" hidden="1">"c7632"</definedName>
    <definedName name="IQ_EXPORTS_GOODS_REAL_SAAR_FC_UNUSED" hidden="1">"c7852"</definedName>
    <definedName name="IQ_EXPORTS_GOODS_REAL_SAAR_POP" hidden="1">"c11931"</definedName>
    <definedName name="IQ_EXPORTS_GOODS_REAL_SAAR_POP_FC_UNUSED" hidden="1">"c8072"</definedName>
    <definedName name="IQ_EXPORTS_GOODS_REAL_SAAR_POP_UNUSED" hidden="1">"c7192"</definedName>
    <definedName name="IQ_EXPORTS_GOODS_REAL_SAAR_UNUSED" hidden="1">"c6972"</definedName>
    <definedName name="IQ_EXPORTS_GOODS_REAL_SAAR_YOY" hidden="1">"c11932"</definedName>
    <definedName name="IQ_EXPORTS_GOODS_REAL_SAAR_YOY_FC_UNUSED" hidden="1">"c8292"</definedName>
    <definedName name="IQ_EXPORTS_GOODS_REAL_SAAR_YOY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UNUSED" hidden="1">"c7636"</definedName>
    <definedName name="IQ_EXPORTS_SERVICES_REAL_SAAR_FC_UNUSED" hidden="1">"c7856"</definedName>
    <definedName name="IQ_EXPORTS_SERVICES_REAL_SAAR_POP" hidden="1">"c11935"</definedName>
    <definedName name="IQ_EXPORTS_SERVICES_REAL_SAAR_POP_FC_UNUSED" hidden="1">"c8076"</definedName>
    <definedName name="IQ_EXPORTS_SERVICES_REAL_SAAR_POP_UNUSED" hidden="1">"c7196"</definedName>
    <definedName name="IQ_EXPORTS_SERVICES_REAL_SAAR_UNUSED" hidden="1">"c6976"</definedName>
    <definedName name="IQ_EXPORTS_SERVICES_REAL_SAAR_YOY" hidden="1">"c11936"</definedName>
    <definedName name="IQ_EXPORTS_SERVICES_REAL_SAAR_YOY_FC_UNUSED" hidden="1">"c8296"</definedName>
    <definedName name="IQ_EXPORTS_SERVICES_REAL_SAAR_YOY_UNUSED" hidden="1">"c7416"</definedName>
    <definedName name="IQ_EXPORTS_SERVICES_REAL_YOY" hidden="1">"c7417"</definedName>
    <definedName name="IQ_EXPORTS_SERVICES_REAL_YOY_FC" hidden="1">"c8297"</definedName>
    <definedName name="IQ_EXPORTS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FUNDS_SOLD" hidden="1">"c2256"</definedName>
    <definedName name="IQ_FEES_COMMISSIONS_BROKERAGE_FFIEC" hidden="1">"c13005"</definedName>
    <definedName name="IQ_FFO" hidden="1">"c1574"</definedName>
    <definedName name="IQ_FFO_ADJ_ACT_OR_EST" hidden="1">"c4435"</definedName>
    <definedName name="IQ_FFO_ADJ_ACT_OR_EST_CIQ" hidden="1">"c4960"</definedName>
    <definedName name="IQ_FFO_EST" hidden="1">"c418"</definedName>
    <definedName name="IQ_FFO_HIGH_EST" hidden="1">"c419"</definedName>
    <definedName name="IQ_FFO_LOW_EST" hidden="1">"c420"</definedName>
    <definedName name="IQ_FFO_NUM_EST" hidden="1">"c421"</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TDDEV_EST" hidden="1">"c422"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Y" hidden="1">"c441"</definedName>
    <definedName name="IQ_FISCAL_Y_EST" hidden="1">"c6795"</definedName>
    <definedName name="IQ_FISCAL_Y_EST_CIQ" hidden="1">"c6807"</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UNUSED" hidden="1">"c7530"</definedName>
    <definedName name="IQ_FIXED_INVEST_FC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UNUSED" hidden="1">"c7090"</definedName>
    <definedName name="IQ_FIXED_INVEST_REAL_APR_FC_UNUSED" hidden="1">"c8518"</definedName>
    <definedName name="IQ_FIXED_INVEST_REAL_APR_UNUSED" hidden="1">"c7638"</definedName>
    <definedName name="IQ_FIXED_INVEST_REAL_FC_UNUSED" hidden="1">"c7858"</definedName>
    <definedName name="IQ_FIXED_INVEST_REAL_POP_FC_UNUSED" hidden="1">"c8078"</definedName>
    <definedName name="IQ_FIXED_INVEST_REAL_POP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L_REC_FFIEC" hidden="1">"c12892"</definedName>
    <definedName name="IQ_FOREIGN_LOANS" hidden="1">"c448"</definedName>
    <definedName name="IQ_FOREIGN_LOANS_LEASES_FOREIGN_FFIEC" hidden="1">"c13478"</definedName>
    <definedName name="IQ_FQ" hidden="1">500</definedName>
    <definedName name="IQ_FUEL" hidden="1">"c449"</definedName>
    <definedName name="IQ_FULL_TIME" hidden="1">"c450"</definedName>
    <definedName name="IQ_FULLY_INSURED_DEPOSITS_FDIC" hidden="1">"c6487"</definedName>
    <definedName name="IQ_FUND_FEE_INC_NON_INT_INC_FFIEC" hidden="1">"c13493"</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_AVG_LOANS_FFIEC" hidden="1">"c13475"</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TARGET_PRICE" hidden="1">"c1651"</definedName>
    <definedName name="IQ_HIGH_TARGET_PRICE_CIQ" hidden="1">"c4659"</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UNUSED" hidden="1">"c7542"</definedName>
    <definedName name="IQ_HOUSING_COMPLETIONS_SINGLE_FAM_FC_UNUSED" hidden="1">"c7762"</definedName>
    <definedName name="IQ_HOUSING_COMPLETIONS_SINGLE_FAM_POP_FC_UNUSED" hidden="1">"c7982"</definedName>
    <definedName name="IQ_HOUSING_COMPLETIONS_SINGLE_FAM_POP_UNUSED" hidden="1">"c7102"</definedName>
    <definedName name="IQ_HOUSING_COMPLETIONS_SINGLE_FAM_UNUSED" hidden="1">"c6882"</definedName>
    <definedName name="IQ_HOUSING_COMPLETIONS_SINGLE_FAM_YOY_FC_UNUSED" hidden="1">"c8202"</definedName>
    <definedName name="IQ_HOUSING_COMPLETIONS_SINGLE_FAM_YOY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UNUSED" hidden="1">"c7643"</definedName>
    <definedName name="IQ_IMPORTS_GOODS_REAL_SAAR_FC_UNUSED" hidden="1">"c7863"</definedName>
    <definedName name="IQ_IMPORTS_GOODS_REAL_SAAR_POP_FC_UNUSED" hidden="1">"c8083"</definedName>
    <definedName name="IQ_IMPORTS_GOODS_REAL_SAAR_POP_UNUSED" hidden="1">"c7203"</definedName>
    <definedName name="IQ_IMPORTS_GOODS_REAL_SAAR_UNUSED" hidden="1">"c6983"</definedName>
    <definedName name="IQ_IMPORTS_GOODS_REAL_SAAR_YOY_FC_UNUSED" hidden="1">"c8303"</definedName>
    <definedName name="IQ_IMPORTS_GOODS_REAL_SAAR_YOY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UNUSED" hidden="1">"c7549"</definedName>
    <definedName name="IQ_IMPORTS_GOODS_SERVICES_FC_UNUSED" hidden="1">"c7769"</definedName>
    <definedName name="IQ_IMPORTS_GOODS_SERVICES_POP_FC_UNUSED" hidden="1">"c7989"</definedName>
    <definedName name="IQ_IMPORTS_GOODS_SERVICES_POP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UNUSED" hidden="1">"c7644"</definedName>
    <definedName name="IQ_IMPORTS_GOODS_SERVICES_REAL_SAAR_FC_UNUSED" hidden="1">"c7864"</definedName>
    <definedName name="IQ_IMPORTS_GOODS_SERVICES_REAL_SAAR_POP" hidden="1">"c11959"</definedName>
    <definedName name="IQ_IMPORTS_GOODS_SERVICES_REAL_SAAR_POP_FC_UNUSED" hidden="1">"c8084"</definedName>
    <definedName name="IQ_IMPORTS_GOODS_SERVICES_REAL_SAAR_POP_UNUSED" hidden="1">"c7204"</definedName>
    <definedName name="IQ_IMPORTS_GOODS_SERVICES_REAL_SAAR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ES_FDIC" hidden="1">"c6582"</definedName>
    <definedName name="IQ_INCOME_TAXES_FFIEC" hidden="1">"c13030"</definedName>
    <definedName name="IQ_INCREASE_INT_INCOME_FFIEC" hidden="1">"c13063"</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SECURED_RE_DOM_FFIEC" hidden="1">"c12977"</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ANGIBLES_NET" hidden="1">"c1407"</definedName>
    <definedName name="IQ_INTEREST_BEARING_BALANCES_FDIC" hidden="1">"c6371"</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PRD" hidden="1">"c644"</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UNUSED" hidden="1">"c7563"</definedName>
    <definedName name="IQ_ISM_SERVICES_FC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UNUSED" hidden="1">"c7123"</definedName>
    <definedName name="IQ_ISM_SERVICES_UNUSED" hidden="1">"c6903"</definedName>
    <definedName name="IQ_ISM_SERVICES_YOY_FC_UNUSED" hidden="1">"c8223"</definedName>
    <definedName name="IQ_ISM_SERVICES_YOY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K" hidden="1">1000</definedName>
    <definedName name="IQ_LATESTQ" hidden="1">500</definedName>
    <definedName name="IQ_LEAD_UNDERWRITER" hidden="1">"c8957"</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ASE_RECEIVABLES_FOREIGN_FFIEC" hidden="1">"c13483"</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Y_ACCEPTANCES_OUT_FFIEC" hidden="1">"c12866"</definedName>
    <definedName name="IQ_LIABILITY_SHORT_POSITIONS_DOM_FFIEC" hidden="1">"c12941"</definedName>
    <definedName name="IQ_LICENSED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QUID_ASSETS_ASSETS_TOT_FFIEC" hidden="1">"c13439"</definedName>
    <definedName name="IQ_LIQUID_ASSETS_NONCORE_FUNDING_FFIEC" hidden="1">"c13339"</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UNUSED" hidden="1">"c7580"</definedName>
    <definedName name="IQ_MEDIAN_NEW_HOME_SALES_FC_UNUSED" hidden="1">"c7800"</definedName>
    <definedName name="IQ_MEDIAN_NEW_HOME_SALES_POP_FC_UNUSED" hidden="1">"c8020"</definedName>
    <definedName name="IQ_MEDIAN_NEW_HOME_SALES_POP_UNUSED" hidden="1">"c7140"</definedName>
    <definedName name="IQ_MEDIAN_NEW_HOME_SALES_UNUSED" hidden="1">"c6920"</definedName>
    <definedName name="IQ_MEDIAN_NEW_HOME_SALES_YOY_FC_UNUSED" hidden="1">"c8240"</definedName>
    <definedName name="IQ_MEDIAN_NEW_HOME_SALES_YOY_UNUSED" hidden="1">"c7360"</definedName>
    <definedName name="IQ_MEDIAN_TARGET_PRICE" hidden="1">"c1650"</definedName>
    <definedName name="IQ_MEDIAN_TARGET_PRICE_CIQ" hidden="1">"c4658"</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ASSETS_FFIEC" hidden="1">"c12838"</definedName>
    <definedName name="IQ_MORTGAGE_SERVICING_FDIC" hidden="1">"c6335"</definedName>
    <definedName name="IQ_MULTI_RES_PROPERTIES_TRADING_DOM_FFIEC" hidden="1">"c12930"</definedName>
    <definedName name="IQ_MULTIFAMILY_LOANS_GROSS_LOANS_FFIEC" hidden="1">"c13404"</definedName>
    <definedName name="IQ_MULTIFAMILY_LOANS_RISK_BASED_FFIEC" hidden="1">"c13425"</definedName>
    <definedName name="IQ_MULTIFAMILY_RESIDENTIAL_LOANS_FDIC" hidden="1">"c6311"</definedName>
    <definedName name="IQ_MUNICIPAL_INVEST_SECURITIES_FFIEC" hidden="1">"c13459"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EGATIVE_FAIR_VALUE_DERIVATIVES_BENEFICIARY_FFIEC" hidden="1">"c13124"</definedName>
    <definedName name="IQ_NEGATIVE_FAIR_VALUE_DERIVATIVES_GUARANTOR_FFIEC" hidden="1">"c13117"</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EARNED" hidden="1">"c2734"</definedName>
    <definedName name="IQ_NET_FUNDS_PURCHASED_ASSETS_TOT_FFIEC" hidden="1">"c13448"</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FFIEC" hidden="1">"c13034"</definedName>
    <definedName name="IQ_NI_MARGIN" hidden="1">"c794"</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LOANS" hidden="1">"c796"</definedName>
    <definedName name="IQ_NON_CASH" hidden="1">"c1399"</definedName>
    <definedName name="IQ_NON_CASH_ITEMS" hidden="1">"c797"</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"c11750"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UNUSED" hidden="1">"c7588"</definedName>
    <definedName name="IQ_NONRES_FIXED_INVEST_PRIV_FC_UNUSED" hidden="1">"c7808"</definedName>
    <definedName name="IQ_NONRES_FIXED_INVEST_PRIV_POP_FC_UNUSED" hidden="1">"c8028"</definedName>
    <definedName name="IQ_NONRES_FIXED_INVEST_PRIV_POP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 hidden="1">"c6240"</definedName>
    <definedName name="IQ_OPER_INC_REIT" hidden="1">"c853"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FIEC" hidden="1">"c12862"</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RIVATIVES_BENEFICIARY_FFIEC" hidden="1">"c13122"</definedName>
    <definedName name="IQ_OTHER_DERIVATIVES_GUARANTOR_FFIEC" hidden="1">"c13115"</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DING_ASSETS_FFIEC" hidden="1">"c12826"</definedName>
    <definedName name="IQ_OTHER_TRADING_ASSETS_TOTAL_FFIEC" hidden="1">"c12937"</definedName>
    <definedName name="IQ_OTHER_TRADING_LIABILITIES_FFIEC" hidden="1">"c12860"</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OPERATING_INC_AVG_ASSETS_FFIEC" hidden="1">"c13365"</definedName>
    <definedName name="IQ_PRETAX_RETURN_ASSETS_FDIC" hidden="1">"c6731"</definedName>
    <definedName name="IQ_PREV_MONTHLY_FACTOR" hidden="1">"c8973"</definedName>
    <definedName name="IQ_PREV_MONTHLY_FACTOR_DATE" hidden="1">"c8974"</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IVATE_CONST_TOTAL_APR_FC_UNUSED" hidden="1">"c8559"</definedName>
    <definedName name="IQ_PRIVATE_CONST_TOTAL_APR_UNUSED" hidden="1">"c7679"</definedName>
    <definedName name="IQ_PRIVATE_CONST_TOTAL_FC_UNUSED" hidden="1">"c7899"</definedName>
    <definedName name="IQ_PRIVATE_CONST_TOTAL_POP_FC_UNUSED" hidden="1">"c8119"</definedName>
    <definedName name="IQ_PRIVATE_CONST_TOTAL_POP_UNUSED" hidden="1">"c7239"</definedName>
    <definedName name="IQ_PRIVATE_CONST_TOTAL_UNUSED" hidden="1">"c7019"</definedName>
    <definedName name="IQ_PRIVATE_CONST_TOTAL_YOY_FC_UNUSED" hidden="1">"c8339"</definedName>
    <definedName name="IQ_PRIVATE_CONST_TOTAL_YOY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UNUSED" hidden="1">"c7655"</definedName>
    <definedName name="IQ_PRIVATE_RES_CONST_REAL_FC_UNUSED" hidden="1">"c7875"</definedName>
    <definedName name="IQ_PRIVATE_RES_CONST_REAL_POP_FC_UNUSED" hidden="1">"c8095"</definedName>
    <definedName name="IQ_PRIVATE_RES_CONST_REAL_POP_UNUSED" hidden="1">"c7215"</definedName>
    <definedName name="IQ_PRIVATE_RES_CONST_REAL_UNUSED" hidden="1">"c6995"</definedName>
    <definedName name="IQ_PRIVATE_RES_CONST_REAL_YOY_FC_UNUSED" hidden="1">"c8315"</definedName>
    <definedName name="IQ_PRIVATE_RES_CONST_REAL_YOY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ROVISION_LL_FFIEC" hidden="1">"c13019"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UNUSED" hidden="1">"c7611"</definedName>
    <definedName name="IQ_PURCHASES_EQUIP_NONRES_SAAR_FC_UNUSED" hidden="1">"c7831"</definedName>
    <definedName name="IQ_PURCHASES_EQUIP_NONRES_SAAR_POP_FC_UNUSED" hidden="1">"c8051"</definedName>
    <definedName name="IQ_PURCHASES_EQUIP_NONRES_SAAR_POP_UNUSED" hidden="1">"c7171"</definedName>
    <definedName name="IQ_PURCHASES_EQUIP_NONRES_SAAR_UNUSED" hidden="1">"c6951"</definedName>
    <definedName name="IQ_PURCHASES_EQUIP_NONRES_SAAR_YOY_FC_UNUSED" hidden="1">"c8271"</definedName>
    <definedName name="IQ_PURCHASES_EQUIP_NONRES_SAAR_YOY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ALIFYING_MINORITY_INT_T1_FFIEC" hidden="1">"c13135"</definedName>
    <definedName name="IQ_QUALIFYING_SUB_DEBT_REDEEM_PREF_T2_FFIEC" hidden="1">"c13144"</definedName>
    <definedName name="IQ_QUALIFYING_TRUST_PREFERRED_T1_FFIEC" hidden="1">"c13136"</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REV" hidden="1">"c1101"</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UNUSED" hidden="1">"c7656"</definedName>
    <definedName name="IQ_RES_CONST_REAL_FC_UNUSED" hidden="1">"c7876"</definedName>
    <definedName name="IQ_RES_CONST_REAL_POP_FC_UNUSED" hidden="1">"c8096"</definedName>
    <definedName name="IQ_RES_CONST_REAL_POP_UNUSED" hidden="1">"c7216"</definedName>
    <definedName name="IQ_RES_CONST_REAL_SAAR_APR_FC_UNUSED" hidden="1">"c8537"</definedName>
    <definedName name="IQ_RES_CONST_REAL_SAAR_APR_UNUSED" hidden="1">"c7657"</definedName>
    <definedName name="IQ_RES_CONST_REAL_SAAR_FC_UNUSED" hidden="1">"c7877"</definedName>
    <definedName name="IQ_RES_CONST_REAL_SAAR_POP_FC_UNUSED" hidden="1">"c8097"</definedName>
    <definedName name="IQ_RES_CONST_REAL_SAAR_POP_UNUSED" hidden="1">"c7217"</definedName>
    <definedName name="IQ_RES_CONST_REAL_SAAR_UNUSED" hidden="1">"c6997"</definedName>
    <definedName name="IQ_RES_CONST_REAL_SAAR_YOY_FC_UNUSED" hidden="1">"c8317"</definedName>
    <definedName name="IQ_RES_CONST_REAL_SAAR_YOY_UNUSED" hidden="1">"c7437"</definedName>
    <definedName name="IQ_RES_CONST_REAL_UNUSED" hidden="1">"c6996"</definedName>
    <definedName name="IQ_RES_CONST_REAL_YOY_FC_UNUSED" hidden="1">"c8316"</definedName>
    <definedName name="IQ_RES_CONST_REAL_YOY_UNUSED" hidden="1">"c7436"</definedName>
    <definedName name="IQ_RES_CONST_SAAR_APR_FC_UNUSED" hidden="1">"c8540"</definedName>
    <definedName name="IQ_RES_CONST_SAAR_APR_UNUSED" hidden="1">"c7660"</definedName>
    <definedName name="IQ_RES_CONST_SAAR_FC_UNUSED" hidden="1">"c7880"</definedName>
    <definedName name="IQ_RES_CONST_SAAR_POP_FC_UNUSED" hidden="1">"c8100"</definedName>
    <definedName name="IQ_RES_CONST_SAAR_POP_UNUSED" hidden="1">"c7220"</definedName>
    <definedName name="IQ_RES_CONST_SAAR_UNUSED" hidden="1">"c7000"</definedName>
    <definedName name="IQ_RES_CONST_SAAR_YOY_FC_UNUSED" hidden="1">"c8320"</definedName>
    <definedName name="IQ_RES_CONST_SAAR_YOY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BEFORE_LL_FFIEC" hidden="1">"c13018"</definedName>
    <definedName name="IQ_REVENUE_EST" hidden="1">"c1126"</definedName>
    <definedName name="IQ_REVENUE_EST_BOTTOM_UP_CIQ" hidden="1">"c12025"</definedName>
    <definedName name="IQ_REVENUE_EST_CIQ" hidden="1">"c3616"</definedName>
    <definedName name="IQ_REVENUE_EST_REUT" hidden="1">"c3634"</definedName>
    <definedName name="IQ_REVENUE_HIGH_EST" hidden="1">"c1127"</definedName>
    <definedName name="IQ_REVENUE_HIGH_EST_CIQ" hidden="1">"c3618"</definedName>
    <definedName name="IQ_REVENUE_HIGH_EST_REUT" hidden="1">"c3636"</definedName>
    <definedName name="IQ_REVENUE_LOW_EST" hidden="1">"c1128"</definedName>
    <definedName name="IQ_REVENUE_LOW_EST_CIQ" hidden="1">"c3619"</definedName>
    <definedName name="IQ_REVENUE_LOW_EST_REUT" hidden="1">"c3637"</definedName>
    <definedName name="IQ_REVENUE_MEDIAN_EST" hidden="1">"c1662"</definedName>
    <definedName name="IQ_REVENUE_MEDIAN_EST_CIQ" hidden="1">"c3617"</definedName>
    <definedName name="IQ_REVENUE_MEDIAN_EST_REUT" hidden="1">"c3635"</definedName>
    <definedName name="IQ_REVENUE_NUM_EST" hidden="1">"c1129"</definedName>
    <definedName name="IQ_REVENUE_NUM_EST_CIQ" hidden="1">"c3620"</definedName>
    <definedName name="IQ_REVENUE_NUM_EST_REUT" hidden="1">"c3638"</definedName>
    <definedName name="IQ_REVISION_DATE_" hidden="1">39925.6989351852</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Y" hidden="1">"c1130"</definedName>
    <definedName name="IQ_SALARY_FDIC" hidden="1">"c6576"</definedName>
    <definedName name="IQ_SALE_COMMON_GROSS_FFIEC" hidden="1">"c12963"</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"c11748"</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FIEC" hidden="1">"c12867"</definedName>
    <definedName name="IQ_SUB_NOTES_PAYABLE_UNCONSOLIDATED_TRUSTS_FFIEC" hidden="1">"c12868"</definedName>
    <definedName name="IQ_SUPPLIES_FFIEC" hidden="1">"c13050"</definedName>
    <definedName name="IQ_SURPLUS_FDIC" hidden="1">"c6351"</definedName>
    <definedName name="IQ_SURPLUS_FFIEC" hidden="1">"c12877"</definedName>
    <definedName name="IQ_SVA" hidden="1">"c1214"</definedName>
    <definedName name="IQ_TANGIBLE_EQUITY_ASSETS_FFIEC" hidden="1">"c13346"</definedName>
    <definedName name="IQ_TANGIBLE_TIER_1_LEVERAGE_FFIEC" hidden="1">"c13345"</definedName>
    <definedName name="IQ_TARGET_PRICE_NUM" hidden="1">"c1653"</definedName>
    <definedName name="IQ_TARGET_PRICE_NUM_CIQ" hidden="1">"c4661"</definedName>
    <definedName name="IQ_TARGET_PRICE_NUM_REUT" hidden="1">"c5319"</definedName>
    <definedName name="IQ_TARGET_PRICE_STDDEV" hidden="1">"c1654"</definedName>
    <definedName name="IQ_TARGET_PRICE_STDDEV_CIQ" hidden="1">"c4662"</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100K_OTHER_INSTITUTIONS_FFIEC" hidden="1">"c12953"</definedName>
    <definedName name="IQ_TIME_DEPOSITS_LESS_THAN_100K_FDIC" hidden="1">"c6465"</definedName>
    <definedName name="IQ_TIME_DEPOSITS_MORE_100K_OTHER_INSTITUTIONS_FFIEC" hidden="1">"c12954"</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DIC" hidden="1">"c6339"</definedName>
    <definedName name="IQ_TOTAL_ASSETS_FFIEC" hidden="1">"c12849"</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EPOSITS_FFIEC" hidden="1">"c13623"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LH_FFIEC" hidden="1">"c13109"</definedName>
    <definedName name="IQ_TOTAL_EQUITY_PC_FFIEC" hidden="1">"c13102"</definedName>
    <definedName name="IQ_TOTAL_EQUITY_SUBTOTAL_AP" hidden="1">"c8989"</definedName>
    <definedName name="IQ_TOTAL_INT_EXPENSE_FFIEC" hidden="1">"c13000"</definedName>
    <definedName name="IQ_TOTAL_INT_INCOME_FFIEC" hidden="1">"c12989"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DIC" hidden="1">"c6348"</definedName>
    <definedName name="IQ_TOTAL_LIABILITIES_FFIEC" hidden="1">"c12873"</definedName>
    <definedName name="IQ_TOTAL_LL_REC_DOM_FFIEC" hidden="1">"c12917"</definedName>
    <definedName name="IQ_TOTAL_LL_REC_FFIEC" hidden="1">"c12898"</definedName>
    <definedName name="IQ_TOTAL_LOANS" hidden="1">"c5653"</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RECOV_FFIEC" hidden="1">"c13208"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ISK_BASED_CAPITAL_FFIEC" hidden="1">"c13153"</definedName>
    <definedName name="IQ_TOTAL_RISK_BASED_CAPITAL_RATIO_FDIC" hidden="1">"c6747"</definedName>
    <definedName name="IQ_TOTAL_RISK_BASED_CAPITAL_RATIO_FFIEC" hidden="1">"c13162"</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TRADING_ASSETS_FFIEC" hidden="1">"c12939"</definedName>
    <definedName name="IQ_TOTAL_TRADING_LIAB_DOM_FFIEC" hidden="1">"c12944"</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"c13642"</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"c13640"</definedName>
    <definedName name="IQ_TR_TERM_FEE_PCT" hidden="1">"c13641"</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OPERATING_INC_FFIEC" hidden="1">"c13385"</definedName>
    <definedName name="IQ_TRADING_REVENUE_FFIEC" hidden="1">"c13004"</definedName>
    <definedName name="IQ_TRANSACTION_ACCOUNTS_FDIC" hidden="1">"c6544"</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LApplyTrueUp">'M61 Lookups'!$D$640:$D$642</definedName>
    <definedName name="LClassification">'M61 Lookups'!$D$43:$D$50</definedName>
    <definedName name="LDealStatus">'M61 Lookups'!$D$364:$D$367</definedName>
    <definedName name="LdebtType">'M61 Lookups'!$D$495:$D$504</definedName>
    <definedName name="Ldistributionmethod">'M61 Lookups'!$D$660:$D$663</definedName>
    <definedName name="LFeeNameType">'M61 Lookups'!$D$912:$D$930</definedName>
    <definedName name="LHolidayList">'M61 Lookups'!$D$909:$D$911</definedName>
    <definedName name="LienOrder">#REF!</definedName>
    <definedName name="LienPositionRange">'M61 Lookups'!$B$400:$C$409</definedName>
    <definedName name="LindexName">'M61 Lookups'!$D$268:$D$274</definedName>
    <definedName name="LLienPosition">'M61 Lookups'!$D$400:$D$409</definedName>
    <definedName name="LNoteFundingRule">'M61 Lookups'!$D$290:$D$291</definedName>
    <definedName name="loanpurpose">[4]MasterList!$F$6:$F$3000</definedName>
    <definedName name="loanstatus">[4]MasterList!$C$6:$C$3000</definedName>
    <definedName name="LPaydownScenarios">'M61 Lookups'!$D$653:$D$655</definedName>
    <definedName name="LPurposeType">'M61 Lookups'!$D$348:$D$363</definedName>
    <definedName name="LratespreadCalcType">'M61 Lookups'!$D$194:$D$196</definedName>
    <definedName name="Lratespreadratetype">'M61 Lookups'!$D$162:$D$173</definedName>
    <definedName name="LRateType">'M61 Lookups'!$D$150:$D$152</definedName>
    <definedName name="LRoundingRule">'M61 Lookups'!$D$275:$D$277</definedName>
    <definedName name="LServicerName">'M61 Lookups'!$B$819:$C$827</definedName>
    <definedName name="LYesOrNO">'M61 Lookups'!$D$4:$D$5</definedName>
    <definedName name="NoteStartIndex">'For M61 Use Only'!$A$10</definedName>
    <definedName name="office">[4]MasterList!$D$6:$D$3000</definedName>
    <definedName name="Previous_HardCost_Adjustments">#REF!</definedName>
    <definedName name="Previous_HardDraw">#REF!</definedName>
    <definedName name="Previous_Interest_Adjustments">#REF!</definedName>
    <definedName name="Previous_InterestDraw">#REF!</definedName>
    <definedName name="Previous_LandCost_Adjustments">#REF!</definedName>
    <definedName name="Previous_LandDraw">#REF!</definedName>
    <definedName name="Previous_SoftDraw">#REF!</definedName>
    <definedName name="_xlnm.Print_Area" localSheetId="14">'Backshop Escrows-Requires Input'!$A$1:$L$36</definedName>
    <definedName name="_xlnm.Print_Area" localSheetId="9">'Budget-S&amp;U Codes Lookup'!$A$1:$F$564</definedName>
    <definedName name="_xlnm.Print_Area" localSheetId="22">'Contractor''s Budget Detail'!$A$1:$I$464</definedName>
    <definedName name="_xlnm.Print_Area" localSheetId="15">'Delphi Capital Call'!$A$1:$F$57</definedName>
    <definedName name="_xlnm.Print_Area" localSheetId="16">'Funding Instruction - Aflac US'!$A$1:$H$67</definedName>
    <definedName name="_xlnm.Print_Area" localSheetId="17">'Funding Instruction - TRE ACR'!$A$1:$H$67</definedName>
    <definedName name="_xlnm.Print_Area" localSheetId="21">'Insurance Reserve'!$A$11:$L$56</definedName>
    <definedName name="_xlnm.Print_Area" localSheetId="10">'Loan Settlement Stmt'!$A$1:$J$355</definedName>
    <definedName name="_xlnm.Print_Area" localSheetId="8">'Project Budget Summary'!$A$4:$I$207</definedName>
    <definedName name="_xlnm.Print_Area" localSheetId="6">'S&amp;U Recon'!$A$1:$N$77</definedName>
    <definedName name="_xlnm.Print_Area" localSheetId="20">'Tax Reserve'!$A$3:$X$61</definedName>
    <definedName name="_xlnm.Print_Titles" localSheetId="9">'Budget-S&amp;U Codes Lookup'!$4:$4</definedName>
    <definedName name="_xlnm.Print_Titles" localSheetId="22">'Contractor''s Budget Detail'!$2:$6</definedName>
    <definedName name="_xlnm.Print_Titles" localSheetId="21">'Insurance Reserve'!$D:$D,'Insurance Reserve'!$11:$12</definedName>
    <definedName name="_xlnm.Print_Titles" localSheetId="20">'Tax Reserve'!$E:$E,'Tax Reserve'!$4:$6</definedName>
    <definedName name="PUB_FileID" hidden="1">"L10003363.xls"</definedName>
    <definedName name="PUB_UserID" hidden="1">"MAYERX"</definedName>
    <definedName name="QCContact">'[6]QC Contact'!$A$2:$A$5</definedName>
    <definedName name="redo" localSheetId="22" hidden="1">{#N/A,#N/A,FALSE,"ACQ_GRAPHS";#N/A,#N/A,FALSE,"T_1 GRAPHS";#N/A,#N/A,FALSE,"T_2 GRAPHS";#N/A,#N/A,FALSE,"COMB_GRAPHS"}</definedName>
    <definedName name="redo" localSheetId="23" hidden="1">{#N/A,#N/A,FALSE,"ACQ_GRAPHS";#N/A,#N/A,FALSE,"T_1 GRAPHS";#N/A,#N/A,FALSE,"T_2 GRAPHS";#N/A,#N/A,FALSE,"COMB_GRAPHS"}</definedName>
    <definedName name="redo" localSheetId="21" hidden="1">{#N/A,#N/A,FALSE,"ACQ_GRAPHS";#N/A,#N/A,FALSE,"T_1 GRAPHS";#N/A,#N/A,FALSE,"T_2 GRAPHS";#N/A,#N/A,FALSE,"COMB_GRAPHS"}</definedName>
    <definedName name="redo" localSheetId="8" hidden="1">{#N/A,#N/A,FALSE,"ACQ_GRAPHS";#N/A,#N/A,FALSE,"T_1 GRAPHS";#N/A,#N/A,FALSE,"T_2 GRAPHS";#N/A,#N/A,FALSE,"COMB_GRAPHS"}</definedName>
    <definedName name="redo" localSheetId="19" hidden="1">{#N/A,#N/A,FALSE,"ACQ_GRAPHS";#N/A,#N/A,FALSE,"T_1 GRAPHS";#N/A,#N/A,FALSE,"T_2 GRAPHS";#N/A,#N/A,FALSE,"COMB_GRAPHS"}</definedName>
    <definedName name="redo" localSheetId="20" hidden="1">{#N/A,#N/A,FALSE,"ACQ_GRAPHS";#N/A,#N/A,FALSE,"T_1 GRAPHS";#N/A,#N/A,FALSE,"T_2 GRAPHS";#N/A,#N/A,FALSE,"COMB_GRAPHS"}</definedName>
    <definedName name="redo" hidden="1">{#N/A,#N/A,FALSE,"ACQ_GRAPHS";#N/A,#N/A,FALSE,"T_1 GRAPHS";#N/A,#N/A,FALSE,"T_2 GRAPHS";#N/A,#N/A,FALSE,"COMB_GRAPHS"}</definedName>
    <definedName name="sdfa" hidden="1">#REF!</definedName>
    <definedName name="sencount" hidden="1">1</definedName>
    <definedName name="Status">[7]Lists!$A$2:$A$11</definedName>
    <definedName name="status1">[7]Lists!$A$2:$A$17</definedName>
    <definedName name="thierry" localSheetId="22" hidden="1">{"Totax",#N/A,FALSE,"Sheet1";#N/A,#N/A,FALSE,"Law Output"}</definedName>
    <definedName name="thierry" localSheetId="23" hidden="1">{"Totax",#N/A,FALSE,"Sheet1";#N/A,#N/A,FALSE,"Law Output"}</definedName>
    <definedName name="thierry" localSheetId="21" hidden="1">{"Totax",#N/A,FALSE,"Sheet1";#N/A,#N/A,FALSE,"Law Output"}</definedName>
    <definedName name="thierry" localSheetId="8" hidden="1">{"Totax",#N/A,FALSE,"Sheet1";#N/A,#N/A,FALSE,"Law Output"}</definedName>
    <definedName name="thierry" localSheetId="19" hidden="1">{"Totax",#N/A,FALSE,"Sheet1";#N/A,#N/A,FALSE,"Law Output"}</definedName>
    <definedName name="thierry" localSheetId="20" hidden="1">{"Totax",#N/A,FALSE,"Sheet1";#N/A,#N/A,FALSE,"Law Output"}</definedName>
    <definedName name="thierry" hidden="1">{"Totax",#N/A,FALSE,"Sheet1";#N/A,#N/A,FALSE,"Law Output"}</definedName>
    <definedName name="Value" hidden="1">#N/A</definedName>
    <definedName name="wrn.ALL." localSheetId="22" hidden="1">{#N/A,#N/A,FALSE,"INPUTS";#N/A,#N/A,FALSE,"PROFORMA BSHEET";#N/A,#N/A,FALSE,"COMBINED";#N/A,#N/A,FALSE,"ACQUIROR";#N/A,#N/A,FALSE,"TARGET 1";#N/A,#N/A,FALSE,"TARGET 2";#N/A,#N/A,FALSE,"HIGH YIELD";#N/A,#N/A,FALSE,"OVERFUND"}</definedName>
    <definedName name="wrn.ALL." localSheetId="23" hidden="1">{#N/A,#N/A,FALSE,"INPUTS";#N/A,#N/A,FALSE,"PROFORMA BSHEET";#N/A,#N/A,FALSE,"COMBINED";#N/A,#N/A,FALSE,"ACQUIROR";#N/A,#N/A,FALSE,"TARGET 1";#N/A,#N/A,FALSE,"TARGET 2";#N/A,#N/A,FALSE,"HIGH YIELD";#N/A,#N/A,FALSE,"OVERFUND"}</definedName>
    <definedName name="wrn.ALL." localSheetId="21" hidden="1">{#N/A,#N/A,FALSE,"INPUTS";#N/A,#N/A,FALSE,"PROFORMA BSHEET";#N/A,#N/A,FALSE,"COMBINED";#N/A,#N/A,FALSE,"ACQUIROR";#N/A,#N/A,FALSE,"TARGET 1";#N/A,#N/A,FALSE,"TARGET 2";#N/A,#N/A,FALSE,"HIGH YIELD";#N/A,#N/A,FALSE,"OVERFUND"}</definedName>
    <definedName name="wrn.ALL." localSheetId="8" hidden="1">{#N/A,#N/A,FALSE,"INPUTS";#N/A,#N/A,FALSE,"PROFORMA BSHEET";#N/A,#N/A,FALSE,"COMBINED";#N/A,#N/A,FALSE,"ACQUIROR";#N/A,#N/A,FALSE,"TARGET 1";#N/A,#N/A,FALSE,"TARGET 2";#N/A,#N/A,FALSE,"HIGH YIELD";#N/A,#N/A,FALSE,"OVERFUND"}</definedName>
    <definedName name="wrn.ALL." localSheetId="19" hidden="1">{#N/A,#N/A,FALSE,"INPUTS";#N/A,#N/A,FALSE,"PROFORMA BSHEET";#N/A,#N/A,FALSE,"COMBINED";#N/A,#N/A,FALSE,"ACQUIROR";#N/A,#N/A,FALSE,"TARGET 1";#N/A,#N/A,FALSE,"TARGET 2";#N/A,#N/A,FALSE,"HIGH YIELD";#N/A,#N/A,FALSE,"OVERFUND"}</definedName>
    <definedName name="wrn.ALL." localSheetId="20" hidden="1">{#N/A,#N/A,FALSE,"INPUTS";#N/A,#N/A,FALSE,"PROFORMA BSHEET";#N/A,#N/A,FALSE,"COMBINED";#N/A,#N/A,FALSE,"ACQUIROR";#N/A,#N/A,FALSE,"TARGET 1";#N/A,#N/A,FALSE,"TARGET 2";#N/A,#N/A,FALSE,"HIGH YIELD";#N/A,#N/A,FALSE,"OVERFUND"}</definedName>
    <definedName name="wrn.ALL." hidden="1">{#N/A,#N/A,FALSE,"INPUTS";#N/A,#N/A,FALSE,"PROFORMA BSHEET";#N/A,#N/A,FALSE,"COMBINED";#N/A,#N/A,FALSE,"ACQUIROR";#N/A,#N/A,FALSE,"TARGET 1";#N/A,#N/A,FALSE,"TARGET 2";#N/A,#N/A,FALSE,"HIGH YIELD";#N/A,#N/A,FALSE,"OVERFUND"}</definedName>
    <definedName name="wrn.All._.Pages." localSheetId="22"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23"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2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19"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2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localSheetId="22"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localSheetId="23"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localSheetId="2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localSheetId="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localSheetId="19"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localSheetId="2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COMBINED." localSheetId="22" hidden="1">{#N/A,#N/A,FALSE,"INPUTS";#N/A,#N/A,FALSE,"PROFORMA BSHEET";#N/A,#N/A,FALSE,"COMBINED";#N/A,#N/A,FALSE,"HIGH YIELD";#N/A,#N/A,FALSE,"COMB_GRAPHS"}</definedName>
    <definedName name="wrn.COMBINED." localSheetId="23" hidden="1">{#N/A,#N/A,FALSE,"INPUTS";#N/A,#N/A,FALSE,"PROFORMA BSHEET";#N/A,#N/A,FALSE,"COMBINED";#N/A,#N/A,FALSE,"HIGH YIELD";#N/A,#N/A,FALSE,"COMB_GRAPHS"}</definedName>
    <definedName name="wrn.COMBINED." localSheetId="21" hidden="1">{#N/A,#N/A,FALSE,"INPUTS";#N/A,#N/A,FALSE,"PROFORMA BSHEET";#N/A,#N/A,FALSE,"COMBINED";#N/A,#N/A,FALSE,"HIGH YIELD";#N/A,#N/A,FALSE,"COMB_GRAPHS"}</definedName>
    <definedName name="wrn.COMBINED." localSheetId="8" hidden="1">{#N/A,#N/A,FALSE,"INPUTS";#N/A,#N/A,FALSE,"PROFORMA BSHEET";#N/A,#N/A,FALSE,"COMBINED";#N/A,#N/A,FALSE,"HIGH YIELD";#N/A,#N/A,FALSE,"COMB_GRAPHS"}</definedName>
    <definedName name="wrn.COMBINED." localSheetId="19" hidden="1">{#N/A,#N/A,FALSE,"INPUTS";#N/A,#N/A,FALSE,"PROFORMA BSHEET";#N/A,#N/A,FALSE,"COMBINED";#N/A,#N/A,FALSE,"HIGH YIELD";#N/A,#N/A,FALSE,"COMB_GRAPHS"}</definedName>
    <definedName name="wrn.COMBINED." localSheetId="20" hidden="1">{#N/A,#N/A,FALSE,"INPUTS";#N/A,#N/A,FALSE,"PROFORMA BSHEET";#N/A,#N/A,FALSE,"COMBINED";#N/A,#N/A,FALSE,"HIGH YIELD";#N/A,#N/A,FALSE,"COMB_GRAPHS"}</definedName>
    <definedName name="wrn.COMBINED." hidden="1">{#N/A,#N/A,FALSE,"INPUTS";#N/A,#N/A,FALSE,"PROFORMA BSHEET";#N/A,#N/A,FALSE,"COMBINED";#N/A,#N/A,FALSE,"HIGH YIELD";#N/A,#N/A,FALSE,"COMB_GRAPHS"}</definedName>
    <definedName name="wrn.GRAPHS." localSheetId="22" hidden="1">{#N/A,#N/A,FALSE,"ACQ_GRAPHS";#N/A,#N/A,FALSE,"T_1 GRAPHS";#N/A,#N/A,FALSE,"T_2 GRAPHS";#N/A,#N/A,FALSE,"COMB_GRAPHS"}</definedName>
    <definedName name="wrn.GRAPHS." localSheetId="23" hidden="1">{#N/A,#N/A,FALSE,"ACQ_GRAPHS";#N/A,#N/A,FALSE,"T_1 GRAPHS";#N/A,#N/A,FALSE,"T_2 GRAPHS";#N/A,#N/A,FALSE,"COMB_GRAPHS"}</definedName>
    <definedName name="wrn.GRAPHS." localSheetId="21" hidden="1">{#N/A,#N/A,FALSE,"ACQ_GRAPHS";#N/A,#N/A,FALSE,"T_1 GRAPHS";#N/A,#N/A,FALSE,"T_2 GRAPHS";#N/A,#N/A,FALSE,"COMB_GRAPHS"}</definedName>
    <definedName name="wrn.GRAPHS." localSheetId="8" hidden="1">{#N/A,#N/A,FALSE,"ACQ_GRAPHS";#N/A,#N/A,FALSE,"T_1 GRAPHS";#N/A,#N/A,FALSE,"T_2 GRAPHS";#N/A,#N/A,FALSE,"COMB_GRAPHS"}</definedName>
    <definedName name="wrn.GRAPHS." localSheetId="19" hidden="1">{#N/A,#N/A,FALSE,"ACQ_GRAPHS";#N/A,#N/A,FALSE,"T_1 GRAPHS";#N/A,#N/A,FALSE,"T_2 GRAPHS";#N/A,#N/A,FALSE,"COMB_GRAPHS"}</definedName>
    <definedName name="wrn.GRAPHS." localSheetId="20" hidden="1">{#N/A,#N/A,FALSE,"ACQ_GRAPHS";#N/A,#N/A,FALSE,"T_1 GRAPHS";#N/A,#N/A,FALSE,"T_2 GRAPHS";#N/A,#N/A,FALSE,"COMB_GRAPHS"}</definedName>
    <definedName name="wrn.GRAPHS." hidden="1">{#N/A,#N/A,FALSE,"ACQ_GRAPHS";#N/A,#N/A,FALSE,"T_1 GRAPHS";#N/A,#N/A,FALSE,"T_2 GRAPHS";#N/A,#N/A,FALSE,"COMB_GRAPHS"}</definedName>
    <definedName name="wrn.Print." localSheetId="22" hidden="1">{"vi1",#N/A,FALSE,"Financial Statements";"vi2",#N/A,FALSE,"Financial Statements";#N/A,#N/A,FALSE,"DCF"}</definedName>
    <definedName name="wrn.Print." localSheetId="23" hidden="1">{"vi1",#N/A,FALSE,"Financial Statements";"vi2",#N/A,FALSE,"Financial Statements";#N/A,#N/A,FALSE,"DCF"}</definedName>
    <definedName name="wrn.Print." localSheetId="21" hidden="1">{"vi1",#N/A,FALSE,"Financial Statements";"vi2",#N/A,FALSE,"Financial Statements";#N/A,#N/A,FALSE,"DCF"}</definedName>
    <definedName name="wrn.Print." localSheetId="8" hidden="1">{"vi1",#N/A,FALSE,"Financial Statements";"vi2",#N/A,FALSE,"Financial Statements";#N/A,#N/A,FALSE,"DCF"}</definedName>
    <definedName name="wrn.Print." localSheetId="19" hidden="1">{"vi1",#N/A,FALSE,"Financial Statements";"vi2",#N/A,FALSE,"Financial Statements";#N/A,#N/A,FALSE,"DCF"}</definedName>
    <definedName name="wrn.Print." localSheetId="20" hidden="1">{"vi1",#N/A,FALSE,"Financial Statements";"vi2",#N/A,FALSE,"Financial Statements";#N/A,#N/A,FALSE,"DCF"}</definedName>
    <definedName name="wrn.Print." hidden="1">{"vi1",#N/A,FALSE,"Financial Statements";"vi2",#N/A,FALSE,"Financial Statements";#N/A,#N/A,FALSE,"DCF"}</definedName>
    <definedName name="wrn.print._.graphs." localSheetId="22" hidden="1">{"cap_structure",#N/A,FALSE,"Graph-Mkt Cap";"price",#N/A,FALSE,"Graph-Price";"ebit",#N/A,FALSE,"Graph-EBITDA";"ebitda",#N/A,FALSE,"Graph-EBITDA"}</definedName>
    <definedName name="wrn.print._.graphs." localSheetId="23" hidden="1">{"cap_structure",#N/A,FALSE,"Graph-Mkt Cap";"price",#N/A,FALSE,"Graph-Price";"ebit",#N/A,FALSE,"Graph-EBITDA";"ebitda",#N/A,FALSE,"Graph-EBITDA"}</definedName>
    <definedName name="wrn.print._.graphs." localSheetId="21" hidden="1">{"cap_structure",#N/A,FALSE,"Graph-Mkt Cap";"price",#N/A,FALSE,"Graph-Price";"ebit",#N/A,FALSE,"Graph-EBITDA";"ebitda",#N/A,FALSE,"Graph-EBITDA"}</definedName>
    <definedName name="wrn.print._.graphs." localSheetId="8"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20"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22" hidden="1">{"inputs raw data",#N/A,TRUE,"INPUT"}</definedName>
    <definedName name="wrn.print._.raw._.data._.entry." localSheetId="23" hidden="1">{"inputs raw data",#N/A,TRUE,"INPUT"}</definedName>
    <definedName name="wrn.print._.raw._.data._.entry." localSheetId="21" hidden="1">{"inputs raw data",#N/A,TRUE,"INPUT"}</definedName>
    <definedName name="wrn.print._.raw._.data._.entry." localSheetId="8" hidden="1">{"inputs raw data",#N/A,TRUE,"INPUT"}</definedName>
    <definedName name="wrn.print._.raw._.data._.entry." localSheetId="19" hidden="1">{"inputs raw data",#N/A,TRUE,"INPUT"}</definedName>
    <definedName name="wrn.print._.raw._.data._.entry." localSheetId="20" hidden="1">{"inputs raw data",#N/A,TRUE,"INPUT"}</definedName>
    <definedName name="wrn.print._.raw._.data._.entry." hidden="1">{"inputs raw data",#N/A,TRUE,"INPUT"}</definedName>
    <definedName name="wrn.print._.summary._.sheets." localSheetId="22" hidden="1">{"summary1",#N/A,TRUE,"Comps";"summary2",#N/A,TRUE,"Comps";"summary3",#N/A,TRUE,"Comps"}</definedName>
    <definedName name="wrn.print._.summary._.sheets." localSheetId="23" hidden="1">{"summary1",#N/A,TRUE,"Comps";"summary2",#N/A,TRUE,"Comps";"summary3",#N/A,TRUE,"Comps"}</definedName>
    <definedName name="wrn.print._.summary._.sheets." localSheetId="21" hidden="1">{"summary1",#N/A,TRUE,"Comps";"summary2",#N/A,TRUE,"Comps";"summary3",#N/A,TRUE,"Comps"}</definedName>
    <definedName name="wrn.print._.summary._.sheets." localSheetId="8" hidden="1">{"summary1",#N/A,TRUE,"Comps";"summary2",#N/A,TRUE,"Comps";"summary3",#N/A,TRUE,"Comps"}</definedName>
    <definedName name="wrn.print._.summary._.sheets." localSheetId="19" hidden="1">{"summary1",#N/A,TRUE,"Comps";"summary2",#N/A,TRUE,"Comps";"summary3",#N/A,TRUE,"Comps"}</definedName>
    <definedName name="wrn.print._.summary._.sheets." localSheetId="20" hidden="1">{"summary1",#N/A,TRUE,"Comps";"summary2",#N/A,TRUE,"Comps";"summary3",#N/A,TRUE,"Comps"}</definedName>
    <definedName name="wrn.print._.summary._.sheets." hidden="1">{"summary1",#N/A,TRUE,"Comps";"summary2",#N/A,TRUE,"Comps";"summary3",#N/A,TRUE,"Comps"}</definedName>
    <definedName name="wrn.Totar." localSheetId="22" hidden="1">{"Totax",#N/A,FALSE,"Sheet1";#N/A,#N/A,FALSE,"Law Output"}</definedName>
    <definedName name="wrn.Totar." localSheetId="23" hidden="1">{"Totax",#N/A,FALSE,"Sheet1";#N/A,#N/A,FALSE,"Law Output"}</definedName>
    <definedName name="wrn.Totar." localSheetId="21" hidden="1">{"Totax",#N/A,FALSE,"Sheet1";#N/A,#N/A,FALSE,"Law Output"}</definedName>
    <definedName name="wrn.Totar." localSheetId="8" hidden="1">{"Totax",#N/A,FALSE,"Sheet1";#N/A,#N/A,FALSE,"Law Output"}</definedName>
    <definedName name="wrn.Totar." localSheetId="19" hidden="1">{"Totax",#N/A,FALSE,"Sheet1";#N/A,#N/A,FALSE,"Law Output"}</definedName>
    <definedName name="wrn.Totar." localSheetId="20" hidden="1">{"Totax",#N/A,FALSE,"Sheet1";#N/A,#N/A,FALSE,"Law Output"}</definedName>
    <definedName name="wrn.Totar." hidden="1">{"Totax",#N/A,FALSE,"Sheet1";#N/A,#N/A,FALSE,"Law Output"}</definedName>
    <definedName name="wrn.VALUATION." localSheetId="22" hidden="1">{#N/A,#N/A,FALSE,"Valuation Assumptions";#N/A,#N/A,FALSE,"Summary";#N/A,#N/A,FALSE,"DCF";#N/A,#N/A,FALSE,"Valuation";#N/A,#N/A,FALSE,"WACC";#N/A,#N/A,FALSE,"UBVH";#N/A,#N/A,FALSE,"Free Cash Flow"}</definedName>
    <definedName name="wrn.VALUATION." localSheetId="23" hidden="1">{#N/A,#N/A,FALSE,"Valuation Assumptions";#N/A,#N/A,FALSE,"Summary";#N/A,#N/A,FALSE,"DCF";#N/A,#N/A,FALSE,"Valuation";#N/A,#N/A,FALSE,"WACC";#N/A,#N/A,FALSE,"UBVH";#N/A,#N/A,FALSE,"Free Cash Flow"}</definedName>
    <definedName name="wrn.VALUATION." localSheetId="21" hidden="1">{#N/A,#N/A,FALSE,"Valuation Assumptions";#N/A,#N/A,FALSE,"Summary";#N/A,#N/A,FALSE,"DCF";#N/A,#N/A,FALSE,"Valuation";#N/A,#N/A,FALSE,"WACC";#N/A,#N/A,FALSE,"UBVH";#N/A,#N/A,FALSE,"Free Cash Flow"}</definedName>
    <definedName name="wrn.VALUATION." localSheetId="8" hidden="1">{#N/A,#N/A,FALSE,"Valuation Assumptions";#N/A,#N/A,FALSE,"Summary";#N/A,#N/A,FALSE,"DCF";#N/A,#N/A,FALSE,"Valuation";#N/A,#N/A,FALSE,"WACC";#N/A,#N/A,FALSE,"UBVH";#N/A,#N/A,FALSE,"Free Cash Flow"}</definedName>
    <definedName name="wrn.VALUATION." localSheetId="19" hidden="1">{#N/A,#N/A,FALSE,"Valuation Assumptions";#N/A,#N/A,FALSE,"Summary";#N/A,#N/A,FALSE,"DCF";#N/A,#N/A,FALSE,"Valuation";#N/A,#N/A,FALSE,"WACC";#N/A,#N/A,FALSE,"UBVH";#N/A,#N/A,FALSE,"Free Cash Flow"}</definedName>
    <definedName name="wrn.VALUATION." localSheetId="20" hidden="1">{#N/A,#N/A,FALSE,"Valuation Assumptions";#N/A,#N/A,FALSE,"Summary";#N/A,#N/A,FALSE,"DCF";#N/A,#N/A,FALSE,"Valuation";#N/A,#N/A,FALSE,"WACC";#N/A,#N/A,FALSE,"UBVH";#N/A,#N/A,FALSE,"Free Cash Flow"}</definedName>
    <definedName name="wrn.VALUATION." hidden="1">{#N/A,#N/A,FALSE,"Valuation Assumptions";#N/A,#N/A,FALSE,"Summary";#N/A,#N/A,FALSE,"DCF";#N/A,#N/A,FALSE,"Valuation";#N/A,#N/A,FALSE,"WACC";#N/A,#N/A,FALSE,"UBVH";#N/A,#N/A,FALSE,"Free Cash Flow"}</definedName>
    <definedName name="wvu.inputs._.raw._.data."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2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2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2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Z_92A1064E_1A0D_40C0_8B6C_61CF00273D34_.wvu.Cols" localSheetId="16" hidden="1">'Funding Instruction - Aflac US'!$I:$J</definedName>
    <definedName name="Z_92A1064E_1A0D_40C0_8B6C_61CF00273D34_.wvu.PrintArea" localSheetId="16" hidden="1">'Funding Instruction - Aflac US'!$B$1:$G$48</definedName>
    <definedName name="Z_92A1064E_1A0D_40C0_8B6C_61CF00273D34_.wvu.PrintArea" localSheetId="17" hidden="1">'Funding Instruction - TRE ACR'!$B$1:$G$48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6" i="1" l="1"/>
  <c r="G1" i="39"/>
  <c r="L164" i="1" l="1"/>
  <c r="L163" i="1"/>
  <c r="V192" i="1"/>
  <c r="V193" i="1"/>
  <c r="V194" i="1"/>
  <c r="V195" i="1"/>
  <c r="V196" i="1"/>
  <c r="V197" i="1"/>
  <c r="V201" i="1"/>
  <c r="V202" i="1"/>
  <c r="V203" i="1"/>
  <c r="V204" i="1"/>
  <c r="V205" i="1"/>
  <c r="V206" i="1"/>
  <c r="V207" i="1"/>
  <c r="V208" i="1"/>
  <c r="V209" i="1"/>
  <c r="V210" i="1"/>
  <c r="V211" i="1"/>
  <c r="V212" i="1"/>
  <c r="V213" i="1"/>
  <c r="V214" i="1"/>
  <c r="V215"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186" i="1"/>
  <c r="M213" i="1"/>
  <c r="M214" i="1"/>
  <c r="M215"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187"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186" i="1"/>
  <c r="E140" i="1"/>
  <c r="E139" i="1"/>
  <c r="H200" i="1" l="1"/>
  <c r="H199" i="1"/>
  <c r="H198" i="1"/>
  <c r="CD8" i="39"/>
  <c r="W8" i="39"/>
  <c r="X8" i="39"/>
  <c r="S198" i="1" l="1"/>
  <c r="S199" i="1"/>
  <c r="S200" i="1"/>
  <c r="I8" i="39"/>
  <c r="J8" i="39"/>
  <c r="K8" i="39"/>
  <c r="L8" i="39"/>
  <c r="M8" i="39"/>
  <c r="N8" i="39"/>
  <c r="O8" i="39"/>
  <c r="P8" i="39"/>
  <c r="Q8" i="39"/>
  <c r="R8" i="39"/>
  <c r="K4" i="39"/>
  <c r="G4" i="39"/>
  <c r="CT8" i="39" l="1"/>
  <c r="CS8" i="39"/>
  <c r="CR8" i="39"/>
  <c r="CQ8" i="39"/>
  <c r="AH8" i="39" l="1"/>
  <c r="H186" i="1"/>
  <c r="B8" i="39"/>
  <c r="C8" i="39"/>
  <c r="D8" i="39"/>
  <c r="E8" i="39"/>
  <c r="F8" i="39"/>
  <c r="G8" i="39"/>
  <c r="H8" i="39"/>
  <c r="S8" i="39"/>
  <c r="T8" i="39"/>
  <c r="U8" i="39"/>
  <c r="V8" i="39"/>
  <c r="Y8" i="39"/>
  <c r="Z8" i="39"/>
  <c r="AA8" i="39"/>
  <c r="AB8" i="39"/>
  <c r="AC8" i="39"/>
  <c r="AD8" i="39"/>
  <c r="AE8" i="39"/>
  <c r="AF8" i="39"/>
  <c r="AG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BR8" i="39"/>
  <c r="BS8" i="39"/>
  <c r="BT8" i="39"/>
  <c r="BU8" i="39"/>
  <c r="BV8" i="39"/>
  <c r="BW8" i="39"/>
  <c r="BX8" i="39"/>
  <c r="BY8" i="39"/>
  <c r="BZ8" i="39"/>
  <c r="CA8" i="39"/>
  <c r="CB8" i="39"/>
  <c r="CC8" i="39"/>
  <c r="CE8" i="39"/>
  <c r="CF8" i="39"/>
  <c r="CG8" i="39"/>
  <c r="CH8" i="39"/>
  <c r="CI8" i="39"/>
  <c r="CJ8" i="39"/>
  <c r="CK8" i="39"/>
  <c r="CL8" i="39"/>
  <c r="CM8" i="39"/>
  <c r="CN8" i="39"/>
  <c r="CO8" i="39"/>
  <c r="A8" i="39"/>
  <c r="A335" i="9" l="1"/>
  <c r="A334" i="9"/>
  <c r="A333" i="9"/>
  <c r="A332" i="9"/>
  <c r="A321" i="9"/>
  <c r="A320" i="9"/>
  <c r="A319" i="9"/>
  <c r="A318" i="9"/>
  <c r="L2" i="14"/>
  <c r="L3" i="14" s="1"/>
  <c r="D8" i="9" l="1"/>
  <c r="A82" i="38" l="1"/>
  <c r="A72" i="38"/>
  <c r="B45" i="38" s="1"/>
  <c r="C33" i="38"/>
  <c r="C32" i="38"/>
  <c r="G12" i="38"/>
  <c r="G13" i="38"/>
  <c r="G11" i="38"/>
  <c r="F12" i="38"/>
  <c r="F13" i="38"/>
  <c r="F11" i="38"/>
  <c r="B30" i="38"/>
  <c r="I11" i="38" s="1"/>
  <c r="I12" i="38"/>
  <c r="I13" i="38"/>
  <c r="B7" i="38"/>
  <c r="B56" i="38" s="1"/>
  <c r="A94" i="38"/>
  <c r="A93" i="38"/>
  <c r="A92" i="38"/>
  <c r="C64" i="38"/>
  <c r="K68" i="38" s="1"/>
  <c r="B63" i="38"/>
  <c r="B62" i="38"/>
  <c r="B61" i="38"/>
  <c r="B60" i="38"/>
  <c r="B59" i="38"/>
  <c r="C39" i="38"/>
  <c r="C27" i="38"/>
  <c r="Y25" i="38"/>
  <c r="X25" i="38"/>
  <c r="U23" i="38"/>
  <c r="Y22" i="38"/>
  <c r="Y21" i="38"/>
  <c r="Y19" i="38"/>
  <c r="Y18" i="38"/>
  <c r="Y24" i="38" s="1"/>
  <c r="X18" i="38"/>
  <c r="X19" i="38" s="1"/>
  <c r="W18" i="38"/>
  <c r="W21" i="38" s="1"/>
  <c r="V18" i="38"/>
  <c r="V24" i="38" s="1"/>
  <c r="U18" i="38"/>
  <c r="U25" i="38" s="1"/>
  <c r="D27" i="38"/>
  <c r="A81" i="37"/>
  <c r="A71" i="37"/>
  <c r="B44" i="37" s="1"/>
  <c r="C63" i="37"/>
  <c r="O18" i="37"/>
  <c r="C38" i="37"/>
  <c r="J39" i="37" s="1"/>
  <c r="H27" i="37"/>
  <c r="I25" i="37"/>
  <c r="I24" i="37"/>
  <c r="I23" i="37"/>
  <c r="I22" i="37"/>
  <c r="I21" i="37"/>
  <c r="I20" i="37"/>
  <c r="I19" i="37"/>
  <c r="B16" i="9"/>
  <c r="A19" i="37"/>
  <c r="E19" i="37" s="1"/>
  <c r="B65" i="38" l="1"/>
  <c r="U19" i="38"/>
  <c r="U22" i="38"/>
  <c r="X22" i="38"/>
  <c r="U20" i="38"/>
  <c r="Y23" i="38"/>
  <c r="Y20" i="38"/>
  <c r="U24" i="38"/>
  <c r="U21" i="38"/>
  <c r="W25" i="38"/>
  <c r="V22" i="38"/>
  <c r="Z22" i="38" s="1"/>
  <c r="W23" i="38"/>
  <c r="X24" i="38"/>
  <c r="V23" i="38"/>
  <c r="W24" i="38"/>
  <c r="V21" i="38"/>
  <c r="W22" i="38"/>
  <c r="X23" i="38"/>
  <c r="V19" i="38"/>
  <c r="W20" i="38"/>
  <c r="X21" i="38"/>
  <c r="V20" i="38"/>
  <c r="W19" i="38"/>
  <c r="X20" i="38"/>
  <c r="V25" i="38"/>
  <c r="G19" i="37"/>
  <c r="H19" i="37"/>
  <c r="Z24" i="38" l="1"/>
  <c r="Z21" i="38"/>
  <c r="Z23" i="38"/>
  <c r="Z25" i="38"/>
  <c r="Z20" i="38"/>
  <c r="E27" i="38"/>
  <c r="Z19" i="38"/>
  <c r="J12" i="38" l="1"/>
  <c r="G27" i="38"/>
  <c r="H27" i="38"/>
  <c r="J13" i="38"/>
  <c r="I27" i="38"/>
  <c r="I32" i="38" l="1"/>
  <c r="J41" i="38"/>
  <c r="F27" i="38"/>
  <c r="J11" i="38"/>
  <c r="J27" i="38" s="1"/>
  <c r="J40" i="38" s="1"/>
  <c r="J42" i="38" s="1"/>
  <c r="I35" i="38" l="1"/>
  <c r="I45" i="38" s="1"/>
  <c r="K69" i="38" s="1"/>
  <c r="B55" i="38"/>
  <c r="A11" i="37" l="1"/>
  <c r="D16" i="9"/>
  <c r="F16" i="9"/>
  <c r="B7" i="37"/>
  <c r="F569" i="1"/>
  <c r="F568" i="1"/>
  <c r="F567" i="1"/>
  <c r="F566" i="1"/>
  <c r="F565" i="1"/>
  <c r="F564" i="1"/>
  <c r="F563" i="1"/>
  <c r="F562" i="1"/>
  <c r="F561" i="1"/>
  <c r="F560" i="1"/>
  <c r="F559" i="1"/>
  <c r="F558" i="1"/>
  <c r="F557" i="1"/>
  <c r="F556" i="1"/>
  <c r="F555" i="1"/>
  <c r="K238" i="9"/>
  <c r="K225" i="9"/>
  <c r="K212" i="9"/>
  <c r="N563" i="1"/>
  <c r="N564" i="1"/>
  <c r="N565" i="1"/>
  <c r="N566" i="1"/>
  <c r="N567" i="1"/>
  <c r="N568" i="1"/>
  <c r="N569" i="1"/>
  <c r="K199" i="9"/>
  <c r="C11" i="37" l="1"/>
  <c r="E557" i="1"/>
  <c r="E569" i="1"/>
  <c r="G569" i="1"/>
  <c r="H569" i="1"/>
  <c r="I569" i="1"/>
  <c r="J569" i="1"/>
  <c r="K569" i="1"/>
  <c r="E556" i="1"/>
  <c r="G556" i="1"/>
  <c r="H556" i="1"/>
  <c r="I556" i="1"/>
  <c r="J556" i="1"/>
  <c r="K556" i="1"/>
  <c r="G557" i="1"/>
  <c r="H557" i="1"/>
  <c r="I557" i="1"/>
  <c r="J557" i="1"/>
  <c r="K557" i="1"/>
  <c r="E558" i="1"/>
  <c r="G558" i="1"/>
  <c r="H558" i="1"/>
  <c r="I558" i="1"/>
  <c r="J558" i="1"/>
  <c r="K558" i="1"/>
  <c r="E559" i="1"/>
  <c r="G559" i="1"/>
  <c r="H559" i="1"/>
  <c r="I559" i="1"/>
  <c r="J559" i="1"/>
  <c r="K559" i="1"/>
  <c r="E560" i="1"/>
  <c r="G560" i="1"/>
  <c r="H560" i="1"/>
  <c r="I560" i="1"/>
  <c r="J560" i="1"/>
  <c r="K560" i="1"/>
  <c r="E561" i="1"/>
  <c r="G561" i="1"/>
  <c r="H561" i="1"/>
  <c r="I561" i="1"/>
  <c r="J561" i="1"/>
  <c r="K561" i="1"/>
  <c r="E562" i="1"/>
  <c r="G562" i="1"/>
  <c r="H562" i="1"/>
  <c r="I562" i="1"/>
  <c r="J562" i="1"/>
  <c r="K562" i="1"/>
  <c r="E563" i="1"/>
  <c r="G563" i="1"/>
  <c r="H563" i="1"/>
  <c r="I563" i="1"/>
  <c r="J563" i="1"/>
  <c r="K563" i="1"/>
  <c r="E564" i="1"/>
  <c r="G564" i="1"/>
  <c r="H564" i="1"/>
  <c r="I564" i="1"/>
  <c r="J564" i="1"/>
  <c r="K564" i="1"/>
  <c r="E565" i="1"/>
  <c r="G565" i="1"/>
  <c r="H565" i="1"/>
  <c r="I565" i="1"/>
  <c r="J565" i="1"/>
  <c r="K565" i="1"/>
  <c r="E566" i="1"/>
  <c r="G566" i="1"/>
  <c r="H566" i="1"/>
  <c r="I566" i="1"/>
  <c r="J566" i="1"/>
  <c r="K566" i="1"/>
  <c r="E567" i="1"/>
  <c r="G567" i="1"/>
  <c r="H567" i="1"/>
  <c r="I567" i="1"/>
  <c r="J567" i="1"/>
  <c r="K567" i="1"/>
  <c r="E568" i="1"/>
  <c r="G568" i="1"/>
  <c r="H568" i="1"/>
  <c r="I568" i="1"/>
  <c r="J568" i="1"/>
  <c r="K568" i="1"/>
  <c r="K555" i="1"/>
  <c r="J555" i="1"/>
  <c r="I555" i="1"/>
  <c r="H555" i="1"/>
  <c r="G555" i="1"/>
  <c r="E555" i="1"/>
  <c r="I11" i="37" l="1"/>
  <c r="B354" i="9"/>
  <c r="B340" i="9"/>
  <c r="B327" i="9"/>
  <c r="B283" i="9" l="1"/>
  <c r="N560" i="1" l="1"/>
  <c r="N561" i="1"/>
  <c r="N562" i="1"/>
  <c r="K264" i="9" l="1"/>
  <c r="K251" i="9"/>
  <c r="Q560" i="1"/>
  <c r="R560" i="1"/>
  <c r="L2" i="36"/>
  <c r="F23" i="36"/>
  <c r="D23" i="36"/>
  <c r="S560" i="1" l="1"/>
  <c r="O251" i="9"/>
  <c r="N251" i="9"/>
  <c r="D22" i="36"/>
  <c r="G21" i="36"/>
  <c r="D51" i="36" s="1"/>
  <c r="D19" i="36"/>
  <c r="D18" i="36"/>
  <c r="G7" i="36"/>
  <c r="G6" i="36"/>
  <c r="B215" i="1"/>
  <c r="B214" i="1"/>
  <c r="B213" i="1"/>
  <c r="B212" i="1"/>
  <c r="B211" i="1"/>
  <c r="B210" i="1"/>
  <c r="B209" i="1"/>
  <c r="B208" i="1"/>
  <c r="B207" i="1"/>
  <c r="B206" i="1"/>
  <c r="B205" i="1"/>
  <c r="B204" i="1"/>
  <c r="B203" i="1"/>
  <c r="B202" i="1"/>
  <c r="B201" i="1"/>
  <c r="B200" i="1"/>
  <c r="R200" i="1" s="1"/>
  <c r="B199" i="1"/>
  <c r="R199" i="1" s="1"/>
  <c r="B198" i="1"/>
  <c r="R198" i="1" s="1"/>
  <c r="B197" i="1"/>
  <c r="B196" i="1"/>
  <c r="B195" i="1"/>
  <c r="B194" i="1"/>
  <c r="B193" i="1"/>
  <c r="B192" i="1"/>
  <c r="B191" i="1"/>
  <c r="B190" i="1"/>
  <c r="B189" i="1"/>
  <c r="B188" i="1"/>
  <c r="B187" i="1"/>
  <c r="B186" i="1"/>
  <c r="R559" i="1"/>
  <c r="Q559" i="1"/>
  <c r="N559" i="1"/>
  <c r="N557" i="1"/>
  <c r="N558" i="1"/>
  <c r="H12" i="9"/>
  <c r="H11" i="9"/>
  <c r="D259" i="9" l="1"/>
  <c r="D27" i="36"/>
  <c r="D31" i="36"/>
  <c r="S559" i="1"/>
  <c r="A600" i="1"/>
  <c r="A599"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384" i="1"/>
  <c r="M385" i="1"/>
  <c r="M386" i="1"/>
  <c r="M387" i="1"/>
  <c r="M388" i="1"/>
  <c r="M389" i="1"/>
  <c r="M390" i="1"/>
  <c r="M391" i="1"/>
  <c r="M392" i="1"/>
  <c r="M393" i="1"/>
  <c r="M394" i="1"/>
  <c r="J384" i="1"/>
  <c r="J385" i="1"/>
  <c r="J386" i="1"/>
  <c r="J387" i="1"/>
  <c r="J388" i="1"/>
  <c r="J389" i="1"/>
  <c r="J390" i="1"/>
  <c r="J391" i="1"/>
  <c r="J392" i="1"/>
  <c r="J393" i="1"/>
  <c r="M334" i="1"/>
  <c r="J237" i="1"/>
  <c r="J238" i="1"/>
  <c r="J239" i="1"/>
  <c r="J240" i="1"/>
  <c r="J236" i="1"/>
  <c r="H237" i="1"/>
  <c r="H238" i="1"/>
  <c r="H239" i="1"/>
  <c r="H240" i="1"/>
  <c r="H236" i="1"/>
  <c r="J223" i="1"/>
  <c r="J224" i="1"/>
  <c r="J222" i="1"/>
  <c r="W201" i="1"/>
  <c r="W202" i="1"/>
  <c r="W203" i="1"/>
  <c r="W204" i="1"/>
  <c r="W205" i="1"/>
  <c r="W206" i="1"/>
  <c r="W207" i="1"/>
  <c r="W208" i="1"/>
  <c r="W209" i="1"/>
  <c r="W210" i="1"/>
  <c r="W211" i="1"/>
  <c r="W212" i="1"/>
  <c r="W213" i="1"/>
  <c r="W214" i="1"/>
  <c r="W215" i="1"/>
  <c r="R194" i="1"/>
  <c r="R195" i="1"/>
  <c r="R196" i="1"/>
  <c r="R197" i="1"/>
  <c r="R201" i="1"/>
  <c r="R202" i="1"/>
  <c r="R203" i="1"/>
  <c r="R204" i="1"/>
  <c r="R205" i="1"/>
  <c r="R206" i="1"/>
  <c r="R207" i="1"/>
  <c r="R208" i="1"/>
  <c r="R209" i="1"/>
  <c r="R210" i="1"/>
  <c r="R211" i="1"/>
  <c r="R212" i="1"/>
  <c r="R213" i="1"/>
  <c r="R214" i="1"/>
  <c r="R215" i="1"/>
  <c r="D34" i="36" l="1"/>
  <c r="D41" i="36"/>
  <c r="D33" i="36"/>
  <c r="D40" i="36"/>
  <c r="D32" i="36"/>
  <c r="D39" i="36"/>
  <c r="D36" i="36"/>
  <c r="D37" i="36" s="1"/>
  <c r="D35" i="36"/>
  <c r="A9" i="9" l="1"/>
  <c r="E118" i="9"/>
  <c r="E119" i="9"/>
  <c r="E120" i="9"/>
  <c r="E121" i="9"/>
  <c r="E122" i="9"/>
  <c r="E123" i="9"/>
  <c r="E124" i="9"/>
  <c r="E117" i="9"/>
  <c r="A118" i="9"/>
  <c r="A119" i="9"/>
  <c r="A120" i="9"/>
  <c r="A121" i="9"/>
  <c r="A122" i="9"/>
  <c r="A123" i="9"/>
  <c r="A124" i="9"/>
  <c r="I142" i="9"/>
  <c r="I143" i="9"/>
  <c r="I144" i="9"/>
  <c r="I145" i="9"/>
  <c r="I146" i="9"/>
  <c r="I147" i="9"/>
  <c r="I148" i="9"/>
  <c r="I149" i="9"/>
  <c r="I150" i="9"/>
  <c r="E141" i="9"/>
  <c r="E142" i="9"/>
  <c r="E143" i="9"/>
  <c r="E144" i="9"/>
  <c r="E145" i="9"/>
  <c r="E146" i="9"/>
  <c r="E147" i="9"/>
  <c r="E148" i="9"/>
  <c r="E149" i="9"/>
  <c r="E150" i="9"/>
  <c r="A143" i="9"/>
  <c r="A144" i="9"/>
  <c r="A145" i="9"/>
  <c r="A146" i="9"/>
  <c r="A147" i="9"/>
  <c r="A148" i="9"/>
  <c r="A149" i="9"/>
  <c r="A150" i="9"/>
  <c r="A141" i="9"/>
  <c r="A142" i="9"/>
  <c r="J342" i="1"/>
  <c r="J307" i="1"/>
  <c r="A2" i="9" l="1"/>
  <c r="K99" i="35" l="1"/>
  <c r="G99" i="35"/>
  <c r="E99" i="35"/>
  <c r="D99" i="35"/>
  <c r="K98" i="35"/>
  <c r="G98" i="35"/>
  <c r="E98" i="35"/>
  <c r="D98" i="35"/>
  <c r="K97" i="35"/>
  <c r="G97" i="35"/>
  <c r="E97" i="35"/>
  <c r="D97" i="35"/>
  <c r="K96" i="35"/>
  <c r="G96" i="35"/>
  <c r="E96" i="35"/>
  <c r="D96" i="35"/>
  <c r="K95" i="35"/>
  <c r="G95" i="35"/>
  <c r="E95" i="35"/>
  <c r="D95" i="35"/>
  <c r="K94" i="35"/>
  <c r="G94" i="35"/>
  <c r="E94" i="35"/>
  <c r="D94" i="35"/>
  <c r="K93" i="35"/>
  <c r="G93" i="35"/>
  <c r="E93" i="35"/>
  <c r="D93" i="35"/>
  <c r="K92" i="35"/>
  <c r="G92" i="35"/>
  <c r="E92" i="35"/>
  <c r="D92" i="35"/>
  <c r="K91" i="35"/>
  <c r="G91" i="35"/>
  <c r="E91" i="35"/>
  <c r="D91" i="35"/>
  <c r="K90" i="35"/>
  <c r="G90" i="35"/>
  <c r="E90" i="35"/>
  <c r="D90" i="35"/>
  <c r="K89" i="35"/>
  <c r="G89" i="35"/>
  <c r="E89" i="35"/>
  <c r="D89" i="35"/>
  <c r="K88" i="35"/>
  <c r="G88" i="35"/>
  <c r="E88" i="35"/>
  <c r="D88" i="35"/>
  <c r="K87" i="35"/>
  <c r="G87" i="35"/>
  <c r="E87" i="35"/>
  <c r="D87" i="35"/>
  <c r="K86" i="35"/>
  <c r="G86" i="35"/>
  <c r="E86" i="35"/>
  <c r="D86" i="35"/>
  <c r="K85" i="35"/>
  <c r="G85" i="35"/>
  <c r="E85" i="35"/>
  <c r="D85" i="35"/>
  <c r="K84" i="35"/>
  <c r="G84" i="35"/>
  <c r="E84" i="35"/>
  <c r="D84" i="35"/>
  <c r="K83" i="35"/>
  <c r="G83" i="35"/>
  <c r="E83" i="35"/>
  <c r="D83" i="35"/>
  <c r="K82" i="35"/>
  <c r="G82" i="35"/>
  <c r="E82" i="35"/>
  <c r="D82" i="35"/>
  <c r="K81" i="35"/>
  <c r="G81" i="35"/>
  <c r="E81" i="35"/>
  <c r="D81" i="35"/>
  <c r="K80" i="35"/>
  <c r="G80" i="35"/>
  <c r="E80" i="35"/>
  <c r="D80" i="35"/>
  <c r="K79" i="35"/>
  <c r="G79" i="35"/>
  <c r="E79" i="35"/>
  <c r="D79" i="35"/>
  <c r="K66" i="35"/>
  <c r="G66" i="35"/>
  <c r="E66" i="35"/>
  <c r="D66" i="35"/>
  <c r="K65" i="35"/>
  <c r="G65" i="35"/>
  <c r="E65" i="35"/>
  <c r="D65" i="35"/>
  <c r="K64" i="35"/>
  <c r="G64" i="35"/>
  <c r="E64" i="35"/>
  <c r="D64" i="35"/>
  <c r="K63" i="35"/>
  <c r="G63" i="35"/>
  <c r="E63" i="35"/>
  <c r="D63" i="35"/>
  <c r="K62" i="35"/>
  <c r="G62" i="35"/>
  <c r="E62" i="35"/>
  <c r="D62" i="35"/>
  <c r="K61" i="35"/>
  <c r="G61" i="35"/>
  <c r="E61" i="35"/>
  <c r="D61" i="35"/>
  <c r="K60" i="35"/>
  <c r="G60" i="35"/>
  <c r="E60" i="35"/>
  <c r="D60" i="35"/>
  <c r="K59" i="35"/>
  <c r="G59" i="35"/>
  <c r="E59" i="35"/>
  <c r="D59" i="35"/>
  <c r="K58" i="35"/>
  <c r="G58" i="35"/>
  <c r="E58" i="35"/>
  <c r="D58" i="35"/>
  <c r="K57" i="35"/>
  <c r="G57" i="35"/>
  <c r="E57" i="35"/>
  <c r="D57" i="35"/>
  <c r="K56" i="35"/>
  <c r="G56" i="35"/>
  <c r="E56" i="35"/>
  <c r="D56" i="35"/>
  <c r="K55" i="35"/>
  <c r="G55" i="35"/>
  <c r="E55" i="35"/>
  <c r="D55" i="35"/>
  <c r="K54" i="35"/>
  <c r="G54" i="35"/>
  <c r="E54" i="35"/>
  <c r="D54" i="35"/>
  <c r="K53" i="35"/>
  <c r="G53" i="35"/>
  <c r="E53" i="35"/>
  <c r="D53" i="35"/>
  <c r="K52" i="35"/>
  <c r="G52" i="35"/>
  <c r="E52" i="35"/>
  <c r="D52" i="35"/>
  <c r="K51" i="35"/>
  <c r="G51" i="35"/>
  <c r="E51" i="35"/>
  <c r="D51" i="35"/>
  <c r="K50" i="35"/>
  <c r="G50" i="35"/>
  <c r="E50" i="35"/>
  <c r="D50" i="35"/>
  <c r="K49" i="35"/>
  <c r="G49" i="35"/>
  <c r="E49" i="35"/>
  <c r="D49" i="35"/>
  <c r="K48" i="35"/>
  <c r="G48" i="35"/>
  <c r="E48" i="35"/>
  <c r="D48" i="35"/>
  <c r="K47" i="35"/>
  <c r="G47" i="35"/>
  <c r="E47" i="35"/>
  <c r="D47" i="35"/>
  <c r="K46" i="35"/>
  <c r="G46" i="35"/>
  <c r="E46" i="35"/>
  <c r="D46" i="35"/>
  <c r="B32" i="35"/>
  <c r="B66" i="35" s="1"/>
  <c r="B31" i="35"/>
  <c r="B65" i="35" s="1"/>
  <c r="B30" i="35"/>
  <c r="B64" i="35" s="1"/>
  <c r="B29" i="35"/>
  <c r="B63" i="35" s="1"/>
  <c r="B28" i="35"/>
  <c r="B62" i="35" s="1"/>
  <c r="B27" i="35"/>
  <c r="B61" i="35" s="1"/>
  <c r="B26" i="35"/>
  <c r="B60" i="35" s="1"/>
  <c r="B25" i="35"/>
  <c r="B92" i="35" s="1"/>
  <c r="B24" i="35"/>
  <c r="B58" i="35" s="1"/>
  <c r="B23" i="35"/>
  <c r="B57" i="35" s="1"/>
  <c r="B22" i="35"/>
  <c r="B89" i="35" s="1"/>
  <c r="B21" i="35"/>
  <c r="B55" i="35" s="1"/>
  <c r="B20" i="35"/>
  <c r="B54" i="35" s="1"/>
  <c r="B19" i="35"/>
  <c r="B53" i="35" s="1"/>
  <c r="B18" i="35"/>
  <c r="B85" i="35" s="1"/>
  <c r="B17" i="35"/>
  <c r="B84" i="35" s="1"/>
  <c r="B16" i="35"/>
  <c r="B83" i="35" s="1"/>
  <c r="B15" i="35"/>
  <c r="B49" i="35" s="1"/>
  <c r="B14" i="35"/>
  <c r="B48" i="35" s="1"/>
  <c r="B13" i="35"/>
  <c r="B47" i="35" s="1"/>
  <c r="B12" i="35"/>
  <c r="B79" i="35" s="1"/>
  <c r="B11" i="35"/>
  <c r="B78" i="35" s="1"/>
  <c r="B10" i="35"/>
  <c r="B77" i="35" s="1"/>
  <c r="B9" i="35"/>
  <c r="B76" i="35" s="1"/>
  <c r="B8" i="35"/>
  <c r="B42" i="35" s="1"/>
  <c r="B7" i="35"/>
  <c r="B41" i="35" s="1"/>
  <c r="B6" i="35"/>
  <c r="B40" i="35" s="1"/>
  <c r="B5" i="35"/>
  <c r="B39" i="35" s="1"/>
  <c r="B4" i="35"/>
  <c r="B38" i="35" s="1"/>
  <c r="B3" i="35"/>
  <c r="B37" i="35" s="1"/>
  <c r="L2" i="35"/>
  <c r="K2" i="35"/>
  <c r="J2" i="35"/>
  <c r="I2" i="35"/>
  <c r="H2" i="35"/>
  <c r="G2" i="35"/>
  <c r="F2" i="35"/>
  <c r="E2" i="35"/>
  <c r="D2" i="35"/>
  <c r="C2" i="35"/>
  <c r="C32" i="35"/>
  <c r="N2" i="35"/>
  <c r="M1" i="35"/>
  <c r="L1" i="35"/>
  <c r="K1" i="35"/>
  <c r="J1" i="35"/>
  <c r="I1" i="35"/>
  <c r="H1" i="35"/>
  <c r="G1" i="35"/>
  <c r="F1" i="35"/>
  <c r="E1" i="35"/>
  <c r="D1" i="35"/>
  <c r="C1" i="35"/>
  <c r="B82" i="35" l="1"/>
  <c r="B88" i="35"/>
  <c r="B45" i="35"/>
  <c r="B94" i="35"/>
  <c r="B86" i="35"/>
  <c r="B97" i="35"/>
  <c r="B99" i="35"/>
  <c r="B73" i="35"/>
  <c r="B81" i="35"/>
  <c r="B46" i="35"/>
  <c r="B87" i="35"/>
  <c r="B75" i="35"/>
  <c r="B95" i="35"/>
  <c r="B50" i="35"/>
  <c r="B80" i="35"/>
  <c r="B91" i="35"/>
  <c r="B52" i="35"/>
  <c r="B51" i="35"/>
  <c r="B93" i="35"/>
  <c r="B43" i="35"/>
  <c r="B59" i="35"/>
  <c r="B96" i="35"/>
  <c r="B71" i="35"/>
  <c r="B72" i="35"/>
  <c r="B98" i="35"/>
  <c r="B74" i="35"/>
  <c r="B90" i="35"/>
  <c r="B70" i="35"/>
  <c r="M2" i="35"/>
  <c r="B44" i="35"/>
  <c r="B56" i="35"/>
  <c r="B4" i="32" l="1"/>
  <c r="B5" i="32"/>
  <c r="B6" i="32"/>
  <c r="B7" i="32"/>
  <c r="F7" i="32"/>
  <c r="B12" i="32"/>
  <c r="B13" i="32"/>
  <c r="F12" i="32"/>
  <c r="F13" i="32"/>
  <c r="B17" i="32"/>
  <c r="I16" i="33"/>
  <c r="I15" i="33"/>
  <c r="E167" i="1" l="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438" i="1"/>
  <c r="M429" i="1"/>
  <c r="M430" i="1"/>
  <c r="M431" i="1"/>
  <c r="M432" i="1"/>
  <c r="M433" i="1"/>
  <c r="M434" i="1"/>
  <c r="M428" i="1"/>
  <c r="M416" i="1"/>
  <c r="M417" i="1"/>
  <c r="M418" i="1"/>
  <c r="M419" i="1"/>
  <c r="M420" i="1"/>
  <c r="M421" i="1"/>
  <c r="M422" i="1"/>
  <c r="M423" i="1"/>
  <c r="M424" i="1"/>
  <c r="M415" i="1"/>
  <c r="M402" i="1"/>
  <c r="M403" i="1"/>
  <c r="M404" i="1"/>
  <c r="M405" i="1"/>
  <c r="M406" i="1"/>
  <c r="M407" i="1"/>
  <c r="M408" i="1"/>
  <c r="M409" i="1"/>
  <c r="M410" i="1"/>
  <c r="M411" i="1"/>
  <c r="M401" i="1"/>
  <c r="J402" i="1"/>
  <c r="J403" i="1"/>
  <c r="J404" i="1"/>
  <c r="J405" i="1"/>
  <c r="J406" i="1"/>
  <c r="J407" i="1"/>
  <c r="J408" i="1"/>
  <c r="J409" i="1"/>
  <c r="J410" i="1"/>
  <c r="J411" i="1"/>
  <c r="J401" i="1"/>
  <c r="M375" i="1"/>
  <c r="M376" i="1"/>
  <c r="M377" i="1"/>
  <c r="M378" i="1"/>
  <c r="M379" i="1"/>
  <c r="M380" i="1"/>
  <c r="M381" i="1"/>
  <c r="M382" i="1"/>
  <c r="M383" i="1"/>
  <c r="M374" i="1"/>
  <c r="M361" i="1"/>
  <c r="M362" i="1"/>
  <c r="M363" i="1"/>
  <c r="M364" i="1"/>
  <c r="M365" i="1"/>
  <c r="M366" i="1"/>
  <c r="M367" i="1"/>
  <c r="M368" i="1"/>
  <c r="M369" i="1"/>
  <c r="M370" i="1"/>
  <c r="M371" i="1"/>
  <c r="M372" i="1"/>
  <c r="M360" i="1"/>
  <c r="J375" i="1"/>
  <c r="J376" i="1"/>
  <c r="J377" i="1"/>
  <c r="J378" i="1"/>
  <c r="J379" i="1"/>
  <c r="J380" i="1"/>
  <c r="J381" i="1"/>
  <c r="J382" i="1"/>
  <c r="J383" i="1"/>
  <c r="J374" i="1"/>
  <c r="M341" i="1"/>
  <c r="M349" i="1"/>
  <c r="M350" i="1"/>
  <c r="M351" i="1"/>
  <c r="M340" i="1"/>
  <c r="J341" i="1"/>
  <c r="J343" i="1"/>
  <c r="J344" i="1"/>
  <c r="J345" i="1"/>
  <c r="J346" i="1"/>
  <c r="J347" i="1"/>
  <c r="J348" i="1"/>
  <c r="J349" i="1"/>
  <c r="J351" i="1"/>
  <c r="J340" i="1"/>
  <c r="J316" i="1"/>
  <c r="J317" i="1"/>
  <c r="J318" i="1"/>
  <c r="J319" i="1"/>
  <c r="J320" i="1"/>
  <c r="J321" i="1"/>
  <c r="J322" i="1"/>
  <c r="J323" i="1"/>
  <c r="J324" i="1"/>
  <c r="J325" i="1"/>
  <c r="J326" i="1"/>
  <c r="J327" i="1"/>
  <c r="J328" i="1"/>
  <c r="J329" i="1"/>
  <c r="J330" i="1"/>
  <c r="J331" i="1"/>
  <c r="J332" i="1"/>
  <c r="J333" i="1"/>
  <c r="J334" i="1"/>
  <c r="J315" i="1"/>
  <c r="M297" i="1"/>
  <c r="M298" i="1"/>
  <c r="M299" i="1"/>
  <c r="M300" i="1"/>
  <c r="M301" i="1"/>
  <c r="M302" i="1"/>
  <c r="M303" i="1"/>
  <c r="M304" i="1"/>
  <c r="M305" i="1"/>
  <c r="M306" i="1"/>
  <c r="M307" i="1"/>
  <c r="M308" i="1"/>
  <c r="M309" i="1"/>
  <c r="M310" i="1"/>
  <c r="M296" i="1"/>
  <c r="J301" i="1"/>
  <c r="J302" i="1"/>
  <c r="J303" i="1"/>
  <c r="J304" i="1"/>
  <c r="J305" i="1"/>
  <c r="J306" i="1"/>
  <c r="J309" i="1"/>
  <c r="J310" i="1"/>
  <c r="J300" i="1"/>
  <c r="J297" i="1"/>
  <c r="J296" i="1"/>
  <c r="M280" i="1"/>
  <c r="M281" i="1"/>
  <c r="M282" i="1"/>
  <c r="M283" i="1"/>
  <c r="M284" i="1"/>
  <c r="M285" i="1"/>
  <c r="M286" i="1"/>
  <c r="M287" i="1"/>
  <c r="M288" i="1"/>
  <c r="M279" i="1"/>
  <c r="J289" i="1"/>
  <c r="J288" i="1"/>
  <c r="J287" i="1"/>
  <c r="J286" i="1"/>
  <c r="J285" i="1"/>
  <c r="J284" i="1"/>
  <c r="J283" i="1"/>
  <c r="J282" i="1"/>
  <c r="J281" i="1"/>
  <c r="J280" i="1"/>
  <c r="J279" i="1"/>
  <c r="J245" i="1"/>
  <c r="J246" i="1"/>
  <c r="J244" i="1"/>
  <c r="J232" i="1"/>
  <c r="J231" i="1"/>
  <c r="M232" i="1"/>
  <c r="M231" i="1"/>
  <c r="D78" i="35" l="1"/>
  <c r="C78" i="35"/>
  <c r="G45" i="35"/>
  <c r="F45" i="35"/>
  <c r="C45" i="35"/>
  <c r="J78" i="35"/>
  <c r="E45" i="35"/>
  <c r="K78" i="35"/>
  <c r="L78" i="35"/>
  <c r="D45" i="35"/>
  <c r="I78" i="35"/>
  <c r="H78" i="35"/>
  <c r="L45" i="35"/>
  <c r="F78" i="35"/>
  <c r="I45" i="35"/>
  <c r="G78" i="35"/>
  <c r="K45" i="35"/>
  <c r="J45" i="35"/>
  <c r="E78" i="35"/>
  <c r="H45" i="35"/>
  <c r="E44" i="35"/>
  <c r="L77" i="35"/>
  <c r="D44" i="35"/>
  <c r="H77" i="35"/>
  <c r="K44" i="35"/>
  <c r="K77" i="35"/>
  <c r="C44" i="35"/>
  <c r="L44" i="35"/>
  <c r="J77" i="35"/>
  <c r="I77" i="35"/>
  <c r="G77" i="35"/>
  <c r="F77" i="35"/>
  <c r="J44" i="35"/>
  <c r="F44" i="35"/>
  <c r="E77" i="35"/>
  <c r="I44" i="35"/>
  <c r="D77" i="35"/>
  <c r="H44" i="35"/>
  <c r="C77" i="35"/>
  <c r="G44" i="35"/>
  <c r="K76" i="35"/>
  <c r="C43" i="35"/>
  <c r="J76" i="35"/>
  <c r="G76" i="35"/>
  <c r="K43" i="35"/>
  <c r="I76" i="35"/>
  <c r="E76" i="35"/>
  <c r="H76" i="35"/>
  <c r="L43" i="35"/>
  <c r="F76" i="35"/>
  <c r="J43" i="35"/>
  <c r="I43" i="35"/>
  <c r="D76" i="35"/>
  <c r="H43" i="35"/>
  <c r="E43" i="35"/>
  <c r="C76" i="35"/>
  <c r="G43" i="35"/>
  <c r="F43" i="35"/>
  <c r="L76" i="35"/>
  <c r="D43" i="35"/>
  <c r="J75" i="35"/>
  <c r="I75" i="35"/>
  <c r="H75" i="35"/>
  <c r="L42" i="35"/>
  <c r="D75" i="35"/>
  <c r="G75" i="35"/>
  <c r="K42" i="35"/>
  <c r="E75" i="35"/>
  <c r="I42" i="35"/>
  <c r="G42" i="35"/>
  <c r="F75" i="35"/>
  <c r="J42" i="35"/>
  <c r="C75" i="35"/>
  <c r="H42" i="35"/>
  <c r="F42" i="35"/>
  <c r="L75" i="35"/>
  <c r="D42" i="35"/>
  <c r="E42" i="35"/>
  <c r="K75" i="35"/>
  <c r="C42" i="35"/>
  <c r="H74" i="35"/>
  <c r="G74" i="35"/>
  <c r="F74" i="35"/>
  <c r="J41" i="35"/>
  <c r="C74" i="35"/>
  <c r="E41" i="35"/>
  <c r="E74" i="35"/>
  <c r="I41" i="35"/>
  <c r="D74" i="35"/>
  <c r="H41" i="35"/>
  <c r="G41" i="35"/>
  <c r="F41" i="35"/>
  <c r="L74" i="35"/>
  <c r="D41" i="35"/>
  <c r="K74" i="35"/>
  <c r="C41" i="35"/>
  <c r="J74" i="35"/>
  <c r="I74" i="35"/>
  <c r="L41" i="35"/>
  <c r="K41" i="35"/>
  <c r="J40" i="35"/>
  <c r="E73" i="35"/>
  <c r="I40" i="35"/>
  <c r="D73" i="35"/>
  <c r="H40" i="35"/>
  <c r="E40" i="35"/>
  <c r="D40" i="35"/>
  <c r="K73" i="35"/>
  <c r="C73" i="35"/>
  <c r="G40" i="35"/>
  <c r="L73" i="35"/>
  <c r="F40" i="35"/>
  <c r="C40" i="35"/>
  <c r="J73" i="35"/>
  <c r="H73" i="35"/>
  <c r="G73" i="35"/>
  <c r="K40" i="35"/>
  <c r="F73" i="35"/>
  <c r="I73" i="35"/>
  <c r="L40" i="35"/>
  <c r="I39" i="35"/>
  <c r="H39" i="35"/>
  <c r="D72" i="35"/>
  <c r="C72" i="35"/>
  <c r="F39" i="35"/>
  <c r="C39" i="35"/>
  <c r="J72" i="35"/>
  <c r="E39" i="35"/>
  <c r="K72" i="35"/>
  <c r="L72" i="35"/>
  <c r="D39" i="35"/>
  <c r="I72" i="35"/>
  <c r="H72" i="35"/>
  <c r="L39" i="35"/>
  <c r="G39" i="35"/>
  <c r="G72" i="35"/>
  <c r="K39" i="35"/>
  <c r="F72" i="35"/>
  <c r="J39" i="35"/>
  <c r="E72" i="35"/>
  <c r="L38" i="35"/>
  <c r="L71" i="35"/>
  <c r="K38" i="35"/>
  <c r="K71" i="35"/>
  <c r="J38" i="35"/>
  <c r="J71" i="35"/>
  <c r="I38" i="35"/>
  <c r="I71" i="35"/>
  <c r="H38" i="35"/>
  <c r="H71" i="35"/>
  <c r="G38" i="35"/>
  <c r="G71" i="35"/>
  <c r="F38" i="35"/>
  <c r="F71" i="35"/>
  <c r="E38" i="35"/>
  <c r="E71" i="35"/>
  <c r="D38" i="35"/>
  <c r="D71" i="35"/>
  <c r="C38" i="35"/>
  <c r="C71" i="35"/>
  <c r="F37" i="35"/>
  <c r="D37" i="35"/>
  <c r="K37" i="35"/>
  <c r="G37" i="35"/>
  <c r="C37" i="35"/>
  <c r="E37" i="35"/>
  <c r="L37" i="35"/>
  <c r="J37" i="35"/>
  <c r="H37" i="35"/>
  <c r="I37" i="35"/>
  <c r="N556" i="1"/>
  <c r="N555" i="1"/>
  <c r="N553" i="1"/>
  <c r="R187" i="1"/>
  <c r="R188" i="1"/>
  <c r="R189" i="1"/>
  <c r="R190" i="1"/>
  <c r="R191" i="1"/>
  <c r="R192" i="1"/>
  <c r="R193" i="1"/>
  <c r="R186" i="1"/>
  <c r="AB187" i="1"/>
  <c r="C17" i="9" s="1"/>
  <c r="S188" i="1"/>
  <c r="S189" i="1"/>
  <c r="AB190" i="1"/>
  <c r="C20" i="9" s="1"/>
  <c r="AB191" i="1"/>
  <c r="C21" i="9" s="1"/>
  <c r="S192" i="1"/>
  <c r="AB193" i="1"/>
  <c r="C23" i="9" s="1"/>
  <c r="S194" i="1"/>
  <c r="AB203" i="1"/>
  <c r="AB186" i="1"/>
  <c r="R558" i="1"/>
  <c r="Q558" i="1"/>
  <c r="R557" i="1"/>
  <c r="Q557" i="1"/>
  <c r="R556" i="1"/>
  <c r="Q556" i="1"/>
  <c r="R555" i="1"/>
  <c r="Q555" i="1"/>
  <c r="B553" i="1"/>
  <c r="D532" i="1"/>
  <c r="D530" i="1"/>
  <c r="C529" i="1"/>
  <c r="H523" i="1"/>
  <c r="D540" i="1" s="1"/>
  <c r="H435" i="1"/>
  <c r="D539" i="1" s="1"/>
  <c r="H425" i="1"/>
  <c r="D538" i="1" s="1"/>
  <c r="H412" i="1"/>
  <c r="D537" i="1" s="1"/>
  <c r="G394" i="1"/>
  <c r="C536" i="1" s="1"/>
  <c r="H335" i="1"/>
  <c r="D534" i="1" s="1"/>
  <c r="D295" i="1"/>
  <c r="G290" i="1"/>
  <c r="D276" i="1"/>
  <c r="H246" i="1" s="1"/>
  <c r="D531" i="1" s="1"/>
  <c r="BK216" i="1"/>
  <c r="BI216" i="1"/>
  <c r="BG216" i="1"/>
  <c r="BE216" i="1"/>
  <c r="BC216" i="1"/>
  <c r="BA216" i="1"/>
  <c r="AY216" i="1"/>
  <c r="AW216" i="1"/>
  <c r="AU216" i="1"/>
  <c r="AS216" i="1"/>
  <c r="AQ216" i="1"/>
  <c r="AB216" i="1"/>
  <c r="BL215" i="1"/>
  <c r="BJ215" i="1"/>
  <c r="BH215" i="1"/>
  <c r="BF215" i="1"/>
  <c r="BD215" i="1"/>
  <c r="BB215" i="1"/>
  <c r="AZ215" i="1"/>
  <c r="AX215" i="1"/>
  <c r="AV215" i="1"/>
  <c r="AT215" i="1"/>
  <c r="AR215" i="1"/>
  <c r="AN215" i="1"/>
  <c r="L32" i="35" s="1"/>
  <c r="AM215" i="1"/>
  <c r="K32" i="35" s="1"/>
  <c r="AL215" i="1"/>
  <c r="J32" i="35" s="1"/>
  <c r="AK215" i="1"/>
  <c r="I32" i="35" s="1"/>
  <c r="AJ215" i="1"/>
  <c r="H32" i="35" s="1"/>
  <c r="AI215" i="1"/>
  <c r="G32" i="35" s="1"/>
  <c r="AH215" i="1"/>
  <c r="F32" i="35" s="1"/>
  <c r="AG215" i="1"/>
  <c r="E32" i="35" s="1"/>
  <c r="AF215" i="1"/>
  <c r="D32" i="35" s="1"/>
  <c r="AE215" i="1"/>
  <c r="P215" i="1"/>
  <c r="Q215" i="1" s="1"/>
  <c r="O215" i="1"/>
  <c r="L215" i="1"/>
  <c r="H215" i="1"/>
  <c r="BL214" i="1"/>
  <c r="BJ214" i="1"/>
  <c r="BH214" i="1"/>
  <c r="BF214" i="1"/>
  <c r="BD214" i="1"/>
  <c r="BB214" i="1"/>
  <c r="AZ214" i="1"/>
  <c r="AX214" i="1"/>
  <c r="AV214" i="1"/>
  <c r="AT214" i="1"/>
  <c r="AR214" i="1"/>
  <c r="AN214" i="1"/>
  <c r="L31" i="35" s="1"/>
  <c r="AM214" i="1"/>
  <c r="K31" i="35" s="1"/>
  <c r="AL214" i="1"/>
  <c r="J31" i="35" s="1"/>
  <c r="AK214" i="1"/>
  <c r="I31" i="35" s="1"/>
  <c r="AJ214" i="1"/>
  <c r="H31" i="35" s="1"/>
  <c r="AI214" i="1"/>
  <c r="G31" i="35" s="1"/>
  <c r="AH214" i="1"/>
  <c r="F31" i="35" s="1"/>
  <c r="AG214" i="1"/>
  <c r="E31" i="35" s="1"/>
  <c r="AF214" i="1"/>
  <c r="D31" i="35" s="1"/>
  <c r="AE214" i="1"/>
  <c r="C31" i="35" s="1"/>
  <c r="P214" i="1"/>
  <c r="Q214" i="1" s="1"/>
  <c r="O214" i="1"/>
  <c r="L214" i="1"/>
  <c r="H214" i="1"/>
  <c r="BL213" i="1"/>
  <c r="BJ213" i="1"/>
  <c r="BH213" i="1"/>
  <c r="BF213" i="1"/>
  <c r="BD213" i="1"/>
  <c r="BB213" i="1"/>
  <c r="AZ213" i="1"/>
  <c r="AX213" i="1"/>
  <c r="AV213" i="1"/>
  <c r="AT213" i="1"/>
  <c r="AR213" i="1"/>
  <c r="AN213" i="1"/>
  <c r="L30" i="35" s="1"/>
  <c r="AM213" i="1"/>
  <c r="K30" i="35" s="1"/>
  <c r="AL213" i="1"/>
  <c r="J30" i="35" s="1"/>
  <c r="AK213" i="1"/>
  <c r="I30" i="35" s="1"/>
  <c r="AJ213" i="1"/>
  <c r="H30" i="35" s="1"/>
  <c r="AI213" i="1"/>
  <c r="G30" i="35" s="1"/>
  <c r="AH213" i="1"/>
  <c r="F30" i="35" s="1"/>
  <c r="AG213" i="1"/>
  <c r="E30" i="35" s="1"/>
  <c r="AF213" i="1"/>
  <c r="D30" i="35" s="1"/>
  <c r="AE213" i="1"/>
  <c r="C30" i="35" s="1"/>
  <c r="P213" i="1"/>
  <c r="Q213" i="1" s="1"/>
  <c r="O213" i="1"/>
  <c r="L213" i="1"/>
  <c r="H213" i="1"/>
  <c r="BL212" i="1"/>
  <c r="BJ212" i="1"/>
  <c r="BH212" i="1"/>
  <c r="BF212" i="1"/>
  <c r="BD212" i="1"/>
  <c r="BB212" i="1"/>
  <c r="AZ212" i="1"/>
  <c r="AX212" i="1"/>
  <c r="AV212" i="1"/>
  <c r="AT212" i="1"/>
  <c r="AR212" i="1"/>
  <c r="AN212" i="1"/>
  <c r="L29" i="35" s="1"/>
  <c r="AM212" i="1"/>
  <c r="K29" i="35" s="1"/>
  <c r="AL212" i="1"/>
  <c r="J29" i="35" s="1"/>
  <c r="AK212" i="1"/>
  <c r="I29" i="35" s="1"/>
  <c r="AJ212" i="1"/>
  <c r="H29" i="35" s="1"/>
  <c r="AI212" i="1"/>
  <c r="G29" i="35" s="1"/>
  <c r="AH212" i="1"/>
  <c r="F29" i="35" s="1"/>
  <c r="AG212" i="1"/>
  <c r="E29" i="35" s="1"/>
  <c r="AF212" i="1"/>
  <c r="D29" i="35" s="1"/>
  <c r="AE212" i="1"/>
  <c r="C29" i="35" s="1"/>
  <c r="P212" i="1"/>
  <c r="Q212" i="1" s="1"/>
  <c r="O212" i="1"/>
  <c r="L212" i="1"/>
  <c r="H212" i="1"/>
  <c r="BL211" i="1"/>
  <c r="BJ211" i="1"/>
  <c r="BH211" i="1"/>
  <c r="BF211" i="1"/>
  <c r="BD211" i="1"/>
  <c r="BB211" i="1"/>
  <c r="AZ211" i="1"/>
  <c r="AX211" i="1"/>
  <c r="AV211" i="1"/>
  <c r="AT211" i="1"/>
  <c r="AR211" i="1"/>
  <c r="AN211" i="1"/>
  <c r="L28" i="35" s="1"/>
  <c r="AM211" i="1"/>
  <c r="K28" i="35" s="1"/>
  <c r="AL211" i="1"/>
  <c r="J28" i="35" s="1"/>
  <c r="AK211" i="1"/>
  <c r="I28" i="35" s="1"/>
  <c r="AJ211" i="1"/>
  <c r="H28" i="35" s="1"/>
  <c r="AI211" i="1"/>
  <c r="G28" i="35" s="1"/>
  <c r="AH211" i="1"/>
  <c r="F28" i="35" s="1"/>
  <c r="AG211" i="1"/>
  <c r="E28" i="35" s="1"/>
  <c r="AF211" i="1"/>
  <c r="D28" i="35" s="1"/>
  <c r="AE211" i="1"/>
  <c r="C28" i="35" s="1"/>
  <c r="P211" i="1"/>
  <c r="Q211" i="1" s="1"/>
  <c r="O211" i="1"/>
  <c r="L211" i="1"/>
  <c r="H211" i="1"/>
  <c r="BL210" i="1"/>
  <c r="BJ210" i="1"/>
  <c r="BH210" i="1"/>
  <c r="BF210" i="1"/>
  <c r="BD210" i="1"/>
  <c r="BB210" i="1"/>
  <c r="AZ210" i="1"/>
  <c r="AX210" i="1"/>
  <c r="AV210" i="1"/>
  <c r="AT210" i="1"/>
  <c r="AR210" i="1"/>
  <c r="AN210" i="1"/>
  <c r="L27" i="35" s="1"/>
  <c r="AM210" i="1"/>
  <c r="K27" i="35" s="1"/>
  <c r="AL210" i="1"/>
  <c r="J27" i="35" s="1"/>
  <c r="AK210" i="1"/>
  <c r="I27" i="35" s="1"/>
  <c r="AJ210" i="1"/>
  <c r="H27" i="35" s="1"/>
  <c r="AI210" i="1"/>
  <c r="G27" i="35" s="1"/>
  <c r="AH210" i="1"/>
  <c r="F27" i="35" s="1"/>
  <c r="AG210" i="1"/>
  <c r="E27" i="35" s="1"/>
  <c r="AF210" i="1"/>
  <c r="D27" i="35" s="1"/>
  <c r="AE210" i="1"/>
  <c r="C27" i="35" s="1"/>
  <c r="P210" i="1"/>
  <c r="Q210" i="1" s="1"/>
  <c r="O210" i="1"/>
  <c r="L210" i="1"/>
  <c r="H210" i="1"/>
  <c r="BL209" i="1"/>
  <c r="BJ209" i="1"/>
  <c r="BH209" i="1"/>
  <c r="BF209" i="1"/>
  <c r="BD209" i="1"/>
  <c r="BB209" i="1"/>
  <c r="AZ209" i="1"/>
  <c r="AX209" i="1"/>
  <c r="AV209" i="1"/>
  <c r="AT209" i="1"/>
  <c r="AR209" i="1"/>
  <c r="AN209" i="1"/>
  <c r="L26" i="35" s="1"/>
  <c r="AM209" i="1"/>
  <c r="K26" i="35" s="1"/>
  <c r="AL209" i="1"/>
  <c r="J26" i="35" s="1"/>
  <c r="AK209" i="1"/>
  <c r="I26" i="35" s="1"/>
  <c r="AJ209" i="1"/>
  <c r="H26" i="35" s="1"/>
  <c r="AI209" i="1"/>
  <c r="G26" i="35" s="1"/>
  <c r="AH209" i="1"/>
  <c r="F26" i="35" s="1"/>
  <c r="AG209" i="1"/>
  <c r="E26" i="35" s="1"/>
  <c r="AF209" i="1"/>
  <c r="D26" i="35" s="1"/>
  <c r="AE209" i="1"/>
  <c r="C26" i="35" s="1"/>
  <c r="P209" i="1"/>
  <c r="Q209" i="1" s="1"/>
  <c r="O209" i="1"/>
  <c r="L209" i="1"/>
  <c r="H209" i="1"/>
  <c r="BL208" i="1"/>
  <c r="BJ208" i="1"/>
  <c r="BH208" i="1"/>
  <c r="BF208" i="1"/>
  <c r="BD208" i="1"/>
  <c r="BB208" i="1"/>
  <c r="AZ208" i="1"/>
  <c r="AX208" i="1"/>
  <c r="AV208" i="1"/>
  <c r="AT208" i="1"/>
  <c r="AR208" i="1"/>
  <c r="AN208" i="1"/>
  <c r="L25" i="35" s="1"/>
  <c r="AM208" i="1"/>
  <c r="K25" i="35" s="1"/>
  <c r="AL208" i="1"/>
  <c r="J25" i="35" s="1"/>
  <c r="AK208" i="1"/>
  <c r="I25" i="35" s="1"/>
  <c r="AJ208" i="1"/>
  <c r="H25" i="35" s="1"/>
  <c r="AI208" i="1"/>
  <c r="G25" i="35" s="1"/>
  <c r="AH208" i="1"/>
  <c r="F25" i="35" s="1"/>
  <c r="AG208" i="1"/>
  <c r="E25" i="35" s="1"/>
  <c r="AF208" i="1"/>
  <c r="D25" i="35" s="1"/>
  <c r="AE208" i="1"/>
  <c r="C25" i="35" s="1"/>
  <c r="P208" i="1"/>
  <c r="Q208" i="1" s="1"/>
  <c r="O208" i="1"/>
  <c r="L208" i="1"/>
  <c r="H208" i="1"/>
  <c r="BL207" i="1"/>
  <c r="BJ207" i="1"/>
  <c r="BH207" i="1"/>
  <c r="BF207" i="1"/>
  <c r="BD207" i="1"/>
  <c r="BB207" i="1"/>
  <c r="AZ207" i="1"/>
  <c r="AX207" i="1"/>
  <c r="AV207" i="1"/>
  <c r="AT207" i="1"/>
  <c r="AR207" i="1"/>
  <c r="AN207" i="1"/>
  <c r="L24" i="35" s="1"/>
  <c r="AM207" i="1"/>
  <c r="K24" i="35" s="1"/>
  <c r="AL207" i="1"/>
  <c r="J24" i="35" s="1"/>
  <c r="AK207" i="1"/>
  <c r="I24" i="35" s="1"/>
  <c r="AJ207" i="1"/>
  <c r="H24" i="35" s="1"/>
  <c r="AI207" i="1"/>
  <c r="G24" i="35" s="1"/>
  <c r="AH207" i="1"/>
  <c r="F24" i="35" s="1"/>
  <c r="AG207" i="1"/>
  <c r="E24" i="35" s="1"/>
  <c r="AF207" i="1"/>
  <c r="D24" i="35" s="1"/>
  <c r="AE207" i="1"/>
  <c r="C24" i="35" s="1"/>
  <c r="P207" i="1"/>
  <c r="Q207" i="1" s="1"/>
  <c r="O207" i="1"/>
  <c r="L207" i="1"/>
  <c r="H207" i="1"/>
  <c r="BL206" i="1"/>
  <c r="BJ206" i="1"/>
  <c r="BH206" i="1"/>
  <c r="BF206" i="1"/>
  <c r="BD206" i="1"/>
  <c r="BB206" i="1"/>
  <c r="AZ206" i="1"/>
  <c r="AX206" i="1"/>
  <c r="AV206" i="1"/>
  <c r="AT206" i="1"/>
  <c r="AR206" i="1"/>
  <c r="AN206" i="1"/>
  <c r="L23" i="35" s="1"/>
  <c r="AM206" i="1"/>
  <c r="K23" i="35" s="1"/>
  <c r="AL206" i="1"/>
  <c r="J23" i="35" s="1"/>
  <c r="AK206" i="1"/>
  <c r="I23" i="35" s="1"/>
  <c r="AJ206" i="1"/>
  <c r="H23" i="35" s="1"/>
  <c r="AI206" i="1"/>
  <c r="G23" i="35" s="1"/>
  <c r="AH206" i="1"/>
  <c r="F23" i="35" s="1"/>
  <c r="AG206" i="1"/>
  <c r="E23" i="35" s="1"/>
  <c r="AF206" i="1"/>
  <c r="D23" i="35" s="1"/>
  <c r="AE206" i="1"/>
  <c r="C23" i="35" s="1"/>
  <c r="P206" i="1"/>
  <c r="Q206" i="1" s="1"/>
  <c r="O206" i="1"/>
  <c r="L206" i="1"/>
  <c r="H206" i="1"/>
  <c r="BL205" i="1"/>
  <c r="BJ205" i="1"/>
  <c r="BH205" i="1"/>
  <c r="BF205" i="1"/>
  <c r="BD205" i="1"/>
  <c r="BB205" i="1"/>
  <c r="AZ205" i="1"/>
  <c r="AX205" i="1"/>
  <c r="AV205" i="1"/>
  <c r="AT205" i="1"/>
  <c r="AR205" i="1"/>
  <c r="AN205" i="1"/>
  <c r="L22" i="35" s="1"/>
  <c r="AM205" i="1"/>
  <c r="K22" i="35" s="1"/>
  <c r="AL205" i="1"/>
  <c r="J22" i="35" s="1"/>
  <c r="AK205" i="1"/>
  <c r="I22" i="35" s="1"/>
  <c r="AJ205" i="1"/>
  <c r="H22" i="35" s="1"/>
  <c r="AI205" i="1"/>
  <c r="G22" i="35" s="1"/>
  <c r="AH205" i="1"/>
  <c r="F22" i="35" s="1"/>
  <c r="AG205" i="1"/>
  <c r="E22" i="35" s="1"/>
  <c r="AF205" i="1"/>
  <c r="D22" i="35" s="1"/>
  <c r="AE205" i="1"/>
  <c r="C22" i="35" s="1"/>
  <c r="P205" i="1"/>
  <c r="Q205" i="1" s="1"/>
  <c r="O205" i="1"/>
  <c r="L205" i="1"/>
  <c r="H205" i="1"/>
  <c r="BL204" i="1"/>
  <c r="BJ204" i="1"/>
  <c r="BH204" i="1"/>
  <c r="BF204" i="1"/>
  <c r="BD204" i="1"/>
  <c r="BB204" i="1"/>
  <c r="AZ204" i="1"/>
  <c r="AX204" i="1"/>
  <c r="AV204" i="1"/>
  <c r="AT204" i="1"/>
  <c r="AR204" i="1"/>
  <c r="AN204" i="1"/>
  <c r="L21" i="35" s="1"/>
  <c r="AM204" i="1"/>
  <c r="K21" i="35" s="1"/>
  <c r="AL204" i="1"/>
  <c r="J21" i="35" s="1"/>
  <c r="AK204" i="1"/>
  <c r="I21" i="35" s="1"/>
  <c r="AJ204" i="1"/>
  <c r="H21" i="35" s="1"/>
  <c r="AI204" i="1"/>
  <c r="G21" i="35" s="1"/>
  <c r="AH204" i="1"/>
  <c r="F21" i="35" s="1"/>
  <c r="AG204" i="1"/>
  <c r="E21" i="35" s="1"/>
  <c r="AF204" i="1"/>
  <c r="D21" i="35" s="1"/>
  <c r="AE204" i="1"/>
  <c r="C21" i="35" s="1"/>
  <c r="P204" i="1"/>
  <c r="Q204" i="1" s="1"/>
  <c r="O204" i="1"/>
  <c r="L204" i="1"/>
  <c r="H204" i="1"/>
  <c r="BL203" i="1"/>
  <c r="BJ203" i="1"/>
  <c r="BH203" i="1"/>
  <c r="BF203" i="1"/>
  <c r="BD203" i="1"/>
  <c r="BB203" i="1"/>
  <c r="AZ203" i="1"/>
  <c r="AX203" i="1"/>
  <c r="AV203" i="1"/>
  <c r="AT203" i="1"/>
  <c r="AR203" i="1"/>
  <c r="AN203" i="1"/>
  <c r="L20" i="35" s="1"/>
  <c r="AM203" i="1"/>
  <c r="K20" i="35" s="1"/>
  <c r="AL203" i="1"/>
  <c r="J20" i="35" s="1"/>
  <c r="AK203" i="1"/>
  <c r="I20" i="35" s="1"/>
  <c r="AJ203" i="1"/>
  <c r="H20" i="35" s="1"/>
  <c r="AI203" i="1"/>
  <c r="G20" i="35" s="1"/>
  <c r="AH203" i="1"/>
  <c r="F20" i="35" s="1"/>
  <c r="AG203" i="1"/>
  <c r="E20" i="35" s="1"/>
  <c r="AF203" i="1"/>
  <c r="D20" i="35" s="1"/>
  <c r="AE203" i="1"/>
  <c r="C20" i="35" s="1"/>
  <c r="P203" i="1"/>
  <c r="Q203" i="1" s="1"/>
  <c r="O203" i="1"/>
  <c r="L203" i="1"/>
  <c r="H203" i="1"/>
  <c r="BL202" i="1"/>
  <c r="BJ202" i="1"/>
  <c r="BH202" i="1"/>
  <c r="BF202" i="1"/>
  <c r="BD202" i="1"/>
  <c r="BB202" i="1"/>
  <c r="AZ202" i="1"/>
  <c r="AX202" i="1"/>
  <c r="AV202" i="1"/>
  <c r="AT202" i="1"/>
  <c r="AR202" i="1"/>
  <c r="AN202" i="1"/>
  <c r="L19" i="35" s="1"/>
  <c r="AM202" i="1"/>
  <c r="K19" i="35" s="1"/>
  <c r="AL202" i="1"/>
  <c r="J19" i="35" s="1"/>
  <c r="AK202" i="1"/>
  <c r="I19" i="35" s="1"/>
  <c r="AJ202" i="1"/>
  <c r="H19" i="35" s="1"/>
  <c r="AI202" i="1"/>
  <c r="G19" i="35" s="1"/>
  <c r="AH202" i="1"/>
  <c r="F19" i="35" s="1"/>
  <c r="AG202" i="1"/>
  <c r="E19" i="35" s="1"/>
  <c r="AF202" i="1"/>
  <c r="D19" i="35" s="1"/>
  <c r="AE202" i="1"/>
  <c r="C19" i="35" s="1"/>
  <c r="P202" i="1"/>
  <c r="Q202" i="1" s="1"/>
  <c r="O202" i="1"/>
  <c r="L202" i="1"/>
  <c r="H202" i="1"/>
  <c r="BL201" i="1"/>
  <c r="BJ201" i="1"/>
  <c r="BH201" i="1"/>
  <c r="BF201" i="1"/>
  <c r="BD201" i="1"/>
  <c r="BB201" i="1"/>
  <c r="AZ201" i="1"/>
  <c r="AX201" i="1"/>
  <c r="AV201" i="1"/>
  <c r="AT201" i="1"/>
  <c r="AR201" i="1"/>
  <c r="AN201" i="1"/>
  <c r="L18" i="35" s="1"/>
  <c r="AM201" i="1"/>
  <c r="K18" i="35" s="1"/>
  <c r="AL201" i="1"/>
  <c r="J18" i="35" s="1"/>
  <c r="AK201" i="1"/>
  <c r="I18" i="35" s="1"/>
  <c r="AJ201" i="1"/>
  <c r="H18" i="35" s="1"/>
  <c r="AI201" i="1"/>
  <c r="G18" i="35" s="1"/>
  <c r="AH201" i="1"/>
  <c r="F18" i="35" s="1"/>
  <c r="AG201" i="1"/>
  <c r="E18" i="35" s="1"/>
  <c r="AF201" i="1"/>
  <c r="D18" i="35" s="1"/>
  <c r="AE201" i="1"/>
  <c r="C18" i="35" s="1"/>
  <c r="P201" i="1"/>
  <c r="Q201" i="1" s="1"/>
  <c r="O201" i="1"/>
  <c r="L201" i="1"/>
  <c r="H201" i="1"/>
  <c r="BL200" i="1"/>
  <c r="BJ200" i="1"/>
  <c r="BH200" i="1"/>
  <c r="BF200" i="1"/>
  <c r="BD200" i="1"/>
  <c r="BB200" i="1"/>
  <c r="AZ200" i="1"/>
  <c r="AX200" i="1"/>
  <c r="AV200" i="1"/>
  <c r="AT200" i="1"/>
  <c r="AR200" i="1"/>
  <c r="AN200" i="1"/>
  <c r="L17" i="35" s="1"/>
  <c r="AM200" i="1"/>
  <c r="K17" i="35" s="1"/>
  <c r="AL200" i="1"/>
  <c r="J17" i="35" s="1"/>
  <c r="AK200" i="1"/>
  <c r="I17" i="35" s="1"/>
  <c r="AJ200" i="1"/>
  <c r="H17" i="35" s="1"/>
  <c r="AI200" i="1"/>
  <c r="G17" i="35" s="1"/>
  <c r="AH200" i="1"/>
  <c r="F17" i="35" s="1"/>
  <c r="AG200" i="1"/>
  <c r="E17" i="35" s="1"/>
  <c r="AF200" i="1"/>
  <c r="D17" i="35" s="1"/>
  <c r="AE200" i="1"/>
  <c r="C17" i="35" s="1"/>
  <c r="BL199" i="1"/>
  <c r="BJ199" i="1"/>
  <c r="BH199" i="1"/>
  <c r="BF199" i="1"/>
  <c r="BD199" i="1"/>
  <c r="BB199" i="1"/>
  <c r="AZ199" i="1"/>
  <c r="AX199" i="1"/>
  <c r="AV199" i="1"/>
  <c r="AT199" i="1"/>
  <c r="AR199" i="1"/>
  <c r="AN199" i="1"/>
  <c r="L16" i="35" s="1"/>
  <c r="AM199" i="1"/>
  <c r="K16" i="35" s="1"/>
  <c r="AL199" i="1"/>
  <c r="J16" i="35" s="1"/>
  <c r="AK199" i="1"/>
  <c r="I16" i="35" s="1"/>
  <c r="AJ199" i="1"/>
  <c r="H16" i="35" s="1"/>
  <c r="AI199" i="1"/>
  <c r="G16" i="35" s="1"/>
  <c r="AH199" i="1"/>
  <c r="F16" i="35" s="1"/>
  <c r="AG199" i="1"/>
  <c r="E16" i="35" s="1"/>
  <c r="AF199" i="1"/>
  <c r="D16" i="35" s="1"/>
  <c r="AE199" i="1"/>
  <c r="C16" i="35" s="1"/>
  <c r="BL198" i="1"/>
  <c r="BJ198" i="1"/>
  <c r="BH198" i="1"/>
  <c r="BF198" i="1"/>
  <c r="BD198" i="1"/>
  <c r="BB198" i="1"/>
  <c r="AZ198" i="1"/>
  <c r="AX198" i="1"/>
  <c r="AV198" i="1"/>
  <c r="AT198" i="1"/>
  <c r="AR198" i="1"/>
  <c r="AN198" i="1"/>
  <c r="L15" i="35" s="1"/>
  <c r="AM198" i="1"/>
  <c r="K15" i="35" s="1"/>
  <c r="AL198" i="1"/>
  <c r="J15" i="35" s="1"/>
  <c r="AK198" i="1"/>
  <c r="I15" i="35" s="1"/>
  <c r="AJ198" i="1"/>
  <c r="H15" i="35" s="1"/>
  <c r="AI198" i="1"/>
  <c r="G15" i="35" s="1"/>
  <c r="AH198" i="1"/>
  <c r="F15" i="35" s="1"/>
  <c r="AG198" i="1"/>
  <c r="E15" i="35" s="1"/>
  <c r="AF198" i="1"/>
  <c r="D15" i="35" s="1"/>
  <c r="AE198" i="1"/>
  <c r="C15" i="35" s="1"/>
  <c r="BL197" i="1"/>
  <c r="BJ197" i="1"/>
  <c r="BH197" i="1"/>
  <c r="BF197" i="1"/>
  <c r="BD197" i="1"/>
  <c r="BB197" i="1"/>
  <c r="AZ197" i="1"/>
  <c r="AX197" i="1"/>
  <c r="AV197" i="1"/>
  <c r="AT197" i="1"/>
  <c r="AR197" i="1"/>
  <c r="AN197" i="1"/>
  <c r="L14" i="35" s="1"/>
  <c r="AM197" i="1"/>
  <c r="K14" i="35" s="1"/>
  <c r="AL197" i="1"/>
  <c r="J14" i="35" s="1"/>
  <c r="AK197" i="1"/>
  <c r="I14" i="35" s="1"/>
  <c r="AJ197" i="1"/>
  <c r="H14" i="35" s="1"/>
  <c r="AI197" i="1"/>
  <c r="G14" i="35" s="1"/>
  <c r="AH197" i="1"/>
  <c r="F14" i="35" s="1"/>
  <c r="AG197" i="1"/>
  <c r="E14" i="35" s="1"/>
  <c r="AF197" i="1"/>
  <c r="D14" i="35" s="1"/>
  <c r="AE197" i="1"/>
  <c r="C14" i="35" s="1"/>
  <c r="H197" i="1"/>
  <c r="BL196" i="1"/>
  <c r="BJ196" i="1"/>
  <c r="BH196" i="1"/>
  <c r="BF196" i="1"/>
  <c r="BD196" i="1"/>
  <c r="BB196" i="1"/>
  <c r="AZ196" i="1"/>
  <c r="AX196" i="1"/>
  <c r="AV196" i="1"/>
  <c r="AT196" i="1"/>
  <c r="AR196" i="1"/>
  <c r="AN196" i="1"/>
  <c r="L13" i="35" s="1"/>
  <c r="AM196" i="1"/>
  <c r="K13" i="35" s="1"/>
  <c r="AL196" i="1"/>
  <c r="J13" i="35" s="1"/>
  <c r="AK196" i="1"/>
  <c r="I13" i="35" s="1"/>
  <c r="AJ196" i="1"/>
  <c r="H13" i="35" s="1"/>
  <c r="AI196" i="1"/>
  <c r="G13" i="35" s="1"/>
  <c r="AH196" i="1"/>
  <c r="F13" i="35" s="1"/>
  <c r="AG196" i="1"/>
  <c r="E13" i="35" s="1"/>
  <c r="AF196" i="1"/>
  <c r="D13" i="35" s="1"/>
  <c r="AE196" i="1"/>
  <c r="C13" i="35" s="1"/>
  <c r="H196" i="1"/>
  <c r="BL195" i="1"/>
  <c r="BJ195" i="1"/>
  <c r="BH195" i="1"/>
  <c r="BF195" i="1"/>
  <c r="BD195" i="1"/>
  <c r="BB195" i="1"/>
  <c r="AZ195" i="1"/>
  <c r="AX195" i="1"/>
  <c r="AV195" i="1"/>
  <c r="AT195" i="1"/>
  <c r="AR195" i="1"/>
  <c r="AN195" i="1"/>
  <c r="L12" i="35" s="1"/>
  <c r="AM195" i="1"/>
  <c r="K12" i="35" s="1"/>
  <c r="AL195" i="1"/>
  <c r="J12" i="35" s="1"/>
  <c r="AK195" i="1"/>
  <c r="I12" i="35" s="1"/>
  <c r="AJ195" i="1"/>
  <c r="H12" i="35" s="1"/>
  <c r="AI195" i="1"/>
  <c r="G12" i="35" s="1"/>
  <c r="AH195" i="1"/>
  <c r="F12" i="35" s="1"/>
  <c r="AG195" i="1"/>
  <c r="E12" i="35" s="1"/>
  <c r="AF195" i="1"/>
  <c r="D12" i="35" s="1"/>
  <c r="AE195" i="1"/>
  <c r="C12" i="35" s="1"/>
  <c r="H195" i="1"/>
  <c r="BL194" i="1"/>
  <c r="BJ194" i="1"/>
  <c r="BH194" i="1"/>
  <c r="BF194" i="1"/>
  <c r="BD194" i="1"/>
  <c r="BB194" i="1"/>
  <c r="AZ194" i="1"/>
  <c r="AX194" i="1"/>
  <c r="AV194" i="1"/>
  <c r="AT194" i="1"/>
  <c r="AR194" i="1"/>
  <c r="AN194" i="1"/>
  <c r="L11" i="35" s="1"/>
  <c r="AM194" i="1"/>
  <c r="K11" i="35" s="1"/>
  <c r="AL194" i="1"/>
  <c r="J11" i="35" s="1"/>
  <c r="AK194" i="1"/>
  <c r="I11" i="35" s="1"/>
  <c r="AJ194" i="1"/>
  <c r="H11" i="35" s="1"/>
  <c r="AI194" i="1"/>
  <c r="G11" i="35" s="1"/>
  <c r="AH194" i="1"/>
  <c r="F11" i="35" s="1"/>
  <c r="AG194" i="1"/>
  <c r="E11" i="35" s="1"/>
  <c r="AF194" i="1"/>
  <c r="D11" i="35" s="1"/>
  <c r="AE194" i="1"/>
  <c r="C11" i="35" s="1"/>
  <c r="H194" i="1"/>
  <c r="BL193" i="1"/>
  <c r="BJ193" i="1"/>
  <c r="BH193" i="1"/>
  <c r="BF193" i="1"/>
  <c r="BD193" i="1"/>
  <c r="BB193" i="1"/>
  <c r="AZ193" i="1"/>
  <c r="AX193" i="1"/>
  <c r="AV193" i="1"/>
  <c r="AT193" i="1"/>
  <c r="AR193" i="1"/>
  <c r="AN193" i="1"/>
  <c r="L10" i="35" s="1"/>
  <c r="AM193" i="1"/>
  <c r="K10" i="35" s="1"/>
  <c r="AL193" i="1"/>
  <c r="J10" i="35" s="1"/>
  <c r="AK193" i="1"/>
  <c r="I10" i="35" s="1"/>
  <c r="AJ193" i="1"/>
  <c r="H10" i="35" s="1"/>
  <c r="AI193" i="1"/>
  <c r="G10" i="35" s="1"/>
  <c r="AH193" i="1"/>
  <c r="F10" i="35" s="1"/>
  <c r="AG193" i="1"/>
  <c r="E10" i="35" s="1"/>
  <c r="AF193" i="1"/>
  <c r="D10" i="35" s="1"/>
  <c r="AE193" i="1"/>
  <c r="C10" i="35" s="1"/>
  <c r="H193" i="1"/>
  <c r="BL192" i="1"/>
  <c r="BJ192" i="1"/>
  <c r="BH192" i="1"/>
  <c r="BF192" i="1"/>
  <c r="BD192" i="1"/>
  <c r="BB192" i="1"/>
  <c r="AZ192" i="1"/>
  <c r="AX192" i="1"/>
  <c r="AV192" i="1"/>
  <c r="AT192" i="1"/>
  <c r="AR192" i="1"/>
  <c r="AN192" i="1"/>
  <c r="L9" i="35" s="1"/>
  <c r="AM192" i="1"/>
  <c r="K9" i="35" s="1"/>
  <c r="AL192" i="1"/>
  <c r="J9" i="35" s="1"/>
  <c r="AK192" i="1"/>
  <c r="I9" i="35" s="1"/>
  <c r="AJ192" i="1"/>
  <c r="H9" i="35" s="1"/>
  <c r="AI192" i="1"/>
  <c r="G9" i="35" s="1"/>
  <c r="AH192" i="1"/>
  <c r="F9" i="35" s="1"/>
  <c r="AG192" i="1"/>
  <c r="E9" i="35" s="1"/>
  <c r="AF192" i="1"/>
  <c r="D9" i="35" s="1"/>
  <c r="AE192" i="1"/>
  <c r="C9" i="35" s="1"/>
  <c r="H192" i="1"/>
  <c r="BL191" i="1"/>
  <c r="BJ191" i="1"/>
  <c r="BH191" i="1"/>
  <c r="BF191" i="1"/>
  <c r="BD191" i="1"/>
  <c r="BB191" i="1"/>
  <c r="AZ191" i="1"/>
  <c r="AX191" i="1"/>
  <c r="AV191" i="1"/>
  <c r="AT191" i="1"/>
  <c r="AR191" i="1"/>
  <c r="AN191" i="1"/>
  <c r="L8" i="35" s="1"/>
  <c r="AM191" i="1"/>
  <c r="K8" i="35" s="1"/>
  <c r="AL191" i="1"/>
  <c r="J8" i="35" s="1"/>
  <c r="AK191" i="1"/>
  <c r="I8" i="35" s="1"/>
  <c r="AJ191" i="1"/>
  <c r="H8" i="35" s="1"/>
  <c r="AI191" i="1"/>
  <c r="G8" i="35" s="1"/>
  <c r="AH191" i="1"/>
  <c r="F8" i="35" s="1"/>
  <c r="AG191" i="1"/>
  <c r="E8" i="35" s="1"/>
  <c r="AF191" i="1"/>
  <c r="D8" i="35" s="1"/>
  <c r="AE191" i="1"/>
  <c r="C8" i="35" s="1"/>
  <c r="H191" i="1"/>
  <c r="BL190" i="1"/>
  <c r="BJ190" i="1"/>
  <c r="BH190" i="1"/>
  <c r="BF190" i="1"/>
  <c r="BD190" i="1"/>
  <c r="BB190" i="1"/>
  <c r="AZ190" i="1"/>
  <c r="AX190" i="1"/>
  <c r="AV190" i="1"/>
  <c r="AT190" i="1"/>
  <c r="AR190" i="1"/>
  <c r="AN190" i="1"/>
  <c r="L7" i="35" s="1"/>
  <c r="AM190" i="1"/>
  <c r="K7" i="35" s="1"/>
  <c r="AL190" i="1"/>
  <c r="J7" i="35" s="1"/>
  <c r="AK190" i="1"/>
  <c r="I7" i="35" s="1"/>
  <c r="AJ190" i="1"/>
  <c r="H7" i="35" s="1"/>
  <c r="AI190" i="1"/>
  <c r="G7" i="35" s="1"/>
  <c r="AH190" i="1"/>
  <c r="F7" i="35" s="1"/>
  <c r="AG190" i="1"/>
  <c r="E7" i="35" s="1"/>
  <c r="AF190" i="1"/>
  <c r="D7" i="35" s="1"/>
  <c r="AE190" i="1"/>
  <c r="C7" i="35" s="1"/>
  <c r="H190" i="1"/>
  <c r="BL189" i="1"/>
  <c r="BJ189" i="1"/>
  <c r="BH189" i="1"/>
  <c r="BF189" i="1"/>
  <c r="BD189" i="1"/>
  <c r="BB189" i="1"/>
  <c r="AZ189" i="1"/>
  <c r="AX189" i="1"/>
  <c r="AV189" i="1"/>
  <c r="AT189" i="1"/>
  <c r="AR189" i="1"/>
  <c r="AN189" i="1"/>
  <c r="L6" i="35" s="1"/>
  <c r="AM189" i="1"/>
  <c r="K6" i="35" s="1"/>
  <c r="AL189" i="1"/>
  <c r="J6" i="35" s="1"/>
  <c r="AK189" i="1"/>
  <c r="I6" i="35" s="1"/>
  <c r="AJ189" i="1"/>
  <c r="H6" i="35" s="1"/>
  <c r="AI189" i="1"/>
  <c r="G6" i="35" s="1"/>
  <c r="AH189" i="1"/>
  <c r="F6" i="35" s="1"/>
  <c r="AG189" i="1"/>
  <c r="E6" i="35" s="1"/>
  <c r="AF189" i="1"/>
  <c r="D6" i="35" s="1"/>
  <c r="AE189" i="1"/>
  <c r="C6" i="35" s="1"/>
  <c r="H189" i="1"/>
  <c r="BL188" i="1"/>
  <c r="BJ188" i="1"/>
  <c r="BH188" i="1"/>
  <c r="BF188" i="1"/>
  <c r="BD188" i="1"/>
  <c r="BB188" i="1"/>
  <c r="AZ188" i="1"/>
  <c r="AX188" i="1"/>
  <c r="AV188" i="1"/>
  <c r="AT188" i="1"/>
  <c r="AR188" i="1"/>
  <c r="AN188" i="1"/>
  <c r="L5" i="35" s="1"/>
  <c r="AM188" i="1"/>
  <c r="K5" i="35" s="1"/>
  <c r="AL188" i="1"/>
  <c r="J5" i="35" s="1"/>
  <c r="AK188" i="1"/>
  <c r="I5" i="35" s="1"/>
  <c r="AJ188" i="1"/>
  <c r="H5" i="35" s="1"/>
  <c r="AI188" i="1"/>
  <c r="G5" i="35" s="1"/>
  <c r="AH188" i="1"/>
  <c r="F5" i="35" s="1"/>
  <c r="AG188" i="1"/>
  <c r="E5" i="35" s="1"/>
  <c r="AF188" i="1"/>
  <c r="D5" i="35" s="1"/>
  <c r="AE188" i="1"/>
  <c r="C5" i="35" s="1"/>
  <c r="H188" i="1"/>
  <c r="BL187" i="1"/>
  <c r="BJ187" i="1"/>
  <c r="BH187" i="1"/>
  <c r="BF187" i="1"/>
  <c r="BD187" i="1"/>
  <c r="BB187" i="1"/>
  <c r="AZ187" i="1"/>
  <c r="AX187" i="1"/>
  <c r="AV187" i="1"/>
  <c r="AT187" i="1"/>
  <c r="AR187" i="1"/>
  <c r="AN187" i="1"/>
  <c r="L4" i="35" s="1"/>
  <c r="AM187" i="1"/>
  <c r="K4" i="35" s="1"/>
  <c r="AL187" i="1"/>
  <c r="J4" i="35" s="1"/>
  <c r="AK187" i="1"/>
  <c r="I4" i="35" s="1"/>
  <c r="AJ187" i="1"/>
  <c r="H4" i="35" s="1"/>
  <c r="AI187" i="1"/>
  <c r="G4" i="35" s="1"/>
  <c r="AH187" i="1"/>
  <c r="F4" i="35" s="1"/>
  <c r="AG187" i="1"/>
  <c r="E4" i="35" s="1"/>
  <c r="AF187" i="1"/>
  <c r="D4" i="35" s="1"/>
  <c r="AE187" i="1"/>
  <c r="C4" i="35" s="1"/>
  <c r="H187" i="1"/>
  <c r="BL186" i="1"/>
  <c r="BJ186" i="1"/>
  <c r="BH186" i="1"/>
  <c r="BF186" i="1"/>
  <c r="BD186" i="1"/>
  <c r="BB186" i="1"/>
  <c r="AZ186" i="1"/>
  <c r="AX186" i="1"/>
  <c r="AV186" i="1"/>
  <c r="AT186" i="1"/>
  <c r="AR186" i="1"/>
  <c r="AN186" i="1"/>
  <c r="L3" i="35" s="1"/>
  <c r="AM186" i="1"/>
  <c r="K3" i="35" s="1"/>
  <c r="AL186" i="1"/>
  <c r="J3" i="35" s="1"/>
  <c r="AK186" i="1"/>
  <c r="I3" i="35" s="1"/>
  <c r="AJ186" i="1"/>
  <c r="H3" i="35" s="1"/>
  <c r="AI186" i="1"/>
  <c r="G3" i="35" s="1"/>
  <c r="AH186" i="1"/>
  <c r="F3" i="35" s="1"/>
  <c r="AG186" i="1"/>
  <c r="E3" i="35" s="1"/>
  <c r="AF186" i="1"/>
  <c r="D3" i="35" s="1"/>
  <c r="AE186" i="1"/>
  <c r="C3" i="35" s="1"/>
  <c r="G70" i="35"/>
  <c r="AO185" i="1"/>
  <c r="AP185" i="1" s="1"/>
  <c r="O185" i="1"/>
  <c r="F185" i="1"/>
  <c r="J184" i="1"/>
  <c r="F184" i="1"/>
  <c r="E176" i="1"/>
  <c r="Q165" i="1"/>
  <c r="Q164" i="1" s="1"/>
  <c r="M165" i="1"/>
  <c r="N164" i="1"/>
  <c r="D161" i="1"/>
  <c r="E158" i="1"/>
  <c r="E153" i="1"/>
  <c r="L191" i="1" s="1"/>
  <c r="E137" i="1"/>
  <c r="G135" i="1"/>
  <c r="F135" i="1"/>
  <c r="E130" i="1"/>
  <c r="E168" i="1" s="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194" i="1" l="1"/>
  <c r="L193" i="1"/>
  <c r="L192" i="1"/>
  <c r="L200" i="1"/>
  <c r="O200" i="1" s="1"/>
  <c r="P200" i="1" s="1"/>
  <c r="Q200" i="1" s="1"/>
  <c r="L199" i="1"/>
  <c r="O199" i="1" s="1"/>
  <c r="P199" i="1" s="1"/>
  <c r="Q199" i="1" s="1"/>
  <c r="L198" i="1"/>
  <c r="O198" i="1" s="1"/>
  <c r="P198" i="1" s="1"/>
  <c r="L186" i="1"/>
  <c r="L190" i="1"/>
  <c r="L189" i="1"/>
  <c r="L197" i="1"/>
  <c r="L188" i="1"/>
  <c r="L196" i="1"/>
  <c r="L187" i="1"/>
  <c r="L195" i="1"/>
  <c r="Q184" i="1"/>
  <c r="Q198" i="1"/>
  <c r="O212" i="9" s="1"/>
  <c r="O264" i="9"/>
  <c r="E138" i="1"/>
  <c r="D241" i="9"/>
  <c r="D226" i="9"/>
  <c r="D239" i="9"/>
  <c r="D235" i="9"/>
  <c r="D205" i="9"/>
  <c r="D249" i="9"/>
  <c r="D228" i="9"/>
  <c r="D245" i="9"/>
  <c r="D236" i="9"/>
  <c r="D227" i="9"/>
  <c r="D244" i="9"/>
  <c r="D231" i="9"/>
  <c r="D230" i="9"/>
  <c r="D203" i="9"/>
  <c r="D247" i="9"/>
  <c r="D248" i="9"/>
  <c r="D232" i="9"/>
  <c r="D206" i="9"/>
  <c r="D240" i="9"/>
  <c r="D242" i="9"/>
  <c r="A199" i="9"/>
  <c r="D210" i="9"/>
  <c r="D204" i="9"/>
  <c r="D208" i="9"/>
  <c r="D202" i="9"/>
  <c r="A225" i="9"/>
  <c r="D200" i="9"/>
  <c r="D234" i="9"/>
  <c r="D209" i="9"/>
  <c r="D243" i="9"/>
  <c r="D229" i="9"/>
  <c r="D201" i="9"/>
  <c r="A238" i="9"/>
  <c r="D257" i="9"/>
  <c r="D256" i="9"/>
  <c r="D252" i="9"/>
  <c r="D271" i="9"/>
  <c r="D262" i="9"/>
  <c r="A251" i="9"/>
  <c r="D267" i="9"/>
  <c r="D274" i="9"/>
  <c r="D254" i="9"/>
  <c r="D258" i="9"/>
  <c r="D261" i="9"/>
  <c r="A264" i="9"/>
  <c r="D268" i="9"/>
  <c r="D260" i="9"/>
  <c r="D275" i="9"/>
  <c r="D269" i="9"/>
  <c r="D253" i="9"/>
  <c r="D270" i="9"/>
  <c r="D273" i="9"/>
  <c r="D265" i="9"/>
  <c r="D266" i="9"/>
  <c r="D255" i="9"/>
  <c r="S186" i="1"/>
  <c r="U186" i="1" s="1"/>
  <c r="H553" i="1"/>
  <c r="D222" i="9"/>
  <c r="D214" i="9"/>
  <c r="D218" i="9"/>
  <c r="D213" i="9"/>
  <c r="D217" i="9"/>
  <c r="A212" i="9"/>
  <c r="D219" i="9"/>
  <c r="D216" i="9"/>
  <c r="D221" i="9"/>
  <c r="D223" i="9"/>
  <c r="D215" i="9"/>
  <c r="L165" i="1"/>
  <c r="S191" i="1"/>
  <c r="M164" i="1"/>
  <c r="I84" i="35"/>
  <c r="I51" i="35"/>
  <c r="I58" i="35"/>
  <c r="I91" i="35"/>
  <c r="AB213" i="1"/>
  <c r="F97" i="35"/>
  <c r="F64" i="35"/>
  <c r="AB201" i="1"/>
  <c r="C31" i="9" s="1"/>
  <c r="F85" i="35"/>
  <c r="F52" i="35"/>
  <c r="M41" i="35"/>
  <c r="M6" i="35"/>
  <c r="M11" i="35"/>
  <c r="I96" i="35"/>
  <c r="I63" i="35"/>
  <c r="AB212" i="1"/>
  <c r="F96" i="35"/>
  <c r="F63" i="35"/>
  <c r="F84" i="35"/>
  <c r="F51" i="35"/>
  <c r="S211" i="1"/>
  <c r="F95" i="35"/>
  <c r="F62" i="35"/>
  <c r="F83" i="35"/>
  <c r="F50" i="35"/>
  <c r="I54" i="35"/>
  <c r="I87" i="35"/>
  <c r="I94" i="35"/>
  <c r="I61" i="35"/>
  <c r="I66" i="35"/>
  <c r="I99" i="35"/>
  <c r="S210" i="1"/>
  <c r="F94" i="35"/>
  <c r="F61" i="35"/>
  <c r="AB198" i="1"/>
  <c r="F49" i="35"/>
  <c r="F82" i="35"/>
  <c r="I82" i="35"/>
  <c r="I49" i="35"/>
  <c r="I56" i="35"/>
  <c r="I89" i="35"/>
  <c r="I80" i="35"/>
  <c r="I47" i="35"/>
  <c r="AB209" i="1"/>
  <c r="F93" i="35"/>
  <c r="F60" i="35"/>
  <c r="AB197" i="1"/>
  <c r="C27" i="9" s="1"/>
  <c r="F81" i="35"/>
  <c r="F48" i="35"/>
  <c r="M42" i="35"/>
  <c r="M76" i="35"/>
  <c r="P166" i="1"/>
  <c r="F4" i="32"/>
  <c r="I52" i="35"/>
  <c r="I85" i="35"/>
  <c r="I92" i="35"/>
  <c r="I59" i="35"/>
  <c r="AB208" i="1"/>
  <c r="F92" i="35"/>
  <c r="F59" i="35"/>
  <c r="S196" i="1"/>
  <c r="F80" i="35"/>
  <c r="F47" i="35"/>
  <c r="K67" i="35"/>
  <c r="L33" i="35"/>
  <c r="M12" i="35"/>
  <c r="I97" i="35"/>
  <c r="I64" i="35"/>
  <c r="S207" i="1"/>
  <c r="F91" i="35"/>
  <c r="F58" i="35"/>
  <c r="AB195" i="1"/>
  <c r="C25" i="9" s="1"/>
  <c r="F79" i="35"/>
  <c r="F46" i="35"/>
  <c r="M39" i="35"/>
  <c r="M43" i="35"/>
  <c r="I50" i="35"/>
  <c r="I83" i="35"/>
  <c r="I90" i="35"/>
  <c r="I57" i="35"/>
  <c r="AB206" i="1"/>
  <c r="F57" i="35"/>
  <c r="F90" i="35"/>
  <c r="M40" i="35"/>
  <c r="M45" i="35"/>
  <c r="I62" i="35"/>
  <c r="I95" i="35"/>
  <c r="S205" i="1"/>
  <c r="F89" i="35"/>
  <c r="F56" i="35"/>
  <c r="M72" i="35"/>
  <c r="I48" i="35"/>
  <c r="I81" i="35"/>
  <c r="I88" i="35"/>
  <c r="I55" i="35"/>
  <c r="AB204" i="1"/>
  <c r="F88" i="35"/>
  <c r="F55" i="35"/>
  <c r="M77" i="35"/>
  <c r="M44" i="35"/>
  <c r="I86" i="35"/>
  <c r="I53" i="35"/>
  <c r="I60" i="35"/>
  <c r="I93" i="35"/>
  <c r="I98" i="35"/>
  <c r="I65" i="35"/>
  <c r="AB215" i="1"/>
  <c r="F99" i="35"/>
  <c r="F66" i="35"/>
  <c r="S203" i="1"/>
  <c r="U203" i="1" s="1"/>
  <c r="F87" i="35"/>
  <c r="F54" i="35"/>
  <c r="M78" i="35"/>
  <c r="M5" i="35"/>
  <c r="M10" i="35"/>
  <c r="I46" i="35"/>
  <c r="I79" i="35"/>
  <c r="M13" i="35"/>
  <c r="M20" i="35"/>
  <c r="M32" i="35"/>
  <c r="AB214" i="1"/>
  <c r="F65" i="35"/>
  <c r="F98" i="35"/>
  <c r="S202" i="1"/>
  <c r="F86" i="35"/>
  <c r="F53" i="35"/>
  <c r="M73" i="35"/>
  <c r="M74" i="35"/>
  <c r="M75" i="35"/>
  <c r="M8" i="35"/>
  <c r="M14" i="35"/>
  <c r="M21" i="35"/>
  <c r="M19" i="35"/>
  <c r="M26" i="35"/>
  <c r="M31" i="35"/>
  <c r="M17" i="35"/>
  <c r="M24" i="35"/>
  <c r="M29" i="35"/>
  <c r="M4" i="35"/>
  <c r="M9" i="35"/>
  <c r="M15" i="35"/>
  <c r="M22" i="35"/>
  <c r="M27" i="35"/>
  <c r="M18" i="35"/>
  <c r="M25" i="35"/>
  <c r="M30" i="35"/>
  <c r="M16" i="35"/>
  <c r="M23" i="35"/>
  <c r="M7" i="35"/>
  <c r="M28" i="35"/>
  <c r="H70" i="35"/>
  <c r="M3" i="35"/>
  <c r="C70" i="35"/>
  <c r="D70" i="35"/>
  <c r="D100" i="35" s="1"/>
  <c r="I70" i="35"/>
  <c r="E70" i="35"/>
  <c r="E100" i="35" s="1"/>
  <c r="K70" i="35"/>
  <c r="K100" i="35" s="1"/>
  <c r="J70" i="35"/>
  <c r="F70" i="35"/>
  <c r="L70" i="35"/>
  <c r="C87" i="35"/>
  <c r="C54" i="35"/>
  <c r="C61" i="35"/>
  <c r="C94" i="35"/>
  <c r="C99" i="35"/>
  <c r="C66" i="35"/>
  <c r="C80" i="35"/>
  <c r="C47" i="35"/>
  <c r="C97" i="35"/>
  <c r="C64" i="35"/>
  <c r="C90" i="35"/>
  <c r="C57" i="35"/>
  <c r="C83" i="35"/>
  <c r="C50" i="35"/>
  <c r="C95" i="35"/>
  <c r="C62" i="35"/>
  <c r="C85" i="35"/>
  <c r="C52" i="35"/>
  <c r="C88" i="35"/>
  <c r="C55" i="35"/>
  <c r="C92" i="35"/>
  <c r="C59" i="35"/>
  <c r="C86" i="35"/>
  <c r="C53" i="35"/>
  <c r="C93" i="35"/>
  <c r="C60" i="35"/>
  <c r="C98" i="35"/>
  <c r="C65" i="35"/>
  <c r="C84" i="35"/>
  <c r="C51" i="35"/>
  <c r="C91" i="35"/>
  <c r="C58" i="35"/>
  <c r="C79" i="35"/>
  <c r="C46" i="35"/>
  <c r="C96" i="35"/>
  <c r="C63" i="35"/>
  <c r="C81" i="35"/>
  <c r="C48" i="35"/>
  <c r="C49" i="35"/>
  <c r="C82" i="35"/>
  <c r="C56" i="35"/>
  <c r="C89" i="35"/>
  <c r="E67" i="35"/>
  <c r="D67" i="35"/>
  <c r="J33" i="35"/>
  <c r="I33" i="35"/>
  <c r="H33" i="35"/>
  <c r="G67" i="35"/>
  <c r="G33" i="35"/>
  <c r="E33" i="35"/>
  <c r="C33" i="35"/>
  <c r="M71" i="35"/>
  <c r="M38" i="35"/>
  <c r="G100" i="35"/>
  <c r="M37" i="35"/>
  <c r="K33" i="35"/>
  <c r="D33" i="35"/>
  <c r="F33" i="35"/>
  <c r="S208" i="1"/>
  <c r="S195" i="1"/>
  <c r="S197" i="1"/>
  <c r="AB189" i="1"/>
  <c r="C19" i="9" s="1"/>
  <c r="AB211" i="1"/>
  <c r="AB192" i="1"/>
  <c r="AO206" i="1"/>
  <c r="AO190" i="1"/>
  <c r="AO194" i="1"/>
  <c r="Q163" i="1"/>
  <c r="E553" i="1"/>
  <c r="AO209" i="1"/>
  <c r="AO188" i="1"/>
  <c r="L553" i="1"/>
  <c r="C16" i="9"/>
  <c r="AB200" i="1"/>
  <c r="E132" i="1"/>
  <c r="I553" i="1"/>
  <c r="BM187" i="1"/>
  <c r="AO189" i="1"/>
  <c r="AO191" i="1"/>
  <c r="F553" i="1"/>
  <c r="M553" i="1"/>
  <c r="AO192" i="1"/>
  <c r="G553" i="1"/>
  <c r="BM192" i="1"/>
  <c r="AO201" i="1"/>
  <c r="BM202" i="1"/>
  <c r="BM203" i="1"/>
  <c r="AO204" i="1"/>
  <c r="AO196" i="1"/>
  <c r="AO197" i="1"/>
  <c r="AO214" i="1"/>
  <c r="AE216" i="1"/>
  <c r="BM188" i="1"/>
  <c r="BM190" i="1"/>
  <c r="BM193" i="1"/>
  <c r="BM212" i="1"/>
  <c r="BM189" i="1"/>
  <c r="BM191" i="1"/>
  <c r="BM194" i="1"/>
  <c r="BM197" i="1"/>
  <c r="AO199" i="1"/>
  <c r="BM200" i="1"/>
  <c r="AO202" i="1"/>
  <c r="AO203" i="1"/>
  <c r="BM205" i="1"/>
  <c r="BM211" i="1"/>
  <c r="AO212" i="1"/>
  <c r="BM213" i="1"/>
  <c r="BM215" i="1"/>
  <c r="BM198" i="1"/>
  <c r="BM199" i="1"/>
  <c r="AO205" i="1"/>
  <c r="BM207" i="1"/>
  <c r="BM208" i="1"/>
  <c r="BM210" i="1"/>
  <c r="AO211" i="1"/>
  <c r="AO213" i="1"/>
  <c r="AO215" i="1"/>
  <c r="BM195" i="1"/>
  <c r="BM196" i="1"/>
  <c r="AO198" i="1"/>
  <c r="BM201" i="1"/>
  <c r="BM204" i="1"/>
  <c r="BM206" i="1"/>
  <c r="AO207" i="1"/>
  <c r="AO208" i="1"/>
  <c r="BM209" i="1"/>
  <c r="AO210" i="1"/>
  <c r="BM214" i="1"/>
  <c r="G223" i="1"/>
  <c r="Q224" i="1"/>
  <c r="AI216" i="1"/>
  <c r="AM216" i="1"/>
  <c r="BD216" i="1"/>
  <c r="BL216" i="1"/>
  <c r="S187" i="1"/>
  <c r="AB188" i="1"/>
  <c r="C18" i="9" s="1"/>
  <c r="S190" i="1"/>
  <c r="AB196" i="1"/>
  <c r="C26" i="9" s="1"/>
  <c r="AB199" i="1"/>
  <c r="S201" i="1"/>
  <c r="S206" i="1"/>
  <c r="AB207" i="1"/>
  <c r="S209" i="1"/>
  <c r="S213" i="1"/>
  <c r="S214" i="1"/>
  <c r="AT216" i="1"/>
  <c r="G222" i="1"/>
  <c r="S555" i="1"/>
  <c r="S193" i="1"/>
  <c r="AB194" i="1"/>
  <c r="C24" i="9" s="1"/>
  <c r="AB202" i="1"/>
  <c r="S204" i="1"/>
  <c r="AB205" i="1"/>
  <c r="AB210" i="1"/>
  <c r="S212" i="1"/>
  <c r="S215" i="1"/>
  <c r="BB216" i="1"/>
  <c r="BJ216" i="1"/>
  <c r="G224" i="1"/>
  <c r="S557" i="1"/>
  <c r="S558" i="1"/>
  <c r="S556" i="1"/>
  <c r="AO193" i="1"/>
  <c r="AV216" i="1"/>
  <c r="BM186" i="1"/>
  <c r="AF216" i="1"/>
  <c r="AO186" i="1"/>
  <c r="AJ216" i="1"/>
  <c r="AN216" i="1"/>
  <c r="AX216" i="1"/>
  <c r="AH216" i="1"/>
  <c r="AK216" i="1"/>
  <c r="AL216" i="1"/>
  <c r="AO187" i="1"/>
  <c r="AO195" i="1"/>
  <c r="AG216" i="1"/>
  <c r="AO200" i="1"/>
  <c r="BF216" i="1"/>
  <c r="P165" i="1"/>
  <c r="BH216" i="1"/>
  <c r="P163" i="1"/>
  <c r="AR216" i="1"/>
  <c r="AZ216" i="1"/>
  <c r="P164" i="1"/>
  <c r="O164" i="1" s="1"/>
  <c r="N165" i="1"/>
  <c r="H289" i="1"/>
  <c r="H290" i="1" s="1"/>
  <c r="Q222" i="1"/>
  <c r="Q223" i="1"/>
  <c r="U199" i="1" l="1"/>
  <c r="C28" i="9"/>
  <c r="U198" i="1"/>
  <c r="U200" i="1"/>
  <c r="M163" i="1"/>
  <c r="M166" i="1" s="1"/>
  <c r="O186" i="1"/>
  <c r="P186" i="1" s="1"/>
  <c r="Q186" i="1" s="1"/>
  <c r="O196" i="1"/>
  <c r="P196" i="1" s="1"/>
  <c r="Q196" i="1" s="1"/>
  <c r="O195" i="1"/>
  <c r="P195" i="1" s="1"/>
  <c r="Q195" i="1" s="1"/>
  <c r="G23" i="36" s="1"/>
  <c r="O193" i="1"/>
  <c r="P193" i="1" s="1"/>
  <c r="Q193" i="1" s="1"/>
  <c r="O192" i="1"/>
  <c r="P192" i="1" s="1"/>
  <c r="Q192" i="1" s="1"/>
  <c r="O190" i="1"/>
  <c r="P190" i="1" s="1"/>
  <c r="Q190" i="1" s="1"/>
  <c r="O189" i="1"/>
  <c r="P189" i="1" s="1"/>
  <c r="Q189" i="1" s="1"/>
  <c r="O187" i="1"/>
  <c r="P187" i="1" s="1"/>
  <c r="Q187" i="1" s="1"/>
  <c r="O197" i="1"/>
  <c r="P197" i="1" s="1"/>
  <c r="Q197" i="1" s="1"/>
  <c r="O194" i="1"/>
  <c r="P194" i="1" s="1"/>
  <c r="Q194" i="1" s="1"/>
  <c r="O191" i="1"/>
  <c r="P191" i="1" s="1"/>
  <c r="Q191" i="1" s="1"/>
  <c r="O188" i="1"/>
  <c r="P188" i="1" s="1"/>
  <c r="Q188" i="1" s="1"/>
  <c r="U191" i="1"/>
  <c r="M70" i="35"/>
  <c r="I67" i="35"/>
  <c r="U208" i="1"/>
  <c r="U212" i="1"/>
  <c r="U207" i="1"/>
  <c r="F100" i="35"/>
  <c r="F67" i="35"/>
  <c r="U204" i="1"/>
  <c r="U195" i="1"/>
  <c r="U197" i="1"/>
  <c r="U201" i="1"/>
  <c r="I100" i="35"/>
  <c r="C100" i="35"/>
  <c r="C67" i="35"/>
  <c r="M33" i="35"/>
  <c r="U189" i="1"/>
  <c r="U209" i="1"/>
  <c r="C22" i="9"/>
  <c r="U211" i="1"/>
  <c r="U192" i="1"/>
  <c r="U213" i="1"/>
  <c r="U214" i="1"/>
  <c r="U193" i="1"/>
  <c r="U187" i="1"/>
  <c r="C30" i="9"/>
  <c r="C29" i="9"/>
  <c r="U215" i="1"/>
  <c r="J216" i="1"/>
  <c r="H216" i="1"/>
  <c r="U206" i="1"/>
  <c r="F216" i="1"/>
  <c r="U190" i="1"/>
  <c r="U210" i="1"/>
  <c r="U202" i="1"/>
  <c r="G225" i="1"/>
  <c r="C527" i="1" s="1"/>
  <c r="C541" i="1" s="1"/>
  <c r="U205" i="1"/>
  <c r="U194" i="1"/>
  <c r="U188" i="1"/>
  <c r="U196" i="1"/>
  <c r="Q225" i="1"/>
  <c r="BM216" i="1"/>
  <c r="O165" i="1"/>
  <c r="N163" i="1"/>
  <c r="O163" i="1" s="1"/>
  <c r="O166" i="1" s="1"/>
  <c r="AO216" i="1"/>
  <c r="G24" i="36" l="1"/>
  <c r="F24" i="36" s="1"/>
  <c r="F25" i="36" s="1"/>
  <c r="G25" i="36" s="1"/>
  <c r="D50" i="36" s="1"/>
  <c r="W200" i="1"/>
  <c r="W199" i="1"/>
  <c r="W198" i="1"/>
  <c r="G200" i="1"/>
  <c r="G198" i="1"/>
  <c r="G199" i="1"/>
  <c r="I211" i="1"/>
  <c r="J95" i="35" s="1"/>
  <c r="I198" i="1"/>
  <c r="I199" i="1"/>
  <c r="I200" i="1"/>
  <c r="K207" i="1"/>
  <c r="L91" i="35" s="1"/>
  <c r="K198" i="1"/>
  <c r="K200" i="1"/>
  <c r="K199" i="1"/>
  <c r="N166" i="1"/>
  <c r="Q216" i="1"/>
  <c r="H232" i="1" s="1"/>
  <c r="P216" i="1"/>
  <c r="W195" i="1"/>
  <c r="W196" i="1"/>
  <c r="W197" i="1"/>
  <c r="W191" i="1"/>
  <c r="W188" i="1"/>
  <c r="W192" i="1"/>
  <c r="W189" i="1"/>
  <c r="W193" i="1"/>
  <c r="W190" i="1"/>
  <c r="W194" i="1"/>
  <c r="G205" i="1"/>
  <c r="H89" i="35" s="1"/>
  <c r="W186" i="1"/>
  <c r="W187" i="1"/>
  <c r="L58" i="35"/>
  <c r="K201" i="1"/>
  <c r="K190" i="1"/>
  <c r="I202" i="1"/>
  <c r="K205" i="1"/>
  <c r="I212" i="1"/>
  <c r="K209" i="1"/>
  <c r="I191" i="1"/>
  <c r="K211" i="1"/>
  <c r="K188" i="1"/>
  <c r="I190" i="1"/>
  <c r="I201" i="1"/>
  <c r="I210" i="1"/>
  <c r="I213" i="1"/>
  <c r="I216" i="1"/>
  <c r="K193" i="1"/>
  <c r="I207" i="1"/>
  <c r="K213" i="1"/>
  <c r="K196" i="1"/>
  <c r="K212" i="1"/>
  <c r="G190" i="1"/>
  <c r="O216" i="1"/>
  <c r="K194" i="1"/>
  <c r="I206" i="1"/>
  <c r="K195" i="1"/>
  <c r="K215" i="1"/>
  <c r="K189" i="1"/>
  <c r="I196" i="1"/>
  <c r="K202" i="1"/>
  <c r="G212" i="1"/>
  <c r="K208" i="1"/>
  <c r="K187" i="1"/>
  <c r="I187" i="1"/>
  <c r="M216" i="1"/>
  <c r="I192" i="1"/>
  <c r="K210" i="1"/>
  <c r="I208" i="1"/>
  <c r="I195" i="1"/>
  <c r="I197" i="1"/>
  <c r="K216" i="1"/>
  <c r="I186" i="1"/>
  <c r="K214" i="1"/>
  <c r="I203" i="1"/>
  <c r="K192" i="1"/>
  <c r="K203" i="1"/>
  <c r="K197" i="1"/>
  <c r="K191" i="1"/>
  <c r="I193" i="1"/>
  <c r="I215" i="1"/>
  <c r="K206" i="1"/>
  <c r="I214" i="1"/>
  <c r="I194" i="1"/>
  <c r="G197" i="1"/>
  <c r="I204" i="1"/>
  <c r="K204" i="1"/>
  <c r="L216" i="1"/>
  <c r="K186" i="1"/>
  <c r="I189" i="1"/>
  <c r="I188" i="1"/>
  <c r="G195" i="1"/>
  <c r="G209" i="1"/>
  <c r="G214" i="1"/>
  <c r="G202" i="1"/>
  <c r="G203" i="1"/>
  <c r="G192" i="1"/>
  <c r="G206" i="1"/>
  <c r="G186" i="1"/>
  <c r="G213" i="1"/>
  <c r="I205" i="1"/>
  <c r="I209" i="1"/>
  <c r="G193" i="1"/>
  <c r="G191" i="1"/>
  <c r="G207" i="1"/>
  <c r="G194" i="1"/>
  <c r="G204" i="1"/>
  <c r="G210" i="1"/>
  <c r="G201" i="1"/>
  <c r="G216" i="1"/>
  <c r="H225" i="1"/>
  <c r="G215" i="1"/>
  <c r="G189" i="1"/>
  <c r="G187" i="1"/>
  <c r="G188" i="1"/>
  <c r="G196" i="1"/>
  <c r="G208" i="1"/>
  <c r="G211" i="1"/>
  <c r="U216" i="1"/>
  <c r="H231" i="1" s="1"/>
  <c r="N212" i="9" l="1"/>
  <c r="D220" i="9" s="1"/>
  <c r="D38" i="36"/>
  <c r="J62" i="35"/>
  <c r="H233" i="1"/>
  <c r="D528" i="1" s="1"/>
  <c r="N264" i="9"/>
  <c r="D272" i="9" s="1"/>
  <c r="G28" i="36"/>
  <c r="H56" i="35"/>
  <c r="L80" i="35"/>
  <c r="L47" i="35"/>
  <c r="L66" i="35"/>
  <c r="L99" i="35"/>
  <c r="L97" i="35"/>
  <c r="L64" i="35"/>
  <c r="L82" i="35"/>
  <c r="L49" i="35"/>
  <c r="L79" i="35"/>
  <c r="L46" i="35"/>
  <c r="L89" i="35"/>
  <c r="L56" i="35"/>
  <c r="L63" i="35"/>
  <c r="L96" i="35"/>
  <c r="L81" i="35"/>
  <c r="L48" i="35"/>
  <c r="L54" i="35"/>
  <c r="L87" i="35"/>
  <c r="L85" i="35"/>
  <c r="L52" i="35"/>
  <c r="L93" i="35"/>
  <c r="L60" i="35"/>
  <c r="L94" i="35"/>
  <c r="L61" i="35"/>
  <c r="L88" i="35"/>
  <c r="L55" i="35"/>
  <c r="L98" i="35"/>
  <c r="L65" i="35"/>
  <c r="L59" i="35"/>
  <c r="L92" i="35"/>
  <c r="L90" i="35"/>
  <c r="L57" i="35"/>
  <c r="L50" i="35"/>
  <c r="L83" i="35"/>
  <c r="L53" i="35"/>
  <c r="L86" i="35"/>
  <c r="L51" i="35"/>
  <c r="L84" i="35"/>
  <c r="L95" i="35"/>
  <c r="L62" i="35"/>
  <c r="H83" i="35"/>
  <c r="H50" i="35"/>
  <c r="H93" i="35"/>
  <c r="H60" i="35"/>
  <c r="J99" i="35"/>
  <c r="J66" i="35"/>
  <c r="J81" i="35"/>
  <c r="J48" i="35"/>
  <c r="J80" i="35"/>
  <c r="J47" i="35"/>
  <c r="H91" i="35"/>
  <c r="H58" i="35"/>
  <c r="H80" i="35"/>
  <c r="H47" i="35"/>
  <c r="H79" i="35"/>
  <c r="H46" i="35"/>
  <c r="J84" i="35"/>
  <c r="J51" i="35"/>
  <c r="H96" i="35"/>
  <c r="H63" i="35"/>
  <c r="J93" i="35"/>
  <c r="J60" i="35"/>
  <c r="J89" i="35"/>
  <c r="J56" i="35"/>
  <c r="J79" i="35"/>
  <c r="J46" i="35"/>
  <c r="J96" i="35"/>
  <c r="J63" i="35"/>
  <c r="H92" i="35"/>
  <c r="H59" i="35"/>
  <c r="H97" i="35"/>
  <c r="H64" i="35"/>
  <c r="J91" i="35"/>
  <c r="J58" i="35"/>
  <c r="J90" i="35"/>
  <c r="J57" i="35"/>
  <c r="J86" i="35"/>
  <c r="J53" i="35"/>
  <c r="J97" i="35"/>
  <c r="J64" i="35"/>
  <c r="H99" i="35"/>
  <c r="H66" i="35"/>
  <c r="H94" i="35"/>
  <c r="H61" i="35"/>
  <c r="J88" i="35"/>
  <c r="J55" i="35"/>
  <c r="J94" i="35"/>
  <c r="J61" i="35"/>
  <c r="H90" i="35"/>
  <c r="H57" i="35"/>
  <c r="H84" i="35"/>
  <c r="H51" i="35"/>
  <c r="J87" i="35"/>
  <c r="J54" i="35"/>
  <c r="J83" i="35"/>
  <c r="J50" i="35"/>
  <c r="H88" i="35"/>
  <c r="H55" i="35"/>
  <c r="H81" i="35"/>
  <c r="H48" i="35"/>
  <c r="H82" i="35"/>
  <c r="H49" i="35"/>
  <c r="J98" i="35"/>
  <c r="J65" i="35"/>
  <c r="H98" i="35"/>
  <c r="H65" i="35"/>
  <c r="J92" i="35"/>
  <c r="J59" i="35"/>
  <c r="H85" i="35"/>
  <c r="H52" i="35"/>
  <c r="H87" i="35"/>
  <c r="H54" i="35"/>
  <c r="J85" i="35"/>
  <c r="J52" i="35"/>
  <c r="H95" i="35"/>
  <c r="H62" i="35"/>
  <c r="H86" i="35"/>
  <c r="H53" i="35"/>
  <c r="J82" i="35"/>
  <c r="J49" i="35"/>
  <c r="L9" i="34"/>
  <c r="H9" i="34"/>
  <c r="D9" i="34"/>
  <c r="D4" i="34"/>
  <c r="D3" i="34"/>
  <c r="A24" i="34"/>
  <c r="A25" i="34" s="1"/>
  <c r="A26" i="34" s="1"/>
  <c r="P16" i="33"/>
  <c r="U16" i="33" s="1"/>
  <c r="P15" i="33"/>
  <c r="O159" i="33"/>
  <c r="H159" i="33"/>
  <c r="A28" i="33"/>
  <c r="A29" i="33" s="1"/>
  <c r="A22" i="33"/>
  <c r="U14" i="33"/>
  <c r="U13" i="33"/>
  <c r="I7" i="33"/>
  <c r="I6" i="33"/>
  <c r="P12" i="33"/>
  <c r="I17" i="33"/>
  <c r="D8" i="34"/>
  <c r="H13" i="32"/>
  <c r="H14" i="32"/>
  <c r="I13" i="34" s="1"/>
  <c r="I14" i="32"/>
  <c r="J13" i="34" s="1"/>
  <c r="B3" i="32"/>
  <c r="I5" i="33" s="1"/>
  <c r="B2" i="32"/>
  <c r="P4" i="33" s="1"/>
  <c r="M95" i="35" l="1"/>
  <c r="M66" i="35"/>
  <c r="M64" i="35"/>
  <c r="M55" i="35"/>
  <c r="M88" i="35"/>
  <c r="M97" i="35"/>
  <c r="M98" i="35"/>
  <c r="M63" i="35"/>
  <c r="M53" i="35"/>
  <c r="M85" i="35"/>
  <c r="M48" i="35"/>
  <c r="M52" i="35"/>
  <c r="M96" i="35"/>
  <c r="L67" i="35"/>
  <c r="M99" i="35"/>
  <c r="L100" i="35"/>
  <c r="M65" i="35"/>
  <c r="M62" i="35"/>
  <c r="M56" i="35"/>
  <c r="M58" i="35"/>
  <c r="M87" i="35"/>
  <c r="M81" i="35"/>
  <c r="M89" i="35"/>
  <c r="J100" i="35"/>
  <c r="M80" i="35"/>
  <c r="M83" i="35"/>
  <c r="M91" i="35"/>
  <c r="M94" i="35"/>
  <c r="M61" i="35"/>
  <c r="M51" i="35"/>
  <c r="M92" i="35"/>
  <c r="M86" i="35"/>
  <c r="M84" i="35"/>
  <c r="H67" i="35"/>
  <c r="M46" i="35"/>
  <c r="M60" i="35"/>
  <c r="M49" i="35"/>
  <c r="M57" i="35"/>
  <c r="H100" i="35"/>
  <c r="M79" i="35"/>
  <c r="M93" i="35"/>
  <c r="M59" i="35"/>
  <c r="M54" i="35"/>
  <c r="M82" i="35"/>
  <c r="M90" i="35"/>
  <c r="J67" i="35"/>
  <c r="M47" i="35"/>
  <c r="M50" i="35"/>
  <c r="D5" i="34"/>
  <c r="J14" i="34" s="1"/>
  <c r="C16" i="34"/>
  <c r="P6" i="33"/>
  <c r="H8" i="34"/>
  <c r="D6" i="34"/>
  <c r="I14" i="34" s="1"/>
  <c r="J13" i="32"/>
  <c r="I13" i="32" s="1"/>
  <c r="K13" i="32" s="1"/>
  <c r="P13" i="33" s="1"/>
  <c r="H5" i="34"/>
  <c r="P7" i="33"/>
  <c r="C17" i="34"/>
  <c r="A27" i="34"/>
  <c r="F14" i="32"/>
  <c r="B14" i="32"/>
  <c r="C13" i="32" s="1"/>
  <c r="P5" i="33"/>
  <c r="P14" i="33"/>
  <c r="I14" i="33"/>
  <c r="Q26" i="33"/>
  <c r="P10" i="33"/>
  <c r="B18" i="32"/>
  <c r="I4" i="33"/>
  <c r="U15" i="33"/>
  <c r="U17" i="33"/>
  <c r="P17" i="33"/>
  <c r="A30" i="33"/>
  <c r="D13" i="32"/>
  <c r="P11" i="33" s="1"/>
  <c r="J12" i="32"/>
  <c r="F5" i="32"/>
  <c r="H6" i="34" s="1"/>
  <c r="C18" i="34" l="1"/>
  <c r="F18" i="34" s="1"/>
  <c r="B23" i="34" s="1"/>
  <c r="M67" i="35"/>
  <c r="M100" i="35"/>
  <c r="I12" i="32"/>
  <c r="B19" i="32"/>
  <c r="B27" i="33" s="1"/>
  <c r="B28" i="33" s="1"/>
  <c r="B29" i="33" s="1"/>
  <c r="C26" i="33"/>
  <c r="N26" i="33" s="1"/>
  <c r="D12" i="32"/>
  <c r="I11" i="33" s="1"/>
  <c r="J14" i="32"/>
  <c r="K13" i="34" s="1"/>
  <c r="I12" i="33"/>
  <c r="G13" i="32"/>
  <c r="G13" i="34"/>
  <c r="G14" i="34" s="1"/>
  <c r="H14" i="34" s="1"/>
  <c r="C14" i="32"/>
  <c r="C13" i="34"/>
  <c r="A28" i="34"/>
  <c r="K4" i="32"/>
  <c r="C12" i="32"/>
  <c r="I10" i="33"/>
  <c r="J26" i="33"/>
  <c r="H12" i="32"/>
  <c r="G12" i="32"/>
  <c r="G14" i="32"/>
  <c r="A31" i="33"/>
  <c r="C22" i="34" l="1"/>
  <c r="K12" i="32"/>
  <c r="I13" i="33" s="1"/>
  <c r="M102" i="35"/>
  <c r="M103" i="35" s="1"/>
  <c r="D14" i="32"/>
  <c r="E12" i="32" s="1"/>
  <c r="C28" i="33"/>
  <c r="C27" i="33"/>
  <c r="N27" i="33" s="1"/>
  <c r="K14" i="34"/>
  <c r="H13" i="34"/>
  <c r="C14" i="34"/>
  <c r="E13" i="34"/>
  <c r="E152" i="34"/>
  <c r="G22" i="34"/>
  <c r="A29" i="34"/>
  <c r="C23" i="34"/>
  <c r="B24" i="34"/>
  <c r="P26" i="33"/>
  <c r="V26" i="33"/>
  <c r="C29" i="33"/>
  <c r="A32" i="33"/>
  <c r="B30" i="33"/>
  <c r="B31" i="33" s="1"/>
  <c r="K14" i="32" l="1"/>
  <c r="L13" i="34" s="1"/>
  <c r="L14" i="34" s="1"/>
  <c r="G26" i="33"/>
  <c r="U26" i="33" s="1"/>
  <c r="W26" i="33" s="1"/>
  <c r="E13" i="32"/>
  <c r="E14" i="32"/>
  <c r="G27" i="33"/>
  <c r="H27" i="33" s="1"/>
  <c r="J27" i="33" s="1"/>
  <c r="G28" i="33" s="1"/>
  <c r="E14" i="34"/>
  <c r="F14" i="34" s="1"/>
  <c r="D13" i="34"/>
  <c r="D14" i="34"/>
  <c r="M5" i="34"/>
  <c r="A30" i="34"/>
  <c r="C24" i="34"/>
  <c r="B25" i="34"/>
  <c r="C31" i="33"/>
  <c r="C30" i="33"/>
  <c r="A33" i="33"/>
  <c r="B32" i="33"/>
  <c r="D23" i="34" l="1"/>
  <c r="E23" i="34" s="1"/>
  <c r="G23" i="34" s="1"/>
  <c r="D24" i="34" s="1"/>
  <c r="E24" i="34" s="1"/>
  <c r="G24" i="34" s="1"/>
  <c r="D22" i="34"/>
  <c r="F22" i="34" s="1"/>
  <c r="I26" i="33"/>
  <c r="I27" i="33"/>
  <c r="F13" i="34"/>
  <c r="C25" i="34"/>
  <c r="B26" i="34"/>
  <c r="A31" i="34"/>
  <c r="C32" i="33"/>
  <c r="B33" i="33"/>
  <c r="A34" i="33"/>
  <c r="F23" i="34" l="1"/>
  <c r="F24" i="34"/>
  <c r="D25" i="34"/>
  <c r="E25" i="34" s="1"/>
  <c r="G25" i="34" s="1"/>
  <c r="U27" i="33"/>
  <c r="O27" i="33"/>
  <c r="C26" i="34"/>
  <c r="B27" i="34"/>
  <c r="A32" i="34"/>
  <c r="A35" i="33"/>
  <c r="B34" i="33"/>
  <c r="C33" i="33"/>
  <c r="P27" i="33" l="1"/>
  <c r="V27" i="33" s="1"/>
  <c r="W27" i="33" s="1"/>
  <c r="Q27" i="33"/>
  <c r="N28" i="33" s="1"/>
  <c r="H28" i="33" s="1"/>
  <c r="D26" i="34"/>
  <c r="E26" i="34" s="1"/>
  <c r="G26" i="34" s="1"/>
  <c r="F25" i="34"/>
  <c r="A33" i="34"/>
  <c r="C27" i="34"/>
  <c r="B28" i="34"/>
  <c r="C34" i="33"/>
  <c r="A36" i="33"/>
  <c r="B35" i="33"/>
  <c r="F26" i="34" l="1"/>
  <c r="D27" i="34"/>
  <c r="C28" i="34"/>
  <c r="B29" i="34"/>
  <c r="A34" i="34"/>
  <c r="J28" i="33"/>
  <c r="I28" i="33"/>
  <c r="C35" i="33"/>
  <c r="A37" i="33"/>
  <c r="B36" i="33"/>
  <c r="E27" i="34" l="1"/>
  <c r="G27" i="34" s="1"/>
  <c r="D28" i="34" s="1"/>
  <c r="A35" i="34"/>
  <c r="C29" i="34"/>
  <c r="B30" i="34"/>
  <c r="U28" i="33"/>
  <c r="O28" i="33"/>
  <c r="G29" i="33"/>
  <c r="C36" i="33"/>
  <c r="A38" i="33"/>
  <c r="B37" i="33"/>
  <c r="F27" i="34" l="1"/>
  <c r="E28" i="34"/>
  <c r="F28" i="34" s="1"/>
  <c r="C30" i="34"/>
  <c r="B31" i="34"/>
  <c r="A36" i="34"/>
  <c r="Q28" i="33"/>
  <c r="P28" i="33"/>
  <c r="V28" i="33" s="1"/>
  <c r="W28" i="33" s="1"/>
  <c r="A39" i="33"/>
  <c r="B38" i="33"/>
  <c r="C37" i="33"/>
  <c r="G28" i="34" l="1"/>
  <c r="D29" i="34" s="1"/>
  <c r="E29" i="34" s="1"/>
  <c r="G29" i="34" s="1"/>
  <c r="C31" i="34"/>
  <c r="B32" i="34"/>
  <c r="A37" i="34"/>
  <c r="N29" i="33"/>
  <c r="B39" i="33"/>
  <c r="A40" i="33"/>
  <c r="C38" i="33"/>
  <c r="F29" i="34" l="1"/>
  <c r="D30" i="34"/>
  <c r="C32" i="34"/>
  <c r="B33" i="34"/>
  <c r="A38" i="34"/>
  <c r="H29" i="33"/>
  <c r="A41" i="33"/>
  <c r="B40" i="33"/>
  <c r="C39" i="33"/>
  <c r="E30" i="34" l="1"/>
  <c r="G30" i="34" s="1"/>
  <c r="C33" i="34"/>
  <c r="B34" i="34"/>
  <c r="A39" i="34"/>
  <c r="J29" i="33"/>
  <c r="I29" i="33"/>
  <c r="B41" i="33"/>
  <c r="A42" i="33"/>
  <c r="C40" i="33"/>
  <c r="D31" i="34" l="1"/>
  <c r="F30" i="34"/>
  <c r="A40" i="34"/>
  <c r="C34" i="34"/>
  <c r="B35" i="34"/>
  <c r="U29" i="33"/>
  <c r="O29" i="33"/>
  <c r="G30" i="33"/>
  <c r="A43" i="33"/>
  <c r="B42" i="33"/>
  <c r="C41" i="33"/>
  <c r="E31" i="34" l="1"/>
  <c r="G31" i="34" s="1"/>
  <c r="C35" i="34"/>
  <c r="B36" i="34"/>
  <c r="A41" i="34"/>
  <c r="Q29" i="33"/>
  <c r="P29" i="33"/>
  <c r="V29" i="33" s="1"/>
  <c r="W29" i="33" s="1"/>
  <c r="C42" i="33"/>
  <c r="A44" i="33"/>
  <c r="B43" i="33"/>
  <c r="F31" i="34" l="1"/>
  <c r="D32" i="34"/>
  <c r="C36" i="34"/>
  <c r="B37" i="34"/>
  <c r="A42" i="34"/>
  <c r="N30" i="33"/>
  <c r="C43" i="33"/>
  <c r="A45" i="33"/>
  <c r="B44" i="33"/>
  <c r="E32" i="34" l="1"/>
  <c r="G32" i="34" s="1"/>
  <c r="C37" i="34"/>
  <c r="B38" i="34"/>
  <c r="A43" i="34"/>
  <c r="H30" i="33"/>
  <c r="A46" i="33"/>
  <c r="B45" i="33"/>
  <c r="C44" i="33"/>
  <c r="F32" i="34" l="1"/>
  <c r="D33" i="34"/>
  <c r="A44" i="34"/>
  <c r="C38" i="34"/>
  <c r="B39" i="34"/>
  <c r="J30" i="33"/>
  <c r="I30" i="33"/>
  <c r="C45" i="33"/>
  <c r="A47" i="33"/>
  <c r="B46" i="33"/>
  <c r="E33" i="34" l="1"/>
  <c r="G33" i="34" s="1"/>
  <c r="C39" i="34"/>
  <c r="B40" i="34"/>
  <c r="A45" i="34"/>
  <c r="G31" i="33"/>
  <c r="U30" i="33"/>
  <c r="O30" i="33"/>
  <c r="C46" i="33"/>
  <c r="B47" i="33"/>
  <c r="A48" i="33"/>
  <c r="D34" i="34" l="1"/>
  <c r="F33" i="34"/>
  <c r="C40" i="34"/>
  <c r="B41" i="34"/>
  <c r="A46" i="34"/>
  <c r="Q30" i="33"/>
  <c r="P30" i="33"/>
  <c r="V30" i="33" s="1"/>
  <c r="W30" i="33" s="1"/>
  <c r="C47" i="33"/>
  <c r="A49" i="33"/>
  <c r="B48" i="33"/>
  <c r="E34" i="34" l="1"/>
  <c r="G34" i="34" s="1"/>
  <c r="A47" i="34"/>
  <c r="C41" i="34"/>
  <c r="B42" i="34"/>
  <c r="N31" i="33"/>
  <c r="C48" i="33"/>
  <c r="B49" i="33"/>
  <c r="A50" i="33"/>
  <c r="D35" i="34" l="1"/>
  <c r="F34" i="34"/>
  <c r="C42" i="34"/>
  <c r="B43" i="34"/>
  <c r="A48" i="34"/>
  <c r="H31" i="33"/>
  <c r="A51" i="33"/>
  <c r="B50" i="33"/>
  <c r="C49" i="33"/>
  <c r="E35" i="34" l="1"/>
  <c r="G35" i="34" s="1"/>
  <c r="A49" i="34"/>
  <c r="C43" i="34"/>
  <c r="B44" i="34"/>
  <c r="J31" i="33"/>
  <c r="I31" i="33"/>
  <c r="C50" i="33"/>
  <c r="A52" i="33"/>
  <c r="B51" i="33"/>
  <c r="D36" i="34" l="1"/>
  <c r="F35" i="34"/>
  <c r="A50" i="34"/>
  <c r="C44" i="34"/>
  <c r="B45" i="34"/>
  <c r="U31" i="33"/>
  <c r="O31" i="33"/>
  <c r="G32" i="33"/>
  <c r="C51" i="33"/>
  <c r="A53" i="33"/>
  <c r="B52" i="33"/>
  <c r="E36" i="34" l="1"/>
  <c r="G36" i="34" s="1"/>
  <c r="A51" i="34"/>
  <c r="C45" i="34"/>
  <c r="B46" i="34"/>
  <c r="Q31" i="33"/>
  <c r="P31" i="33"/>
  <c r="V31" i="33" s="1"/>
  <c r="W31" i="33" s="1"/>
  <c r="C52" i="33"/>
  <c r="A54" i="33"/>
  <c r="B53" i="33"/>
  <c r="D37" i="34" l="1"/>
  <c r="F36" i="34"/>
  <c r="A52" i="34"/>
  <c r="C46" i="34"/>
  <c r="B47" i="34"/>
  <c r="N32" i="33"/>
  <c r="C53" i="33"/>
  <c r="A55" i="33"/>
  <c r="B54" i="33"/>
  <c r="E37" i="34" l="1"/>
  <c r="G37" i="34" s="1"/>
  <c r="A53" i="34"/>
  <c r="C47" i="34"/>
  <c r="B48" i="34"/>
  <c r="H32" i="33"/>
  <c r="B55" i="33"/>
  <c r="A56" i="33"/>
  <c r="C54" i="33"/>
  <c r="D38" i="34" l="1"/>
  <c r="F37" i="34"/>
  <c r="C48" i="34"/>
  <c r="B49" i="34"/>
  <c r="A54" i="34"/>
  <c r="J32" i="33"/>
  <c r="I32" i="33"/>
  <c r="A57" i="33"/>
  <c r="B56" i="33"/>
  <c r="C55" i="33"/>
  <c r="E38" i="34" l="1"/>
  <c r="G38" i="34" s="1"/>
  <c r="A55" i="34"/>
  <c r="C49" i="34"/>
  <c r="B50" i="34"/>
  <c r="U32" i="33"/>
  <c r="O32" i="33"/>
  <c r="G33" i="33"/>
  <c r="C56" i="33"/>
  <c r="B57" i="33"/>
  <c r="A58" i="33"/>
  <c r="D39" i="34" l="1"/>
  <c r="F38" i="34"/>
  <c r="C50" i="34"/>
  <c r="B51" i="34"/>
  <c r="A56" i="34"/>
  <c r="Q32" i="33"/>
  <c r="P32" i="33"/>
  <c r="V32" i="33" s="1"/>
  <c r="W32" i="33" s="1"/>
  <c r="A59" i="33"/>
  <c r="B58" i="33"/>
  <c r="C57" i="33"/>
  <c r="E39" i="34" l="1"/>
  <c r="G39" i="34" s="1"/>
  <c r="A57" i="34"/>
  <c r="C51" i="34"/>
  <c r="B52" i="34"/>
  <c r="N33" i="33"/>
  <c r="C58" i="33"/>
  <c r="B59" i="33"/>
  <c r="A60" i="33"/>
  <c r="D40" i="34" l="1"/>
  <c r="F39" i="34"/>
  <c r="C52" i="34"/>
  <c r="B53" i="34"/>
  <c r="A58" i="34"/>
  <c r="H33" i="33"/>
  <c r="A61" i="33"/>
  <c r="B60" i="33"/>
  <c r="C59" i="33"/>
  <c r="E40" i="34" l="1"/>
  <c r="G40" i="34" s="1"/>
  <c r="D41" i="34" s="1"/>
  <c r="C53" i="34"/>
  <c r="B54" i="34"/>
  <c r="A59" i="34"/>
  <c r="J33" i="33"/>
  <c r="I33" i="33"/>
  <c r="C60" i="33"/>
  <c r="B61" i="33"/>
  <c r="A62" i="33"/>
  <c r="E41" i="34" l="1"/>
  <c r="G41" i="34" s="1"/>
  <c r="D42" i="34" s="1"/>
  <c r="F40" i="34"/>
  <c r="A60" i="34"/>
  <c r="C54" i="34"/>
  <c r="B55" i="34"/>
  <c r="U33" i="33"/>
  <c r="O33" i="33"/>
  <c r="G34" i="33"/>
  <c r="A63" i="33"/>
  <c r="B62" i="33"/>
  <c r="C61" i="33"/>
  <c r="F41" i="34" l="1"/>
  <c r="E42" i="34"/>
  <c r="G42" i="34" s="1"/>
  <c r="D43" i="34" s="1"/>
  <c r="A61" i="34"/>
  <c r="C55" i="34"/>
  <c r="B56" i="34"/>
  <c r="Q33" i="33"/>
  <c r="P33" i="33"/>
  <c r="V33" i="33" s="1"/>
  <c r="W33" i="33" s="1"/>
  <c r="C62" i="33"/>
  <c r="B63" i="33"/>
  <c r="A64" i="33"/>
  <c r="F42" i="34" l="1"/>
  <c r="E43" i="34"/>
  <c r="G43" i="34" s="1"/>
  <c r="D44" i="34" s="1"/>
  <c r="A62" i="34"/>
  <c r="C56" i="34"/>
  <c r="B57" i="34"/>
  <c r="N34" i="33"/>
  <c r="A65" i="33"/>
  <c r="B64" i="33"/>
  <c r="C63" i="33"/>
  <c r="E44" i="34" l="1"/>
  <c r="G44" i="34" s="1"/>
  <c r="D45" i="34" s="1"/>
  <c r="F43" i="34"/>
  <c r="C57" i="34"/>
  <c r="B58" i="34"/>
  <c r="A63" i="34"/>
  <c r="H34" i="33"/>
  <c r="C64" i="33"/>
  <c r="B65" i="33"/>
  <c r="A66" i="33"/>
  <c r="F44" i="34" l="1"/>
  <c r="E45" i="34"/>
  <c r="G45" i="34" s="1"/>
  <c r="D46" i="34" s="1"/>
  <c r="A64" i="34"/>
  <c r="C58" i="34"/>
  <c r="B59" i="34"/>
  <c r="J34" i="33"/>
  <c r="I34" i="33"/>
  <c r="C65" i="33"/>
  <c r="A67" i="33"/>
  <c r="B66" i="33"/>
  <c r="E46" i="34" l="1"/>
  <c r="G46" i="34" s="1"/>
  <c r="D47" i="34" s="1"/>
  <c r="F45" i="34"/>
  <c r="A65" i="34"/>
  <c r="C59" i="34"/>
  <c r="B60" i="34"/>
  <c r="U34" i="33"/>
  <c r="O34" i="33"/>
  <c r="G35" i="33"/>
  <c r="C66" i="33"/>
  <c r="B67" i="33"/>
  <c r="A68" i="33"/>
  <c r="F46" i="34" l="1"/>
  <c r="E47" i="34"/>
  <c r="G47" i="34" s="1"/>
  <c r="D48" i="34" s="1"/>
  <c r="A66" i="34"/>
  <c r="C60" i="34"/>
  <c r="B61" i="34"/>
  <c r="Q34" i="33"/>
  <c r="P34" i="33"/>
  <c r="V34" i="33" s="1"/>
  <c r="W34" i="33" s="1"/>
  <c r="C67" i="33"/>
  <c r="A69" i="33"/>
  <c r="B68" i="33"/>
  <c r="E48" i="34" l="1"/>
  <c r="G48" i="34" s="1"/>
  <c r="D49" i="34" s="1"/>
  <c r="F47" i="34"/>
  <c r="C61" i="34"/>
  <c r="B62" i="34"/>
  <c r="A67" i="34"/>
  <c r="N35" i="33"/>
  <c r="C68" i="33"/>
  <c r="B69" i="33"/>
  <c r="A70" i="33"/>
  <c r="E49" i="34" l="1"/>
  <c r="G49" i="34" s="1"/>
  <c r="D50" i="34" s="1"/>
  <c r="F48" i="34"/>
  <c r="A68" i="34"/>
  <c r="C62" i="34"/>
  <c r="B63" i="34"/>
  <c r="H35" i="33"/>
  <c r="A71" i="33"/>
  <c r="B70" i="33"/>
  <c r="C69" i="33"/>
  <c r="F49" i="34" l="1"/>
  <c r="E50" i="34"/>
  <c r="G50" i="34" s="1"/>
  <c r="D51" i="34" s="1"/>
  <c r="E51" i="34" s="1"/>
  <c r="G51" i="34" s="1"/>
  <c r="D52" i="34" s="1"/>
  <c r="A69" i="34"/>
  <c r="C63" i="34"/>
  <c r="B64" i="34"/>
  <c r="J35" i="33"/>
  <c r="I35" i="33"/>
  <c r="B71" i="33"/>
  <c r="A72" i="33"/>
  <c r="C70" i="33"/>
  <c r="F51" i="34" l="1"/>
  <c r="F50" i="34"/>
  <c r="C64" i="34"/>
  <c r="B65" i="34"/>
  <c r="A70" i="34"/>
  <c r="E52" i="34"/>
  <c r="G52" i="34" s="1"/>
  <c r="U35" i="33"/>
  <c r="O35" i="33"/>
  <c r="G36" i="33"/>
  <c r="A73" i="33"/>
  <c r="B72" i="33"/>
  <c r="C71" i="33"/>
  <c r="D53" i="34" l="1"/>
  <c r="A71" i="34"/>
  <c r="F52" i="34"/>
  <c r="C65" i="34"/>
  <c r="B66" i="34"/>
  <c r="Q35" i="33"/>
  <c r="P35" i="33"/>
  <c r="V35" i="33" s="1"/>
  <c r="W35" i="33" s="1"/>
  <c r="C72" i="33"/>
  <c r="B73" i="33"/>
  <c r="A74" i="33"/>
  <c r="A72" i="34" l="1"/>
  <c r="C66" i="34"/>
  <c r="B67" i="34"/>
  <c r="E53" i="34"/>
  <c r="G53" i="34" s="1"/>
  <c r="N36" i="33"/>
  <c r="A75" i="33"/>
  <c r="B74" i="33"/>
  <c r="C73" i="33"/>
  <c r="D54" i="34" l="1"/>
  <c r="F53" i="34"/>
  <c r="A73" i="34"/>
  <c r="C67" i="34"/>
  <c r="B68" i="34"/>
  <c r="H36" i="33"/>
  <c r="C74" i="33"/>
  <c r="B75" i="33"/>
  <c r="A76" i="33"/>
  <c r="A74" i="34" l="1"/>
  <c r="C68" i="34"/>
  <c r="B69" i="34"/>
  <c r="E54" i="34"/>
  <c r="G54" i="34" s="1"/>
  <c r="J36" i="33"/>
  <c r="I36" i="33"/>
  <c r="A77" i="33"/>
  <c r="B76" i="33"/>
  <c r="C75" i="33"/>
  <c r="D55" i="34" l="1"/>
  <c r="F54" i="34"/>
  <c r="C69" i="34"/>
  <c r="B70" i="34"/>
  <c r="A75" i="34"/>
  <c r="U36" i="33"/>
  <c r="O36" i="33"/>
  <c r="G37" i="33"/>
  <c r="C76" i="33"/>
  <c r="B77" i="33"/>
  <c r="A78" i="33"/>
  <c r="C70" i="34" l="1"/>
  <c r="B71" i="34"/>
  <c r="A76" i="34"/>
  <c r="E55" i="34"/>
  <c r="G55" i="34" s="1"/>
  <c r="Q36" i="33"/>
  <c r="P36" i="33"/>
  <c r="V36" i="33" s="1"/>
  <c r="W36" i="33" s="1"/>
  <c r="A79" i="33"/>
  <c r="B78" i="33"/>
  <c r="C77" i="33"/>
  <c r="C71" i="34" l="1"/>
  <c r="B72" i="34"/>
  <c r="A77" i="34"/>
  <c r="D56" i="34"/>
  <c r="F55" i="34"/>
  <c r="N37" i="33"/>
  <c r="C78" i="33"/>
  <c r="B79" i="33"/>
  <c r="A80" i="33"/>
  <c r="C72" i="34" l="1"/>
  <c r="B73" i="34"/>
  <c r="A78" i="34"/>
  <c r="E56" i="34"/>
  <c r="G56" i="34" s="1"/>
  <c r="H37" i="33"/>
  <c r="A81" i="33"/>
  <c r="B80" i="33"/>
  <c r="C79" i="33"/>
  <c r="D57" i="34" l="1"/>
  <c r="F56" i="34"/>
  <c r="A79" i="34"/>
  <c r="C73" i="34"/>
  <c r="B74" i="34"/>
  <c r="J37" i="33"/>
  <c r="I37" i="33"/>
  <c r="C80" i="33"/>
  <c r="B81" i="33"/>
  <c r="A82" i="33"/>
  <c r="C74" i="34" l="1"/>
  <c r="B75" i="34"/>
  <c r="A80" i="34"/>
  <c r="E57" i="34"/>
  <c r="G57" i="34" s="1"/>
  <c r="U37" i="33"/>
  <c r="O37" i="33"/>
  <c r="G38" i="33"/>
  <c r="A83" i="33"/>
  <c r="B82" i="33"/>
  <c r="C81" i="33"/>
  <c r="D58" i="34" l="1"/>
  <c r="F57" i="34"/>
  <c r="C75" i="34"/>
  <c r="B76" i="34"/>
  <c r="A81" i="34"/>
  <c r="Q37" i="33"/>
  <c r="P37" i="33"/>
  <c r="V37" i="33" s="1"/>
  <c r="W37" i="33" s="1"/>
  <c r="C82" i="33"/>
  <c r="B83" i="33"/>
  <c r="A84" i="33"/>
  <c r="C76" i="34" l="1"/>
  <c r="B77" i="34"/>
  <c r="A82" i="34"/>
  <c r="E58" i="34"/>
  <c r="G58" i="34" s="1"/>
  <c r="N38" i="33"/>
  <c r="B84" i="33"/>
  <c r="A85" i="33"/>
  <c r="C83" i="33"/>
  <c r="D59" i="34" l="1"/>
  <c r="A83" i="34"/>
  <c r="F58" i="34"/>
  <c r="C77" i="34"/>
  <c r="B78" i="34"/>
  <c r="H38" i="33"/>
  <c r="A86" i="33"/>
  <c r="B85" i="33"/>
  <c r="C84" i="33"/>
  <c r="A84" i="34" l="1"/>
  <c r="C78" i="34"/>
  <c r="B79" i="34"/>
  <c r="E59" i="34"/>
  <c r="G59" i="34" s="1"/>
  <c r="J38" i="33"/>
  <c r="I38" i="33"/>
  <c r="C85" i="33"/>
  <c r="B86" i="33"/>
  <c r="A87" i="33"/>
  <c r="C79" i="34" l="1"/>
  <c r="B80" i="34"/>
  <c r="D60" i="34"/>
  <c r="F59" i="34"/>
  <c r="A85" i="34"/>
  <c r="U38" i="33"/>
  <c r="O38" i="33"/>
  <c r="G39" i="33"/>
  <c r="B87" i="33"/>
  <c r="A88" i="33"/>
  <c r="C86" i="33"/>
  <c r="E60" i="34" l="1"/>
  <c r="G60" i="34" s="1"/>
  <c r="A86" i="34"/>
  <c r="C80" i="34"/>
  <c r="B81" i="34"/>
  <c r="Q38" i="33"/>
  <c r="P38" i="33"/>
  <c r="V38" i="33" s="1"/>
  <c r="W38" i="33" s="1"/>
  <c r="B88" i="33"/>
  <c r="A89" i="33"/>
  <c r="C87" i="33"/>
  <c r="C81" i="34" l="1"/>
  <c r="B82" i="34"/>
  <c r="D61" i="34"/>
  <c r="A87" i="34"/>
  <c r="F60" i="34"/>
  <c r="N39" i="33"/>
  <c r="C88" i="33"/>
  <c r="B89" i="33"/>
  <c r="A90" i="33"/>
  <c r="A88" i="34" l="1"/>
  <c r="C82" i="34"/>
  <c r="B83" i="34"/>
  <c r="E61" i="34"/>
  <c r="G61" i="34" s="1"/>
  <c r="H39" i="33"/>
  <c r="B90" i="33"/>
  <c r="A91" i="33"/>
  <c r="C89" i="33"/>
  <c r="D62" i="34" l="1"/>
  <c r="F61" i="34"/>
  <c r="C83" i="34"/>
  <c r="B84" i="34"/>
  <c r="A89" i="34"/>
  <c r="J39" i="33"/>
  <c r="I39" i="33"/>
  <c r="C90" i="33"/>
  <c r="B91" i="33"/>
  <c r="A92" i="33"/>
  <c r="C84" i="34" l="1"/>
  <c r="B85" i="34"/>
  <c r="A90" i="34"/>
  <c r="E62" i="34"/>
  <c r="G62" i="34" s="1"/>
  <c r="U39" i="33"/>
  <c r="O39" i="33"/>
  <c r="G40" i="33"/>
  <c r="B92" i="33"/>
  <c r="A93" i="33"/>
  <c r="C91" i="33"/>
  <c r="C85" i="34" l="1"/>
  <c r="B86" i="34"/>
  <c r="A91" i="34"/>
  <c r="D63" i="34"/>
  <c r="F62" i="34"/>
  <c r="Q39" i="33"/>
  <c r="P39" i="33"/>
  <c r="V39" i="33" s="1"/>
  <c r="W39" i="33" s="1"/>
  <c r="A94" i="33"/>
  <c r="B93" i="33"/>
  <c r="C92" i="33"/>
  <c r="A92" i="34" l="1"/>
  <c r="E63" i="34"/>
  <c r="G63" i="34" s="1"/>
  <c r="C86" i="34"/>
  <c r="B87" i="34"/>
  <c r="N40" i="33"/>
  <c r="B94" i="33"/>
  <c r="A95" i="33"/>
  <c r="C93" i="33"/>
  <c r="F63" i="34" l="1"/>
  <c r="C87" i="34"/>
  <c r="B88" i="34"/>
  <c r="D64" i="34"/>
  <c r="A93" i="34"/>
  <c r="H40" i="33"/>
  <c r="A96" i="33"/>
  <c r="B95" i="33"/>
  <c r="C94" i="33"/>
  <c r="A94" i="34" l="1"/>
  <c r="E64" i="34"/>
  <c r="G64" i="34" s="1"/>
  <c r="C88" i="34"/>
  <c r="B89" i="34"/>
  <c r="J40" i="33"/>
  <c r="I40" i="33"/>
  <c r="C95" i="33"/>
  <c r="B96" i="33"/>
  <c r="A97" i="33"/>
  <c r="F64" i="34" l="1"/>
  <c r="A95" i="34"/>
  <c r="C89" i="34"/>
  <c r="B90" i="34"/>
  <c r="D65" i="34"/>
  <c r="U40" i="33"/>
  <c r="O40" i="33"/>
  <c r="G41" i="33"/>
  <c r="B97" i="33"/>
  <c r="A98" i="33"/>
  <c r="C96" i="33"/>
  <c r="C90" i="34" l="1"/>
  <c r="B91" i="34"/>
  <c r="E65" i="34"/>
  <c r="G65" i="34" s="1"/>
  <c r="A96" i="34"/>
  <c r="Q40" i="33"/>
  <c r="P40" i="33"/>
  <c r="V40" i="33" s="1"/>
  <c r="W40" i="33" s="1"/>
  <c r="C97" i="33"/>
  <c r="B98" i="33"/>
  <c r="A99" i="33"/>
  <c r="F65" i="34" l="1"/>
  <c r="C91" i="34"/>
  <c r="B92" i="34"/>
  <c r="A97" i="34"/>
  <c r="D66" i="34"/>
  <c r="N41" i="33"/>
  <c r="B99" i="33"/>
  <c r="A100" i="33"/>
  <c r="C98" i="33"/>
  <c r="C92" i="34" l="1"/>
  <c r="B93" i="34"/>
  <c r="E66" i="34"/>
  <c r="G66" i="34" s="1"/>
  <c r="A98" i="34"/>
  <c r="H41" i="33"/>
  <c r="C99" i="33"/>
  <c r="B100" i="33"/>
  <c r="A101" i="33"/>
  <c r="F66" i="34" l="1"/>
  <c r="C93" i="34"/>
  <c r="B94" i="34"/>
  <c r="A99" i="34"/>
  <c r="D67" i="34"/>
  <c r="J41" i="33"/>
  <c r="I41" i="33"/>
  <c r="A102" i="33"/>
  <c r="B101" i="33"/>
  <c r="C100" i="33"/>
  <c r="E67" i="34" l="1"/>
  <c r="G67" i="34" s="1"/>
  <c r="C94" i="34"/>
  <c r="B95" i="34"/>
  <c r="A100" i="34"/>
  <c r="U41" i="33"/>
  <c r="O41" i="33"/>
  <c r="G42" i="33"/>
  <c r="C101" i="33"/>
  <c r="B102" i="33"/>
  <c r="A103" i="33"/>
  <c r="A101" i="34" l="1"/>
  <c r="D68" i="34"/>
  <c r="C95" i="34"/>
  <c r="B96" i="34"/>
  <c r="F67" i="34"/>
  <c r="Q41" i="33"/>
  <c r="P41" i="33"/>
  <c r="V41" i="33" s="1"/>
  <c r="W41" i="33" s="1"/>
  <c r="A104" i="33"/>
  <c r="B103" i="33"/>
  <c r="C102" i="33"/>
  <c r="C96" i="34" l="1"/>
  <c r="B97" i="34"/>
  <c r="A102" i="34"/>
  <c r="E68" i="34"/>
  <c r="G68" i="34" s="1"/>
  <c r="N42" i="33"/>
  <c r="C103" i="33"/>
  <c r="B104" i="33"/>
  <c r="A105" i="33"/>
  <c r="C97" i="34" l="1"/>
  <c r="B98" i="34"/>
  <c r="D69" i="34"/>
  <c r="A103" i="34"/>
  <c r="F68" i="34"/>
  <c r="H42" i="33"/>
  <c r="C104" i="33"/>
  <c r="B105" i="33"/>
  <c r="A106" i="33"/>
  <c r="E69" i="34" l="1"/>
  <c r="G69" i="34" s="1"/>
  <c r="A104" i="34"/>
  <c r="C98" i="34"/>
  <c r="B99" i="34"/>
  <c r="J42" i="33"/>
  <c r="I42" i="33"/>
  <c r="C105" i="33"/>
  <c r="B106" i="33"/>
  <c r="A107" i="33"/>
  <c r="C99" i="34" l="1"/>
  <c r="B100" i="34"/>
  <c r="D70" i="34"/>
  <c r="A105" i="34"/>
  <c r="F69" i="34"/>
  <c r="U42" i="33"/>
  <c r="O42" i="33"/>
  <c r="G43" i="33"/>
  <c r="B107" i="33"/>
  <c r="A108" i="33"/>
  <c r="C106" i="33"/>
  <c r="C100" i="34" l="1"/>
  <c r="B101" i="34"/>
  <c r="A106" i="34"/>
  <c r="E70" i="34"/>
  <c r="G70" i="34" s="1"/>
  <c r="Q42" i="33"/>
  <c r="P42" i="33"/>
  <c r="V42" i="33" s="1"/>
  <c r="W42" i="33" s="1"/>
  <c r="B108" i="33"/>
  <c r="A109" i="33"/>
  <c r="C107" i="33"/>
  <c r="C101" i="34" l="1"/>
  <c r="B102" i="34"/>
  <c r="D71" i="34"/>
  <c r="A107" i="34"/>
  <c r="F70" i="34"/>
  <c r="N43" i="33"/>
  <c r="A110" i="33"/>
  <c r="B109" i="33"/>
  <c r="C108" i="33"/>
  <c r="E71" i="34" l="1"/>
  <c r="G71" i="34" s="1"/>
  <c r="A108" i="34"/>
  <c r="C102" i="34"/>
  <c r="B103" i="34"/>
  <c r="H43" i="33"/>
  <c r="C109" i="33"/>
  <c r="B110" i="33"/>
  <c r="A111" i="33"/>
  <c r="D72" i="34" l="1"/>
  <c r="C103" i="34"/>
  <c r="B104" i="34"/>
  <c r="A109" i="34"/>
  <c r="F71" i="34"/>
  <c r="J43" i="33"/>
  <c r="I43" i="33"/>
  <c r="C110" i="33"/>
  <c r="A112" i="33"/>
  <c r="B111" i="33"/>
  <c r="A110" i="34" l="1"/>
  <c r="C104" i="34"/>
  <c r="B105" i="34"/>
  <c r="E72" i="34"/>
  <c r="G72" i="34" s="1"/>
  <c r="U43" i="33"/>
  <c r="O43" i="33"/>
  <c r="G44" i="33"/>
  <c r="C111" i="33"/>
  <c r="B112" i="33"/>
  <c r="A113" i="33"/>
  <c r="D73" i="34" l="1"/>
  <c r="C105" i="34"/>
  <c r="B106" i="34"/>
  <c r="F72" i="34"/>
  <c r="A111" i="34"/>
  <c r="Q43" i="33"/>
  <c r="P43" i="33"/>
  <c r="V43" i="33" s="1"/>
  <c r="W43" i="33" s="1"/>
  <c r="B113" i="33"/>
  <c r="A114" i="33"/>
  <c r="C112" i="33"/>
  <c r="A112" i="34" l="1"/>
  <c r="C106" i="34"/>
  <c r="B107" i="34"/>
  <c r="E73" i="34"/>
  <c r="G73" i="34" s="1"/>
  <c r="N44" i="33"/>
  <c r="C113" i="33"/>
  <c r="A115" i="33"/>
  <c r="B114" i="33"/>
  <c r="A113" i="34" l="1"/>
  <c r="D74" i="34"/>
  <c r="F73" i="34"/>
  <c r="C107" i="34"/>
  <c r="B108" i="34"/>
  <c r="H44" i="33"/>
  <c r="C114" i="33"/>
  <c r="A116" i="33"/>
  <c r="B115" i="33"/>
  <c r="E74" i="34" l="1"/>
  <c r="G74" i="34" s="1"/>
  <c r="A114" i="34"/>
  <c r="C108" i="34"/>
  <c r="B109" i="34"/>
  <c r="J44" i="33"/>
  <c r="I44" i="33"/>
  <c r="C115" i="33"/>
  <c r="B116" i="33"/>
  <c r="A117" i="33"/>
  <c r="D75" i="34" l="1"/>
  <c r="C109" i="34"/>
  <c r="B110" i="34"/>
  <c r="A115" i="34"/>
  <c r="F74" i="34"/>
  <c r="U44" i="33"/>
  <c r="O44" i="33"/>
  <c r="G45" i="33"/>
  <c r="A118" i="33"/>
  <c r="B117" i="33"/>
  <c r="C116" i="33"/>
  <c r="A116" i="34" l="1"/>
  <c r="C110" i="34"/>
  <c r="B111" i="34"/>
  <c r="E75" i="34"/>
  <c r="G75" i="34" s="1"/>
  <c r="Q44" i="33"/>
  <c r="P44" i="33"/>
  <c r="V44" i="33" s="1"/>
  <c r="W44" i="33" s="1"/>
  <c r="C117" i="33"/>
  <c r="B118" i="33"/>
  <c r="A119" i="33"/>
  <c r="D76" i="34" l="1"/>
  <c r="A117" i="34"/>
  <c r="F75" i="34"/>
  <c r="C111" i="34"/>
  <c r="B112" i="34"/>
  <c r="N45" i="33"/>
  <c r="B119" i="33"/>
  <c r="A120" i="33"/>
  <c r="C118" i="33"/>
  <c r="A118" i="34" l="1"/>
  <c r="C112" i="34"/>
  <c r="B113" i="34"/>
  <c r="E76" i="34"/>
  <c r="G76" i="34" s="1"/>
  <c r="H45" i="33"/>
  <c r="B120" i="33"/>
  <c r="A121" i="33"/>
  <c r="C119" i="33"/>
  <c r="D77" i="34" l="1"/>
  <c r="F76" i="34"/>
  <c r="C113" i="34"/>
  <c r="B114" i="34"/>
  <c r="A119" i="34"/>
  <c r="J45" i="33"/>
  <c r="I45" i="33"/>
  <c r="C120" i="33"/>
  <c r="B121" i="33"/>
  <c r="A122" i="33"/>
  <c r="C114" i="34" l="1"/>
  <c r="B115" i="34"/>
  <c r="A120" i="34"/>
  <c r="E77" i="34"/>
  <c r="G77" i="34" s="1"/>
  <c r="O45" i="33"/>
  <c r="U45" i="33"/>
  <c r="G46" i="33"/>
  <c r="B122" i="33"/>
  <c r="A123" i="33"/>
  <c r="C121" i="33"/>
  <c r="C115" i="34" l="1"/>
  <c r="B116" i="34"/>
  <c r="A121" i="34"/>
  <c r="D78" i="34"/>
  <c r="F77" i="34"/>
  <c r="Q45" i="33"/>
  <c r="P45" i="33"/>
  <c r="V45" i="33" s="1"/>
  <c r="W45" i="33" s="1"/>
  <c r="A124" i="33"/>
  <c r="B123" i="33"/>
  <c r="C122" i="33"/>
  <c r="C116" i="34" l="1"/>
  <c r="B117" i="34"/>
  <c r="A122" i="34"/>
  <c r="E78" i="34"/>
  <c r="G78" i="34" s="1"/>
  <c r="N46" i="33"/>
  <c r="C123" i="33"/>
  <c r="B124" i="33"/>
  <c r="A125" i="33"/>
  <c r="D79" i="34" l="1"/>
  <c r="A123" i="34"/>
  <c r="F78" i="34"/>
  <c r="C117" i="34"/>
  <c r="B118" i="34"/>
  <c r="H46" i="33"/>
  <c r="A126" i="33"/>
  <c r="B125" i="33"/>
  <c r="C124" i="33"/>
  <c r="C118" i="34" l="1"/>
  <c r="B119" i="34"/>
  <c r="A124" i="34"/>
  <c r="E79" i="34"/>
  <c r="G79" i="34" s="1"/>
  <c r="J46" i="33"/>
  <c r="I46" i="33"/>
  <c r="B126" i="33"/>
  <c r="A127" i="33"/>
  <c r="C125" i="33"/>
  <c r="D80" i="34" l="1"/>
  <c r="F79" i="34"/>
  <c r="C119" i="34"/>
  <c r="B120" i="34"/>
  <c r="A125" i="34"/>
  <c r="O46" i="33"/>
  <c r="U46" i="33"/>
  <c r="G47" i="33"/>
  <c r="A128" i="33"/>
  <c r="B127" i="33"/>
  <c r="C126" i="33"/>
  <c r="A126" i="34" l="1"/>
  <c r="C120" i="34"/>
  <c r="B121" i="34"/>
  <c r="E80" i="34"/>
  <c r="G80" i="34" s="1"/>
  <c r="Q46" i="33"/>
  <c r="P46" i="33"/>
  <c r="V46" i="33" s="1"/>
  <c r="W46" i="33" s="1"/>
  <c r="C127" i="33"/>
  <c r="A129" i="33"/>
  <c r="B128" i="33"/>
  <c r="C121" i="34" l="1"/>
  <c r="B122" i="34"/>
  <c r="A127" i="34"/>
  <c r="D81" i="34"/>
  <c r="F80" i="34"/>
  <c r="N47" i="33"/>
  <c r="C128" i="33"/>
  <c r="B129" i="33"/>
  <c r="A130" i="33"/>
  <c r="C122" i="34" l="1"/>
  <c r="B123" i="34"/>
  <c r="A128" i="34"/>
  <c r="E81" i="34"/>
  <c r="G81" i="34" s="1"/>
  <c r="H47" i="33"/>
  <c r="A131" i="33"/>
  <c r="B130" i="33"/>
  <c r="C129" i="33"/>
  <c r="C123" i="34" l="1"/>
  <c r="B124" i="34"/>
  <c r="A129" i="34"/>
  <c r="D82" i="34"/>
  <c r="F81" i="34"/>
  <c r="J47" i="33"/>
  <c r="I47" i="33"/>
  <c r="C130" i="33"/>
  <c r="A132" i="33"/>
  <c r="B131" i="33"/>
  <c r="C124" i="34" l="1"/>
  <c r="B125" i="34"/>
  <c r="A130" i="34"/>
  <c r="E82" i="34"/>
  <c r="G82" i="34" s="1"/>
  <c r="O47" i="33"/>
  <c r="U47" i="33"/>
  <c r="G48" i="33"/>
  <c r="C131" i="33"/>
  <c r="A133" i="33"/>
  <c r="B132" i="33"/>
  <c r="F82" i="34" l="1"/>
  <c r="D83" i="34"/>
  <c r="C125" i="34"/>
  <c r="B126" i="34"/>
  <c r="A131" i="34"/>
  <c r="Q47" i="33"/>
  <c r="P47" i="33"/>
  <c r="V47" i="33" s="1"/>
  <c r="W47" i="33" s="1"/>
  <c r="C132" i="33"/>
  <c r="A134" i="33"/>
  <c r="B133" i="33"/>
  <c r="E83" i="34" l="1"/>
  <c r="G83" i="34" s="1"/>
  <c r="C126" i="34"/>
  <c r="B127" i="34"/>
  <c r="A132" i="34"/>
  <c r="N48" i="33"/>
  <c r="C133" i="33"/>
  <c r="A135" i="33"/>
  <c r="B134" i="33"/>
  <c r="D84" i="34" l="1"/>
  <c r="A133" i="34"/>
  <c r="C127" i="34"/>
  <c r="B128" i="34"/>
  <c r="F83" i="34"/>
  <c r="H48" i="33"/>
  <c r="C134" i="33"/>
  <c r="B135" i="33"/>
  <c r="A136" i="33"/>
  <c r="C128" i="34" l="1"/>
  <c r="B129" i="34"/>
  <c r="A134" i="34"/>
  <c r="E84" i="34"/>
  <c r="G84" i="34" s="1"/>
  <c r="J48" i="33"/>
  <c r="I48" i="33"/>
  <c r="C135" i="33"/>
  <c r="A137" i="33"/>
  <c r="B136" i="33"/>
  <c r="D85" i="34" l="1"/>
  <c r="F84" i="34"/>
  <c r="C129" i="34"/>
  <c r="B130" i="34"/>
  <c r="A135" i="34"/>
  <c r="O48" i="33"/>
  <c r="U48" i="33"/>
  <c r="G49" i="33"/>
  <c r="C136" i="33"/>
  <c r="B137" i="33"/>
  <c r="A138" i="33"/>
  <c r="C130" i="34" l="1"/>
  <c r="B131" i="34"/>
  <c r="A136" i="34"/>
  <c r="E85" i="34"/>
  <c r="G85" i="34" s="1"/>
  <c r="Q48" i="33"/>
  <c r="P48" i="33"/>
  <c r="V48" i="33" s="1"/>
  <c r="W48" i="33" s="1"/>
  <c r="A139" i="33"/>
  <c r="B138" i="33"/>
  <c r="C137" i="33"/>
  <c r="D86" i="34" l="1"/>
  <c r="F85" i="34"/>
  <c r="C131" i="34"/>
  <c r="B132" i="34"/>
  <c r="A137" i="34"/>
  <c r="N49" i="33"/>
  <c r="C138" i="33"/>
  <c r="A140" i="33"/>
  <c r="B139" i="33"/>
  <c r="C132" i="34" l="1"/>
  <c r="B133" i="34"/>
  <c r="A138" i="34"/>
  <c r="E86" i="34"/>
  <c r="G86" i="34" s="1"/>
  <c r="H49" i="33"/>
  <c r="C139" i="33"/>
  <c r="A141" i="33"/>
  <c r="B140" i="33"/>
  <c r="D87" i="34" l="1"/>
  <c r="F86" i="34"/>
  <c r="C133" i="34"/>
  <c r="B134" i="34"/>
  <c r="A139" i="34"/>
  <c r="J49" i="33"/>
  <c r="I49" i="33"/>
  <c r="A142" i="33"/>
  <c r="B141" i="33"/>
  <c r="C140" i="33"/>
  <c r="C134" i="34" l="1"/>
  <c r="B135" i="34"/>
  <c r="A140" i="34"/>
  <c r="E87" i="34"/>
  <c r="G87" i="34" s="1"/>
  <c r="O49" i="33"/>
  <c r="U49" i="33"/>
  <c r="G50" i="33"/>
  <c r="C141" i="33"/>
  <c r="A143" i="33"/>
  <c r="B142" i="33"/>
  <c r="C135" i="34" l="1"/>
  <c r="B136" i="34"/>
  <c r="D88" i="34"/>
  <c r="F87" i="34"/>
  <c r="A141" i="34"/>
  <c r="Q49" i="33"/>
  <c r="P49" i="33"/>
  <c r="V49" i="33" s="1"/>
  <c r="W49" i="33" s="1"/>
  <c r="C142" i="33"/>
  <c r="A144" i="33"/>
  <c r="B143" i="33"/>
  <c r="E88" i="34" l="1"/>
  <c r="G88" i="34" s="1"/>
  <c r="A142" i="34"/>
  <c r="C136" i="34"/>
  <c r="B137" i="34"/>
  <c r="N50" i="33"/>
  <c r="C143" i="33"/>
  <c r="A145" i="33"/>
  <c r="B144" i="33"/>
  <c r="A143" i="34" l="1"/>
  <c r="C137" i="34"/>
  <c r="B138" i="34"/>
  <c r="D89" i="34"/>
  <c r="F88" i="34"/>
  <c r="H50" i="33"/>
  <c r="C144" i="33"/>
  <c r="A146" i="33"/>
  <c r="B145" i="33"/>
  <c r="B143" i="34" l="1"/>
  <c r="E143" i="34"/>
  <c r="A144" i="34"/>
  <c r="E89" i="34"/>
  <c r="G89" i="34" s="1"/>
  <c r="C138" i="34"/>
  <c r="B139" i="34"/>
  <c r="J50" i="33"/>
  <c r="I50" i="33"/>
  <c r="C145" i="33"/>
  <c r="A147" i="33"/>
  <c r="H147" i="33" s="1"/>
  <c r="B146" i="33"/>
  <c r="F89" i="34" l="1"/>
  <c r="C139" i="34"/>
  <c r="B140" i="34"/>
  <c r="A145" i="34"/>
  <c r="E144" i="34"/>
  <c r="B144" i="34"/>
  <c r="C144" i="34" s="1"/>
  <c r="D90" i="34"/>
  <c r="G143" i="34"/>
  <c r="C143" i="34"/>
  <c r="O50" i="33"/>
  <c r="U50" i="33"/>
  <c r="G51" i="33"/>
  <c r="A148" i="33"/>
  <c r="H148" i="33" s="1"/>
  <c r="B147" i="33"/>
  <c r="U146" i="33"/>
  <c r="C146" i="33"/>
  <c r="V146" i="33"/>
  <c r="W146" i="33" l="1"/>
  <c r="C140" i="34"/>
  <c r="B141" i="34"/>
  <c r="B145" i="34"/>
  <c r="C145" i="34" s="1"/>
  <c r="D145" i="34" s="1"/>
  <c r="E145" i="34"/>
  <c r="A146" i="34"/>
  <c r="E90" i="34"/>
  <c r="G90" i="34" s="1"/>
  <c r="D144" i="34"/>
  <c r="F144" i="34" s="1"/>
  <c r="Q50" i="33"/>
  <c r="P50" i="33"/>
  <c r="V50" i="33" s="1"/>
  <c r="W50" i="33" s="1"/>
  <c r="Q147" i="33"/>
  <c r="W147" i="33"/>
  <c r="V147" i="33"/>
  <c r="C147" i="33"/>
  <c r="J147" i="33"/>
  <c r="U147" i="33"/>
  <c r="A149" i="33"/>
  <c r="H149" i="33" s="1"/>
  <c r="B148" i="33"/>
  <c r="G147" i="33" l="1"/>
  <c r="I147" i="33" s="1"/>
  <c r="F145" i="34"/>
  <c r="F90" i="34"/>
  <c r="A147" i="34"/>
  <c r="B146" i="34"/>
  <c r="E146" i="34"/>
  <c r="D91" i="34"/>
  <c r="C141" i="34"/>
  <c r="B142" i="34"/>
  <c r="N51" i="33"/>
  <c r="Q148" i="33"/>
  <c r="W148" i="33"/>
  <c r="V148" i="33"/>
  <c r="C148" i="33"/>
  <c r="N148" i="33" s="1"/>
  <c r="P148" i="33" s="1"/>
  <c r="U148" i="33"/>
  <c r="A150" i="33"/>
  <c r="H150" i="33" s="1"/>
  <c r="B149" i="33"/>
  <c r="G148" i="33" l="1"/>
  <c r="I148" i="33" s="1"/>
  <c r="G146" i="34"/>
  <c r="C146" i="34"/>
  <c r="D146" i="34" s="1"/>
  <c r="F146" i="34" s="1"/>
  <c r="E147" i="34"/>
  <c r="A148" i="34"/>
  <c r="B147" i="34"/>
  <c r="C142" i="34"/>
  <c r="E91" i="34"/>
  <c r="G91" i="34" s="1"/>
  <c r="H51" i="33"/>
  <c r="A151" i="33"/>
  <c r="H151" i="33" s="1"/>
  <c r="B150" i="33"/>
  <c r="Q149" i="33"/>
  <c r="W149" i="33"/>
  <c r="V149" i="33"/>
  <c r="C149" i="33"/>
  <c r="N149" i="33" s="1"/>
  <c r="P149" i="33" s="1"/>
  <c r="U149" i="33"/>
  <c r="G149" i="33" l="1"/>
  <c r="I149" i="33" s="1"/>
  <c r="F91" i="34"/>
  <c r="B148" i="34"/>
  <c r="E148" i="34"/>
  <c r="D92" i="34"/>
  <c r="C147" i="34"/>
  <c r="D147" i="34" s="1"/>
  <c r="F147" i="34" s="1"/>
  <c r="G147" i="34"/>
  <c r="J51" i="33"/>
  <c r="I51" i="33"/>
  <c r="W150" i="33"/>
  <c r="V150" i="33"/>
  <c r="U150" i="33"/>
  <c r="J150" i="33"/>
  <c r="C150" i="33"/>
  <c r="Q150" i="33"/>
  <c r="A152" i="33"/>
  <c r="H152" i="33" s="1"/>
  <c r="B151" i="33"/>
  <c r="G150" i="33" l="1"/>
  <c r="I150" i="33" s="1"/>
  <c r="E92" i="34"/>
  <c r="G92" i="34" s="1"/>
  <c r="C148" i="34"/>
  <c r="D148" i="34" s="1"/>
  <c r="G148" i="34"/>
  <c r="O51" i="33"/>
  <c r="U51" i="33"/>
  <c r="G52" i="33"/>
  <c r="B152" i="33"/>
  <c r="V151" i="33"/>
  <c r="U151" i="33"/>
  <c r="J151" i="33"/>
  <c r="C151" i="33"/>
  <c r="G151" i="33" s="1"/>
  <c r="Q151" i="33"/>
  <c r="W151" i="33"/>
  <c r="N150" i="33"/>
  <c r="P150" i="33" s="1"/>
  <c r="I151" i="33" l="1"/>
  <c r="D93" i="34"/>
  <c r="F92" i="34"/>
  <c r="F148" i="34"/>
  <c r="Q51" i="33"/>
  <c r="P51" i="33"/>
  <c r="V51" i="33" s="1"/>
  <c r="W51" i="33" s="1"/>
  <c r="N151" i="33"/>
  <c r="P151" i="33" s="1"/>
  <c r="U152" i="33"/>
  <c r="J152" i="33"/>
  <c r="C152" i="33"/>
  <c r="Q152" i="33"/>
  <c r="W152" i="33"/>
  <c r="V152" i="33"/>
  <c r="G152" i="33" l="1"/>
  <c r="I152" i="33" s="1"/>
  <c r="E93" i="34"/>
  <c r="N52" i="33"/>
  <c r="N152" i="33"/>
  <c r="P152" i="33" s="1"/>
  <c r="G93" i="34" l="1"/>
  <c r="F93" i="34"/>
  <c r="H52" i="33"/>
  <c r="D94" i="34" l="1"/>
  <c r="J52" i="33"/>
  <c r="I52" i="33"/>
  <c r="E94" i="34" l="1"/>
  <c r="O52" i="33"/>
  <c r="U52" i="33"/>
  <c r="G53" i="33"/>
  <c r="G94" i="34" l="1"/>
  <c r="F94" i="34"/>
  <c r="Q52" i="33"/>
  <c r="P52" i="33"/>
  <c r="V52" i="33" s="1"/>
  <c r="W52" i="33" s="1"/>
  <c r="D95" i="34" l="1"/>
  <c r="N53" i="33"/>
  <c r="E95" i="34" l="1"/>
  <c r="G95" i="34" s="1"/>
  <c r="H53" i="33"/>
  <c r="D96" i="34" l="1"/>
  <c r="F95" i="34"/>
  <c r="J53" i="33"/>
  <c r="I53" i="33"/>
  <c r="E96" i="34" l="1"/>
  <c r="G96" i="34" s="1"/>
  <c r="O53" i="33"/>
  <c r="U53" i="33"/>
  <c r="G54" i="33"/>
  <c r="D97" i="34" l="1"/>
  <c r="F96" i="34"/>
  <c r="Q53" i="33"/>
  <c r="P53" i="33"/>
  <c r="V53" i="33" s="1"/>
  <c r="W53" i="33" s="1"/>
  <c r="E97" i="34" l="1"/>
  <c r="G97" i="34" s="1"/>
  <c r="N54" i="33"/>
  <c r="D98" i="34" l="1"/>
  <c r="F97" i="34"/>
  <c r="H54" i="33"/>
  <c r="E98" i="34" l="1"/>
  <c r="G98" i="34" s="1"/>
  <c r="J54" i="33"/>
  <c r="I54" i="33"/>
  <c r="D99" i="34" l="1"/>
  <c r="F98" i="34"/>
  <c r="O54" i="33"/>
  <c r="U54" i="33"/>
  <c r="G55" i="33"/>
  <c r="E99" i="34" l="1"/>
  <c r="G99" i="34" s="1"/>
  <c r="Q54" i="33"/>
  <c r="P54" i="33"/>
  <c r="V54" i="33" s="1"/>
  <c r="W54" i="33" s="1"/>
  <c r="D100" i="34" l="1"/>
  <c r="F99" i="34"/>
  <c r="N55" i="33"/>
  <c r="E100" i="34" l="1"/>
  <c r="G100" i="34" s="1"/>
  <c r="H55" i="33"/>
  <c r="D101" i="34" l="1"/>
  <c r="F100" i="34"/>
  <c r="J55" i="33"/>
  <c r="I55" i="33"/>
  <c r="E101" i="34" l="1"/>
  <c r="G101" i="34" s="1"/>
  <c r="O55" i="33"/>
  <c r="U55" i="33"/>
  <c r="G56" i="33"/>
  <c r="D102" i="34" l="1"/>
  <c r="F101" i="34"/>
  <c r="Q55" i="33"/>
  <c r="P55" i="33"/>
  <c r="V55" i="33" s="1"/>
  <c r="W55" i="33" s="1"/>
  <c r="E102" i="34" l="1"/>
  <c r="G102" i="34" s="1"/>
  <c r="N56" i="33"/>
  <c r="D103" i="34" l="1"/>
  <c r="F102" i="34"/>
  <c r="H56" i="33"/>
  <c r="E103" i="34" l="1"/>
  <c r="G103" i="34" s="1"/>
  <c r="J56" i="33"/>
  <c r="I56" i="33"/>
  <c r="D104" i="34" l="1"/>
  <c r="F103" i="34"/>
  <c r="O56" i="33"/>
  <c r="U56" i="33"/>
  <c r="G57" i="33"/>
  <c r="E104" i="34" l="1"/>
  <c r="G104" i="34" s="1"/>
  <c r="Q56" i="33"/>
  <c r="P56" i="33"/>
  <c r="V56" i="33" s="1"/>
  <c r="W56" i="33" s="1"/>
  <c r="D105" i="34" l="1"/>
  <c r="F104" i="34"/>
  <c r="N57" i="33"/>
  <c r="E105" i="34" l="1"/>
  <c r="G105" i="34" s="1"/>
  <c r="H57" i="33"/>
  <c r="D106" i="34" l="1"/>
  <c r="F105" i="34"/>
  <c r="J57" i="33"/>
  <c r="I57" i="33"/>
  <c r="E106" i="34" l="1"/>
  <c r="G106" i="34" s="1"/>
  <c r="O57" i="33"/>
  <c r="U57" i="33"/>
  <c r="G58" i="33"/>
  <c r="D107" i="34" l="1"/>
  <c r="F106" i="34"/>
  <c r="Q57" i="33"/>
  <c r="P57" i="33"/>
  <c r="V57" i="33" s="1"/>
  <c r="W57" i="33" s="1"/>
  <c r="E107" i="34" l="1"/>
  <c r="G107" i="34" s="1"/>
  <c r="N58" i="33"/>
  <c r="D108" i="34" l="1"/>
  <c r="F107" i="34"/>
  <c r="H58" i="33"/>
  <c r="E108" i="34" l="1"/>
  <c r="G108" i="34" s="1"/>
  <c r="J58" i="33"/>
  <c r="I58" i="33"/>
  <c r="D109" i="34" l="1"/>
  <c r="F108" i="34"/>
  <c r="O58" i="33"/>
  <c r="U58" i="33"/>
  <c r="G59" i="33"/>
  <c r="E109" i="34" l="1"/>
  <c r="G109" i="34" s="1"/>
  <c r="Q58" i="33"/>
  <c r="P58" i="33"/>
  <c r="V58" i="33" s="1"/>
  <c r="W58" i="33" s="1"/>
  <c r="D110" i="34" l="1"/>
  <c r="F109" i="34"/>
  <c r="N59" i="33"/>
  <c r="E110" i="34" l="1"/>
  <c r="G110" i="34" s="1"/>
  <c r="H59" i="33"/>
  <c r="D111" i="34" l="1"/>
  <c r="F110" i="34"/>
  <c r="J59" i="33"/>
  <c r="I59" i="33"/>
  <c r="E111" i="34" l="1"/>
  <c r="G111" i="34" s="1"/>
  <c r="O59" i="33"/>
  <c r="U59" i="33"/>
  <c r="G60" i="33"/>
  <c r="D112" i="34" l="1"/>
  <c r="F111" i="34"/>
  <c r="Q59" i="33"/>
  <c r="P59" i="33"/>
  <c r="V59" i="33" s="1"/>
  <c r="W59" i="33" s="1"/>
  <c r="E112" i="34" l="1"/>
  <c r="G112" i="34" s="1"/>
  <c r="N60" i="33"/>
  <c r="D113" i="34" l="1"/>
  <c r="F112" i="34"/>
  <c r="H60" i="33"/>
  <c r="E113" i="34" l="1"/>
  <c r="G113" i="34" s="1"/>
  <c r="J60" i="33"/>
  <c r="I60" i="33"/>
  <c r="D114" i="34" l="1"/>
  <c r="F113" i="34"/>
  <c r="O60" i="33"/>
  <c r="U60" i="33"/>
  <c r="G61" i="33"/>
  <c r="E114" i="34" l="1"/>
  <c r="G114" i="34" s="1"/>
  <c r="Q60" i="33"/>
  <c r="P60" i="33"/>
  <c r="V60" i="33" s="1"/>
  <c r="W60" i="33" s="1"/>
  <c r="D115" i="34" l="1"/>
  <c r="F114" i="34"/>
  <c r="N61" i="33"/>
  <c r="E115" i="34" l="1"/>
  <c r="G115" i="34" s="1"/>
  <c r="H61" i="33"/>
  <c r="D116" i="34" l="1"/>
  <c r="F115" i="34"/>
  <c r="J61" i="33"/>
  <c r="I61" i="33"/>
  <c r="E116" i="34" l="1"/>
  <c r="G116" i="34" s="1"/>
  <c r="O61" i="33"/>
  <c r="U61" i="33"/>
  <c r="G62" i="33"/>
  <c r="D117" i="34" l="1"/>
  <c r="F116" i="34"/>
  <c r="Q61" i="33"/>
  <c r="P61" i="33"/>
  <c r="V61" i="33" s="1"/>
  <c r="W61" i="33" s="1"/>
  <c r="E117" i="34" l="1"/>
  <c r="G117" i="34" s="1"/>
  <c r="N62" i="33"/>
  <c r="D118" i="34" l="1"/>
  <c r="F117" i="34"/>
  <c r="H62" i="33"/>
  <c r="E118" i="34" l="1"/>
  <c r="G118" i="34" s="1"/>
  <c r="J62" i="33"/>
  <c r="I62" i="33"/>
  <c r="D119" i="34" l="1"/>
  <c r="F118" i="34"/>
  <c r="O62" i="33"/>
  <c r="U62" i="33"/>
  <c r="G63" i="33"/>
  <c r="E119" i="34" l="1"/>
  <c r="G119" i="34" s="1"/>
  <c r="Q62" i="33"/>
  <c r="P62" i="33"/>
  <c r="V62" i="33" s="1"/>
  <c r="W62" i="33" s="1"/>
  <c r="D120" i="34" l="1"/>
  <c r="F119" i="34"/>
  <c r="N63" i="33"/>
  <c r="E120" i="34" l="1"/>
  <c r="G120" i="34" s="1"/>
  <c r="H63" i="33"/>
  <c r="D121" i="34" l="1"/>
  <c r="F120" i="34"/>
  <c r="J63" i="33"/>
  <c r="I63" i="33"/>
  <c r="E121" i="34" l="1"/>
  <c r="G121" i="34" s="1"/>
  <c r="O63" i="33"/>
  <c r="U63" i="33"/>
  <c r="G64" i="33"/>
  <c r="D122" i="34" l="1"/>
  <c r="F121" i="34"/>
  <c r="Q63" i="33"/>
  <c r="P63" i="33"/>
  <c r="V63" i="33" s="1"/>
  <c r="W63" i="33" s="1"/>
  <c r="E122" i="34" l="1"/>
  <c r="G122" i="34" s="1"/>
  <c r="N64" i="33"/>
  <c r="D123" i="34" l="1"/>
  <c r="F122" i="34"/>
  <c r="H64" i="33"/>
  <c r="E123" i="34" l="1"/>
  <c r="G123" i="34" s="1"/>
  <c r="J64" i="33"/>
  <c r="I64" i="33"/>
  <c r="D124" i="34" l="1"/>
  <c r="F123" i="34"/>
  <c r="O64" i="33"/>
  <c r="U64" i="33"/>
  <c r="G65" i="33"/>
  <c r="E124" i="34" l="1"/>
  <c r="G124" i="34" s="1"/>
  <c r="Q64" i="33"/>
  <c r="P64" i="33"/>
  <c r="V64" i="33" s="1"/>
  <c r="W64" i="33" s="1"/>
  <c r="D125" i="34" l="1"/>
  <c r="F124" i="34"/>
  <c r="N65" i="33"/>
  <c r="E125" i="34" l="1"/>
  <c r="G125" i="34" s="1"/>
  <c r="H65" i="33"/>
  <c r="F125" i="34" l="1"/>
  <c r="D126" i="34"/>
  <c r="J65" i="33"/>
  <c r="I65" i="33"/>
  <c r="E126" i="34" l="1"/>
  <c r="G126" i="34" s="1"/>
  <c r="O65" i="33"/>
  <c r="U65" i="33"/>
  <c r="G66" i="33"/>
  <c r="D127" i="34" l="1"/>
  <c r="F126" i="34"/>
  <c r="Q65" i="33"/>
  <c r="P65" i="33"/>
  <c r="V65" i="33" s="1"/>
  <c r="W65" i="33" s="1"/>
  <c r="E127" i="34" l="1"/>
  <c r="G127" i="34" s="1"/>
  <c r="N66" i="33"/>
  <c r="D128" i="34" l="1"/>
  <c r="F127" i="34"/>
  <c r="H66" i="33"/>
  <c r="E128" i="34" l="1"/>
  <c r="G128" i="34" s="1"/>
  <c r="J66" i="33"/>
  <c r="I66" i="33"/>
  <c r="D129" i="34" l="1"/>
  <c r="F128" i="34"/>
  <c r="O66" i="33"/>
  <c r="U66" i="33"/>
  <c r="G67" i="33"/>
  <c r="E129" i="34" l="1"/>
  <c r="G129" i="34" s="1"/>
  <c r="Q66" i="33"/>
  <c r="P66" i="33"/>
  <c r="V66" i="33" s="1"/>
  <c r="W66" i="33" s="1"/>
  <c r="D130" i="34" l="1"/>
  <c r="F129" i="34"/>
  <c r="N67" i="33"/>
  <c r="E130" i="34" l="1"/>
  <c r="G130" i="34" s="1"/>
  <c r="H67" i="33"/>
  <c r="D131" i="34" l="1"/>
  <c r="F130" i="34"/>
  <c r="J67" i="33"/>
  <c r="I67" i="33"/>
  <c r="E131" i="34" l="1"/>
  <c r="G131" i="34" s="1"/>
  <c r="O67" i="33"/>
  <c r="U67" i="33"/>
  <c r="G68" i="33"/>
  <c r="D132" i="34" l="1"/>
  <c r="F131" i="34"/>
  <c r="Q67" i="33"/>
  <c r="P67" i="33"/>
  <c r="V67" i="33" s="1"/>
  <c r="W67" i="33" s="1"/>
  <c r="E132" i="34" l="1"/>
  <c r="G132" i="34" s="1"/>
  <c r="N68" i="33"/>
  <c r="D133" i="34" l="1"/>
  <c r="F132" i="34"/>
  <c r="H68" i="33"/>
  <c r="E133" i="34" l="1"/>
  <c r="G133" i="34" s="1"/>
  <c r="J68" i="33"/>
  <c r="I68" i="33"/>
  <c r="D134" i="34" l="1"/>
  <c r="F133" i="34"/>
  <c r="O68" i="33"/>
  <c r="U68" i="33"/>
  <c r="G69" i="33"/>
  <c r="E134" i="34" l="1"/>
  <c r="G134" i="34" s="1"/>
  <c r="Q68" i="33"/>
  <c r="P68" i="33"/>
  <c r="V68" i="33" s="1"/>
  <c r="W68" i="33" s="1"/>
  <c r="D135" i="34" l="1"/>
  <c r="F134" i="34"/>
  <c r="N69" i="33"/>
  <c r="E135" i="34" l="1"/>
  <c r="G135" i="34" s="1"/>
  <c r="H69" i="33"/>
  <c r="D136" i="34" l="1"/>
  <c r="F135" i="34"/>
  <c r="J69" i="33"/>
  <c r="I69" i="33"/>
  <c r="E136" i="34" l="1"/>
  <c r="G136" i="34" s="1"/>
  <c r="O69" i="33"/>
  <c r="U69" i="33"/>
  <c r="G70" i="33"/>
  <c r="D137" i="34" l="1"/>
  <c r="F136" i="34"/>
  <c r="Q69" i="33"/>
  <c r="P69" i="33"/>
  <c r="V69" i="33" s="1"/>
  <c r="W69" i="33" s="1"/>
  <c r="E137" i="34" l="1"/>
  <c r="G137" i="34" s="1"/>
  <c r="N70" i="33"/>
  <c r="D138" i="34" l="1"/>
  <c r="F137" i="34"/>
  <c r="H70" i="33"/>
  <c r="E138" i="34" l="1"/>
  <c r="G138" i="34" s="1"/>
  <c r="J70" i="33"/>
  <c r="I70" i="33"/>
  <c r="D139" i="34" l="1"/>
  <c r="F138" i="34"/>
  <c r="O70" i="33"/>
  <c r="U70" i="33"/>
  <c r="G71" i="33"/>
  <c r="E139" i="34" l="1"/>
  <c r="G139" i="34" s="1"/>
  <c r="Q70" i="33"/>
  <c r="P70" i="33"/>
  <c r="V70" i="33" s="1"/>
  <c r="W70" i="33" s="1"/>
  <c r="D140" i="34" l="1"/>
  <c r="F139" i="34"/>
  <c r="N71" i="33"/>
  <c r="E140" i="34" l="1"/>
  <c r="G140" i="34" s="1"/>
  <c r="H71" i="33"/>
  <c r="D141" i="34" l="1"/>
  <c r="F140" i="34"/>
  <c r="J71" i="33"/>
  <c r="I71" i="33"/>
  <c r="E141" i="34" l="1"/>
  <c r="G141" i="34" s="1"/>
  <c r="O71" i="33"/>
  <c r="U71" i="33"/>
  <c r="G72" i="33"/>
  <c r="D142" i="34" l="1"/>
  <c r="E142" i="34"/>
  <c r="G142" i="34" s="1"/>
  <c r="D143" i="34" s="1"/>
  <c r="F141" i="34"/>
  <c r="Q71" i="33"/>
  <c r="P71" i="33"/>
  <c r="V71" i="33" s="1"/>
  <c r="W71" i="33" s="1"/>
  <c r="F143" i="34" l="1"/>
  <c r="B158" i="34"/>
  <c r="H167" i="33" s="1"/>
  <c r="B159" i="34"/>
  <c r="H168" i="33" s="1"/>
  <c r="E151" i="34"/>
  <c r="E153" i="34" s="1"/>
  <c r="F142" i="34"/>
  <c r="N72" i="33"/>
  <c r="H72" i="33" l="1"/>
  <c r="J72" i="33" l="1"/>
  <c r="I72" i="33"/>
  <c r="O72" i="33" l="1"/>
  <c r="U72" i="33"/>
  <c r="G73" i="33"/>
  <c r="Q72" i="33" l="1"/>
  <c r="P72" i="33"/>
  <c r="V72" i="33" s="1"/>
  <c r="W72" i="33" s="1"/>
  <c r="N73" i="33" l="1"/>
  <c r="H73" i="33" l="1"/>
  <c r="J73" i="33" l="1"/>
  <c r="I73" i="33"/>
  <c r="O73" i="33" l="1"/>
  <c r="U73" i="33"/>
  <c r="G74" i="33"/>
  <c r="Q73" i="33" l="1"/>
  <c r="P73" i="33"/>
  <c r="V73" i="33" s="1"/>
  <c r="W73" i="33" s="1"/>
  <c r="N74" i="33" l="1"/>
  <c r="H74" i="33" l="1"/>
  <c r="J74" i="33" l="1"/>
  <c r="I74" i="33"/>
  <c r="O74" i="33" l="1"/>
  <c r="U74" i="33"/>
  <c r="G75" i="33"/>
  <c r="Q74" i="33" l="1"/>
  <c r="P74" i="33"/>
  <c r="V74" i="33" s="1"/>
  <c r="W74" i="33" s="1"/>
  <c r="N75" i="33" l="1"/>
  <c r="H75" i="33" l="1"/>
  <c r="J75" i="33" l="1"/>
  <c r="I75" i="33"/>
  <c r="O75" i="33" l="1"/>
  <c r="U75" i="33"/>
  <c r="G76" i="33"/>
  <c r="Q75" i="33" l="1"/>
  <c r="P75" i="33"/>
  <c r="V75" i="33" s="1"/>
  <c r="W75" i="33" s="1"/>
  <c r="N76" i="33" l="1"/>
  <c r="H76" i="33" l="1"/>
  <c r="J76" i="33" l="1"/>
  <c r="I76" i="33"/>
  <c r="O76" i="33" l="1"/>
  <c r="U76" i="33"/>
  <c r="G77" i="33"/>
  <c r="Q76" i="33" l="1"/>
  <c r="P76" i="33"/>
  <c r="V76" i="33" s="1"/>
  <c r="W76" i="33" s="1"/>
  <c r="N77" i="33" l="1"/>
  <c r="H77" i="33" l="1"/>
  <c r="J77" i="33" l="1"/>
  <c r="I77" i="33"/>
  <c r="O77" i="33" l="1"/>
  <c r="U77" i="33"/>
  <c r="G78" i="33"/>
  <c r="Q77" i="33" l="1"/>
  <c r="P77" i="33"/>
  <c r="V77" i="33" s="1"/>
  <c r="W77" i="33" s="1"/>
  <c r="N78" i="33" l="1"/>
  <c r="H78" i="33" l="1"/>
  <c r="J78" i="33" l="1"/>
  <c r="I78" i="33"/>
  <c r="O78" i="33" l="1"/>
  <c r="U78" i="33"/>
  <c r="G79" i="33"/>
  <c r="Q78" i="33" l="1"/>
  <c r="P78" i="33"/>
  <c r="V78" i="33" s="1"/>
  <c r="W78" i="33" s="1"/>
  <c r="N79" i="33" l="1"/>
  <c r="H79" i="33" l="1"/>
  <c r="J79" i="33" l="1"/>
  <c r="I79" i="33"/>
  <c r="O79" i="33" l="1"/>
  <c r="U79" i="33"/>
  <c r="G80" i="33"/>
  <c r="Q79" i="33" l="1"/>
  <c r="P79" i="33"/>
  <c r="V79" i="33" s="1"/>
  <c r="W79" i="33" s="1"/>
  <c r="N80" i="33" l="1"/>
  <c r="H80" i="33" l="1"/>
  <c r="J80" i="33" l="1"/>
  <c r="I80" i="33"/>
  <c r="O80" i="33" l="1"/>
  <c r="U80" i="33"/>
  <c r="G81" i="33"/>
  <c r="Q80" i="33" l="1"/>
  <c r="P80" i="33"/>
  <c r="V80" i="33" s="1"/>
  <c r="W80" i="33" s="1"/>
  <c r="N81" i="33" l="1"/>
  <c r="H81" i="33" l="1"/>
  <c r="J81" i="33" l="1"/>
  <c r="I81" i="33"/>
  <c r="O81" i="33" l="1"/>
  <c r="U81" i="33"/>
  <c r="G82" i="33"/>
  <c r="Q81" i="33" l="1"/>
  <c r="P81" i="33"/>
  <c r="V81" i="33" s="1"/>
  <c r="W81" i="33" s="1"/>
  <c r="N82" i="33" l="1"/>
  <c r="H82" i="33" l="1"/>
  <c r="J82" i="33" l="1"/>
  <c r="I82" i="33"/>
  <c r="O82" i="33" l="1"/>
  <c r="U82" i="33"/>
  <c r="G83" i="33"/>
  <c r="Q82" i="33" l="1"/>
  <c r="P82" i="33"/>
  <c r="V82" i="33" s="1"/>
  <c r="W82" i="33" s="1"/>
  <c r="N83" i="33" l="1"/>
  <c r="H83" i="33" l="1"/>
  <c r="J83" i="33" l="1"/>
  <c r="I83" i="33"/>
  <c r="O83" i="33" l="1"/>
  <c r="U83" i="33"/>
  <c r="G84" i="33"/>
  <c r="Q83" i="33" l="1"/>
  <c r="P83" i="33"/>
  <c r="V83" i="33" s="1"/>
  <c r="W83" i="33" s="1"/>
  <c r="N84" i="33" l="1"/>
  <c r="H84" i="33" l="1"/>
  <c r="J84" i="33" l="1"/>
  <c r="I84" i="33"/>
  <c r="O84" i="33" l="1"/>
  <c r="U84" i="33"/>
  <c r="G85" i="33"/>
  <c r="Q84" i="33" l="1"/>
  <c r="P84" i="33"/>
  <c r="V84" i="33" s="1"/>
  <c r="W84" i="33" s="1"/>
  <c r="N85" i="33" l="1"/>
  <c r="H85" i="33" l="1"/>
  <c r="J85" i="33" l="1"/>
  <c r="I85" i="33"/>
  <c r="O85" i="33" l="1"/>
  <c r="U85" i="33"/>
  <c r="G86" i="33"/>
  <c r="Q85" i="33" l="1"/>
  <c r="P85" i="33"/>
  <c r="V85" i="33" s="1"/>
  <c r="W85" i="33" s="1"/>
  <c r="N86" i="33" l="1"/>
  <c r="H86" i="33" l="1"/>
  <c r="J86" i="33" l="1"/>
  <c r="I86" i="33"/>
  <c r="O86" i="33" l="1"/>
  <c r="U86" i="33"/>
  <c r="G87" i="33"/>
  <c r="Q86" i="33" l="1"/>
  <c r="P86" i="33"/>
  <c r="V86" i="33" s="1"/>
  <c r="W86" i="33" s="1"/>
  <c r="N87" i="33" l="1"/>
  <c r="H87" i="33" l="1"/>
  <c r="J87" i="33" l="1"/>
  <c r="I87" i="33"/>
  <c r="O87" i="33" l="1"/>
  <c r="U87" i="33"/>
  <c r="G88" i="33"/>
  <c r="Q87" i="33" l="1"/>
  <c r="P87" i="33"/>
  <c r="V87" i="33" s="1"/>
  <c r="W87" i="33" s="1"/>
  <c r="N88" i="33" l="1"/>
  <c r="H88" i="33" l="1"/>
  <c r="J88" i="33" l="1"/>
  <c r="I88" i="33"/>
  <c r="O88" i="33" l="1"/>
  <c r="U88" i="33"/>
  <c r="G89" i="33"/>
  <c r="Q88" i="33" l="1"/>
  <c r="P88" i="33"/>
  <c r="V88" i="33" s="1"/>
  <c r="W88" i="33" s="1"/>
  <c r="N89" i="33" l="1"/>
  <c r="H89" i="33" l="1"/>
  <c r="J89" i="33" l="1"/>
  <c r="I89" i="33"/>
  <c r="O89" i="33" l="1"/>
  <c r="U89" i="33"/>
  <c r="G90" i="33"/>
  <c r="Q89" i="33" l="1"/>
  <c r="P89" i="33"/>
  <c r="V89" i="33" s="1"/>
  <c r="W89" i="33" s="1"/>
  <c r="N90" i="33" l="1"/>
  <c r="H90" i="33" l="1"/>
  <c r="J90" i="33" l="1"/>
  <c r="I90" i="33"/>
  <c r="O90" i="33" l="1"/>
  <c r="U90" i="33"/>
  <c r="G91" i="33"/>
  <c r="Q90" i="33" l="1"/>
  <c r="P90" i="33"/>
  <c r="V90" i="33" s="1"/>
  <c r="W90" i="33" s="1"/>
  <c r="N91" i="33" l="1"/>
  <c r="H91" i="33" l="1"/>
  <c r="J91" i="33" l="1"/>
  <c r="I91" i="33"/>
  <c r="O91" i="33" l="1"/>
  <c r="U91" i="33"/>
  <c r="G92" i="33"/>
  <c r="Q91" i="33" l="1"/>
  <c r="P91" i="33"/>
  <c r="V91" i="33" s="1"/>
  <c r="W91" i="33" s="1"/>
  <c r="N92" i="33" l="1"/>
  <c r="H92" i="33" l="1"/>
  <c r="J92" i="33" l="1"/>
  <c r="I92" i="33"/>
  <c r="O92" i="33" l="1"/>
  <c r="U92" i="33"/>
  <c r="G93" i="33"/>
  <c r="Q92" i="33" l="1"/>
  <c r="P92" i="33"/>
  <c r="V92" i="33" s="1"/>
  <c r="W92" i="33" s="1"/>
  <c r="N93" i="33" l="1"/>
  <c r="H93" i="33" l="1"/>
  <c r="J93" i="33" l="1"/>
  <c r="I93" i="33"/>
  <c r="O93" i="33" l="1"/>
  <c r="U93" i="33"/>
  <c r="G94" i="33"/>
  <c r="Q93" i="33" l="1"/>
  <c r="P93" i="33"/>
  <c r="V93" i="33" s="1"/>
  <c r="W93" i="33" s="1"/>
  <c r="N94" i="33" l="1"/>
  <c r="H94" i="33" l="1"/>
  <c r="J94" i="33" l="1"/>
  <c r="I94" i="33"/>
  <c r="O94" i="33" l="1"/>
  <c r="U94" i="33"/>
  <c r="G95" i="33"/>
  <c r="Q94" i="33" l="1"/>
  <c r="P94" i="33"/>
  <c r="V94" i="33" s="1"/>
  <c r="W94" i="33" s="1"/>
  <c r="N95" i="33" l="1"/>
  <c r="H95" i="33" l="1"/>
  <c r="J95" i="33" l="1"/>
  <c r="I95" i="33"/>
  <c r="O95" i="33" l="1"/>
  <c r="U95" i="33"/>
  <c r="G96" i="33"/>
  <c r="Q95" i="33" l="1"/>
  <c r="P95" i="33"/>
  <c r="V95" i="33" s="1"/>
  <c r="W95" i="33" s="1"/>
  <c r="N96" i="33" l="1"/>
  <c r="H96" i="33" l="1"/>
  <c r="J96" i="33" l="1"/>
  <c r="I96" i="33"/>
  <c r="O96" i="33" l="1"/>
  <c r="U96" i="33"/>
  <c r="G97" i="33"/>
  <c r="Q96" i="33" l="1"/>
  <c r="P96" i="33"/>
  <c r="V96" i="33" s="1"/>
  <c r="W96" i="33" s="1"/>
  <c r="N97" i="33" l="1"/>
  <c r="H97" i="33" l="1"/>
  <c r="J97" i="33" l="1"/>
  <c r="I97" i="33"/>
  <c r="O97" i="33" l="1"/>
  <c r="U97" i="33"/>
  <c r="G98" i="33"/>
  <c r="Q97" i="33" l="1"/>
  <c r="P97" i="33"/>
  <c r="V97" i="33" s="1"/>
  <c r="W97" i="33" s="1"/>
  <c r="N98" i="33" l="1"/>
  <c r="H98" i="33" l="1"/>
  <c r="J98" i="33" l="1"/>
  <c r="I98" i="33"/>
  <c r="O98" i="33" l="1"/>
  <c r="U98" i="33"/>
  <c r="G99" i="33"/>
  <c r="Q98" i="33" l="1"/>
  <c r="P98" i="33"/>
  <c r="V98" i="33" s="1"/>
  <c r="W98" i="33" s="1"/>
  <c r="N99" i="33" l="1"/>
  <c r="H99" i="33" l="1"/>
  <c r="J99" i="33" l="1"/>
  <c r="I99" i="33"/>
  <c r="O99" i="33" l="1"/>
  <c r="U99" i="33"/>
  <c r="G100" i="33"/>
  <c r="Q99" i="33" l="1"/>
  <c r="P99" i="33"/>
  <c r="V99" i="33" s="1"/>
  <c r="W99" i="33" s="1"/>
  <c r="N100" i="33" l="1"/>
  <c r="H100" i="33" l="1"/>
  <c r="J100" i="33" l="1"/>
  <c r="I100" i="33"/>
  <c r="O100" i="33" l="1"/>
  <c r="U100" i="33"/>
  <c r="G101" i="33"/>
  <c r="Q100" i="33" l="1"/>
  <c r="P100" i="33"/>
  <c r="V100" i="33" s="1"/>
  <c r="W100" i="33" s="1"/>
  <c r="N101" i="33" l="1"/>
  <c r="H101" i="33" l="1"/>
  <c r="J101" i="33" l="1"/>
  <c r="I101" i="33"/>
  <c r="O101" i="33" l="1"/>
  <c r="U101" i="33"/>
  <c r="G102" i="33"/>
  <c r="Q101" i="33" l="1"/>
  <c r="P101" i="33"/>
  <c r="V101" i="33" s="1"/>
  <c r="W101" i="33" s="1"/>
  <c r="N102" i="33" l="1"/>
  <c r="H102" i="33" l="1"/>
  <c r="J102" i="33" l="1"/>
  <c r="I102" i="33"/>
  <c r="O102" i="33" l="1"/>
  <c r="U102" i="33"/>
  <c r="G103" i="33"/>
  <c r="Q102" i="33" l="1"/>
  <c r="P102" i="33"/>
  <c r="V102" i="33" s="1"/>
  <c r="W102" i="33" s="1"/>
  <c r="N103" i="33" l="1"/>
  <c r="H103" i="33" l="1"/>
  <c r="J103" i="33" l="1"/>
  <c r="I103" i="33"/>
  <c r="O103" i="33" l="1"/>
  <c r="U103" i="33"/>
  <c r="G104" i="33"/>
  <c r="Q103" i="33" l="1"/>
  <c r="P103" i="33"/>
  <c r="V103" i="33" s="1"/>
  <c r="W103" i="33" s="1"/>
  <c r="N104" i="33" l="1"/>
  <c r="H104" i="33" l="1"/>
  <c r="J104" i="33" l="1"/>
  <c r="I104" i="33"/>
  <c r="O104" i="33" l="1"/>
  <c r="U104" i="33"/>
  <c r="G105" i="33"/>
  <c r="Q104" i="33" l="1"/>
  <c r="P104" i="33"/>
  <c r="V104" i="33" s="1"/>
  <c r="W104" i="33" s="1"/>
  <c r="N105" i="33" l="1"/>
  <c r="H105" i="33" l="1"/>
  <c r="J105" i="33" l="1"/>
  <c r="I105" i="33"/>
  <c r="O105" i="33" l="1"/>
  <c r="U105" i="33"/>
  <c r="G106" i="33"/>
  <c r="Q105" i="33" l="1"/>
  <c r="P105" i="33"/>
  <c r="V105" i="33" s="1"/>
  <c r="W105" i="33" s="1"/>
  <c r="N106" i="33" l="1"/>
  <c r="H106" i="33" l="1"/>
  <c r="J106" i="33" l="1"/>
  <c r="I106" i="33"/>
  <c r="O106" i="33" l="1"/>
  <c r="U106" i="33"/>
  <c r="G107" i="33"/>
  <c r="Q106" i="33" l="1"/>
  <c r="P106" i="33"/>
  <c r="V106" i="33" s="1"/>
  <c r="W106" i="33" s="1"/>
  <c r="N107" i="33" l="1"/>
  <c r="H107" i="33" l="1"/>
  <c r="J107" i="33" l="1"/>
  <c r="I107" i="33"/>
  <c r="O107" i="33" l="1"/>
  <c r="U107" i="33"/>
  <c r="G108" i="33"/>
  <c r="Q107" i="33" l="1"/>
  <c r="P107" i="33"/>
  <c r="V107" i="33" s="1"/>
  <c r="W107" i="33" s="1"/>
  <c r="N108" i="33" l="1"/>
  <c r="H108" i="33" l="1"/>
  <c r="J108" i="33" l="1"/>
  <c r="I108" i="33"/>
  <c r="G109" i="33" l="1"/>
  <c r="O108" i="33"/>
  <c r="U108" i="33"/>
  <c r="Q108" i="33" l="1"/>
  <c r="P108" i="33"/>
  <c r="V108" i="33" s="1"/>
  <c r="W108" i="33" s="1"/>
  <c r="N109" i="33" l="1"/>
  <c r="H109" i="33" l="1"/>
  <c r="J109" i="33" l="1"/>
  <c r="I109" i="33"/>
  <c r="O109" i="33" l="1"/>
  <c r="U109" i="33"/>
  <c r="G110" i="33"/>
  <c r="Q109" i="33" l="1"/>
  <c r="P109" i="33"/>
  <c r="V109" i="33" s="1"/>
  <c r="W109" i="33" s="1"/>
  <c r="N110" i="33" l="1"/>
  <c r="H110" i="33" l="1"/>
  <c r="J110" i="33" l="1"/>
  <c r="I110" i="33"/>
  <c r="O110" i="33" l="1"/>
  <c r="U110" i="33"/>
  <c r="G111" i="33"/>
  <c r="Q110" i="33" l="1"/>
  <c r="P110" i="33"/>
  <c r="V110" i="33" s="1"/>
  <c r="W110" i="33" s="1"/>
  <c r="N111" i="33" l="1"/>
  <c r="H111" i="33" l="1"/>
  <c r="J111" i="33" l="1"/>
  <c r="I111" i="33"/>
  <c r="O111" i="33" l="1"/>
  <c r="U111" i="33"/>
  <c r="G112" i="33"/>
  <c r="Q111" i="33" l="1"/>
  <c r="P111" i="33"/>
  <c r="V111" i="33" s="1"/>
  <c r="W111" i="33" s="1"/>
  <c r="N112" i="33" l="1"/>
  <c r="H112" i="33" l="1"/>
  <c r="J112" i="33" l="1"/>
  <c r="I112" i="33"/>
  <c r="O112" i="33" l="1"/>
  <c r="U112" i="33"/>
  <c r="G113" i="33"/>
  <c r="Q112" i="33" l="1"/>
  <c r="P112" i="33"/>
  <c r="V112" i="33" s="1"/>
  <c r="W112" i="33" s="1"/>
  <c r="N113" i="33" l="1"/>
  <c r="H113" i="33" l="1"/>
  <c r="J113" i="33" l="1"/>
  <c r="I113" i="33"/>
  <c r="O113" i="33" l="1"/>
  <c r="U113" i="33"/>
  <c r="G114" i="33"/>
  <c r="Q113" i="33" l="1"/>
  <c r="P113" i="33"/>
  <c r="V113" i="33" s="1"/>
  <c r="W113" i="33" s="1"/>
  <c r="N114" i="33" l="1"/>
  <c r="H114" i="33" l="1"/>
  <c r="J114" i="33" l="1"/>
  <c r="I114" i="33"/>
  <c r="O114" i="33" l="1"/>
  <c r="U114" i="33"/>
  <c r="G115" i="33"/>
  <c r="Q114" i="33" l="1"/>
  <c r="P114" i="33"/>
  <c r="V114" i="33" s="1"/>
  <c r="W114" i="33" s="1"/>
  <c r="N115" i="33" l="1"/>
  <c r="H115" i="33" l="1"/>
  <c r="J115" i="33" l="1"/>
  <c r="I115" i="33"/>
  <c r="O115" i="33" l="1"/>
  <c r="U115" i="33"/>
  <c r="G116" i="33"/>
  <c r="Q115" i="33" l="1"/>
  <c r="P115" i="33"/>
  <c r="V115" i="33" s="1"/>
  <c r="W115" i="33" s="1"/>
  <c r="N116" i="33" l="1"/>
  <c r="H116" i="33" l="1"/>
  <c r="J116" i="33" l="1"/>
  <c r="I116" i="33"/>
  <c r="O116" i="33" l="1"/>
  <c r="U116" i="33"/>
  <c r="G117" i="33"/>
  <c r="Q116" i="33" l="1"/>
  <c r="P116" i="33"/>
  <c r="V116" i="33" s="1"/>
  <c r="W116" i="33" s="1"/>
  <c r="N117" i="33" l="1"/>
  <c r="H117" i="33" l="1"/>
  <c r="J117" i="33" l="1"/>
  <c r="I117" i="33"/>
  <c r="O117" i="33" l="1"/>
  <c r="U117" i="33"/>
  <c r="G118" i="33"/>
  <c r="Q117" i="33" l="1"/>
  <c r="P117" i="33"/>
  <c r="V117" i="33" s="1"/>
  <c r="W117" i="33" s="1"/>
  <c r="N118" i="33" l="1"/>
  <c r="H118" i="33" l="1"/>
  <c r="J118" i="33" l="1"/>
  <c r="I118" i="33"/>
  <c r="O118" i="33" l="1"/>
  <c r="U118" i="33"/>
  <c r="G119" i="33"/>
  <c r="Q118" i="33" l="1"/>
  <c r="P118" i="33"/>
  <c r="V118" i="33" s="1"/>
  <c r="W118" i="33" s="1"/>
  <c r="N119" i="33" l="1"/>
  <c r="H119" i="33" l="1"/>
  <c r="J119" i="33" l="1"/>
  <c r="I119" i="33"/>
  <c r="O119" i="33" l="1"/>
  <c r="U119" i="33"/>
  <c r="G120" i="33"/>
  <c r="Q119" i="33" l="1"/>
  <c r="P119" i="33"/>
  <c r="V119" i="33" s="1"/>
  <c r="W119" i="33" s="1"/>
  <c r="N120" i="33" l="1"/>
  <c r="H120" i="33" l="1"/>
  <c r="J120" i="33" l="1"/>
  <c r="I120" i="33"/>
  <c r="O120" i="33" l="1"/>
  <c r="U120" i="33"/>
  <c r="G121" i="33"/>
  <c r="Q120" i="33" l="1"/>
  <c r="P120" i="33"/>
  <c r="V120" i="33" s="1"/>
  <c r="W120" i="33" s="1"/>
  <c r="N121" i="33" l="1"/>
  <c r="H121" i="33" l="1"/>
  <c r="J121" i="33" l="1"/>
  <c r="I121" i="33"/>
  <c r="O121" i="33" l="1"/>
  <c r="U121" i="33"/>
  <c r="G122" i="33"/>
  <c r="Q121" i="33" l="1"/>
  <c r="P121" i="33"/>
  <c r="V121" i="33" s="1"/>
  <c r="W121" i="33" s="1"/>
  <c r="N122" i="33" l="1"/>
  <c r="H122" i="33" l="1"/>
  <c r="J122" i="33" l="1"/>
  <c r="I122" i="33"/>
  <c r="O122" i="33" l="1"/>
  <c r="U122" i="33"/>
  <c r="G123" i="33"/>
  <c r="Q122" i="33" l="1"/>
  <c r="P122" i="33"/>
  <c r="V122" i="33" s="1"/>
  <c r="W122" i="33" s="1"/>
  <c r="N123" i="33" l="1"/>
  <c r="H123" i="33" l="1"/>
  <c r="J123" i="33" l="1"/>
  <c r="I123" i="33"/>
  <c r="O123" i="33" l="1"/>
  <c r="U123" i="33"/>
  <c r="G124" i="33"/>
  <c r="Q123" i="33" l="1"/>
  <c r="P123" i="33"/>
  <c r="V123" i="33" s="1"/>
  <c r="W123" i="33" s="1"/>
  <c r="N124" i="33" l="1"/>
  <c r="H124" i="33" l="1"/>
  <c r="J124" i="33" l="1"/>
  <c r="I124" i="33"/>
  <c r="O124" i="33" l="1"/>
  <c r="U124" i="33"/>
  <c r="G125" i="33"/>
  <c r="Q124" i="33" l="1"/>
  <c r="P124" i="33"/>
  <c r="V124" i="33" s="1"/>
  <c r="W124" i="33" s="1"/>
  <c r="N125" i="33" l="1"/>
  <c r="H125" i="33" l="1"/>
  <c r="J125" i="33" l="1"/>
  <c r="I125" i="33"/>
  <c r="O125" i="33" l="1"/>
  <c r="U125" i="33"/>
  <c r="G126" i="33"/>
  <c r="Q125" i="33" l="1"/>
  <c r="P125" i="33"/>
  <c r="V125" i="33" s="1"/>
  <c r="W125" i="33" s="1"/>
  <c r="N126" i="33" l="1"/>
  <c r="H126" i="33" l="1"/>
  <c r="J126" i="33" l="1"/>
  <c r="I126" i="33"/>
  <c r="O126" i="33" l="1"/>
  <c r="U126" i="33"/>
  <c r="G127" i="33"/>
  <c r="Q126" i="33" l="1"/>
  <c r="P126" i="33"/>
  <c r="V126" i="33" s="1"/>
  <c r="W126" i="33" s="1"/>
  <c r="N127" i="33" l="1"/>
  <c r="H127" i="33" l="1"/>
  <c r="J127" i="33" l="1"/>
  <c r="I127" i="33"/>
  <c r="O127" i="33" l="1"/>
  <c r="U127" i="33"/>
  <c r="G128" i="33"/>
  <c r="Q127" i="33" l="1"/>
  <c r="P127" i="33"/>
  <c r="V127" i="33" s="1"/>
  <c r="W127" i="33" s="1"/>
  <c r="N128" i="33" l="1"/>
  <c r="H128" i="33" l="1"/>
  <c r="J128" i="33" l="1"/>
  <c r="I128" i="33"/>
  <c r="O128" i="33" l="1"/>
  <c r="U128" i="33"/>
  <c r="G129" i="33"/>
  <c r="Q128" i="33" l="1"/>
  <c r="P128" i="33"/>
  <c r="V128" i="33" s="1"/>
  <c r="W128" i="33" s="1"/>
  <c r="N129" i="33" l="1"/>
  <c r="H129" i="33" l="1"/>
  <c r="J129" i="33" l="1"/>
  <c r="I129" i="33"/>
  <c r="O129" i="33" l="1"/>
  <c r="U129" i="33"/>
  <c r="G130" i="33"/>
  <c r="Q129" i="33" l="1"/>
  <c r="P129" i="33"/>
  <c r="V129" i="33" s="1"/>
  <c r="W129" i="33" s="1"/>
  <c r="N130" i="33" l="1"/>
  <c r="H130" i="33" l="1"/>
  <c r="J130" i="33" l="1"/>
  <c r="I130" i="33"/>
  <c r="O130" i="33" l="1"/>
  <c r="U130" i="33"/>
  <c r="G131" i="33"/>
  <c r="Q130" i="33" l="1"/>
  <c r="P130" i="33"/>
  <c r="V130" i="33" s="1"/>
  <c r="W130" i="33" s="1"/>
  <c r="N131" i="33" l="1"/>
  <c r="H131" i="33" l="1"/>
  <c r="J131" i="33" l="1"/>
  <c r="I131" i="33"/>
  <c r="O131" i="33" l="1"/>
  <c r="U131" i="33"/>
  <c r="G132" i="33"/>
  <c r="Q131" i="33" l="1"/>
  <c r="P131" i="33"/>
  <c r="V131" i="33" s="1"/>
  <c r="W131" i="33" s="1"/>
  <c r="N132" i="33" l="1"/>
  <c r="H132" i="33" l="1"/>
  <c r="J132" i="33" l="1"/>
  <c r="I132" i="33"/>
  <c r="G133" i="33" l="1"/>
  <c r="O132" i="33"/>
  <c r="U132" i="33"/>
  <c r="Q132" i="33" l="1"/>
  <c r="P132" i="33"/>
  <c r="V132" i="33" s="1"/>
  <c r="W132" i="33" s="1"/>
  <c r="N133" i="33" l="1"/>
  <c r="H133" i="33" l="1"/>
  <c r="J133" i="33" l="1"/>
  <c r="I133" i="33"/>
  <c r="O133" i="33" l="1"/>
  <c r="U133" i="33"/>
  <c r="G134" i="33"/>
  <c r="Q133" i="33" l="1"/>
  <c r="P133" i="33"/>
  <c r="V133" i="33" s="1"/>
  <c r="W133" i="33" s="1"/>
  <c r="N134" i="33" l="1"/>
  <c r="H134" i="33" l="1"/>
  <c r="J134" i="33" l="1"/>
  <c r="I134" i="33"/>
  <c r="O134" i="33" l="1"/>
  <c r="U134" i="33"/>
  <c r="G135" i="33"/>
  <c r="Q134" i="33" l="1"/>
  <c r="P134" i="33"/>
  <c r="V134" i="33" s="1"/>
  <c r="W134" i="33" s="1"/>
  <c r="N135" i="33" l="1"/>
  <c r="H135" i="33" l="1"/>
  <c r="J135" i="33" l="1"/>
  <c r="I135" i="33"/>
  <c r="O135" i="33" l="1"/>
  <c r="U135" i="33"/>
  <c r="G136" i="33"/>
  <c r="Q135" i="33" l="1"/>
  <c r="P135" i="33"/>
  <c r="V135" i="33" s="1"/>
  <c r="W135" i="33" s="1"/>
  <c r="N136" i="33" l="1"/>
  <c r="H136" i="33" l="1"/>
  <c r="J136" i="33" l="1"/>
  <c r="I136" i="33"/>
  <c r="O136" i="33" l="1"/>
  <c r="U136" i="33"/>
  <c r="G137" i="33"/>
  <c r="Q136" i="33" l="1"/>
  <c r="P136" i="33"/>
  <c r="V136" i="33" s="1"/>
  <c r="W136" i="33" s="1"/>
  <c r="N137" i="33" l="1"/>
  <c r="H137" i="33" l="1"/>
  <c r="J137" i="33" l="1"/>
  <c r="I137" i="33"/>
  <c r="O137" i="33" l="1"/>
  <c r="U137" i="33"/>
  <c r="G138" i="33"/>
  <c r="Q137" i="33" l="1"/>
  <c r="P137" i="33"/>
  <c r="V137" i="33" s="1"/>
  <c r="W137" i="33" s="1"/>
  <c r="N138" i="33" l="1"/>
  <c r="H138" i="33" l="1"/>
  <c r="J138" i="33" l="1"/>
  <c r="I138" i="33"/>
  <c r="O138" i="33" l="1"/>
  <c r="U138" i="33"/>
  <c r="G139" i="33"/>
  <c r="Q138" i="33" l="1"/>
  <c r="P138" i="33"/>
  <c r="V138" i="33" s="1"/>
  <c r="W138" i="33" s="1"/>
  <c r="N139" i="33" l="1"/>
  <c r="H139" i="33" l="1"/>
  <c r="J139" i="33" l="1"/>
  <c r="I139" i="33"/>
  <c r="O139" i="33" l="1"/>
  <c r="U139" i="33"/>
  <c r="G140" i="33"/>
  <c r="Q139" i="33" l="1"/>
  <c r="P139" i="33"/>
  <c r="V139" i="33" s="1"/>
  <c r="W139" i="33" s="1"/>
  <c r="N140" i="33" l="1"/>
  <c r="H140" i="33" l="1"/>
  <c r="J140" i="33" l="1"/>
  <c r="I140" i="33"/>
  <c r="O140" i="33" l="1"/>
  <c r="U140" i="33"/>
  <c r="G141" i="33"/>
  <c r="Q140" i="33" l="1"/>
  <c r="P140" i="33"/>
  <c r="V140" i="33" s="1"/>
  <c r="W140" i="33" s="1"/>
  <c r="N141" i="33" l="1"/>
  <c r="H141" i="33" l="1"/>
  <c r="J141" i="33" l="1"/>
  <c r="I141" i="33"/>
  <c r="O141" i="33" l="1"/>
  <c r="U141" i="33"/>
  <c r="G142" i="33"/>
  <c r="Q141" i="33" l="1"/>
  <c r="P141" i="33"/>
  <c r="V141" i="33" s="1"/>
  <c r="W141" i="33" s="1"/>
  <c r="N142" i="33" l="1"/>
  <c r="H142" i="33" l="1"/>
  <c r="J142" i="33" l="1"/>
  <c r="I142" i="33"/>
  <c r="O142" i="33" l="1"/>
  <c r="U142" i="33"/>
  <c r="G143" i="33"/>
  <c r="Q142" i="33" l="1"/>
  <c r="P142" i="33"/>
  <c r="V142" i="33" s="1"/>
  <c r="W142" i="33" s="1"/>
  <c r="N143" i="33" l="1"/>
  <c r="H143" i="33" l="1"/>
  <c r="J143" i="33" l="1"/>
  <c r="I143" i="33"/>
  <c r="O143" i="33" l="1"/>
  <c r="U143" i="33"/>
  <c r="G144" i="33"/>
  <c r="Q143" i="33" l="1"/>
  <c r="P143" i="33"/>
  <c r="V143" i="33" s="1"/>
  <c r="W143" i="33" s="1"/>
  <c r="N144" i="33" l="1"/>
  <c r="H144" i="33" l="1"/>
  <c r="J144" i="33" l="1"/>
  <c r="I144" i="33"/>
  <c r="G145" i="33" l="1"/>
  <c r="O144" i="33"/>
  <c r="U144" i="33"/>
  <c r="Q144" i="33" l="1"/>
  <c r="P144" i="33"/>
  <c r="V144" i="33" s="1"/>
  <c r="W144" i="33" s="1"/>
  <c r="N145" i="33" l="1"/>
  <c r="H145" i="33" l="1"/>
  <c r="J145" i="33" l="1"/>
  <c r="I145" i="33"/>
  <c r="O145" i="33" l="1"/>
  <c r="U145" i="33"/>
  <c r="G146" i="33"/>
  <c r="B167" i="33" s="1"/>
  <c r="H146" i="33"/>
  <c r="B168" i="33" l="1"/>
  <c r="H158" i="33"/>
  <c r="H160" i="33" s="1"/>
  <c r="Q145" i="33"/>
  <c r="P145" i="33"/>
  <c r="V145" i="33" s="1"/>
  <c r="W145" i="33" s="1"/>
  <c r="N146" i="33" l="1"/>
  <c r="C167" i="33" s="1"/>
  <c r="G167" i="33" s="1"/>
  <c r="O146" i="33"/>
  <c r="Q146" i="33" s="1"/>
  <c r="N147" i="33" s="1"/>
  <c r="P147" i="33" s="1"/>
  <c r="C168" i="33" l="1"/>
  <c r="G168" i="33" s="1"/>
  <c r="O158" i="33"/>
  <c r="O160" i="33" s="1"/>
  <c r="G20" i="3" l="1"/>
  <c r="H20" i="3" s="1"/>
  <c r="G70" i="4" l="1"/>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A564" i="12" l="1"/>
  <c r="B564" i="12" s="1"/>
  <c r="E46" i="11" l="1"/>
  <c r="O29" i="23" l="1"/>
  <c r="N29" i="23"/>
  <c r="O28" i="23"/>
  <c r="O30" i="23" s="1"/>
  <c r="N28" i="23"/>
  <c r="N30" i="23" s="1"/>
  <c r="K28" i="23"/>
  <c r="K30" i="23" s="1"/>
  <c r="O23" i="23"/>
  <c r="J23" i="23"/>
  <c r="P22" i="23"/>
  <c r="Q22" i="23" s="1"/>
  <c r="R22" i="23" s="1"/>
  <c r="P21" i="23"/>
  <c r="Q21" i="23" s="1"/>
  <c r="R21" i="23" s="1"/>
  <c r="P20" i="23"/>
  <c r="N20" i="23"/>
  <c r="N23" i="23" s="1"/>
  <c r="P19" i="23"/>
  <c r="Q19" i="23" s="1"/>
  <c r="R19" i="23" l="1"/>
  <c r="Q20" i="23"/>
  <c r="R20" i="23" s="1"/>
  <c r="S19" i="23" l="1"/>
  <c r="R23" i="23"/>
  <c r="S20" i="23"/>
  <c r="Q23" i="23"/>
  <c r="M29" i="23" l="1"/>
  <c r="M28" i="23"/>
  <c r="M30" i="23" s="1"/>
  <c r="S21" i="23"/>
  <c r="S22" i="23" s="1"/>
  <c r="S23" i="23" s="1"/>
  <c r="L29" i="23"/>
  <c r="L28" i="23"/>
  <c r="L30" i="23" l="1"/>
  <c r="H15" i="9" l="1"/>
  <c r="H9" i="9"/>
  <c r="L13" i="5" l="1"/>
  <c r="A70" i="4" l="1"/>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08" i="4"/>
  <c r="F24" i="11"/>
  <c r="M70" i="11"/>
  <c r="M69" i="11"/>
  <c r="I9" i="9" l="1"/>
  <c r="H10" i="9" l="1"/>
  <c r="G105" i="4" l="1"/>
  <c r="K105" i="4" s="1"/>
  <c r="K103" i="4" l="1"/>
  <c r="H103" i="4"/>
  <c r="F103" i="4"/>
  <c r="G103" i="4" s="1"/>
  <c r="C103" i="4"/>
  <c r="D103" i="4" s="1"/>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69" i="4"/>
  <c r="L70" i="4"/>
  <c r="D109" i="4" s="1"/>
  <c r="E109" i="4" s="1"/>
  <c r="F109" i="4" s="1"/>
  <c r="L71" i="4"/>
  <c r="D110" i="4" s="1"/>
  <c r="E110" i="4" s="1"/>
  <c r="F110" i="4" s="1"/>
  <c r="L72" i="4"/>
  <c r="D111" i="4" s="1"/>
  <c r="E111" i="4" s="1"/>
  <c r="F111" i="4" s="1"/>
  <c r="L73" i="4"/>
  <c r="D112" i="4" s="1"/>
  <c r="E112" i="4" s="1"/>
  <c r="F112" i="4" s="1"/>
  <c r="L74" i="4"/>
  <c r="D113" i="4" s="1"/>
  <c r="E113" i="4" s="1"/>
  <c r="F113" i="4" s="1"/>
  <c r="L75" i="4"/>
  <c r="D114" i="4" s="1"/>
  <c r="E114" i="4" s="1"/>
  <c r="F114" i="4" s="1"/>
  <c r="L76" i="4"/>
  <c r="D115" i="4" s="1"/>
  <c r="E115" i="4" s="1"/>
  <c r="F115" i="4" s="1"/>
  <c r="L77" i="4"/>
  <c r="D116" i="4" s="1"/>
  <c r="E116" i="4" s="1"/>
  <c r="F116" i="4" s="1"/>
  <c r="L78" i="4"/>
  <c r="D117" i="4" s="1"/>
  <c r="E117" i="4" s="1"/>
  <c r="F117" i="4" s="1"/>
  <c r="L79" i="4"/>
  <c r="D118" i="4" s="1"/>
  <c r="E118" i="4" s="1"/>
  <c r="F118" i="4" s="1"/>
  <c r="L80" i="4"/>
  <c r="D119" i="4" s="1"/>
  <c r="E119" i="4" s="1"/>
  <c r="F119" i="4" s="1"/>
  <c r="L81" i="4"/>
  <c r="L82" i="4"/>
  <c r="L83" i="4"/>
  <c r="L84" i="4"/>
  <c r="D123" i="4" s="1"/>
  <c r="E123" i="4" s="1"/>
  <c r="F123" i="4" s="1"/>
  <c r="L85" i="4"/>
  <c r="L86" i="4"/>
  <c r="L87" i="4"/>
  <c r="L88" i="4"/>
  <c r="D127" i="4" s="1"/>
  <c r="E127" i="4" s="1"/>
  <c r="F127" i="4" s="1"/>
  <c r="L89" i="4"/>
  <c r="L90" i="4"/>
  <c r="L91" i="4"/>
  <c r="L92" i="4"/>
  <c r="D131" i="4" s="1"/>
  <c r="E131" i="4" s="1"/>
  <c r="F131" i="4" s="1"/>
  <c r="L93" i="4"/>
  <c r="L94" i="4"/>
  <c r="L95" i="4"/>
  <c r="L96" i="4"/>
  <c r="D135" i="4" s="1"/>
  <c r="E135" i="4" s="1"/>
  <c r="F135" i="4" s="1"/>
  <c r="L97" i="4"/>
  <c r="L98" i="4"/>
  <c r="L99" i="4"/>
  <c r="L100" i="4"/>
  <c r="D139" i="4" s="1"/>
  <c r="E139" i="4" s="1"/>
  <c r="F139" i="4" s="1"/>
  <c r="L101" i="4"/>
  <c r="L102" i="4"/>
  <c r="D141" i="4" s="1"/>
  <c r="E141" i="4" s="1"/>
  <c r="F141" i="4" s="1"/>
  <c r="L69" i="4"/>
  <c r="I70" i="4"/>
  <c r="J70" i="4" s="1"/>
  <c r="I71" i="4"/>
  <c r="J71" i="4" s="1"/>
  <c r="I72" i="4"/>
  <c r="J72" i="4" s="1"/>
  <c r="I73" i="4"/>
  <c r="J73" i="4" s="1"/>
  <c r="I74" i="4"/>
  <c r="J74" i="4" s="1"/>
  <c r="I75" i="4"/>
  <c r="J75" i="4" s="1"/>
  <c r="I76" i="4"/>
  <c r="J76" i="4" s="1"/>
  <c r="I77" i="4"/>
  <c r="J77" i="4" s="1"/>
  <c r="I78" i="4"/>
  <c r="J78" i="4" s="1"/>
  <c r="I79" i="4"/>
  <c r="J79" i="4" s="1"/>
  <c r="I80" i="4"/>
  <c r="J80" i="4" s="1"/>
  <c r="I81" i="4"/>
  <c r="J81" i="4" s="1"/>
  <c r="I82" i="4"/>
  <c r="J82" i="4" s="1"/>
  <c r="I83" i="4"/>
  <c r="J83" i="4" s="1"/>
  <c r="I84" i="4"/>
  <c r="J84" i="4" s="1"/>
  <c r="I85" i="4"/>
  <c r="J85" i="4" s="1"/>
  <c r="I86" i="4"/>
  <c r="J86" i="4" s="1"/>
  <c r="I87" i="4"/>
  <c r="J87" i="4" s="1"/>
  <c r="I88" i="4"/>
  <c r="J88" i="4" s="1"/>
  <c r="I89" i="4"/>
  <c r="J89" i="4" s="1"/>
  <c r="I90" i="4"/>
  <c r="J90" i="4" s="1"/>
  <c r="I91" i="4"/>
  <c r="J91" i="4" s="1"/>
  <c r="I92" i="4"/>
  <c r="J92" i="4" s="1"/>
  <c r="I93" i="4"/>
  <c r="J93" i="4" s="1"/>
  <c r="I94" i="4"/>
  <c r="J94" i="4" s="1"/>
  <c r="I95" i="4"/>
  <c r="J95" i="4" s="1"/>
  <c r="I96" i="4"/>
  <c r="J96" i="4" s="1"/>
  <c r="I97" i="4"/>
  <c r="J97" i="4" s="1"/>
  <c r="I98" i="4"/>
  <c r="J98" i="4" s="1"/>
  <c r="I99" i="4"/>
  <c r="J99" i="4" s="1"/>
  <c r="I100" i="4"/>
  <c r="J100" i="4" s="1"/>
  <c r="I101" i="4"/>
  <c r="J101" i="4" s="1"/>
  <c r="I102" i="4"/>
  <c r="J102" i="4" s="1"/>
  <c r="I69" i="4"/>
  <c r="J69" i="4" s="1"/>
  <c r="E70" i="4"/>
  <c r="C109" i="4" s="1"/>
  <c r="E71" i="4"/>
  <c r="C110" i="4" s="1"/>
  <c r="E72" i="4"/>
  <c r="C111" i="4" s="1"/>
  <c r="E73" i="4"/>
  <c r="C112" i="4" s="1"/>
  <c r="E74" i="4"/>
  <c r="C113" i="4" s="1"/>
  <c r="E75" i="4"/>
  <c r="C114" i="4" s="1"/>
  <c r="E76" i="4"/>
  <c r="C115" i="4" s="1"/>
  <c r="E77" i="4"/>
  <c r="C116" i="4" s="1"/>
  <c r="E78" i="4"/>
  <c r="C117" i="4" s="1"/>
  <c r="E79" i="4"/>
  <c r="C118" i="4" s="1"/>
  <c r="E80" i="4"/>
  <c r="C119" i="4" s="1"/>
  <c r="E81" i="4"/>
  <c r="C120" i="4" s="1"/>
  <c r="E82" i="4"/>
  <c r="C121" i="4" s="1"/>
  <c r="E83" i="4"/>
  <c r="C122" i="4" s="1"/>
  <c r="E84" i="4"/>
  <c r="C123" i="4" s="1"/>
  <c r="E85" i="4"/>
  <c r="C124" i="4" s="1"/>
  <c r="E86" i="4"/>
  <c r="C125" i="4" s="1"/>
  <c r="E87" i="4"/>
  <c r="C126" i="4" s="1"/>
  <c r="E88" i="4"/>
  <c r="C127" i="4" s="1"/>
  <c r="E89" i="4"/>
  <c r="C128" i="4" s="1"/>
  <c r="E90" i="4"/>
  <c r="C129" i="4" s="1"/>
  <c r="E91" i="4"/>
  <c r="C130" i="4" s="1"/>
  <c r="E92" i="4"/>
  <c r="C131" i="4" s="1"/>
  <c r="E93" i="4"/>
  <c r="C132" i="4" s="1"/>
  <c r="E94" i="4"/>
  <c r="C133" i="4" s="1"/>
  <c r="E95" i="4"/>
  <c r="C134" i="4" s="1"/>
  <c r="E96" i="4"/>
  <c r="C135" i="4" s="1"/>
  <c r="E97" i="4"/>
  <c r="C136" i="4" s="1"/>
  <c r="E98" i="4"/>
  <c r="C137" i="4" s="1"/>
  <c r="E99" i="4"/>
  <c r="C138" i="4" s="1"/>
  <c r="E100" i="4"/>
  <c r="C139" i="4" s="1"/>
  <c r="E101" i="4"/>
  <c r="C140" i="4" s="1"/>
  <c r="E102" i="4"/>
  <c r="C141" i="4" s="1"/>
  <c r="E69" i="4"/>
  <c r="C108" i="4" s="1"/>
  <c r="A69" i="4"/>
  <c r="M92" i="4" l="1"/>
  <c r="O92" i="4" s="1"/>
  <c r="P92" i="4" s="1"/>
  <c r="M75" i="4"/>
  <c r="O75" i="4" s="1"/>
  <c r="P75" i="4" s="1"/>
  <c r="M71" i="4"/>
  <c r="O71" i="4" s="1"/>
  <c r="P71" i="4" s="1"/>
  <c r="M88" i="4"/>
  <c r="O88" i="4" s="1"/>
  <c r="P88" i="4" s="1"/>
  <c r="M79" i="4"/>
  <c r="O79" i="4" s="1"/>
  <c r="P79" i="4" s="1"/>
  <c r="M101" i="4"/>
  <c r="O101" i="4" s="1"/>
  <c r="P101" i="4" s="1"/>
  <c r="D140" i="4"/>
  <c r="E140" i="4" s="1"/>
  <c r="F140" i="4" s="1"/>
  <c r="M89" i="4"/>
  <c r="O89" i="4" s="1"/>
  <c r="P89" i="4" s="1"/>
  <c r="D128" i="4"/>
  <c r="E128" i="4" s="1"/>
  <c r="F128" i="4" s="1"/>
  <c r="M85" i="4"/>
  <c r="O85" i="4" s="1"/>
  <c r="P85" i="4" s="1"/>
  <c r="D124" i="4"/>
  <c r="E124" i="4" s="1"/>
  <c r="F124" i="4" s="1"/>
  <c r="M81" i="4"/>
  <c r="O81" i="4" s="1"/>
  <c r="P81" i="4" s="1"/>
  <c r="D120" i="4"/>
  <c r="E120" i="4" s="1"/>
  <c r="F120" i="4" s="1"/>
  <c r="M102" i="4"/>
  <c r="O102" i="4" s="1"/>
  <c r="P102" i="4" s="1"/>
  <c r="M78" i="4"/>
  <c r="O78" i="4" s="1"/>
  <c r="P78" i="4" s="1"/>
  <c r="M74" i="4"/>
  <c r="O74" i="4" s="1"/>
  <c r="P74" i="4" s="1"/>
  <c r="M70" i="4"/>
  <c r="O70" i="4" s="1"/>
  <c r="P70" i="4" s="1"/>
  <c r="M98" i="4"/>
  <c r="O98" i="4" s="1"/>
  <c r="P98" i="4" s="1"/>
  <c r="D137" i="4"/>
  <c r="E137" i="4" s="1"/>
  <c r="F137" i="4" s="1"/>
  <c r="M90" i="4"/>
  <c r="O90" i="4" s="1"/>
  <c r="P90" i="4" s="1"/>
  <c r="D129" i="4"/>
  <c r="E129" i="4" s="1"/>
  <c r="F129" i="4" s="1"/>
  <c r="M82" i="4"/>
  <c r="O82" i="4" s="1"/>
  <c r="P82" i="4" s="1"/>
  <c r="D121" i="4"/>
  <c r="E121" i="4" s="1"/>
  <c r="F121" i="4" s="1"/>
  <c r="M97" i="4"/>
  <c r="O97" i="4" s="1"/>
  <c r="P97" i="4" s="1"/>
  <c r="D136" i="4"/>
  <c r="E136" i="4" s="1"/>
  <c r="F136" i="4" s="1"/>
  <c r="M100" i="4"/>
  <c r="O100" i="4" s="1"/>
  <c r="P100" i="4" s="1"/>
  <c r="M84" i="4"/>
  <c r="O84" i="4" s="1"/>
  <c r="P84" i="4" s="1"/>
  <c r="M77" i="4"/>
  <c r="O77" i="4" s="1"/>
  <c r="P77" i="4" s="1"/>
  <c r="M73" i="4"/>
  <c r="O73" i="4" s="1"/>
  <c r="P73" i="4" s="1"/>
  <c r="M94" i="4"/>
  <c r="O94" i="4" s="1"/>
  <c r="P94" i="4" s="1"/>
  <c r="D133" i="4"/>
  <c r="E133" i="4" s="1"/>
  <c r="F133" i="4" s="1"/>
  <c r="M86" i="4"/>
  <c r="O86" i="4" s="1"/>
  <c r="P86" i="4" s="1"/>
  <c r="D125" i="4"/>
  <c r="E125" i="4" s="1"/>
  <c r="F125" i="4" s="1"/>
  <c r="M93" i="4"/>
  <c r="O93" i="4" s="1"/>
  <c r="P93" i="4" s="1"/>
  <c r="D132" i="4"/>
  <c r="E132" i="4" s="1"/>
  <c r="F132" i="4" s="1"/>
  <c r="E103" i="4"/>
  <c r="L103" i="4"/>
  <c r="D108" i="4"/>
  <c r="E108" i="4" s="1"/>
  <c r="M99" i="4"/>
  <c r="O99" i="4" s="1"/>
  <c r="P99" i="4" s="1"/>
  <c r="D138" i="4"/>
  <c r="E138" i="4" s="1"/>
  <c r="F138" i="4" s="1"/>
  <c r="M95" i="4"/>
  <c r="O95" i="4" s="1"/>
  <c r="P95" i="4" s="1"/>
  <c r="D134" i="4"/>
  <c r="E134" i="4" s="1"/>
  <c r="F134" i="4" s="1"/>
  <c r="M91" i="4"/>
  <c r="O91" i="4" s="1"/>
  <c r="P91" i="4" s="1"/>
  <c r="D130" i="4"/>
  <c r="E130" i="4" s="1"/>
  <c r="F130" i="4" s="1"/>
  <c r="M87" i="4"/>
  <c r="O87" i="4" s="1"/>
  <c r="P87" i="4" s="1"/>
  <c r="D126" i="4"/>
  <c r="E126" i="4" s="1"/>
  <c r="F126" i="4" s="1"/>
  <c r="M83" i="4"/>
  <c r="O83" i="4" s="1"/>
  <c r="P83" i="4" s="1"/>
  <c r="D122" i="4"/>
  <c r="E122" i="4" s="1"/>
  <c r="F122" i="4" s="1"/>
  <c r="M96" i="4"/>
  <c r="O96" i="4" s="1"/>
  <c r="P96" i="4" s="1"/>
  <c r="M80" i="4"/>
  <c r="O80" i="4" s="1"/>
  <c r="P80" i="4" s="1"/>
  <c r="M76" i="4"/>
  <c r="O76" i="4" s="1"/>
  <c r="P76" i="4" s="1"/>
  <c r="M72" i="4"/>
  <c r="O72" i="4" s="1"/>
  <c r="P72" i="4" s="1"/>
  <c r="J103" i="4"/>
  <c r="N103" i="4"/>
  <c r="I103" i="4"/>
  <c r="G69" i="4"/>
  <c r="M69" i="4" s="1"/>
  <c r="F108" i="4" l="1"/>
  <c r="M103" i="4"/>
  <c r="O69" i="4"/>
  <c r="P69" i="4" s="1"/>
  <c r="P103" i="4" s="1"/>
  <c r="O103" i="4" l="1"/>
  <c r="C32" i="9" l="1"/>
  <c r="C33" i="9"/>
  <c r="C34" i="9"/>
  <c r="C35" i="9"/>
  <c r="C36" i="9"/>
  <c r="C37" i="9"/>
  <c r="C38" i="9"/>
  <c r="C39" i="9"/>
  <c r="C40" i="9"/>
  <c r="C41" i="9"/>
  <c r="C42" i="9"/>
  <c r="C43" i="9"/>
  <c r="C44" i="9"/>
  <c r="C45" i="9"/>
  <c r="D7" i="9" l="1"/>
  <c r="I11" i="9"/>
  <c r="D51" i="11" l="1"/>
  <c r="D22" i="30" l="1"/>
  <c r="G21" i="30"/>
  <c r="D50" i="30" s="1"/>
  <c r="D22" i="31" l="1"/>
  <c r="G21" i="31"/>
  <c r="D50" i="31" l="1"/>
  <c r="A49" i="9" l="1"/>
  <c r="F15" i="9" l="1"/>
  <c r="E15" i="9"/>
  <c r="D15" i="9"/>
  <c r="H999" i="8" l="1"/>
  <c r="G999" i="8"/>
  <c r="F999" i="8"/>
  <c r="D171" i="9" l="1"/>
  <c r="D183" i="9" s="1"/>
  <c r="C122" i="9" l="1"/>
  <c r="C123" i="9"/>
  <c r="C124" i="9"/>
  <c r="C125" i="9"/>
  <c r="C126" i="9"/>
  <c r="C127" i="9"/>
  <c r="C128" i="9"/>
  <c r="C129" i="9"/>
  <c r="C130" i="9"/>
  <c r="C131" i="9"/>
  <c r="C132" i="9"/>
  <c r="C133" i="9"/>
  <c r="C134" i="9"/>
  <c r="C135" i="9"/>
  <c r="C136" i="9"/>
  <c r="C118" i="9"/>
  <c r="C119" i="9"/>
  <c r="C120" i="9"/>
  <c r="C121" i="9"/>
  <c r="C117" i="9"/>
  <c r="C140" i="9"/>
  <c r="P52" i="11"/>
  <c r="Q52" i="11" s="1"/>
  <c r="D6" i="9" l="1"/>
  <c r="B282" i="9" s="1"/>
  <c r="D5" i="9" l="1"/>
  <c r="B281" i="9" s="1"/>
  <c r="D174" i="9" l="1"/>
  <c r="D186" i="9" s="1"/>
  <c r="I151" i="9"/>
  <c r="E151" i="9"/>
  <c r="I118" i="9"/>
  <c r="I119" i="9"/>
  <c r="I120" i="9"/>
  <c r="I121" i="9"/>
  <c r="I122" i="9"/>
  <c r="I123" i="9"/>
  <c r="I124" i="9"/>
  <c r="I125" i="9"/>
  <c r="I126" i="9"/>
  <c r="I127" i="9"/>
  <c r="I128" i="9"/>
  <c r="I129" i="9"/>
  <c r="I130" i="9"/>
  <c r="I131" i="9"/>
  <c r="I132" i="9"/>
  <c r="I133" i="9"/>
  <c r="I134" i="9"/>
  <c r="I135" i="9"/>
  <c r="I136" i="9"/>
  <c r="I117" i="9"/>
  <c r="E125" i="9"/>
  <c r="E126" i="9"/>
  <c r="E127" i="9"/>
  <c r="E128" i="9"/>
  <c r="E129" i="9"/>
  <c r="E130" i="9"/>
  <c r="E131" i="9"/>
  <c r="E132" i="9"/>
  <c r="E133" i="9"/>
  <c r="E134" i="9"/>
  <c r="E135" i="9"/>
  <c r="E136" i="9"/>
  <c r="A125" i="9"/>
  <c r="A126" i="9"/>
  <c r="A127" i="9"/>
  <c r="A128" i="9"/>
  <c r="A129" i="9"/>
  <c r="A130" i="9"/>
  <c r="A131" i="9"/>
  <c r="A132" i="9"/>
  <c r="A133" i="9"/>
  <c r="A134" i="9"/>
  <c r="A135" i="9"/>
  <c r="A136" i="9"/>
  <c r="I101" i="9"/>
  <c r="I102" i="9"/>
  <c r="I103" i="9"/>
  <c r="I104" i="9"/>
  <c r="I105" i="9"/>
  <c r="I106" i="9"/>
  <c r="I107" i="9"/>
  <c r="I108" i="9"/>
  <c r="I109" i="9"/>
  <c r="I110" i="9"/>
  <c r="I111" i="9"/>
  <c r="I112" i="9"/>
  <c r="I113" i="9"/>
  <c r="A100" i="9"/>
  <c r="A101" i="9"/>
  <c r="A102" i="9"/>
  <c r="A103" i="9"/>
  <c r="A104" i="9"/>
  <c r="A105" i="9"/>
  <c r="A106" i="9"/>
  <c r="A107" i="9"/>
  <c r="A108" i="9"/>
  <c r="A109" i="9"/>
  <c r="A110" i="9"/>
  <c r="A111" i="9"/>
  <c r="A112" i="9"/>
  <c r="A113" i="9"/>
  <c r="I75" i="9"/>
  <c r="E77" i="9"/>
  <c r="E78" i="9"/>
  <c r="E79" i="9"/>
  <c r="E80" i="9"/>
  <c r="E81" i="9"/>
  <c r="E82" i="9"/>
  <c r="E83" i="9"/>
  <c r="E84" i="9"/>
  <c r="E85" i="9"/>
  <c r="D77" i="9"/>
  <c r="D78" i="9"/>
  <c r="D79" i="9"/>
  <c r="D80" i="9"/>
  <c r="D81" i="9"/>
  <c r="D82" i="9"/>
  <c r="D83" i="9"/>
  <c r="D84" i="9"/>
  <c r="D85" i="9"/>
  <c r="A77" i="9"/>
  <c r="A78" i="9"/>
  <c r="A79" i="9"/>
  <c r="A80" i="9"/>
  <c r="A81" i="9"/>
  <c r="A82" i="9"/>
  <c r="A83" i="9"/>
  <c r="A84" i="9"/>
  <c r="A85" i="9"/>
  <c r="I73" i="9"/>
  <c r="H72" i="9"/>
  <c r="H87" i="9" s="1"/>
  <c r="I137" i="9" l="1"/>
  <c r="I12" i="9" l="1"/>
  <c r="F19" i="9"/>
  <c r="G19" i="9" s="1"/>
  <c r="F20" i="9"/>
  <c r="G20" i="9" s="1"/>
  <c r="F21" i="9"/>
  <c r="G21" i="9" s="1"/>
  <c r="F22" i="9"/>
  <c r="G22" i="9" s="1"/>
  <c r="F23" i="9"/>
  <c r="G23" i="9" s="1"/>
  <c r="F24" i="9"/>
  <c r="G24" i="9" s="1"/>
  <c r="F25" i="9"/>
  <c r="G25" i="9" s="1"/>
  <c r="F26" i="9"/>
  <c r="G26" i="9" s="1"/>
  <c r="F27" i="9"/>
  <c r="G27" i="9" s="1"/>
  <c r="F28" i="9"/>
  <c r="G28" i="9" s="1"/>
  <c r="F29" i="9"/>
  <c r="G29" i="9" s="1"/>
  <c r="F30" i="9"/>
  <c r="G30" i="9" s="1"/>
  <c r="F31" i="9"/>
  <c r="G31" i="9" s="1"/>
  <c r="F32" i="9"/>
  <c r="G32" i="9" s="1"/>
  <c r="F33" i="9"/>
  <c r="G33" i="9" s="1"/>
  <c r="F34" i="9"/>
  <c r="G34" i="9" s="1"/>
  <c r="F35" i="9"/>
  <c r="G35" i="9" s="1"/>
  <c r="F36" i="9"/>
  <c r="G36" i="9" s="1"/>
  <c r="F37" i="9"/>
  <c r="G37" i="9" s="1"/>
  <c r="F38" i="9"/>
  <c r="G38" i="9" s="1"/>
  <c r="F39" i="9"/>
  <c r="G39" i="9" s="1"/>
  <c r="F40" i="9"/>
  <c r="G40" i="9" s="1"/>
  <c r="F41" i="9"/>
  <c r="G41" i="9" s="1"/>
  <c r="F42" i="9"/>
  <c r="G42" i="9" s="1"/>
  <c r="F43" i="9"/>
  <c r="G43" i="9" s="1"/>
  <c r="F44" i="9"/>
  <c r="G44" i="9" s="1"/>
  <c r="F45" i="9"/>
  <c r="G45" i="9" s="1"/>
  <c r="B19" i="9"/>
  <c r="B20" i="9"/>
  <c r="B21" i="9"/>
  <c r="B22" i="9"/>
  <c r="B23" i="9"/>
  <c r="B24" i="9"/>
  <c r="B25" i="9"/>
  <c r="B26" i="9"/>
  <c r="B27" i="9"/>
  <c r="B28" i="9"/>
  <c r="B29" i="9"/>
  <c r="B30" i="9"/>
  <c r="B31" i="9"/>
  <c r="B32" i="9"/>
  <c r="B33" i="9"/>
  <c r="B34" i="9"/>
  <c r="B35" i="9"/>
  <c r="B36" i="9"/>
  <c r="B37" i="9"/>
  <c r="B38" i="9"/>
  <c r="B39" i="9"/>
  <c r="B40" i="9"/>
  <c r="B41" i="9"/>
  <c r="B42" i="9"/>
  <c r="B43" i="9"/>
  <c r="B44" i="9"/>
  <c r="B45" i="9"/>
  <c r="A19" i="9"/>
  <c r="A20" i="9"/>
  <c r="A21" i="9"/>
  <c r="A22" i="9"/>
  <c r="A23" i="9"/>
  <c r="A24" i="9"/>
  <c r="A25" i="9"/>
  <c r="A26" i="9"/>
  <c r="A27" i="9"/>
  <c r="A28" i="9"/>
  <c r="A29" i="9"/>
  <c r="A30" i="9"/>
  <c r="A31" i="9"/>
  <c r="A32" i="9"/>
  <c r="A33" i="9"/>
  <c r="A34" i="9"/>
  <c r="A35" i="9"/>
  <c r="A36" i="9"/>
  <c r="A37" i="9"/>
  <c r="A38" i="9"/>
  <c r="A39" i="9"/>
  <c r="A40" i="9"/>
  <c r="A41" i="9"/>
  <c r="A42" i="9"/>
  <c r="A43" i="9"/>
  <c r="A44" i="9"/>
  <c r="A45" i="9"/>
  <c r="A23" i="37" l="1"/>
  <c r="A15" i="37"/>
  <c r="A22" i="37"/>
  <c r="A14" i="37"/>
  <c r="A24" i="37"/>
  <c r="A16" i="37"/>
  <c r="A25" i="37"/>
  <c r="A17" i="37"/>
  <c r="E37" i="9"/>
  <c r="E42" i="9"/>
  <c r="E38" i="9"/>
  <c r="E34" i="9"/>
  <c r="E30" i="9"/>
  <c r="E26" i="9"/>
  <c r="E22" i="9"/>
  <c r="E33" i="9"/>
  <c r="E21" i="9"/>
  <c r="E45" i="9"/>
  <c r="E29" i="9"/>
  <c r="E44" i="9"/>
  <c r="E40" i="9"/>
  <c r="E36" i="9"/>
  <c r="E32" i="9"/>
  <c r="E28" i="9"/>
  <c r="E24" i="9"/>
  <c r="E20" i="9"/>
  <c r="E41" i="9"/>
  <c r="E25" i="9"/>
  <c r="E43" i="9"/>
  <c r="E39" i="9"/>
  <c r="E35" i="9"/>
  <c r="E31" i="9"/>
  <c r="E27" i="9"/>
  <c r="E23" i="9"/>
  <c r="D25" i="14"/>
  <c r="D17" i="37" l="1"/>
  <c r="F17" i="37"/>
  <c r="G17" i="37" s="1"/>
  <c r="E25" i="37"/>
  <c r="G25" i="37"/>
  <c r="H25" i="37"/>
  <c r="F16" i="37"/>
  <c r="G16" i="37"/>
  <c r="C16" i="37"/>
  <c r="I16" i="37" s="1"/>
  <c r="H16" i="37"/>
  <c r="D16" i="37"/>
  <c r="E16" i="37"/>
  <c r="H24" i="37"/>
  <c r="E24" i="37"/>
  <c r="G24" i="37"/>
  <c r="F14" i="37"/>
  <c r="G14" i="37" s="1"/>
  <c r="H22" i="37"/>
  <c r="G22" i="37"/>
  <c r="E22" i="37"/>
  <c r="G15" i="37"/>
  <c r="C15" i="37"/>
  <c r="I15" i="37" s="1"/>
  <c r="H15" i="37"/>
  <c r="D15" i="37"/>
  <c r="E15" i="37"/>
  <c r="F15" i="37"/>
  <c r="E23" i="37"/>
  <c r="G23" i="37"/>
  <c r="H23" i="37"/>
  <c r="C15" i="14"/>
  <c r="C14" i="14"/>
  <c r="L2" i="30" l="1"/>
  <c r="D19" i="30"/>
  <c r="D18" i="30"/>
  <c r="D18" i="31"/>
  <c r="G7" i="30"/>
  <c r="G6" i="30"/>
  <c r="D172" i="9" l="1"/>
  <c r="D184" i="9" s="1"/>
  <c r="G7" i="31" l="1"/>
  <c r="G6" i="31"/>
  <c r="A17" i="9" l="1"/>
  <c r="B17" i="9"/>
  <c r="F17" i="9"/>
  <c r="A18" i="9"/>
  <c r="B18" i="9"/>
  <c r="F18" i="9"/>
  <c r="G18" i="9" s="1"/>
  <c r="A20" i="37" l="1"/>
  <c r="A12" i="37"/>
  <c r="A21" i="37"/>
  <c r="A13" i="37"/>
  <c r="A6" i="22"/>
  <c r="B6" i="22" s="1"/>
  <c r="A7" i="22"/>
  <c r="B7" i="22" s="1"/>
  <c r="A8" i="22"/>
  <c r="B8" i="22" s="1"/>
  <c r="A9" i="22"/>
  <c r="B9" i="22" s="1"/>
  <c r="A10" i="22"/>
  <c r="B10" i="22" s="1"/>
  <c r="A11" i="22"/>
  <c r="B11" i="22" s="1"/>
  <c r="A12" i="22"/>
  <c r="B12" i="22" s="1"/>
  <c r="A13" i="22"/>
  <c r="B13" i="22" s="1"/>
  <c r="A14" i="22"/>
  <c r="B14" i="22" s="1"/>
  <c r="A15" i="22"/>
  <c r="B15" i="22" s="1"/>
  <c r="A16" i="22"/>
  <c r="B16" i="22" s="1"/>
  <c r="A17" i="22"/>
  <c r="B17" i="22" s="1"/>
  <c r="A18" i="22"/>
  <c r="B18" i="22" s="1"/>
  <c r="A19" i="22"/>
  <c r="B19" i="22" s="1"/>
  <c r="A20" i="22"/>
  <c r="B20" i="22" s="1"/>
  <c r="A21" i="22"/>
  <c r="B21" i="22" s="1"/>
  <c r="A22" i="22"/>
  <c r="B22" i="22" s="1"/>
  <c r="A23" i="22"/>
  <c r="B23" i="22" s="1"/>
  <c r="A24" i="22"/>
  <c r="B24" i="22" s="1"/>
  <c r="A25" i="22"/>
  <c r="B25" i="22" s="1"/>
  <c r="A26" i="22"/>
  <c r="B26" i="22" s="1"/>
  <c r="A27" i="22"/>
  <c r="B27" i="22" s="1"/>
  <c r="A28" i="22"/>
  <c r="B28" i="22" s="1"/>
  <c r="A29" i="22"/>
  <c r="B29" i="22" s="1"/>
  <c r="A30" i="22"/>
  <c r="B30" i="22" s="1"/>
  <c r="A31" i="22"/>
  <c r="B31" i="22" s="1"/>
  <c r="A32" i="22"/>
  <c r="B32" i="22" s="1"/>
  <c r="A33" i="22"/>
  <c r="B33" i="22" s="1"/>
  <c r="A34" i="22"/>
  <c r="B34" i="22" s="1"/>
  <c r="A35" i="22"/>
  <c r="B35" i="22" s="1"/>
  <c r="A36" i="22"/>
  <c r="B36" i="22" s="1"/>
  <c r="A5" i="22"/>
  <c r="E21" i="37" l="1"/>
  <c r="G21" i="37"/>
  <c r="H21" i="37"/>
  <c r="H12" i="37"/>
  <c r="D12" i="37"/>
  <c r="E12" i="37"/>
  <c r="F12" i="37"/>
  <c r="G12" i="37"/>
  <c r="C12" i="37"/>
  <c r="C13" i="37"/>
  <c r="I13" i="37" s="1"/>
  <c r="G13" i="37"/>
  <c r="H13" i="37"/>
  <c r="D13" i="37"/>
  <c r="E13" i="37"/>
  <c r="F13" i="37"/>
  <c r="H20" i="37"/>
  <c r="G20" i="37"/>
  <c r="E20" i="37"/>
  <c r="G11" i="23"/>
  <c r="G12" i="23"/>
  <c r="I12" i="37" l="1"/>
  <c r="F20" i="14"/>
  <c r="H15" i="11"/>
  <c r="H16" i="11"/>
  <c r="H17" i="11"/>
  <c r="H18" i="11"/>
  <c r="H19" i="11"/>
  <c r="H20" i="11"/>
  <c r="C32" i="14" l="1"/>
  <c r="C33" i="14" s="1"/>
  <c r="E21" i="14"/>
  <c r="C21" i="14"/>
  <c r="C204" i="6"/>
  <c r="B42" i="5"/>
  <c r="B41" i="5"/>
  <c r="C50" i="4"/>
  <c r="C49" i="4"/>
  <c r="H10" i="8" l="1"/>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886" i="8"/>
  <c r="H887" i="8"/>
  <c r="H888" i="8"/>
  <c r="H889" i="8"/>
  <c r="H890" i="8"/>
  <c r="H891" i="8"/>
  <c r="H892" i="8"/>
  <c r="H893" i="8"/>
  <c r="H894" i="8"/>
  <c r="H895" i="8"/>
  <c r="H896" i="8"/>
  <c r="H897" i="8"/>
  <c r="H898" i="8"/>
  <c r="H899" i="8"/>
  <c r="H900" i="8"/>
  <c r="H901" i="8"/>
  <c r="H902" i="8"/>
  <c r="H903" i="8"/>
  <c r="H904" i="8"/>
  <c r="H905" i="8"/>
  <c r="H906" i="8"/>
  <c r="H907" i="8"/>
  <c r="H908" i="8"/>
  <c r="H909" i="8"/>
  <c r="H910" i="8"/>
  <c r="H911" i="8"/>
  <c r="H912" i="8"/>
  <c r="H913" i="8"/>
  <c r="H914" i="8"/>
  <c r="H915" i="8"/>
  <c r="H916" i="8"/>
  <c r="H917" i="8"/>
  <c r="H918" i="8"/>
  <c r="H919" i="8"/>
  <c r="H920" i="8"/>
  <c r="H921" i="8"/>
  <c r="H922" i="8"/>
  <c r="H923" i="8"/>
  <c r="H924" i="8"/>
  <c r="H925" i="8"/>
  <c r="H926" i="8"/>
  <c r="H927" i="8"/>
  <c r="H928" i="8"/>
  <c r="H929" i="8"/>
  <c r="H930" i="8"/>
  <c r="H931" i="8"/>
  <c r="H932" i="8"/>
  <c r="H933" i="8"/>
  <c r="H934" i="8"/>
  <c r="H935" i="8"/>
  <c r="H936" i="8"/>
  <c r="H937" i="8"/>
  <c r="H938" i="8"/>
  <c r="H939" i="8"/>
  <c r="H940" i="8"/>
  <c r="H941" i="8"/>
  <c r="H942" i="8"/>
  <c r="H943" i="8"/>
  <c r="H944" i="8"/>
  <c r="H945" i="8"/>
  <c r="H946" i="8"/>
  <c r="H947" i="8"/>
  <c r="H948" i="8"/>
  <c r="H949" i="8"/>
  <c r="H950" i="8"/>
  <c r="H951" i="8"/>
  <c r="H952" i="8"/>
  <c r="H953" i="8"/>
  <c r="H954" i="8"/>
  <c r="H955" i="8"/>
  <c r="H956" i="8"/>
  <c r="H957" i="8"/>
  <c r="H958" i="8"/>
  <c r="H959" i="8"/>
  <c r="H960" i="8"/>
  <c r="H961" i="8"/>
  <c r="H962" i="8"/>
  <c r="H963" i="8"/>
  <c r="H964" i="8"/>
  <c r="H965" i="8"/>
  <c r="H966" i="8"/>
  <c r="H967" i="8"/>
  <c r="H968" i="8"/>
  <c r="H969" i="8"/>
  <c r="H970" i="8"/>
  <c r="H971" i="8"/>
  <c r="H972" i="8"/>
  <c r="H973" i="8"/>
  <c r="H974" i="8"/>
  <c r="H975" i="8"/>
  <c r="H976" i="8"/>
  <c r="H977" i="8"/>
  <c r="H978" i="8"/>
  <c r="H979" i="8"/>
  <c r="H980" i="8"/>
  <c r="H981" i="8"/>
  <c r="H982" i="8"/>
  <c r="H983" i="8"/>
  <c r="H984" i="8"/>
  <c r="H985" i="8"/>
  <c r="H986" i="8"/>
  <c r="H987" i="8"/>
  <c r="H988" i="8"/>
  <c r="H989" i="8"/>
  <c r="H990" i="8"/>
  <c r="H991" i="8"/>
  <c r="H992" i="8"/>
  <c r="H993" i="8"/>
  <c r="H994" i="8"/>
  <c r="H995" i="8"/>
  <c r="H996" i="8"/>
  <c r="H997" i="8"/>
  <c r="H998" i="8"/>
  <c r="A555" i="12" l="1"/>
  <c r="B555" i="12" s="1"/>
  <c r="A556" i="12"/>
  <c r="B556" i="12" s="1"/>
  <c r="A557" i="12"/>
  <c r="B557" i="12" s="1"/>
  <c r="A558" i="12"/>
  <c r="B558" i="12" s="1"/>
  <c r="A559" i="12"/>
  <c r="B559" i="12" s="1"/>
  <c r="A560" i="12"/>
  <c r="B560" i="12" s="1"/>
  <c r="A561" i="12"/>
  <c r="B561" i="12" s="1"/>
  <c r="A562" i="12"/>
  <c r="B562" i="12" s="1"/>
  <c r="A563" i="12"/>
  <c r="B563" i="12" s="1"/>
  <c r="A554" i="12"/>
  <c r="D173" i="9" l="1"/>
  <c r="D185" i="9" s="1"/>
  <c r="D169" i="9"/>
  <c r="D181" i="9" s="1"/>
  <c r="D168" i="9"/>
  <c r="D180" i="9" s="1"/>
  <c r="D167" i="9"/>
  <c r="D179" i="9" s="1"/>
  <c r="D166" i="9"/>
  <c r="D178" i="9" s="1"/>
  <c r="D165" i="9"/>
  <c r="D177" i="9" s="1"/>
  <c r="C198" i="6"/>
  <c r="E184" i="6" l="1"/>
  <c r="B10" i="7" l="1"/>
  <c r="E10" i="7" l="1"/>
  <c r="B11" i="7"/>
  <c r="A145" i="12"/>
  <c r="B145" i="12" s="1"/>
  <c r="H10" i="7"/>
  <c r="F10" i="7"/>
  <c r="G10" i="7" s="1"/>
  <c r="B12" i="7" l="1"/>
  <c r="H11" i="7"/>
  <c r="F11" i="7"/>
  <c r="A146" i="12"/>
  <c r="B146" i="12" s="1"/>
  <c r="E11" i="7"/>
  <c r="I10" i="7"/>
  <c r="J10" i="7"/>
  <c r="G11" i="7" l="1"/>
  <c r="B13" i="7"/>
  <c r="A147" i="12"/>
  <c r="B147" i="12" s="1"/>
  <c r="A175" i="12"/>
  <c r="B14" i="7" l="1"/>
  <c r="A148" i="12"/>
  <c r="B148" i="12" s="1"/>
  <c r="E13" i="7"/>
  <c r="H13" i="7"/>
  <c r="F13" i="7"/>
  <c r="J11" i="7"/>
  <c r="I11" i="7"/>
  <c r="G13" i="7" l="1"/>
  <c r="B15" i="7"/>
  <c r="A149" i="12"/>
  <c r="B149" i="12" s="1"/>
  <c r="H14" i="7"/>
  <c r="E14" i="7"/>
  <c r="F14" i="7"/>
  <c r="B16" i="7" l="1"/>
  <c r="A150" i="12"/>
  <c r="B150" i="12" s="1"/>
  <c r="G14" i="7"/>
  <c r="I13" i="7"/>
  <c r="J13" i="7"/>
  <c r="I14" i="7" l="1"/>
  <c r="J14" i="7"/>
  <c r="B17" i="7"/>
  <c r="A151" i="12"/>
  <c r="B151" i="12" s="1"/>
  <c r="B18" i="7" l="1"/>
  <c r="A152" i="12"/>
  <c r="B152" i="12" s="1"/>
  <c r="D10" i="24"/>
  <c r="B19" i="7" l="1"/>
  <c r="A153" i="12"/>
  <c r="B153" i="12" s="1"/>
  <c r="B20" i="7" l="1"/>
  <c r="A154" i="12"/>
  <c r="B154" i="12" s="1"/>
  <c r="B21" i="7" l="1"/>
  <c r="A155" i="12"/>
  <c r="B155" i="12" s="1"/>
  <c r="B22" i="7" l="1"/>
  <c r="A156" i="12"/>
  <c r="B156" i="12" s="1"/>
  <c r="E21" i="7"/>
  <c r="F21" i="7"/>
  <c r="H21" i="7"/>
  <c r="C200" i="6"/>
  <c r="A117" i="9"/>
  <c r="G21" i="7" l="1"/>
  <c r="B23" i="7"/>
  <c r="A157" i="12"/>
  <c r="B157" i="12" s="1"/>
  <c r="B159" i="9"/>
  <c r="D50" i="11"/>
  <c r="F50" i="11" s="1"/>
  <c r="D47" i="11"/>
  <c r="E47" i="11" s="1"/>
  <c r="H46" i="11"/>
  <c r="F23" i="11"/>
  <c r="E23" i="11" s="1"/>
  <c r="F45" i="12"/>
  <c r="F51" i="11"/>
  <c r="E30" i="11"/>
  <c r="E31" i="11"/>
  <c r="E32" i="11"/>
  <c r="E33" i="11"/>
  <c r="E34" i="11"/>
  <c r="E35" i="11"/>
  <c r="E36" i="11"/>
  <c r="E37" i="11"/>
  <c r="E38" i="11"/>
  <c r="E39" i="11"/>
  <c r="E40" i="11"/>
  <c r="E41" i="11"/>
  <c r="E42" i="11"/>
  <c r="E43" i="11"/>
  <c r="E44" i="11"/>
  <c r="E45" i="11"/>
  <c r="E48" i="11"/>
  <c r="E29" i="11"/>
  <c r="E24" i="11"/>
  <c r="E13" i="11"/>
  <c r="E14" i="11"/>
  <c r="E15" i="11"/>
  <c r="I15" i="11" s="1"/>
  <c r="E16" i="11"/>
  <c r="E17" i="11"/>
  <c r="E18" i="11"/>
  <c r="E19" i="11"/>
  <c r="E20" i="11"/>
  <c r="E12" i="11"/>
  <c r="J46" i="11" l="1"/>
  <c r="M46" i="11" s="1"/>
  <c r="L46" i="11"/>
  <c r="B24" i="7"/>
  <c r="A158" i="12"/>
  <c r="B158" i="12" s="1"/>
  <c r="J21" i="7"/>
  <c r="I21" i="7"/>
  <c r="B25" i="7" l="1"/>
  <c r="A159" i="12"/>
  <c r="B159" i="12" s="1"/>
  <c r="F24" i="7"/>
  <c r="E24" i="7"/>
  <c r="H24" i="7"/>
  <c r="G24" i="7" l="1"/>
  <c r="B26" i="7"/>
  <c r="A160" i="12"/>
  <c r="B160" i="12" s="1"/>
  <c r="H25" i="7"/>
  <c r="E25" i="7"/>
  <c r="F25" i="7"/>
  <c r="B27" i="7" l="1"/>
  <c r="A161" i="12"/>
  <c r="B161" i="12" s="1"/>
  <c r="F26" i="7"/>
  <c r="H26" i="7"/>
  <c r="E26" i="7"/>
  <c r="G25" i="7"/>
  <c r="I24" i="7"/>
  <c r="J24" i="7"/>
  <c r="V40" i="4"/>
  <c r="V39" i="4"/>
  <c r="V38" i="4"/>
  <c r="V37" i="4"/>
  <c r="V36" i="4"/>
  <c r="V35" i="4"/>
  <c r="V34" i="4"/>
  <c r="V33" i="4"/>
  <c r="V32" i="4"/>
  <c r="V31" i="4"/>
  <c r="V30" i="4"/>
  <c r="V29" i="4"/>
  <c r="V28" i="4"/>
  <c r="V27" i="4"/>
  <c r="V26" i="4"/>
  <c r="V25" i="4"/>
  <c r="V24" i="4"/>
  <c r="V23" i="4"/>
  <c r="V22" i="4"/>
  <c r="V21" i="4"/>
  <c r="V20" i="4"/>
  <c r="V19" i="4"/>
  <c r="V18" i="4"/>
  <c r="V17" i="4"/>
  <c r="V16" i="4"/>
  <c r="V15" i="4"/>
  <c r="V14" i="4"/>
  <c r="V13" i="4"/>
  <c r="V12" i="4"/>
  <c r="V11" i="4"/>
  <c r="V10" i="4"/>
  <c r="V9" i="4"/>
  <c r="V8" i="4"/>
  <c r="V7" i="4"/>
  <c r="R40" i="4"/>
  <c r="R39" i="4"/>
  <c r="R38" i="4"/>
  <c r="R37" i="4"/>
  <c r="R36" i="4"/>
  <c r="R35" i="4"/>
  <c r="R34" i="4"/>
  <c r="R33" i="4"/>
  <c r="R32" i="4"/>
  <c r="R31" i="4"/>
  <c r="R30" i="4"/>
  <c r="R29" i="4"/>
  <c r="R28" i="4"/>
  <c r="R27" i="4"/>
  <c r="R26" i="4"/>
  <c r="R25" i="4"/>
  <c r="R24" i="4"/>
  <c r="R23" i="4"/>
  <c r="R22" i="4"/>
  <c r="R21" i="4"/>
  <c r="R20" i="4"/>
  <c r="R19" i="4"/>
  <c r="R18" i="4"/>
  <c r="R17" i="4"/>
  <c r="R16" i="4"/>
  <c r="R15" i="4"/>
  <c r="R14" i="4"/>
  <c r="R13" i="4"/>
  <c r="R12" i="4"/>
  <c r="R11" i="4"/>
  <c r="R10" i="4"/>
  <c r="R9" i="4"/>
  <c r="R8" i="4"/>
  <c r="R7"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J41" i="4"/>
  <c r="H340" i="1" s="1"/>
  <c r="J25" i="7" l="1"/>
  <c r="I25" i="7"/>
  <c r="G26" i="7"/>
  <c r="B28" i="7"/>
  <c r="A162" i="12"/>
  <c r="B162" i="12" s="1"/>
  <c r="F27" i="7"/>
  <c r="H27" i="7"/>
  <c r="E27" i="7"/>
  <c r="A158" i="9"/>
  <c r="I26" i="7" l="1"/>
  <c r="J26" i="7"/>
  <c r="G27" i="7"/>
  <c r="B29" i="7"/>
  <c r="A163" i="12"/>
  <c r="B163" i="12" s="1"/>
  <c r="H28" i="7"/>
  <c r="E28" i="7"/>
  <c r="F28" i="7"/>
  <c r="A102" i="12"/>
  <c r="A103" i="12"/>
  <c r="A104" i="12"/>
  <c r="A105" i="12"/>
  <c r="A82" i="12"/>
  <c r="A83" i="12"/>
  <c r="A84" i="12"/>
  <c r="A85" i="12"/>
  <c r="A86" i="12"/>
  <c r="A87" i="12"/>
  <c r="A88" i="12"/>
  <c r="A89" i="12"/>
  <c r="A90" i="12"/>
  <c r="A91" i="12"/>
  <c r="A92" i="12"/>
  <c r="A93" i="12"/>
  <c r="A94" i="12"/>
  <c r="A95" i="12"/>
  <c r="A96" i="12"/>
  <c r="A97" i="12"/>
  <c r="A98" i="12"/>
  <c r="A99" i="12"/>
  <c r="A100" i="12"/>
  <c r="A101" i="12"/>
  <c r="A80" i="12"/>
  <c r="G28" i="7" l="1"/>
  <c r="J27" i="7"/>
  <c r="I27" i="7"/>
  <c r="B30" i="7"/>
  <c r="A164" i="12"/>
  <c r="B164" i="12" s="1"/>
  <c r="E29" i="7"/>
  <c r="F29" i="7"/>
  <c r="H29" i="7"/>
  <c r="G29" i="7" l="1"/>
  <c r="B31" i="7"/>
  <c r="A165" i="12"/>
  <c r="B165" i="12" s="1"/>
  <c r="H30" i="7"/>
  <c r="E30" i="7"/>
  <c r="F30" i="7"/>
  <c r="I28" i="7"/>
  <c r="J28" i="7"/>
  <c r="B32" i="7" l="1"/>
  <c r="A166" i="12"/>
  <c r="B166" i="12" s="1"/>
  <c r="H31" i="7"/>
  <c r="E31" i="7"/>
  <c r="F31" i="7"/>
  <c r="G30" i="7"/>
  <c r="I29" i="7"/>
  <c r="J29" i="7"/>
  <c r="E214" i="6"/>
  <c r="E215" i="6"/>
  <c r="G215" i="6" s="1"/>
  <c r="H215" i="6" s="1"/>
  <c r="E213" i="6"/>
  <c r="G213" i="6" s="1"/>
  <c r="D216" i="6"/>
  <c r="C216" i="6"/>
  <c r="D134" i="6"/>
  <c r="E134" i="6"/>
  <c r="G134" i="6"/>
  <c r="D135" i="6"/>
  <c r="E135" i="6"/>
  <c r="G135" i="6"/>
  <c r="D136" i="6"/>
  <c r="E136" i="6"/>
  <c r="G136" i="6"/>
  <c r="D137" i="6"/>
  <c r="E137" i="6"/>
  <c r="G137" i="6"/>
  <c r="D119" i="6"/>
  <c r="G119" i="6"/>
  <c r="D118" i="6"/>
  <c r="G118" i="6"/>
  <c r="G31" i="7" l="1"/>
  <c r="J31" i="7" s="1"/>
  <c r="J30" i="7"/>
  <c r="I30" i="7"/>
  <c r="B33" i="7"/>
  <c r="A167" i="12"/>
  <c r="B167" i="12" s="1"/>
  <c r="F32" i="7"/>
  <c r="H32" i="7"/>
  <c r="E32" i="7"/>
  <c r="H213" i="6"/>
  <c r="G214" i="6"/>
  <c r="G216" i="6" s="1"/>
  <c r="F135" i="6"/>
  <c r="H135" i="6" s="1"/>
  <c r="E216" i="6"/>
  <c r="F137" i="6"/>
  <c r="H137" i="6" s="1"/>
  <c r="F136" i="6"/>
  <c r="I136" i="6" s="1"/>
  <c r="F134" i="6"/>
  <c r="H134" i="6" s="1"/>
  <c r="I31" i="7" l="1"/>
  <c r="G32" i="7"/>
  <c r="B34" i="7"/>
  <c r="A168" i="12"/>
  <c r="B168" i="12" s="1"/>
  <c r="H214" i="6"/>
  <c r="H216" i="6" s="1"/>
  <c r="I135" i="6"/>
  <c r="I137" i="6"/>
  <c r="I134" i="6"/>
  <c r="H136" i="6"/>
  <c r="B35" i="7" l="1"/>
  <c r="A169" i="12"/>
  <c r="B169" i="12" s="1"/>
  <c r="I32" i="7"/>
  <c r="J32" i="7"/>
  <c r="F7" i="14"/>
  <c r="F6" i="14"/>
  <c r="B160" i="9"/>
  <c r="B36" i="7" l="1"/>
  <c r="A170" i="12"/>
  <c r="B170" i="12" s="1"/>
  <c r="D55" i="24"/>
  <c r="D56" i="24"/>
  <c r="D57" i="24"/>
  <c r="B62" i="24"/>
  <c r="B55" i="24" s="1"/>
  <c r="C55" i="24" s="1"/>
  <c r="F62" i="24"/>
  <c r="F59" i="24" s="1"/>
  <c r="G62" i="24"/>
  <c r="G65" i="24" s="1"/>
  <c r="H62" i="24"/>
  <c r="E65" i="24" l="1"/>
  <c r="M62" i="24"/>
  <c r="B37" i="7"/>
  <c r="A171" i="12"/>
  <c r="B171" i="12" s="1"/>
  <c r="B56" i="24"/>
  <c r="C56" i="24" s="1"/>
  <c r="F60" i="24"/>
  <c r="B57" i="24"/>
  <c r="C57" i="24" s="1"/>
  <c r="F55" i="24"/>
  <c r="M55" i="24" s="1"/>
  <c r="F58" i="24"/>
  <c r="F56" i="24"/>
  <c r="M56" i="24" s="1"/>
  <c r="F61" i="24"/>
  <c r="F57" i="24"/>
  <c r="M57" i="24" s="1"/>
  <c r="A48" i="9"/>
  <c r="G38" i="24"/>
  <c r="G40" i="24" s="1"/>
  <c r="G43" i="24" s="1"/>
  <c r="D37" i="24"/>
  <c r="B37" i="24"/>
  <c r="F39" i="24"/>
  <c r="B39" i="24" s="1"/>
  <c r="F37" i="24"/>
  <c r="H40" i="24"/>
  <c r="F40" i="24"/>
  <c r="B40" i="24"/>
  <c r="B38" i="7" l="1"/>
  <c r="A172" i="12"/>
  <c r="B172" i="12" s="1"/>
  <c r="E57" i="24"/>
  <c r="M58" i="24"/>
  <c r="M60" i="24"/>
  <c r="M61" i="24"/>
  <c r="E56" i="24"/>
  <c r="M59" i="24"/>
  <c r="B61" i="24"/>
  <c r="E55" i="24"/>
  <c r="F65" i="24"/>
  <c r="F66" i="24" s="1"/>
  <c r="C37" i="24"/>
  <c r="E37" i="24"/>
  <c r="B38" i="24"/>
  <c r="C38" i="24" s="1"/>
  <c r="E43" i="24"/>
  <c r="M40" i="24"/>
  <c r="F38" i="24"/>
  <c r="C39" i="24"/>
  <c r="E39" i="24"/>
  <c r="M37" i="24"/>
  <c r="C25" i="24"/>
  <c r="C24" i="24"/>
  <c r="I16" i="24"/>
  <c r="E16" i="24" s="1"/>
  <c r="I18" i="24"/>
  <c r="G16" i="24"/>
  <c r="G14" i="24"/>
  <c r="D8" i="24"/>
  <c r="C9" i="24"/>
  <c r="G15" i="24" s="1"/>
  <c r="B39" i="7" l="1"/>
  <c r="A173" i="12"/>
  <c r="B173" i="12" s="1"/>
  <c r="E38" i="24"/>
  <c r="B58" i="24"/>
  <c r="E61" i="24"/>
  <c r="C61" i="24"/>
  <c r="M38" i="24"/>
  <c r="H38" i="24" s="1"/>
  <c r="C40" i="24"/>
  <c r="B43" i="24"/>
  <c r="B44" i="24" s="1"/>
  <c r="F43" i="24"/>
  <c r="F44" i="24" s="1"/>
  <c r="E40" i="24"/>
  <c r="E44" i="24" s="1"/>
  <c r="F24" i="24"/>
  <c r="H24" i="24" s="1"/>
  <c r="G17" i="24"/>
  <c r="F25" i="24" s="1"/>
  <c r="H25" i="24" s="1"/>
  <c r="D9" i="24"/>
  <c r="I17" i="24"/>
  <c r="M16" i="24"/>
  <c r="B59" i="24" l="1"/>
  <c r="B60" i="24" s="1"/>
  <c r="E58" i="24"/>
  <c r="C58" i="24"/>
  <c r="M39" i="24"/>
  <c r="H39" i="24" s="1"/>
  <c r="D39" i="24" s="1"/>
  <c r="D38" i="24"/>
  <c r="G18" i="24"/>
  <c r="H16" i="24" s="1"/>
  <c r="M17" i="24"/>
  <c r="E17" i="24"/>
  <c r="F26" i="24"/>
  <c r="C13" i="11"/>
  <c r="C14" i="11"/>
  <c r="C15" i="11"/>
  <c r="C16" i="11"/>
  <c r="C17" i="11"/>
  <c r="C18" i="11"/>
  <c r="C19" i="11"/>
  <c r="C20" i="11"/>
  <c r="C12" i="11"/>
  <c r="H58" i="11" l="1"/>
  <c r="I58" i="11"/>
  <c r="J58" i="11"/>
  <c r="D40" i="24"/>
  <c r="M43" i="24"/>
  <c r="M44" i="24" s="1"/>
  <c r="B65" i="24"/>
  <c r="B66" i="24" s="1"/>
  <c r="C60" i="24"/>
  <c r="E60" i="24"/>
  <c r="C59" i="24"/>
  <c r="E59" i="24"/>
  <c r="H43" i="24"/>
  <c r="H44" i="24" s="1"/>
  <c r="G21" i="24"/>
  <c r="H15" i="24"/>
  <c r="C15" i="24" s="1"/>
  <c r="F15" i="24" s="1"/>
  <c r="C16" i="24"/>
  <c r="F16" i="24" s="1"/>
  <c r="H17" i="24"/>
  <c r="C17" i="24" s="1"/>
  <c r="F17" i="24" s="1"/>
  <c r="H14" i="24"/>
  <c r="C14" i="24" s="1"/>
  <c r="F14" i="24" s="1"/>
  <c r="M18" i="24"/>
  <c r="I14" i="24" s="1"/>
  <c r="E14" i="24" s="1"/>
  <c r="E62" i="24" l="1"/>
  <c r="E66" i="24" s="1"/>
  <c r="C62" i="24"/>
  <c r="D24" i="24"/>
  <c r="H18" i="24"/>
  <c r="I23" i="24"/>
  <c r="I24" i="24" s="1"/>
  <c r="B24" i="24"/>
  <c r="F18" i="24"/>
  <c r="D25" i="24"/>
  <c r="C18" i="24"/>
  <c r="F21" i="24" s="1"/>
  <c r="B25" i="24"/>
  <c r="M14" i="24"/>
  <c r="M15" i="24" s="1"/>
  <c r="I15" i="24" s="1"/>
  <c r="E176" i="6"/>
  <c r="F176" i="6" s="1"/>
  <c r="H176" i="6" l="1"/>
  <c r="I176" i="6"/>
  <c r="B26" i="24"/>
  <c r="D26" i="24"/>
  <c r="I20" i="24"/>
  <c r="I21" i="24" s="1"/>
  <c r="E15" i="24"/>
  <c r="E18" i="24" s="1"/>
  <c r="D14" i="24"/>
  <c r="C21" i="24"/>
  <c r="D17" i="24"/>
  <c r="D16" i="24"/>
  <c r="D15" i="24"/>
  <c r="A18" i="23"/>
  <c r="D18" i="24" l="1"/>
  <c r="A19" i="23"/>
  <c r="A20" i="23" l="1"/>
  <c r="A21" i="23" l="1"/>
  <c r="A1" i="22"/>
  <c r="D6" i="22"/>
  <c r="D7" i="22"/>
  <c r="D9" i="22"/>
  <c r="D11" i="22"/>
  <c r="D13" i="22"/>
  <c r="D14" i="22"/>
  <c r="D15" i="22"/>
  <c r="D17" i="22"/>
  <c r="D18" i="22"/>
  <c r="D19" i="22"/>
  <c r="D21" i="22"/>
  <c r="D22" i="22"/>
  <c r="D23" i="22"/>
  <c r="D24" i="22"/>
  <c r="D25" i="22"/>
  <c r="D26" i="22"/>
  <c r="D27" i="22"/>
  <c r="D29" i="22"/>
  <c r="D30" i="22"/>
  <c r="D31" i="22"/>
  <c r="D33" i="22"/>
  <c r="D34" i="22"/>
  <c r="D35" i="22"/>
  <c r="E36" i="22" l="1"/>
  <c r="D36" i="22"/>
  <c r="E5" i="22"/>
  <c r="D5" i="22"/>
  <c r="E32" i="22"/>
  <c r="D32" i="22"/>
  <c r="D28" i="22"/>
  <c r="E20" i="22"/>
  <c r="D20" i="22"/>
  <c r="D16" i="22"/>
  <c r="D12" i="22"/>
  <c r="D8" i="22"/>
  <c r="D10" i="22"/>
  <c r="E6" i="22"/>
  <c r="C20" i="22"/>
  <c r="E31" i="22"/>
  <c r="E11" i="22"/>
  <c r="E30" i="22"/>
  <c r="E10" i="22"/>
  <c r="E35" i="22"/>
  <c r="E27" i="22"/>
  <c r="E8" i="22"/>
  <c r="E34" i="22"/>
  <c r="E12" i="22"/>
  <c r="E7" i="22"/>
  <c r="C36" i="22"/>
  <c r="E21" i="22"/>
  <c r="C32" i="22"/>
  <c r="C16" i="22"/>
  <c r="E25" i="22"/>
  <c r="E16" i="22"/>
  <c r="E33" i="22"/>
  <c r="E19" i="22"/>
  <c r="E17" i="22"/>
  <c r="C28" i="22"/>
  <c r="C12" i="22"/>
  <c r="E29" i="22"/>
  <c r="E24" i="22"/>
  <c r="C24" i="22"/>
  <c r="C8" i="22"/>
  <c r="E23" i="22"/>
  <c r="E18" i="22"/>
  <c r="E13" i="22"/>
  <c r="E9" i="22"/>
  <c r="A22" i="23"/>
  <c r="C35" i="22"/>
  <c r="C31" i="22"/>
  <c r="C27" i="22"/>
  <c r="C23" i="22"/>
  <c r="C19" i="22"/>
  <c r="C15" i="22"/>
  <c r="C11" i="22"/>
  <c r="C7" i="22"/>
  <c r="C5" i="22"/>
  <c r="C34" i="22"/>
  <c r="C30" i="22"/>
  <c r="C26" i="22"/>
  <c r="C22" i="22"/>
  <c r="C18" i="22"/>
  <c r="C14" i="22"/>
  <c r="C10" i="22"/>
  <c r="C6" i="22"/>
  <c r="B5" i="22"/>
  <c r="C33" i="22"/>
  <c r="C29" i="22"/>
  <c r="C25" i="22"/>
  <c r="C21" i="22"/>
  <c r="C17" i="22"/>
  <c r="C13" i="22"/>
  <c r="C9" i="22"/>
  <c r="A23" i="23" l="1"/>
  <c r="H37" i="11"/>
  <c r="H39" i="11"/>
  <c r="H41" i="11"/>
  <c r="H42" i="11"/>
  <c r="H43" i="11"/>
  <c r="H44" i="11"/>
  <c r="H45" i="11"/>
  <c r="H48" i="11"/>
  <c r="H29" i="11"/>
  <c r="N10" i="8"/>
  <c r="N11" i="8"/>
  <c r="N12" i="8"/>
  <c r="N13" i="8"/>
  <c r="N14" i="8"/>
  <c r="N15" i="8"/>
  <c r="N16" i="8"/>
  <c r="N18" i="8"/>
  <c r="N19" i="8"/>
  <c r="N20" i="8"/>
  <c r="N21" i="8"/>
  <c r="N22" i="8"/>
  <c r="N23" i="8"/>
  <c r="N24" i="8"/>
  <c r="N25"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N329" i="8"/>
  <c r="N330" i="8"/>
  <c r="N331" i="8"/>
  <c r="N332" i="8"/>
  <c r="N333" i="8"/>
  <c r="N334" i="8"/>
  <c r="N335" i="8"/>
  <c r="N336" i="8"/>
  <c r="N337" i="8"/>
  <c r="N338" i="8"/>
  <c r="N339" i="8"/>
  <c r="N340" i="8"/>
  <c r="N341" i="8"/>
  <c r="N342" i="8"/>
  <c r="N343" i="8"/>
  <c r="N344" i="8"/>
  <c r="N345" i="8"/>
  <c r="N346" i="8"/>
  <c r="N347" i="8"/>
  <c r="N348" i="8"/>
  <c r="N349" i="8"/>
  <c r="N350" i="8"/>
  <c r="N351" i="8"/>
  <c r="N352" i="8"/>
  <c r="N353" i="8"/>
  <c r="N354" i="8"/>
  <c r="N355" i="8"/>
  <c r="N356" i="8"/>
  <c r="N357" i="8"/>
  <c r="N358" i="8"/>
  <c r="N359" i="8"/>
  <c r="N360" i="8"/>
  <c r="N361" i="8"/>
  <c r="N362" i="8"/>
  <c r="N363" i="8"/>
  <c r="N364" i="8"/>
  <c r="N365" i="8"/>
  <c r="N366" i="8"/>
  <c r="N367" i="8"/>
  <c r="N368" i="8"/>
  <c r="N369" i="8"/>
  <c r="N370" i="8"/>
  <c r="N371" i="8"/>
  <c r="N372" i="8"/>
  <c r="N373" i="8"/>
  <c r="N374" i="8"/>
  <c r="N375" i="8"/>
  <c r="N376" i="8"/>
  <c r="N377" i="8"/>
  <c r="N378" i="8"/>
  <c r="N379" i="8"/>
  <c r="N380" i="8"/>
  <c r="N381" i="8"/>
  <c r="N382" i="8"/>
  <c r="N383" i="8"/>
  <c r="N384" i="8"/>
  <c r="N385" i="8"/>
  <c r="N386" i="8"/>
  <c r="N387" i="8"/>
  <c r="N388" i="8"/>
  <c r="N389" i="8"/>
  <c r="N390" i="8"/>
  <c r="N391" i="8"/>
  <c r="N392" i="8"/>
  <c r="N393" i="8"/>
  <c r="N394" i="8"/>
  <c r="N395" i="8"/>
  <c r="N396" i="8"/>
  <c r="N397" i="8"/>
  <c r="N398" i="8"/>
  <c r="N399" i="8"/>
  <c r="N400" i="8"/>
  <c r="N401" i="8"/>
  <c r="N402" i="8"/>
  <c r="N403" i="8"/>
  <c r="N404" i="8"/>
  <c r="N405" i="8"/>
  <c r="N406" i="8"/>
  <c r="N407" i="8"/>
  <c r="N408" i="8"/>
  <c r="N409" i="8"/>
  <c r="N410" i="8"/>
  <c r="N411" i="8"/>
  <c r="N412" i="8"/>
  <c r="N413" i="8"/>
  <c r="N414" i="8"/>
  <c r="N415" i="8"/>
  <c r="N416" i="8"/>
  <c r="N417" i="8"/>
  <c r="N418" i="8"/>
  <c r="N419" i="8"/>
  <c r="N420" i="8"/>
  <c r="N421" i="8"/>
  <c r="N422" i="8"/>
  <c r="N423" i="8"/>
  <c r="N424" i="8"/>
  <c r="N425" i="8"/>
  <c r="N426" i="8"/>
  <c r="N427" i="8"/>
  <c r="N428" i="8"/>
  <c r="N429" i="8"/>
  <c r="N430" i="8"/>
  <c r="N431" i="8"/>
  <c r="N432" i="8"/>
  <c r="N433" i="8"/>
  <c r="N434" i="8"/>
  <c r="N435" i="8"/>
  <c r="N436" i="8"/>
  <c r="N437" i="8"/>
  <c r="N438" i="8"/>
  <c r="N439" i="8"/>
  <c r="N440" i="8"/>
  <c r="N441" i="8"/>
  <c r="N442" i="8"/>
  <c r="N443" i="8"/>
  <c r="N444" i="8"/>
  <c r="N445" i="8"/>
  <c r="N446" i="8"/>
  <c r="N447" i="8"/>
  <c r="N448" i="8"/>
  <c r="N449" i="8"/>
  <c r="N450" i="8"/>
  <c r="N451" i="8"/>
  <c r="N452" i="8"/>
  <c r="N453" i="8"/>
  <c r="N454" i="8"/>
  <c r="N455" i="8"/>
  <c r="N456" i="8"/>
  <c r="N457" i="8"/>
  <c r="N458" i="8"/>
  <c r="N459" i="8"/>
  <c r="N460" i="8"/>
  <c r="N461" i="8"/>
  <c r="N462" i="8"/>
  <c r="N463" i="8"/>
  <c r="N464" i="8"/>
  <c r="N465" i="8"/>
  <c r="N466" i="8"/>
  <c r="N467" i="8"/>
  <c r="N468" i="8"/>
  <c r="N469" i="8"/>
  <c r="N470" i="8"/>
  <c r="N471" i="8"/>
  <c r="N472" i="8"/>
  <c r="N473" i="8"/>
  <c r="N474" i="8"/>
  <c r="N475" i="8"/>
  <c r="N476" i="8"/>
  <c r="N477" i="8"/>
  <c r="N478" i="8"/>
  <c r="N479" i="8"/>
  <c r="N480" i="8"/>
  <c r="N481" i="8"/>
  <c r="N482" i="8"/>
  <c r="N483" i="8"/>
  <c r="N484" i="8"/>
  <c r="N485" i="8"/>
  <c r="N486" i="8"/>
  <c r="N487" i="8"/>
  <c r="N488" i="8"/>
  <c r="N489" i="8"/>
  <c r="N490" i="8"/>
  <c r="N491" i="8"/>
  <c r="N492" i="8"/>
  <c r="N493" i="8"/>
  <c r="N494" i="8"/>
  <c r="N495" i="8"/>
  <c r="N496" i="8"/>
  <c r="N497" i="8"/>
  <c r="N498" i="8"/>
  <c r="N499" i="8"/>
  <c r="N500" i="8"/>
  <c r="N501" i="8"/>
  <c r="N502" i="8"/>
  <c r="N503" i="8"/>
  <c r="N504" i="8"/>
  <c r="N505" i="8"/>
  <c r="N506" i="8"/>
  <c r="N507" i="8"/>
  <c r="N508" i="8"/>
  <c r="N509" i="8"/>
  <c r="N510" i="8"/>
  <c r="N511" i="8"/>
  <c r="N512" i="8"/>
  <c r="N513" i="8"/>
  <c r="N514" i="8"/>
  <c r="N515" i="8"/>
  <c r="N516" i="8"/>
  <c r="N517" i="8"/>
  <c r="N518" i="8"/>
  <c r="N519" i="8"/>
  <c r="N520" i="8"/>
  <c r="N521" i="8"/>
  <c r="N522" i="8"/>
  <c r="N523" i="8"/>
  <c r="N524" i="8"/>
  <c r="N525" i="8"/>
  <c r="N526" i="8"/>
  <c r="N527" i="8"/>
  <c r="N528" i="8"/>
  <c r="N529" i="8"/>
  <c r="N530" i="8"/>
  <c r="N531" i="8"/>
  <c r="N532" i="8"/>
  <c r="N533" i="8"/>
  <c r="N534" i="8"/>
  <c r="N535" i="8"/>
  <c r="N536" i="8"/>
  <c r="N537" i="8"/>
  <c r="N538" i="8"/>
  <c r="N539" i="8"/>
  <c r="N540" i="8"/>
  <c r="N541" i="8"/>
  <c r="N542" i="8"/>
  <c r="N543" i="8"/>
  <c r="N544" i="8"/>
  <c r="N545" i="8"/>
  <c r="N546" i="8"/>
  <c r="N547" i="8"/>
  <c r="N548" i="8"/>
  <c r="N549" i="8"/>
  <c r="N550" i="8"/>
  <c r="N551" i="8"/>
  <c r="N552" i="8"/>
  <c r="N553" i="8"/>
  <c r="N554" i="8"/>
  <c r="N555" i="8"/>
  <c r="N556" i="8"/>
  <c r="N557" i="8"/>
  <c r="N558" i="8"/>
  <c r="N559" i="8"/>
  <c r="N560" i="8"/>
  <c r="N561" i="8"/>
  <c r="N562" i="8"/>
  <c r="N563" i="8"/>
  <c r="N564" i="8"/>
  <c r="N565" i="8"/>
  <c r="N566" i="8"/>
  <c r="N567" i="8"/>
  <c r="N568" i="8"/>
  <c r="N569" i="8"/>
  <c r="N570" i="8"/>
  <c r="N571" i="8"/>
  <c r="N572" i="8"/>
  <c r="N573" i="8"/>
  <c r="N574" i="8"/>
  <c r="N575" i="8"/>
  <c r="N576" i="8"/>
  <c r="N577" i="8"/>
  <c r="N578" i="8"/>
  <c r="N579" i="8"/>
  <c r="N580" i="8"/>
  <c r="N581" i="8"/>
  <c r="N582" i="8"/>
  <c r="N583" i="8"/>
  <c r="N584" i="8"/>
  <c r="N585" i="8"/>
  <c r="N586" i="8"/>
  <c r="N587" i="8"/>
  <c r="N588" i="8"/>
  <c r="N589" i="8"/>
  <c r="N590" i="8"/>
  <c r="N591" i="8"/>
  <c r="N592" i="8"/>
  <c r="N593" i="8"/>
  <c r="N594" i="8"/>
  <c r="N595" i="8"/>
  <c r="N596" i="8"/>
  <c r="N597" i="8"/>
  <c r="N598" i="8"/>
  <c r="N599" i="8"/>
  <c r="N600" i="8"/>
  <c r="N601" i="8"/>
  <c r="N602" i="8"/>
  <c r="N603" i="8"/>
  <c r="N604" i="8"/>
  <c r="N605" i="8"/>
  <c r="N606" i="8"/>
  <c r="N607" i="8"/>
  <c r="N608" i="8"/>
  <c r="N609" i="8"/>
  <c r="N610" i="8"/>
  <c r="N611" i="8"/>
  <c r="N612" i="8"/>
  <c r="N613" i="8"/>
  <c r="N614" i="8"/>
  <c r="N615" i="8"/>
  <c r="N616" i="8"/>
  <c r="N617" i="8"/>
  <c r="N618" i="8"/>
  <c r="N619" i="8"/>
  <c r="N620" i="8"/>
  <c r="N621" i="8"/>
  <c r="N622" i="8"/>
  <c r="N623" i="8"/>
  <c r="N624" i="8"/>
  <c r="N625" i="8"/>
  <c r="N626" i="8"/>
  <c r="N627" i="8"/>
  <c r="N628" i="8"/>
  <c r="N629" i="8"/>
  <c r="N630" i="8"/>
  <c r="N631" i="8"/>
  <c r="N632" i="8"/>
  <c r="N633" i="8"/>
  <c r="N634" i="8"/>
  <c r="N635" i="8"/>
  <c r="N636" i="8"/>
  <c r="N637" i="8"/>
  <c r="N638" i="8"/>
  <c r="N639" i="8"/>
  <c r="N640" i="8"/>
  <c r="N641" i="8"/>
  <c r="N642" i="8"/>
  <c r="N643" i="8"/>
  <c r="N644" i="8"/>
  <c r="N645" i="8"/>
  <c r="N646" i="8"/>
  <c r="N647" i="8"/>
  <c r="N648" i="8"/>
  <c r="N649" i="8"/>
  <c r="N650" i="8"/>
  <c r="N651" i="8"/>
  <c r="N652" i="8"/>
  <c r="N653" i="8"/>
  <c r="N654" i="8"/>
  <c r="N655" i="8"/>
  <c r="N656" i="8"/>
  <c r="N657" i="8"/>
  <c r="N658" i="8"/>
  <c r="N659" i="8"/>
  <c r="N660" i="8"/>
  <c r="N661" i="8"/>
  <c r="N662" i="8"/>
  <c r="N663" i="8"/>
  <c r="N664" i="8"/>
  <c r="N665" i="8"/>
  <c r="N666" i="8"/>
  <c r="N667" i="8"/>
  <c r="N668" i="8"/>
  <c r="N669" i="8"/>
  <c r="N670" i="8"/>
  <c r="N671" i="8"/>
  <c r="N672" i="8"/>
  <c r="N673" i="8"/>
  <c r="N674" i="8"/>
  <c r="N675" i="8"/>
  <c r="N676" i="8"/>
  <c r="N677" i="8"/>
  <c r="N678" i="8"/>
  <c r="N679" i="8"/>
  <c r="N680" i="8"/>
  <c r="N681" i="8"/>
  <c r="N682" i="8"/>
  <c r="N683" i="8"/>
  <c r="N684" i="8"/>
  <c r="N685" i="8"/>
  <c r="N686" i="8"/>
  <c r="N687" i="8"/>
  <c r="N688" i="8"/>
  <c r="N689" i="8"/>
  <c r="N690" i="8"/>
  <c r="N691" i="8"/>
  <c r="N692" i="8"/>
  <c r="N693" i="8"/>
  <c r="N694" i="8"/>
  <c r="N695" i="8"/>
  <c r="N696" i="8"/>
  <c r="N697" i="8"/>
  <c r="N698" i="8"/>
  <c r="N699" i="8"/>
  <c r="N700" i="8"/>
  <c r="N701" i="8"/>
  <c r="N702" i="8"/>
  <c r="N703" i="8"/>
  <c r="N704" i="8"/>
  <c r="N705" i="8"/>
  <c r="N706" i="8"/>
  <c r="N707" i="8"/>
  <c r="N708" i="8"/>
  <c r="N709" i="8"/>
  <c r="N710" i="8"/>
  <c r="N711" i="8"/>
  <c r="N712" i="8"/>
  <c r="N713" i="8"/>
  <c r="N714" i="8"/>
  <c r="N715" i="8"/>
  <c r="N716" i="8"/>
  <c r="N717" i="8"/>
  <c r="N718" i="8"/>
  <c r="N719" i="8"/>
  <c r="N720" i="8"/>
  <c r="N721" i="8"/>
  <c r="N722" i="8"/>
  <c r="N723" i="8"/>
  <c r="N724" i="8"/>
  <c r="N725" i="8"/>
  <c r="N726" i="8"/>
  <c r="N727" i="8"/>
  <c r="N728" i="8"/>
  <c r="N729" i="8"/>
  <c r="N730" i="8"/>
  <c r="N731" i="8"/>
  <c r="N732" i="8"/>
  <c r="N733" i="8"/>
  <c r="N734" i="8"/>
  <c r="N735" i="8"/>
  <c r="N736" i="8"/>
  <c r="N737" i="8"/>
  <c r="N738" i="8"/>
  <c r="N739" i="8"/>
  <c r="N740" i="8"/>
  <c r="N741" i="8"/>
  <c r="N742" i="8"/>
  <c r="N743" i="8"/>
  <c r="N744" i="8"/>
  <c r="N745" i="8"/>
  <c r="N746" i="8"/>
  <c r="N747" i="8"/>
  <c r="N748" i="8"/>
  <c r="N749" i="8"/>
  <c r="N750" i="8"/>
  <c r="N751" i="8"/>
  <c r="N752" i="8"/>
  <c r="N753" i="8"/>
  <c r="N754" i="8"/>
  <c r="N755" i="8"/>
  <c r="N756" i="8"/>
  <c r="N757" i="8"/>
  <c r="N758" i="8"/>
  <c r="N759" i="8"/>
  <c r="N760" i="8"/>
  <c r="N761" i="8"/>
  <c r="N762" i="8"/>
  <c r="N763" i="8"/>
  <c r="N764" i="8"/>
  <c r="N765" i="8"/>
  <c r="N766" i="8"/>
  <c r="N767" i="8"/>
  <c r="N768" i="8"/>
  <c r="N769" i="8"/>
  <c r="N770" i="8"/>
  <c r="N771" i="8"/>
  <c r="N772" i="8"/>
  <c r="N773" i="8"/>
  <c r="N774" i="8"/>
  <c r="N775" i="8"/>
  <c r="N776" i="8"/>
  <c r="N777" i="8"/>
  <c r="N778" i="8"/>
  <c r="N779" i="8"/>
  <c r="N780" i="8"/>
  <c r="N781" i="8"/>
  <c r="N782" i="8"/>
  <c r="N783" i="8"/>
  <c r="N784" i="8"/>
  <c r="N785" i="8"/>
  <c r="N786" i="8"/>
  <c r="N787" i="8"/>
  <c r="N788" i="8"/>
  <c r="N789" i="8"/>
  <c r="N790" i="8"/>
  <c r="N791" i="8"/>
  <c r="N792" i="8"/>
  <c r="N793" i="8"/>
  <c r="N794" i="8"/>
  <c r="N795" i="8"/>
  <c r="N796" i="8"/>
  <c r="N797" i="8"/>
  <c r="N798" i="8"/>
  <c r="N799" i="8"/>
  <c r="N800" i="8"/>
  <c r="N801" i="8"/>
  <c r="N802" i="8"/>
  <c r="N803" i="8"/>
  <c r="N804" i="8"/>
  <c r="N805" i="8"/>
  <c r="N806" i="8"/>
  <c r="N807" i="8"/>
  <c r="N808" i="8"/>
  <c r="N809" i="8"/>
  <c r="N810" i="8"/>
  <c r="N811" i="8"/>
  <c r="N812" i="8"/>
  <c r="N813" i="8"/>
  <c r="N814" i="8"/>
  <c r="N815" i="8"/>
  <c r="N816" i="8"/>
  <c r="N817" i="8"/>
  <c r="N818" i="8"/>
  <c r="N819" i="8"/>
  <c r="N820" i="8"/>
  <c r="N821" i="8"/>
  <c r="N822" i="8"/>
  <c r="N823" i="8"/>
  <c r="N824" i="8"/>
  <c r="N825" i="8"/>
  <c r="N826" i="8"/>
  <c r="N827" i="8"/>
  <c r="N828" i="8"/>
  <c r="N829" i="8"/>
  <c r="N830" i="8"/>
  <c r="N831" i="8"/>
  <c r="N832" i="8"/>
  <c r="N833" i="8"/>
  <c r="N834" i="8"/>
  <c r="N835" i="8"/>
  <c r="N836" i="8"/>
  <c r="N837" i="8"/>
  <c r="N838" i="8"/>
  <c r="N839" i="8"/>
  <c r="N840" i="8"/>
  <c r="N841" i="8"/>
  <c r="N842" i="8"/>
  <c r="N843" i="8"/>
  <c r="N844" i="8"/>
  <c r="N845" i="8"/>
  <c r="N846" i="8"/>
  <c r="N847" i="8"/>
  <c r="N848" i="8"/>
  <c r="N849" i="8"/>
  <c r="N850" i="8"/>
  <c r="N851" i="8"/>
  <c r="N852" i="8"/>
  <c r="N853" i="8"/>
  <c r="N854" i="8"/>
  <c r="N855" i="8"/>
  <c r="N856" i="8"/>
  <c r="N857" i="8"/>
  <c r="N858" i="8"/>
  <c r="N859" i="8"/>
  <c r="N860" i="8"/>
  <c r="N861" i="8"/>
  <c r="N862" i="8"/>
  <c r="N863" i="8"/>
  <c r="N864" i="8"/>
  <c r="N865" i="8"/>
  <c r="N866" i="8"/>
  <c r="N867" i="8"/>
  <c r="N868" i="8"/>
  <c r="N869" i="8"/>
  <c r="N870" i="8"/>
  <c r="N871" i="8"/>
  <c r="N872" i="8"/>
  <c r="N873" i="8"/>
  <c r="N874" i="8"/>
  <c r="N875" i="8"/>
  <c r="N876" i="8"/>
  <c r="N877" i="8"/>
  <c r="N878" i="8"/>
  <c r="N879" i="8"/>
  <c r="N880" i="8"/>
  <c r="N881" i="8"/>
  <c r="N882" i="8"/>
  <c r="N883" i="8"/>
  <c r="N884" i="8"/>
  <c r="N885" i="8"/>
  <c r="N886" i="8"/>
  <c r="N887" i="8"/>
  <c r="N888" i="8"/>
  <c r="N889" i="8"/>
  <c r="N890" i="8"/>
  <c r="N891" i="8"/>
  <c r="N892" i="8"/>
  <c r="N893" i="8"/>
  <c r="N894" i="8"/>
  <c r="N895" i="8"/>
  <c r="N896" i="8"/>
  <c r="N897" i="8"/>
  <c r="N898" i="8"/>
  <c r="N899" i="8"/>
  <c r="N900" i="8"/>
  <c r="N901" i="8"/>
  <c r="N902" i="8"/>
  <c r="N903" i="8"/>
  <c r="N904" i="8"/>
  <c r="N905" i="8"/>
  <c r="N906" i="8"/>
  <c r="N907" i="8"/>
  <c r="N908" i="8"/>
  <c r="N909" i="8"/>
  <c r="N910" i="8"/>
  <c r="N911" i="8"/>
  <c r="N912" i="8"/>
  <c r="N913" i="8"/>
  <c r="N914" i="8"/>
  <c r="N915" i="8"/>
  <c r="N916" i="8"/>
  <c r="N917" i="8"/>
  <c r="N918" i="8"/>
  <c r="N919" i="8"/>
  <c r="N920" i="8"/>
  <c r="N921" i="8"/>
  <c r="N922" i="8"/>
  <c r="N923" i="8"/>
  <c r="N924" i="8"/>
  <c r="N925" i="8"/>
  <c r="N926" i="8"/>
  <c r="N927" i="8"/>
  <c r="N928" i="8"/>
  <c r="N929" i="8"/>
  <c r="N930" i="8"/>
  <c r="N931" i="8"/>
  <c r="N932" i="8"/>
  <c r="N933" i="8"/>
  <c r="N934" i="8"/>
  <c r="N935" i="8"/>
  <c r="N936" i="8"/>
  <c r="N937" i="8"/>
  <c r="N938" i="8"/>
  <c r="N939" i="8"/>
  <c r="N940" i="8"/>
  <c r="N941" i="8"/>
  <c r="N942" i="8"/>
  <c r="N943" i="8"/>
  <c r="N944" i="8"/>
  <c r="N945" i="8"/>
  <c r="N946" i="8"/>
  <c r="N947" i="8"/>
  <c r="N948" i="8"/>
  <c r="N949" i="8"/>
  <c r="N950" i="8"/>
  <c r="N951" i="8"/>
  <c r="N952" i="8"/>
  <c r="N953" i="8"/>
  <c r="N954" i="8"/>
  <c r="N955" i="8"/>
  <c r="N956" i="8"/>
  <c r="N957" i="8"/>
  <c r="N958" i="8"/>
  <c r="N959" i="8"/>
  <c r="N960" i="8"/>
  <c r="N961" i="8"/>
  <c r="N962" i="8"/>
  <c r="N963" i="8"/>
  <c r="N964" i="8"/>
  <c r="N965" i="8"/>
  <c r="N966" i="8"/>
  <c r="N967" i="8"/>
  <c r="N968" i="8"/>
  <c r="N969" i="8"/>
  <c r="N970" i="8"/>
  <c r="N971" i="8"/>
  <c r="N972" i="8"/>
  <c r="N973" i="8"/>
  <c r="N974" i="8"/>
  <c r="N975" i="8"/>
  <c r="N976" i="8"/>
  <c r="N977" i="8"/>
  <c r="N978" i="8"/>
  <c r="N979" i="8"/>
  <c r="N980" i="8"/>
  <c r="N981" i="8"/>
  <c r="N982" i="8"/>
  <c r="N983" i="8"/>
  <c r="N984" i="8"/>
  <c r="N985" i="8"/>
  <c r="N986" i="8"/>
  <c r="N987" i="8"/>
  <c r="N988" i="8"/>
  <c r="N989" i="8"/>
  <c r="N990" i="8"/>
  <c r="N991" i="8"/>
  <c r="N992" i="8"/>
  <c r="N993" i="8"/>
  <c r="N994" i="8"/>
  <c r="N995" i="8"/>
  <c r="N996" i="8"/>
  <c r="N997" i="8"/>
  <c r="N998" i="8"/>
  <c r="N9" i="8"/>
  <c r="A24" i="23" l="1"/>
  <c r="E186" i="6"/>
  <c r="E187" i="6"/>
  <c r="E188" i="6"/>
  <c r="F188" i="6" s="1"/>
  <c r="I188" i="6" s="1"/>
  <c r="E185" i="6"/>
  <c r="F186" i="6" l="1"/>
  <c r="C186" i="6"/>
  <c r="F185" i="6"/>
  <c r="I185" i="6" s="1"/>
  <c r="A25" i="23"/>
  <c r="I186" i="6" l="1"/>
  <c r="A26" i="23"/>
  <c r="A27" i="23" l="1"/>
  <c r="C18" i="14"/>
  <c r="F21" i="14" s="1"/>
  <c r="A28" i="23" l="1"/>
  <c r="L4" i="14" l="1"/>
  <c r="A29" i="23"/>
  <c r="L5" i="14"/>
  <c r="A151" i="9"/>
  <c r="D76" i="9"/>
  <c r="E189" i="6"/>
  <c r="E190" i="6"/>
  <c r="F187" i="6"/>
  <c r="C187" i="6" s="1"/>
  <c r="F184" i="6"/>
  <c r="I184" i="6" s="1"/>
  <c r="E49" i="11"/>
  <c r="D49" i="11"/>
  <c r="D21" i="11" s="1"/>
  <c r="C205" i="6" l="1"/>
  <c r="F189" i="6"/>
  <c r="I189" i="6" s="1"/>
  <c r="F190" i="6"/>
  <c r="I190" i="6" s="1"/>
  <c r="A30" i="23"/>
  <c r="C24" i="14"/>
  <c r="B24" i="14"/>
  <c r="I48" i="11"/>
  <c r="J48" i="11" s="1"/>
  <c r="I57" i="11"/>
  <c r="L45" i="11"/>
  <c r="F41" i="12"/>
  <c r="F42" i="12"/>
  <c r="F43" i="12"/>
  <c r="F44" i="12"/>
  <c r="I20" i="11"/>
  <c r="L17" i="11"/>
  <c r="L18" i="11"/>
  <c r="L19" i="11"/>
  <c r="D57" i="11"/>
  <c r="E27" i="12"/>
  <c r="E28" i="12"/>
  <c r="E29" i="12"/>
  <c r="F29" i="12" s="1"/>
  <c r="E30" i="12"/>
  <c r="E31" i="12"/>
  <c r="E32" i="12"/>
  <c r="E33" i="12"/>
  <c r="E34" i="12"/>
  <c r="E35" i="12"/>
  <c r="E36" i="12"/>
  <c r="E37" i="12"/>
  <c r="E26" i="12"/>
  <c r="E9" i="12"/>
  <c r="E10" i="12"/>
  <c r="F10" i="12" s="1"/>
  <c r="M224" i="1" s="1"/>
  <c r="E11" i="12"/>
  <c r="F11" i="12" s="1"/>
  <c r="E12" i="12"/>
  <c r="F12" i="12" s="1"/>
  <c r="E13" i="12"/>
  <c r="F13" i="12" s="1"/>
  <c r="E14" i="12"/>
  <c r="F14" i="12" s="1"/>
  <c r="E15" i="12"/>
  <c r="F15" i="12" s="1"/>
  <c r="E16" i="12"/>
  <c r="F16" i="12" s="1"/>
  <c r="E17" i="12"/>
  <c r="F17" i="12" s="1"/>
  <c r="E8" i="12"/>
  <c r="F9" i="12" l="1"/>
  <c r="M223" i="1" s="1"/>
  <c r="M244" i="1"/>
  <c r="L20" i="11"/>
  <c r="B554" i="12"/>
  <c r="F8" i="12"/>
  <c r="M222" i="1" s="1"/>
  <c r="A31" i="23"/>
  <c r="J15" i="11"/>
  <c r="L15" i="11"/>
  <c r="J16" i="11"/>
  <c r="L16" i="11"/>
  <c r="J19" i="11"/>
  <c r="M19" i="11" s="1"/>
  <c r="J18" i="11"/>
  <c r="M18" i="11" s="1"/>
  <c r="J17" i="11"/>
  <c r="M17" i="11" s="1"/>
  <c r="J42" i="11"/>
  <c r="M42" i="11" s="1"/>
  <c r="L42" i="11"/>
  <c r="J41" i="11"/>
  <c r="L41" i="11"/>
  <c r="J44" i="11"/>
  <c r="M44" i="11" s="1"/>
  <c r="L44" i="11"/>
  <c r="D58" i="11"/>
  <c r="L58" i="11" s="1"/>
  <c r="E58" i="11"/>
  <c r="A1" i="7"/>
  <c r="A4" i="6"/>
  <c r="A32" i="23" l="1"/>
  <c r="J20" i="11"/>
  <c r="F58" i="11"/>
  <c r="M58" i="11" s="1"/>
  <c r="M41" i="11"/>
  <c r="M20" i="11" l="1"/>
  <c r="A33" i="23"/>
  <c r="L43" i="11"/>
  <c r="J43" i="11"/>
  <c r="M43" i="11" s="1"/>
  <c r="G143" i="6"/>
  <c r="G114" i="6"/>
  <c r="G103" i="6"/>
  <c r="G49" i="6"/>
  <c r="G11" i="6"/>
  <c r="E114" i="6"/>
  <c r="E103" i="6"/>
  <c r="E49" i="6"/>
  <c r="E11" i="6"/>
  <c r="F9" i="7"/>
  <c r="D143" i="6"/>
  <c r="D114" i="6"/>
  <c r="D103" i="6"/>
  <c r="D49" i="6"/>
  <c r="D11" i="6"/>
  <c r="C199" i="6" l="1"/>
  <c r="A34" i="23"/>
  <c r="F49" i="6"/>
  <c r="H49" i="6" s="1"/>
  <c r="F103" i="6"/>
  <c r="I103" i="6" s="1"/>
  <c r="F114" i="6"/>
  <c r="I114" i="6" s="1"/>
  <c r="F11" i="6"/>
  <c r="H461" i="7"/>
  <c r="G45" i="6" s="1"/>
  <c r="H448" i="7"/>
  <c r="H431" i="7"/>
  <c r="H417" i="7"/>
  <c r="H397" i="7"/>
  <c r="H384" i="7"/>
  <c r="H369" i="7"/>
  <c r="H297" i="7"/>
  <c r="H211" i="7"/>
  <c r="H116" i="7"/>
  <c r="H95" i="7"/>
  <c r="A35" i="23" l="1"/>
  <c r="H462" i="7"/>
  <c r="H11" i="6"/>
  <c r="H114" i="6"/>
  <c r="H103" i="6"/>
  <c r="I49" i="6"/>
  <c r="H43" i="7"/>
  <c r="H9" i="7"/>
  <c r="F461" i="7"/>
  <c r="F448" i="7"/>
  <c r="F431" i="7"/>
  <c r="F417" i="7"/>
  <c r="F397" i="7"/>
  <c r="F384" i="7"/>
  <c r="F369" i="7"/>
  <c r="F297" i="7"/>
  <c r="F211" i="7"/>
  <c r="F116" i="7"/>
  <c r="F95" i="7"/>
  <c r="F43" i="7"/>
  <c r="E461" i="7"/>
  <c r="D45" i="6" s="1"/>
  <c r="E448" i="7"/>
  <c r="E431" i="7"/>
  <c r="E417" i="7"/>
  <c r="E397" i="7"/>
  <c r="E384" i="7"/>
  <c r="E369" i="7"/>
  <c r="E297" i="7"/>
  <c r="E211" i="7"/>
  <c r="E116" i="7"/>
  <c r="E95" i="7"/>
  <c r="E43" i="7"/>
  <c r="E9" i="7"/>
  <c r="A36" i="23" l="1"/>
  <c r="G9" i="7"/>
  <c r="G211" i="7"/>
  <c r="G431" i="7"/>
  <c r="G369" i="7"/>
  <c r="G384" i="7"/>
  <c r="G397" i="7"/>
  <c r="G95" i="7"/>
  <c r="G43" i="7"/>
  <c r="G116" i="7"/>
  <c r="G297" i="7"/>
  <c r="G417" i="7"/>
  <c r="G448" i="7"/>
  <c r="E45" i="6"/>
  <c r="F45" i="6" s="1"/>
  <c r="F462" i="7"/>
  <c r="G461" i="7"/>
  <c r="A37" i="23" l="1"/>
  <c r="J9" i="7"/>
  <c r="I9" i="7"/>
  <c r="H45" i="6"/>
  <c r="J448" i="7"/>
  <c r="I448" i="7"/>
  <c r="J116" i="7"/>
  <c r="I116" i="7"/>
  <c r="J397" i="7"/>
  <c r="I397" i="7"/>
  <c r="J211" i="7"/>
  <c r="I211" i="7"/>
  <c r="J461" i="7"/>
  <c r="J462" i="7" s="1"/>
  <c r="G462" i="7"/>
  <c r="I461" i="7"/>
  <c r="I462" i="7" s="1"/>
  <c r="J369" i="7"/>
  <c r="I369" i="7"/>
  <c r="J95" i="7"/>
  <c r="I95" i="7"/>
  <c r="I417" i="7"/>
  <c r="J417" i="7"/>
  <c r="J297" i="7"/>
  <c r="I297" i="7"/>
  <c r="J43" i="7"/>
  <c r="I43" i="7"/>
  <c r="J384" i="7"/>
  <c r="I384" i="7"/>
  <c r="J431" i="7"/>
  <c r="I431" i="7"/>
  <c r="A38" i="23" l="1"/>
  <c r="A39" i="23" l="1"/>
  <c r="A40" i="23" l="1"/>
  <c r="I3" i="9"/>
  <c r="A41" i="23" l="1"/>
  <c r="E140" i="9"/>
  <c r="I140" i="9"/>
  <c r="A42" i="23" l="1"/>
  <c r="A43" i="23" l="1"/>
  <c r="I11" i="6"/>
  <c r="A44" i="23" l="1"/>
  <c r="A300" i="12"/>
  <c r="A276" i="12"/>
  <c r="F40" i="12"/>
  <c r="F27" i="12"/>
  <c r="F28" i="12"/>
  <c r="F30" i="12"/>
  <c r="F31" i="12"/>
  <c r="F32" i="12"/>
  <c r="F33" i="12"/>
  <c r="F34" i="12"/>
  <c r="F35" i="12"/>
  <c r="F36" i="12"/>
  <c r="F37" i="12"/>
  <c r="F38" i="12"/>
  <c r="F39" i="12"/>
  <c r="F26" i="12"/>
  <c r="A107" i="12"/>
  <c r="A106" i="12"/>
  <c r="A79" i="12"/>
  <c r="A71" i="12"/>
  <c r="A19" i="12"/>
  <c r="A70" i="12"/>
  <c r="A18" i="12"/>
  <c r="A6" i="12"/>
  <c r="A549" i="12"/>
  <c r="A550" i="12"/>
  <c r="A538" i="12"/>
  <c r="A539" i="12"/>
  <c r="A523" i="12"/>
  <c r="A524" i="12"/>
  <c r="A513" i="12"/>
  <c r="A495" i="12"/>
  <c r="A496" i="12"/>
  <c r="A514" i="12"/>
  <c r="A484" i="12"/>
  <c r="A485" i="12"/>
  <c r="A471" i="12"/>
  <c r="A472" i="12"/>
  <c r="A459" i="12"/>
  <c r="A441" i="12"/>
  <c r="A427" i="12"/>
  <c r="A407" i="12"/>
  <c r="A382" i="12"/>
  <c r="A355" i="12"/>
  <c r="A408" i="12"/>
  <c r="A327" i="12"/>
  <c r="A328" i="12"/>
  <c r="A257" i="12"/>
  <c r="A240" i="12"/>
  <c r="A221" i="12"/>
  <c r="A222" i="12"/>
  <c r="A241" i="12"/>
  <c r="A174" i="12"/>
  <c r="A144" i="12"/>
  <c r="B144" i="12" s="1"/>
  <c r="A143" i="12"/>
  <c r="A7" i="12"/>
  <c r="M483" i="1" l="1"/>
  <c r="M342" i="1"/>
  <c r="M446" i="1"/>
  <c r="M454" i="1"/>
  <c r="M462" i="1"/>
  <c r="M470" i="1"/>
  <c r="M478" i="1"/>
  <c r="M348" i="1"/>
  <c r="M449" i="1"/>
  <c r="M465" i="1"/>
  <c r="M450" i="1"/>
  <c r="M482" i="1"/>
  <c r="M344" i="1"/>
  <c r="M469" i="1"/>
  <c r="M347" i="1"/>
  <c r="M439" i="1"/>
  <c r="M447" i="1"/>
  <c r="M455" i="1"/>
  <c r="M463" i="1"/>
  <c r="M471" i="1"/>
  <c r="M479" i="1"/>
  <c r="M457" i="1"/>
  <c r="M473" i="1"/>
  <c r="M466" i="1"/>
  <c r="M474" i="1"/>
  <c r="M461" i="1"/>
  <c r="M440" i="1"/>
  <c r="M448" i="1"/>
  <c r="M456" i="1"/>
  <c r="M464" i="1"/>
  <c r="M472" i="1"/>
  <c r="M480" i="1"/>
  <c r="M441" i="1"/>
  <c r="M481" i="1"/>
  <c r="M458" i="1"/>
  <c r="M445" i="1"/>
  <c r="M442" i="1"/>
  <c r="M477" i="1"/>
  <c r="M443" i="1"/>
  <c r="M451" i="1"/>
  <c r="M459" i="1"/>
  <c r="M467" i="1"/>
  <c r="M475" i="1"/>
  <c r="M438" i="1"/>
  <c r="M345" i="1"/>
  <c r="M444" i="1"/>
  <c r="M452" i="1"/>
  <c r="M460" i="1"/>
  <c r="M468" i="1"/>
  <c r="M476" i="1"/>
  <c r="M346" i="1"/>
  <c r="M453" i="1"/>
  <c r="M323" i="1"/>
  <c r="M246" i="1"/>
  <c r="M316" i="1"/>
  <c r="M328" i="1"/>
  <c r="M315" i="1"/>
  <c r="M319" i="1"/>
  <c r="M329" i="1"/>
  <c r="M331" i="1"/>
  <c r="M324" i="1"/>
  <c r="M245" i="1"/>
  <c r="M327" i="1"/>
  <c r="M321" i="1"/>
  <c r="M325" i="1"/>
  <c r="M320" i="1"/>
  <c r="M332" i="1"/>
  <c r="M326" i="1"/>
  <c r="M330" i="1"/>
  <c r="M318" i="1"/>
  <c r="M343" i="1"/>
  <c r="M333" i="1"/>
  <c r="M317" i="1"/>
  <c r="M322" i="1"/>
  <c r="C7" i="12"/>
  <c r="A45" i="23"/>
  <c r="B7" i="12"/>
  <c r="A144" i="6"/>
  <c r="A50" i="6"/>
  <c r="A115" i="6"/>
  <c r="A81" i="12" s="1"/>
  <c r="A104" i="6"/>
  <c r="A12" i="6"/>
  <c r="B449" i="7"/>
  <c r="B450" i="7" s="1"/>
  <c r="B451" i="7" s="1"/>
  <c r="B452" i="7" s="1"/>
  <c r="B453" i="7" s="1"/>
  <c r="B454" i="7" s="1"/>
  <c r="B455" i="7" s="1"/>
  <c r="B456" i="7" s="1"/>
  <c r="B457" i="7" s="1"/>
  <c r="B432" i="7"/>
  <c r="B433" i="7" s="1"/>
  <c r="B434" i="7" s="1"/>
  <c r="B435" i="7" s="1"/>
  <c r="B436" i="7" s="1"/>
  <c r="B437" i="7" s="1"/>
  <c r="B438" i="7" s="1"/>
  <c r="B439" i="7" s="1"/>
  <c r="B440" i="7" s="1"/>
  <c r="B441" i="7" s="1"/>
  <c r="B442" i="7" s="1"/>
  <c r="B443" i="7" s="1"/>
  <c r="B444" i="7" s="1"/>
  <c r="B418" i="7"/>
  <c r="B419" i="7" s="1"/>
  <c r="B420" i="7" s="1"/>
  <c r="B421" i="7" s="1"/>
  <c r="B422" i="7" s="1"/>
  <c r="B423" i="7" s="1"/>
  <c r="B424" i="7" s="1"/>
  <c r="B425" i="7" s="1"/>
  <c r="B385" i="7"/>
  <c r="B386" i="7" s="1"/>
  <c r="B387" i="7" s="1"/>
  <c r="B388" i="7" s="1"/>
  <c r="B389" i="7" s="1"/>
  <c r="B390" i="7" s="1"/>
  <c r="B391" i="7" s="1"/>
  <c r="B392" i="7" s="1"/>
  <c r="B393" i="7" s="1"/>
  <c r="A108" i="12" l="1"/>
  <c r="A145" i="6"/>
  <c r="A46" i="23"/>
  <c r="D115" i="6"/>
  <c r="G115" i="6"/>
  <c r="E115" i="6"/>
  <c r="G12" i="6"/>
  <c r="D12" i="6"/>
  <c r="E12" i="6"/>
  <c r="G144" i="6"/>
  <c r="D144" i="6"/>
  <c r="E144" i="6"/>
  <c r="E104" i="6"/>
  <c r="D104" i="6"/>
  <c r="G104" i="6"/>
  <c r="E50" i="6"/>
  <c r="D50" i="6"/>
  <c r="G50" i="6"/>
  <c r="H418" i="7"/>
  <c r="F418" i="7"/>
  <c r="E418" i="7"/>
  <c r="H385" i="7"/>
  <c r="F385" i="7"/>
  <c r="E385" i="7"/>
  <c r="H432" i="7"/>
  <c r="F432" i="7"/>
  <c r="E432" i="7"/>
  <c r="A541" i="12"/>
  <c r="H449" i="7"/>
  <c r="E449" i="7"/>
  <c r="F449" i="7"/>
  <c r="A20" i="12"/>
  <c r="A51" i="6"/>
  <c r="A72" i="12"/>
  <c r="A8" i="12"/>
  <c r="A13" i="6"/>
  <c r="A105" i="6"/>
  <c r="A486" i="12"/>
  <c r="A525" i="12"/>
  <c r="A540" i="12"/>
  <c r="A515" i="12"/>
  <c r="A146" i="6" l="1"/>
  <c r="A109" i="12"/>
  <c r="F452" i="7"/>
  <c r="C8" i="12"/>
  <c r="A516" i="12"/>
  <c r="A47" i="23"/>
  <c r="A52" i="6"/>
  <c r="D51" i="6"/>
  <c r="G51" i="6"/>
  <c r="E51" i="6"/>
  <c r="F50" i="6"/>
  <c r="D145" i="6"/>
  <c r="G145" i="6"/>
  <c r="E145" i="6"/>
  <c r="G105" i="6"/>
  <c r="E105" i="6"/>
  <c r="D105" i="6"/>
  <c r="F144" i="6"/>
  <c r="F12" i="6"/>
  <c r="F115" i="6"/>
  <c r="E117" i="6"/>
  <c r="D117" i="6"/>
  <c r="G117" i="6"/>
  <c r="G13" i="6"/>
  <c r="E13" i="6"/>
  <c r="D13" i="6"/>
  <c r="F104" i="6"/>
  <c r="G116" i="6"/>
  <c r="D116" i="6"/>
  <c r="E116" i="6"/>
  <c r="H451" i="7"/>
  <c r="F451" i="7"/>
  <c r="E451" i="7"/>
  <c r="G418" i="7"/>
  <c r="H433" i="7"/>
  <c r="F433" i="7"/>
  <c r="E433" i="7"/>
  <c r="H386" i="7"/>
  <c r="F386" i="7"/>
  <c r="E386" i="7"/>
  <c r="H420" i="7"/>
  <c r="F420" i="7"/>
  <c r="E420" i="7"/>
  <c r="H450" i="7"/>
  <c r="F450" i="7"/>
  <c r="E450" i="7"/>
  <c r="G385" i="7"/>
  <c r="G432" i="7"/>
  <c r="G449" i="7"/>
  <c r="H419" i="7"/>
  <c r="E419" i="7"/>
  <c r="F419" i="7"/>
  <c r="A14" i="6"/>
  <c r="A15" i="6" s="1"/>
  <c r="A11" i="12" s="1"/>
  <c r="A9" i="12"/>
  <c r="B8" i="12"/>
  <c r="A106" i="6"/>
  <c r="A73" i="12"/>
  <c r="A21" i="12"/>
  <c r="A526" i="12"/>
  <c r="A487" i="12"/>
  <c r="A489" i="12"/>
  <c r="A542" i="12"/>
  <c r="A517" i="12"/>
  <c r="H9" i="8"/>
  <c r="A147" i="6" l="1"/>
  <c r="E147" i="6" s="1"/>
  <c r="A110" i="12"/>
  <c r="D146" i="6"/>
  <c r="G146" i="6"/>
  <c r="E146" i="6"/>
  <c r="C9" i="12"/>
  <c r="E452" i="7"/>
  <c r="G452" i="7" s="1"/>
  <c r="A543" i="12"/>
  <c r="H452" i="7"/>
  <c r="E453" i="7"/>
  <c r="A544" i="12"/>
  <c r="F453" i="7"/>
  <c r="H453" i="7"/>
  <c r="B11" i="12"/>
  <c r="C11" i="12"/>
  <c r="A16" i="6"/>
  <c r="A12" i="12" s="1"/>
  <c r="E15" i="6"/>
  <c r="G15" i="6"/>
  <c r="D15" i="6"/>
  <c r="A490" i="12"/>
  <c r="E388" i="7"/>
  <c r="F388" i="7"/>
  <c r="H388" i="7"/>
  <c r="G147" i="6"/>
  <c r="D147" i="6"/>
  <c r="G386" i="7"/>
  <c r="J386" i="7" s="1"/>
  <c r="A48" i="23"/>
  <c r="F51" i="6"/>
  <c r="A53" i="6"/>
  <c r="D52" i="6"/>
  <c r="E52" i="6"/>
  <c r="A22" i="12"/>
  <c r="G52" i="6"/>
  <c r="F105" i="6"/>
  <c r="H105" i="6" s="1"/>
  <c r="H115" i="6"/>
  <c r="I115" i="6"/>
  <c r="I144" i="6"/>
  <c r="H144" i="6"/>
  <c r="D14" i="6"/>
  <c r="E14" i="6"/>
  <c r="G14" i="6"/>
  <c r="F145" i="6"/>
  <c r="G120" i="6"/>
  <c r="D120" i="6"/>
  <c r="D106" i="6"/>
  <c r="G106" i="6"/>
  <c r="E106" i="6"/>
  <c r="F116" i="6"/>
  <c r="H104" i="6"/>
  <c r="I104" i="6"/>
  <c r="F13" i="6"/>
  <c r="F117" i="6"/>
  <c r="I12" i="6"/>
  <c r="H12" i="6"/>
  <c r="H50" i="6"/>
  <c r="I50" i="6"/>
  <c r="G450" i="7"/>
  <c r="I450" i="7" s="1"/>
  <c r="G419" i="7"/>
  <c r="G433" i="7"/>
  <c r="H421" i="7"/>
  <c r="F421" i="7"/>
  <c r="E421" i="7"/>
  <c r="I449" i="7"/>
  <c r="J449" i="7"/>
  <c r="J432" i="7"/>
  <c r="I432" i="7"/>
  <c r="G451" i="7"/>
  <c r="H434" i="7"/>
  <c r="F434" i="7"/>
  <c r="E434" i="7"/>
  <c r="H387" i="7"/>
  <c r="F387" i="7"/>
  <c r="E387" i="7"/>
  <c r="J385" i="7"/>
  <c r="I385" i="7"/>
  <c r="G420" i="7"/>
  <c r="I418" i="7"/>
  <c r="J418" i="7"/>
  <c r="A107" i="6"/>
  <c r="A74" i="12"/>
  <c r="B9" i="12"/>
  <c r="A10" i="12"/>
  <c r="A488" i="12"/>
  <c r="A518" i="12"/>
  <c r="A527" i="12"/>
  <c r="F146" i="6" l="1"/>
  <c r="A148" i="6"/>
  <c r="A111" i="12"/>
  <c r="G453" i="7"/>
  <c r="F454" i="7"/>
  <c r="A545" i="12"/>
  <c r="E454" i="7"/>
  <c r="H454" i="7"/>
  <c r="I452" i="7"/>
  <c r="J452" i="7"/>
  <c r="B12" i="12"/>
  <c r="C12" i="12"/>
  <c r="F15" i="6"/>
  <c r="H15" i="6" s="1"/>
  <c r="C10" i="12"/>
  <c r="B10" i="12"/>
  <c r="A17" i="6"/>
  <c r="G16" i="6"/>
  <c r="D16" i="6"/>
  <c r="E16" i="6"/>
  <c r="G388" i="7"/>
  <c r="F389" i="7"/>
  <c r="H389" i="7"/>
  <c r="E389" i="7"/>
  <c r="F147" i="6"/>
  <c r="H147" i="6" s="1"/>
  <c r="I386" i="7"/>
  <c r="A49" i="23"/>
  <c r="F52" i="6"/>
  <c r="A54" i="6"/>
  <c r="E53" i="6"/>
  <c r="A23" i="12"/>
  <c r="D53" i="6"/>
  <c r="G53" i="6"/>
  <c r="H51" i="6"/>
  <c r="I51" i="6"/>
  <c r="J450" i="7"/>
  <c r="I105" i="6"/>
  <c r="I145" i="6"/>
  <c r="H145" i="6"/>
  <c r="I117" i="6"/>
  <c r="H117" i="6"/>
  <c r="F106" i="6"/>
  <c r="D121" i="6"/>
  <c r="G121" i="6"/>
  <c r="E107" i="6"/>
  <c r="D107" i="6"/>
  <c r="G107" i="6"/>
  <c r="I13" i="6"/>
  <c r="H13" i="6"/>
  <c r="H116" i="6"/>
  <c r="I116" i="6"/>
  <c r="F14" i="6"/>
  <c r="G421" i="7"/>
  <c r="J421" i="7" s="1"/>
  <c r="I420" i="7"/>
  <c r="J420" i="7"/>
  <c r="G387" i="7"/>
  <c r="I433" i="7"/>
  <c r="J433" i="7"/>
  <c r="J451" i="7"/>
  <c r="I451" i="7"/>
  <c r="J419" i="7"/>
  <c r="I419" i="7"/>
  <c r="H435" i="7"/>
  <c r="E435" i="7"/>
  <c r="F435" i="7"/>
  <c r="H390" i="7"/>
  <c r="F390" i="7"/>
  <c r="E390" i="7"/>
  <c r="H422" i="7"/>
  <c r="F422" i="7"/>
  <c r="E422" i="7"/>
  <c r="G434" i="7"/>
  <c r="A108" i="6"/>
  <c r="A75" i="12"/>
  <c r="A528" i="12"/>
  <c r="A491" i="12"/>
  <c r="A519" i="12"/>
  <c r="E57" i="11"/>
  <c r="F57" i="11" s="1"/>
  <c r="E60" i="11"/>
  <c r="D60" i="11"/>
  <c r="A149" i="6" l="1"/>
  <c r="A112" i="12"/>
  <c r="D148" i="6"/>
  <c r="G148" i="6"/>
  <c r="I146" i="6"/>
  <c r="H146" i="6"/>
  <c r="H455" i="7"/>
  <c r="A546" i="12"/>
  <c r="E455" i="7"/>
  <c r="F455" i="7"/>
  <c r="G454" i="7"/>
  <c r="J453" i="7"/>
  <c r="I453" i="7"/>
  <c r="A13" i="12"/>
  <c r="F16" i="6"/>
  <c r="H16" i="6" s="1"/>
  <c r="G389" i="7"/>
  <c r="J389" i="7" s="1"/>
  <c r="I15" i="6"/>
  <c r="A18" i="6"/>
  <c r="A14" i="12" s="1"/>
  <c r="D17" i="6"/>
  <c r="E17" i="6"/>
  <c r="G17" i="6"/>
  <c r="I388" i="7"/>
  <c r="J388" i="7"/>
  <c r="I147" i="6"/>
  <c r="A50" i="23"/>
  <c r="A55" i="6"/>
  <c r="E54" i="6"/>
  <c r="G54" i="6"/>
  <c r="A24" i="12"/>
  <c r="D54" i="6"/>
  <c r="F53" i="6"/>
  <c r="H52" i="6"/>
  <c r="I52" i="6"/>
  <c r="F107" i="6"/>
  <c r="I107" i="6" s="1"/>
  <c r="I106" i="6"/>
  <c r="H106" i="6"/>
  <c r="G122" i="6"/>
  <c r="D122" i="6"/>
  <c r="E122" i="6"/>
  <c r="E108" i="6"/>
  <c r="D108" i="6"/>
  <c r="G108" i="6"/>
  <c r="H14" i="6"/>
  <c r="I14" i="6"/>
  <c r="I421" i="7"/>
  <c r="G390" i="7"/>
  <c r="I390" i="7" s="1"/>
  <c r="G435" i="7"/>
  <c r="I435" i="7" s="1"/>
  <c r="G422" i="7"/>
  <c r="J422" i="7" s="1"/>
  <c r="H436" i="7"/>
  <c r="E436" i="7"/>
  <c r="F436" i="7"/>
  <c r="H423" i="7"/>
  <c r="E423" i="7"/>
  <c r="F423" i="7"/>
  <c r="J387" i="7"/>
  <c r="I387" i="7"/>
  <c r="H391" i="7"/>
  <c r="F391" i="7"/>
  <c r="E391" i="7"/>
  <c r="I434" i="7"/>
  <c r="J434" i="7"/>
  <c r="A109" i="6"/>
  <c r="A76" i="12"/>
  <c r="A492" i="12"/>
  <c r="A520" i="12"/>
  <c r="A529" i="12"/>
  <c r="A531" i="12"/>
  <c r="A150" i="6" l="1"/>
  <c r="A113" i="12"/>
  <c r="D149" i="6"/>
  <c r="G149" i="6"/>
  <c r="E149" i="6"/>
  <c r="B13" i="12"/>
  <c r="G455" i="7"/>
  <c r="I454" i="7"/>
  <c r="J454" i="7"/>
  <c r="E456" i="7"/>
  <c r="A547" i="12"/>
  <c r="F456" i="7"/>
  <c r="H456" i="7"/>
  <c r="C13" i="12"/>
  <c r="B14" i="12"/>
  <c r="C14" i="12"/>
  <c r="I389" i="7"/>
  <c r="I16" i="6"/>
  <c r="F17" i="6"/>
  <c r="I17" i="6" s="1"/>
  <c r="A19" i="6"/>
  <c r="D18" i="6"/>
  <c r="E18" i="6"/>
  <c r="G18" i="6"/>
  <c r="A532" i="12"/>
  <c r="E438" i="7"/>
  <c r="F438" i="7"/>
  <c r="H438" i="7"/>
  <c r="A51" i="23"/>
  <c r="J435" i="7"/>
  <c r="H53" i="6"/>
  <c r="I53" i="6"/>
  <c r="F54" i="6"/>
  <c r="A56" i="6"/>
  <c r="G55" i="6"/>
  <c r="A25" i="12"/>
  <c r="E55" i="6"/>
  <c r="D55" i="6"/>
  <c r="J390" i="7"/>
  <c r="H107" i="6"/>
  <c r="D123" i="6"/>
  <c r="G123" i="6"/>
  <c r="E123" i="6"/>
  <c r="F122" i="6"/>
  <c r="G109" i="6"/>
  <c r="E109" i="6"/>
  <c r="D109" i="6"/>
  <c r="I422" i="7"/>
  <c r="F108" i="6"/>
  <c r="G423" i="7"/>
  <c r="J423" i="7" s="1"/>
  <c r="H392" i="7"/>
  <c r="F392" i="7"/>
  <c r="E392" i="7"/>
  <c r="G391" i="7"/>
  <c r="H437" i="7"/>
  <c r="F437" i="7"/>
  <c r="E437" i="7"/>
  <c r="H424" i="7"/>
  <c r="F424" i="7"/>
  <c r="E424" i="7"/>
  <c r="G436" i="7"/>
  <c r="A110" i="6"/>
  <c r="A77" i="12"/>
  <c r="A530" i="12"/>
  <c r="A493" i="12"/>
  <c r="A521" i="12"/>
  <c r="L29" i="11"/>
  <c r="J29" i="11"/>
  <c r="L48" i="11"/>
  <c r="J45" i="11"/>
  <c r="L39" i="11"/>
  <c r="F149" i="6" l="1"/>
  <c r="A151" i="6"/>
  <c r="A114" i="12"/>
  <c r="G150" i="6"/>
  <c r="D150" i="6"/>
  <c r="E150" i="6"/>
  <c r="F457" i="7"/>
  <c r="E457" i="7"/>
  <c r="H457" i="7"/>
  <c r="H458" i="7" s="1"/>
  <c r="G44" i="6" s="1"/>
  <c r="A548" i="12"/>
  <c r="G456" i="7"/>
  <c r="I455" i="7"/>
  <c r="J455" i="7"/>
  <c r="A15" i="12"/>
  <c r="F18" i="6"/>
  <c r="I18" i="6" s="1"/>
  <c r="H17" i="6"/>
  <c r="A20" i="6"/>
  <c r="E19" i="6"/>
  <c r="G19" i="6"/>
  <c r="D19" i="6"/>
  <c r="G438" i="7"/>
  <c r="A533" i="12"/>
  <c r="E439" i="7"/>
  <c r="F439" i="7"/>
  <c r="H439" i="7"/>
  <c r="A52" i="23"/>
  <c r="F55" i="6"/>
  <c r="H55" i="6" s="1"/>
  <c r="H54" i="6"/>
  <c r="I54" i="6"/>
  <c r="A57" i="6"/>
  <c r="G56" i="6"/>
  <c r="E56" i="6"/>
  <c r="A26" i="12"/>
  <c r="D56" i="6"/>
  <c r="F109" i="6"/>
  <c r="F123" i="6"/>
  <c r="E124" i="6"/>
  <c r="G124" i="6"/>
  <c r="D124" i="6"/>
  <c r="D110" i="6"/>
  <c r="D111" i="6" s="1"/>
  <c r="G110" i="6"/>
  <c r="G111" i="6" s="1"/>
  <c r="E110" i="6"/>
  <c r="E111" i="6" s="1"/>
  <c r="H108" i="6"/>
  <c r="I108" i="6"/>
  <c r="H122" i="6"/>
  <c r="I122" i="6"/>
  <c r="I423" i="7"/>
  <c r="G424" i="7"/>
  <c r="I424" i="7" s="1"/>
  <c r="G437" i="7"/>
  <c r="J436" i="7"/>
  <c r="I436" i="7"/>
  <c r="J391" i="7"/>
  <c r="I391" i="7"/>
  <c r="H425" i="7"/>
  <c r="F425" i="7"/>
  <c r="E425" i="7"/>
  <c r="H393" i="7"/>
  <c r="E393" i="7"/>
  <c r="F393" i="7"/>
  <c r="G392" i="7"/>
  <c r="A78" i="12"/>
  <c r="A522" i="12"/>
  <c r="A494" i="12"/>
  <c r="A152" i="6" l="1"/>
  <c r="A115" i="12"/>
  <c r="G151" i="6"/>
  <c r="D151" i="6"/>
  <c r="F150" i="6"/>
  <c r="I149" i="6"/>
  <c r="H149" i="6"/>
  <c r="I456" i="7"/>
  <c r="J456" i="7"/>
  <c r="D44" i="6"/>
  <c r="G457" i="7"/>
  <c r="C15" i="12"/>
  <c r="B15" i="12"/>
  <c r="H18" i="6"/>
  <c r="A21" i="6"/>
  <c r="B24" i="12" s="1"/>
  <c r="D20" i="6"/>
  <c r="A16" i="12"/>
  <c r="G20" i="6"/>
  <c r="E20" i="6"/>
  <c r="F19" i="6"/>
  <c r="G439" i="7"/>
  <c r="F440" i="7"/>
  <c r="H440" i="7"/>
  <c r="E440" i="7"/>
  <c r="I438" i="7"/>
  <c r="J438" i="7"/>
  <c r="A53" i="23"/>
  <c r="I55" i="6"/>
  <c r="F56" i="6"/>
  <c r="A58" i="6"/>
  <c r="G57" i="6"/>
  <c r="A27" i="12"/>
  <c r="D57" i="6"/>
  <c r="E57" i="6"/>
  <c r="F124" i="6"/>
  <c r="I124" i="6" s="1"/>
  <c r="H109" i="6"/>
  <c r="I109" i="6"/>
  <c r="D125" i="6"/>
  <c r="G125" i="6"/>
  <c r="E125" i="6"/>
  <c r="F110" i="6"/>
  <c r="I123" i="6"/>
  <c r="H123" i="6"/>
  <c r="J424" i="7"/>
  <c r="G425" i="7"/>
  <c r="J425" i="7" s="1"/>
  <c r="H394" i="7"/>
  <c r="G40" i="6"/>
  <c r="I437" i="7"/>
  <c r="J437" i="7"/>
  <c r="J392" i="7"/>
  <c r="I392" i="7"/>
  <c r="G393" i="7"/>
  <c r="G42" i="6"/>
  <c r="H426" i="7"/>
  <c r="M45" i="11"/>
  <c r="M48" i="11"/>
  <c r="D22" i="11"/>
  <c r="D76" i="11" s="1"/>
  <c r="M15" i="11"/>
  <c r="M16" i="11"/>
  <c r="C5" i="11"/>
  <c r="H150" i="6" l="1"/>
  <c r="I150" i="6"/>
  <c r="A153" i="6"/>
  <c r="A116" i="12"/>
  <c r="E152" i="6"/>
  <c r="D152" i="6"/>
  <c r="G152" i="6"/>
  <c r="C27" i="12"/>
  <c r="C24" i="12"/>
  <c r="C26" i="12"/>
  <c r="I457" i="7"/>
  <c r="I458" i="7" s="1"/>
  <c r="G458" i="7"/>
  <c r="J457" i="7"/>
  <c r="J458" i="7" s="1"/>
  <c r="D25" i="11"/>
  <c r="B26" i="12"/>
  <c r="B16" i="12"/>
  <c r="C16" i="12"/>
  <c r="H19" i="6"/>
  <c r="I19" i="6"/>
  <c r="F20" i="6"/>
  <c r="G21" i="6"/>
  <c r="G22" i="6" s="1"/>
  <c r="A17" i="12"/>
  <c r="D21" i="6"/>
  <c r="E21" i="6"/>
  <c r="E22" i="6" s="1"/>
  <c r="B20" i="12"/>
  <c r="C23" i="12"/>
  <c r="C21" i="12"/>
  <c r="C22" i="12"/>
  <c r="B22" i="12"/>
  <c r="B21" i="12"/>
  <c r="B23" i="12"/>
  <c r="B25" i="12"/>
  <c r="C20" i="12"/>
  <c r="B19" i="12"/>
  <c r="C25" i="12"/>
  <c r="F441" i="7"/>
  <c r="H441" i="7"/>
  <c r="E441" i="7"/>
  <c r="A534" i="12"/>
  <c r="G440" i="7"/>
  <c r="I439" i="7"/>
  <c r="J439" i="7"/>
  <c r="B27" i="12"/>
  <c r="A54" i="23"/>
  <c r="A59" i="6"/>
  <c r="D58" i="6"/>
  <c r="A28" i="12"/>
  <c r="G58" i="6"/>
  <c r="E58" i="6"/>
  <c r="F57" i="6"/>
  <c r="H56" i="6"/>
  <c r="I56" i="6"/>
  <c r="F49" i="11"/>
  <c r="F21" i="11" s="1"/>
  <c r="E21" i="11" s="1"/>
  <c r="D52" i="11"/>
  <c r="D56" i="11" s="1"/>
  <c r="M29" i="11"/>
  <c r="G426" i="7"/>
  <c r="I425" i="7"/>
  <c r="I426" i="7" s="1"/>
  <c r="H124" i="6"/>
  <c r="F125" i="6"/>
  <c r="I125" i="6" s="1"/>
  <c r="J426" i="7"/>
  <c r="G126" i="6"/>
  <c r="D126" i="6"/>
  <c r="E126" i="6"/>
  <c r="I110" i="6"/>
  <c r="I111" i="6" s="1"/>
  <c r="H110" i="6"/>
  <c r="H111" i="6" s="1"/>
  <c r="F111" i="6"/>
  <c r="J393" i="7"/>
  <c r="J394" i="7" s="1"/>
  <c r="I393" i="7"/>
  <c r="I394" i="7" s="1"/>
  <c r="G394" i="7"/>
  <c r="C4" i="11"/>
  <c r="C3" i="11"/>
  <c r="F152" i="6" l="1"/>
  <c r="I152" i="6" s="1"/>
  <c r="B17" i="12"/>
  <c r="A154" i="6"/>
  <c r="A117" i="12"/>
  <c r="G153" i="6"/>
  <c r="E153" i="6"/>
  <c r="D153" i="6"/>
  <c r="D77" i="11"/>
  <c r="G441" i="7"/>
  <c r="J441" i="7" s="1"/>
  <c r="F21" i="6"/>
  <c r="D22" i="6"/>
  <c r="C17" i="12"/>
  <c r="H20" i="6"/>
  <c r="I20" i="6"/>
  <c r="I440" i="7"/>
  <c r="J440" i="7"/>
  <c r="E442" i="7"/>
  <c r="H442" i="7"/>
  <c r="F442" i="7"/>
  <c r="A535" i="12"/>
  <c r="B28" i="12"/>
  <c r="C28" i="12"/>
  <c r="A55" i="23"/>
  <c r="H57" i="6"/>
  <c r="I57" i="6"/>
  <c r="F58" i="6"/>
  <c r="A60" i="6"/>
  <c r="D59" i="6"/>
  <c r="A29" i="12"/>
  <c r="C29" i="12" s="1"/>
  <c r="G59" i="6"/>
  <c r="E59" i="6"/>
  <c r="D59" i="11"/>
  <c r="H125" i="6"/>
  <c r="F126" i="6"/>
  <c r="I126" i="6" s="1"/>
  <c r="D127" i="6"/>
  <c r="G127" i="6"/>
  <c r="E127" i="6"/>
  <c r="H152" i="6" l="1"/>
  <c r="F153" i="6"/>
  <c r="A155" i="6"/>
  <c r="A118" i="12"/>
  <c r="G154" i="6"/>
  <c r="D154" i="6"/>
  <c r="E154" i="6"/>
  <c r="I441" i="7"/>
  <c r="F22" i="6"/>
  <c r="I21" i="6"/>
  <c r="I22" i="6" s="1"/>
  <c r="H21" i="6"/>
  <c r="H22" i="6" s="1"/>
  <c r="G442" i="7"/>
  <c r="F443" i="7"/>
  <c r="A536" i="12"/>
  <c r="H443" i="7"/>
  <c r="E443" i="7"/>
  <c r="A56" i="23"/>
  <c r="A61" i="6"/>
  <c r="D60" i="6"/>
  <c r="A30" i="12"/>
  <c r="E60" i="6"/>
  <c r="G60" i="6"/>
  <c r="H58" i="6"/>
  <c r="I58" i="6"/>
  <c r="B29" i="12"/>
  <c r="F59" i="6"/>
  <c r="O238" i="9"/>
  <c r="N238" i="9"/>
  <c r="D61" i="11"/>
  <c r="H126" i="6"/>
  <c r="E128" i="6"/>
  <c r="G128" i="6"/>
  <c r="D128" i="6"/>
  <c r="F127" i="6"/>
  <c r="F154" i="6" l="1"/>
  <c r="H154" i="6" s="1"/>
  <c r="H153" i="6"/>
  <c r="I153" i="6"/>
  <c r="A156" i="6"/>
  <c r="A119" i="12"/>
  <c r="D155" i="6"/>
  <c r="G155" i="6"/>
  <c r="D246" i="9"/>
  <c r="G443" i="7"/>
  <c r="A537" i="12"/>
  <c r="F444" i="7"/>
  <c r="E444" i="7"/>
  <c r="H444" i="7"/>
  <c r="H445" i="7" s="1"/>
  <c r="G43" i="6" s="1"/>
  <c r="J442" i="7"/>
  <c r="I442" i="7"/>
  <c r="B30" i="12"/>
  <c r="C30" i="12"/>
  <c r="A57" i="23"/>
  <c r="H59" i="6"/>
  <c r="I59" i="6"/>
  <c r="F60" i="6"/>
  <c r="A62" i="6"/>
  <c r="E61" i="6"/>
  <c r="A31" i="12"/>
  <c r="C31" i="12" s="1"/>
  <c r="D61" i="6"/>
  <c r="G61" i="6"/>
  <c r="F128" i="6"/>
  <c r="D129" i="6"/>
  <c r="G129" i="6"/>
  <c r="E129" i="6"/>
  <c r="I127" i="6"/>
  <c r="H127" i="6"/>
  <c r="I154" i="6" l="1"/>
  <c r="A157" i="6"/>
  <c r="A120" i="12"/>
  <c r="D156" i="6"/>
  <c r="G156" i="6"/>
  <c r="E156" i="6"/>
  <c r="G444" i="7"/>
  <c r="G445" i="7" s="1"/>
  <c r="I443" i="7"/>
  <c r="J443" i="7"/>
  <c r="A58" i="23"/>
  <c r="A63" i="6"/>
  <c r="E62" i="6"/>
  <c r="D62" i="6"/>
  <c r="G62" i="6"/>
  <c r="A32" i="12"/>
  <c r="F61" i="6"/>
  <c r="H60" i="6"/>
  <c r="I60" i="6"/>
  <c r="B31" i="12"/>
  <c r="G130" i="6"/>
  <c r="D130" i="6"/>
  <c r="F129" i="6"/>
  <c r="I128" i="6"/>
  <c r="H128" i="6"/>
  <c r="E98" i="9"/>
  <c r="D9" i="9"/>
  <c r="A140" i="9"/>
  <c r="A115" i="9"/>
  <c r="A99" i="9"/>
  <c r="E76" i="9"/>
  <c r="A76" i="9"/>
  <c r="F156" i="6" l="1"/>
  <c r="A158" i="6"/>
  <c r="A121" i="12"/>
  <c r="D157" i="6"/>
  <c r="G157" i="6"/>
  <c r="J444" i="7"/>
  <c r="J445" i="7" s="1"/>
  <c r="I444" i="7"/>
  <c r="I445" i="7" s="1"/>
  <c r="B32" i="12"/>
  <c r="C32" i="12"/>
  <c r="A59" i="23"/>
  <c r="F62" i="6"/>
  <c r="H61" i="6"/>
  <c r="I61" i="6"/>
  <c r="A64" i="6"/>
  <c r="A33" i="12"/>
  <c r="G63" i="6"/>
  <c r="E63" i="6"/>
  <c r="D63" i="6"/>
  <c r="H129" i="6"/>
  <c r="I129" i="6"/>
  <c r="D131" i="6"/>
  <c r="G131" i="6"/>
  <c r="A46" i="9"/>
  <c r="A16" i="9"/>
  <c r="E16" i="9" s="1"/>
  <c r="D11" i="37" s="1"/>
  <c r="E11" i="37" l="1"/>
  <c r="C33" i="12"/>
  <c r="A159" i="6"/>
  <c r="G158" i="6"/>
  <c r="D158" i="6"/>
  <c r="E158" i="6"/>
  <c r="A122" i="12"/>
  <c r="I156" i="6"/>
  <c r="H156" i="6"/>
  <c r="A56" i="9" a="1"/>
  <c r="A56" i="9" s="1"/>
  <c r="A60" i="23"/>
  <c r="F63" i="6"/>
  <c r="H63" i="6" s="1"/>
  <c r="A65" i="6"/>
  <c r="G64" i="6"/>
  <c r="A34" i="12"/>
  <c r="E64" i="6"/>
  <c r="D64" i="6"/>
  <c r="B33" i="12"/>
  <c r="H62" i="6"/>
  <c r="I62" i="6"/>
  <c r="G132" i="6"/>
  <c r="E132" i="6"/>
  <c r="D132" i="6"/>
  <c r="A160" i="6" l="1"/>
  <c r="A123" i="12"/>
  <c r="D159" i="6"/>
  <c r="G159" i="6"/>
  <c r="E159" i="6"/>
  <c r="F158" i="6"/>
  <c r="A57" i="9" a="1"/>
  <c r="A57" i="9" s="1"/>
  <c r="B34" i="12"/>
  <c r="C34" i="12"/>
  <c r="A61" i="23"/>
  <c r="I63" i="6"/>
  <c r="F64" i="6"/>
  <c r="H64" i="6" s="1"/>
  <c r="A66" i="6"/>
  <c r="D65" i="6"/>
  <c r="A35" i="12"/>
  <c r="G65" i="6"/>
  <c r="E65" i="6"/>
  <c r="E133" i="6"/>
  <c r="D133" i="6"/>
  <c r="G133" i="6"/>
  <c r="F132" i="6"/>
  <c r="F159" i="6" l="1"/>
  <c r="I159" i="6" s="1"/>
  <c r="C35" i="12"/>
  <c r="H158" i="6"/>
  <c r="I158" i="6"/>
  <c r="A124" i="12"/>
  <c r="A161" i="6"/>
  <c r="E160" i="6"/>
  <c r="D160" i="6"/>
  <c r="G160" i="6"/>
  <c r="E157" i="6"/>
  <c r="F157" i="6" s="1"/>
  <c r="I74" i="9"/>
  <c r="A58" i="9" a="1"/>
  <c r="A58" i="9" s="1"/>
  <c r="A62" i="23"/>
  <c r="I64" i="6"/>
  <c r="F65" i="6"/>
  <c r="I65" i="6" s="1"/>
  <c r="A67" i="6"/>
  <c r="D66" i="6"/>
  <c r="A36" i="12"/>
  <c r="E66" i="6"/>
  <c r="G66" i="6"/>
  <c r="B35" i="12"/>
  <c r="F133" i="6"/>
  <c r="G138" i="6"/>
  <c r="E138" i="6"/>
  <c r="D138" i="6"/>
  <c r="I132" i="6"/>
  <c r="H132" i="6"/>
  <c r="H159" i="6" l="1"/>
  <c r="A162" i="6"/>
  <c r="A125" i="12"/>
  <c r="G161" i="6"/>
  <c r="D161" i="6"/>
  <c r="E161" i="6"/>
  <c r="F160" i="6"/>
  <c r="H157" i="6"/>
  <c r="I157" i="6"/>
  <c r="I86" i="9"/>
  <c r="D170" i="9" s="1"/>
  <c r="A59" i="9" a="1"/>
  <c r="A59" i="9" s="1"/>
  <c r="B36" i="12"/>
  <c r="C36" i="12"/>
  <c r="A63" i="23"/>
  <c r="H65" i="6"/>
  <c r="F66" i="6"/>
  <c r="A68" i="6"/>
  <c r="E67" i="6"/>
  <c r="D67" i="6"/>
  <c r="A37" i="12"/>
  <c r="C37" i="12" s="1"/>
  <c r="G67" i="6"/>
  <c r="D139" i="6"/>
  <c r="G139" i="6"/>
  <c r="G140" i="6" s="1"/>
  <c r="E139" i="6"/>
  <c r="H133" i="6"/>
  <c r="I133" i="6"/>
  <c r="F138" i="6"/>
  <c r="H160" i="6" l="1"/>
  <c r="I160" i="6"/>
  <c r="A163" i="6"/>
  <c r="A126" i="12"/>
  <c r="E162" i="6"/>
  <c r="G162" i="6"/>
  <c r="D162" i="6"/>
  <c r="F161" i="6"/>
  <c r="I87" i="9"/>
  <c r="B59" i="9"/>
  <c r="A60" i="9" a="1"/>
  <c r="A60" i="9" s="1"/>
  <c r="C19" i="12"/>
  <c r="A64" i="23"/>
  <c r="F67" i="6"/>
  <c r="H67" i="6" s="1"/>
  <c r="A69" i="6"/>
  <c r="G68" i="6"/>
  <c r="A38" i="12"/>
  <c r="C38" i="12" s="1"/>
  <c r="E68" i="6"/>
  <c r="D68" i="6"/>
  <c r="B37" i="12"/>
  <c r="H66" i="6"/>
  <c r="I66" i="6"/>
  <c r="F139" i="6"/>
  <c r="D140" i="6"/>
  <c r="H138" i="6"/>
  <c r="I138" i="6"/>
  <c r="I161" i="6" l="1"/>
  <c r="H161" i="6"/>
  <c r="F162" i="6"/>
  <c r="A164" i="6"/>
  <c r="A127" i="12"/>
  <c r="D163" i="6"/>
  <c r="E163" i="6"/>
  <c r="G163" i="6"/>
  <c r="E60" i="9"/>
  <c r="F60" i="9" s="1"/>
  <c r="A61" i="9" a="1"/>
  <c r="A61" i="9" s="1"/>
  <c r="F61" i="9" s="1"/>
  <c r="B60" i="9"/>
  <c r="D60" i="9"/>
  <c r="E183" i="6"/>
  <c r="F183" i="6" s="1"/>
  <c r="H14" i="11"/>
  <c r="L14" i="11" s="1"/>
  <c r="A65" i="23"/>
  <c r="I67" i="6"/>
  <c r="B38" i="12"/>
  <c r="F68" i="6"/>
  <c r="A70" i="6"/>
  <c r="G69" i="6"/>
  <c r="D69" i="6"/>
  <c r="A39" i="12"/>
  <c r="E69" i="6"/>
  <c r="I139" i="6"/>
  <c r="H139" i="6"/>
  <c r="C26" i="6"/>
  <c r="C27" i="6"/>
  <c r="C28" i="6"/>
  <c r="C29" i="6"/>
  <c r="C30" i="6"/>
  <c r="C31" i="6"/>
  <c r="C32" i="6"/>
  <c r="C33" i="6"/>
  <c r="C34" i="6"/>
  <c r="C35" i="6"/>
  <c r="C36" i="6"/>
  <c r="C37" i="6"/>
  <c r="C38" i="6"/>
  <c r="C39" i="6"/>
  <c r="C40" i="6"/>
  <c r="C41" i="6"/>
  <c r="C42" i="6"/>
  <c r="C43" i="6"/>
  <c r="C44" i="6"/>
  <c r="C25" i="6"/>
  <c r="G60" i="9" l="1"/>
  <c r="A165" i="6"/>
  <c r="A128" i="12"/>
  <c r="E164" i="6"/>
  <c r="G164" i="6"/>
  <c r="D164" i="6"/>
  <c r="H162" i="6"/>
  <c r="I162" i="6"/>
  <c r="F163" i="6"/>
  <c r="E61" i="9"/>
  <c r="G61" i="9"/>
  <c r="D61" i="9"/>
  <c r="B61" i="9"/>
  <c r="J39" i="11"/>
  <c r="M39" i="11" s="1"/>
  <c r="I202" i="6"/>
  <c r="C39" i="12"/>
  <c r="F69" i="6"/>
  <c r="H69" i="6" s="1"/>
  <c r="A66" i="23"/>
  <c r="L3" i="23"/>
  <c r="A71" i="6"/>
  <c r="D70" i="6"/>
  <c r="E70" i="6"/>
  <c r="A40" i="12"/>
  <c r="C40" i="12" s="1"/>
  <c r="G70" i="6"/>
  <c r="B39" i="12"/>
  <c r="H68" i="6"/>
  <c r="I68" i="6"/>
  <c r="L6" i="23" l="1"/>
  <c r="O8" i="23"/>
  <c r="L4" i="23"/>
  <c r="L9" i="23"/>
  <c r="O9" i="23"/>
  <c r="L5" i="23"/>
  <c r="L8" i="23"/>
  <c r="L10" i="23"/>
  <c r="H163" i="6"/>
  <c r="I163" i="6"/>
  <c r="F164" i="6"/>
  <c r="A166" i="6"/>
  <c r="A129" i="12"/>
  <c r="E165" i="6"/>
  <c r="G165" i="6"/>
  <c r="D165" i="6"/>
  <c r="I69" i="6"/>
  <c r="A67" i="23"/>
  <c r="B40" i="12"/>
  <c r="F70" i="6"/>
  <c r="A72" i="6"/>
  <c r="E71" i="6"/>
  <c r="G71" i="6"/>
  <c r="A41" i="12"/>
  <c r="C41" i="12" s="1"/>
  <c r="D71" i="6"/>
  <c r="L7" i="23" l="1"/>
  <c r="O10" i="23"/>
  <c r="P10" i="23" s="1"/>
  <c r="F165" i="6"/>
  <c r="A167" i="6"/>
  <c r="A130" i="12"/>
  <c r="E166" i="6"/>
  <c r="G166" i="6"/>
  <c r="D166" i="6"/>
  <c r="I164" i="6"/>
  <c r="H164" i="6"/>
  <c r="D25" i="9"/>
  <c r="D27" i="9"/>
  <c r="D28" i="9"/>
  <c r="D23" i="9"/>
  <c r="D24" i="9"/>
  <c r="D26" i="9"/>
  <c r="D22" i="9"/>
  <c r="C17" i="37" s="1"/>
  <c r="G16" i="9"/>
  <c r="F11" i="37" s="1"/>
  <c r="B58" i="9"/>
  <c r="D20" i="9"/>
  <c r="D19" i="9"/>
  <c r="C14" i="37" s="1"/>
  <c r="D59" i="9"/>
  <c r="E19" i="9"/>
  <c r="D14" i="37" s="1"/>
  <c r="D27" i="37" s="1"/>
  <c r="C32" i="37" s="1"/>
  <c r="D18" i="9"/>
  <c r="I25" i="9"/>
  <c r="I27" i="9"/>
  <c r="I28" i="9"/>
  <c r="I19" i="9"/>
  <c r="I23" i="9"/>
  <c r="I24" i="9"/>
  <c r="I26" i="9"/>
  <c r="I22" i="9"/>
  <c r="I20" i="9"/>
  <c r="A68" i="23"/>
  <c r="F71" i="6"/>
  <c r="H71" i="6" s="1"/>
  <c r="B41" i="12"/>
  <c r="H70" i="6"/>
  <c r="I70" i="6"/>
  <c r="A73" i="6"/>
  <c r="G72" i="6"/>
  <c r="A42" i="12"/>
  <c r="E72" i="6"/>
  <c r="D72" i="6"/>
  <c r="E22" i="11"/>
  <c r="G11" i="37" l="1"/>
  <c r="I14" i="37"/>
  <c r="H14" i="37"/>
  <c r="E14" i="37"/>
  <c r="C27" i="37"/>
  <c r="I17" i="37"/>
  <c r="H17" i="37"/>
  <c r="E17" i="37"/>
  <c r="P9" i="23"/>
  <c r="P8" i="23"/>
  <c r="L11" i="23"/>
  <c r="L12" i="23" s="1"/>
  <c r="F166" i="6"/>
  <c r="A168" i="6"/>
  <c r="A131" i="12"/>
  <c r="E167" i="6"/>
  <c r="G167" i="6"/>
  <c r="D167" i="6"/>
  <c r="H165" i="6"/>
  <c r="I165" i="6"/>
  <c r="E18" i="9"/>
  <c r="D30" i="30"/>
  <c r="D40" i="30" s="1"/>
  <c r="D21" i="9"/>
  <c r="I21" i="9"/>
  <c r="H24" i="9"/>
  <c r="D26" i="30"/>
  <c r="H20" i="9"/>
  <c r="H25" i="9"/>
  <c r="H26" i="9"/>
  <c r="H19" i="9"/>
  <c r="H28" i="9"/>
  <c r="H22" i="9"/>
  <c r="H23" i="9"/>
  <c r="H27" i="9"/>
  <c r="C42" i="12"/>
  <c r="E25" i="11"/>
  <c r="E76" i="11"/>
  <c r="A69" i="23"/>
  <c r="I71" i="6"/>
  <c r="F72" i="6"/>
  <c r="H72" i="6" s="1"/>
  <c r="B42" i="12"/>
  <c r="A74" i="6"/>
  <c r="A43" i="12"/>
  <c r="D73" i="6"/>
  <c r="G73" i="6"/>
  <c r="E73" i="6"/>
  <c r="F60" i="11"/>
  <c r="F22" i="11"/>
  <c r="F25" i="11" s="1"/>
  <c r="G1000" i="8"/>
  <c r="F1000" i="8"/>
  <c r="X7" i="4"/>
  <c r="L14" i="5"/>
  <c r="L15" i="5"/>
  <c r="L16" i="5"/>
  <c r="L17" i="5"/>
  <c r="L18" i="5"/>
  <c r="L19" i="5"/>
  <c r="L20" i="5"/>
  <c r="L21" i="5"/>
  <c r="L22" i="5"/>
  <c r="L23" i="5"/>
  <c r="L24" i="5"/>
  <c r="L25" i="5"/>
  <c r="L26" i="5"/>
  <c r="L27" i="5"/>
  <c r="L28" i="5"/>
  <c r="L29" i="5"/>
  <c r="L30" i="5"/>
  <c r="L31" i="5"/>
  <c r="L32" i="5"/>
  <c r="E462" i="7"/>
  <c r="D458" i="7"/>
  <c r="E458" i="7"/>
  <c r="F445" i="7"/>
  <c r="E445" i="7"/>
  <c r="D445" i="7"/>
  <c r="D426" i="7"/>
  <c r="F426" i="7"/>
  <c r="E426" i="7"/>
  <c r="D414" i="7"/>
  <c r="B398" i="7"/>
  <c r="B399" i="7" s="1"/>
  <c r="B400" i="7" s="1"/>
  <c r="B401" i="7" s="1"/>
  <c r="B402" i="7" s="1"/>
  <c r="B403" i="7" s="1"/>
  <c r="B404" i="7" s="1"/>
  <c r="B405" i="7" s="1"/>
  <c r="B406" i="7" s="1"/>
  <c r="B407" i="7" s="1"/>
  <c r="B408" i="7" s="1"/>
  <c r="B409" i="7" s="1"/>
  <c r="B410" i="7" s="1"/>
  <c r="B411" i="7" s="1"/>
  <c r="B412" i="7" s="1"/>
  <c r="B413" i="7" s="1"/>
  <c r="D394" i="7"/>
  <c r="F394" i="7"/>
  <c r="D381" i="7"/>
  <c r="B370" i="7"/>
  <c r="B371" i="7" s="1"/>
  <c r="B372" i="7" s="1"/>
  <c r="B373" i="7" s="1"/>
  <c r="B374" i="7" s="1"/>
  <c r="B375" i="7" s="1"/>
  <c r="B376" i="7" s="1"/>
  <c r="B377" i="7" s="1"/>
  <c r="B378" i="7" s="1"/>
  <c r="B379" i="7" s="1"/>
  <c r="B380" i="7" s="1"/>
  <c r="D366" i="7"/>
  <c r="B355" i="7"/>
  <c r="D352" i="7"/>
  <c r="B335" i="7"/>
  <c r="D332" i="7"/>
  <c r="B319" i="7"/>
  <c r="D316" i="7"/>
  <c r="B298" i="7"/>
  <c r="B299" i="7" s="1"/>
  <c r="B300" i="7" s="1"/>
  <c r="B301" i="7" s="1"/>
  <c r="B302" i="7" s="1"/>
  <c r="B303" i="7" s="1"/>
  <c r="B304" i="7" s="1"/>
  <c r="B305" i="7" s="1"/>
  <c r="B306" i="7" s="1"/>
  <c r="D294" i="7"/>
  <c r="B270" i="7"/>
  <c r="D267" i="7"/>
  <c r="B241" i="7"/>
  <c r="B242" i="7" s="1"/>
  <c r="B243" i="7" s="1"/>
  <c r="B244" i="7" s="1"/>
  <c r="B245" i="7" s="1"/>
  <c r="B246" i="7" s="1"/>
  <c r="B247" i="7" s="1"/>
  <c r="B248" i="7" s="1"/>
  <c r="D238" i="7"/>
  <c r="B212" i="7"/>
  <c r="B213" i="7" s="1"/>
  <c r="D208" i="7"/>
  <c r="B182" i="7"/>
  <c r="B183" i="7" s="1"/>
  <c r="D179" i="7"/>
  <c r="B156" i="7"/>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D153" i="7"/>
  <c r="B135" i="7"/>
  <c r="B136" i="7" s="1"/>
  <c r="A259" i="12" s="1"/>
  <c r="D132" i="7"/>
  <c r="B117" i="7"/>
  <c r="B118" i="7" s="1"/>
  <c r="B119" i="7" s="1"/>
  <c r="B120" i="7" s="1"/>
  <c r="B121" i="7" s="1"/>
  <c r="B122" i="7" s="1"/>
  <c r="B123" i="7" s="1"/>
  <c r="B124" i="7" s="1"/>
  <c r="B125" i="7" s="1"/>
  <c r="B126" i="7" s="1"/>
  <c r="B127" i="7" s="1"/>
  <c r="B128" i="7" s="1"/>
  <c r="B129" i="7" s="1"/>
  <c r="B130" i="7" s="1"/>
  <c r="B131" i="7" s="1"/>
  <c r="D113" i="7"/>
  <c r="B96" i="7"/>
  <c r="B97" i="7" s="1"/>
  <c r="B98" i="7" s="1"/>
  <c r="B99" i="7" s="1"/>
  <c r="B100" i="7" s="1"/>
  <c r="B101" i="7" s="1"/>
  <c r="B102" i="7" s="1"/>
  <c r="B103" i="7" s="1"/>
  <c r="B104" i="7" s="1"/>
  <c r="B105" i="7" s="1"/>
  <c r="B106" i="7" s="1"/>
  <c r="B107" i="7" s="1"/>
  <c r="B108" i="7" s="1"/>
  <c r="B109" i="7" s="1"/>
  <c r="B110" i="7" s="1"/>
  <c r="B111" i="7" s="1"/>
  <c r="B112" i="7" s="1"/>
  <c r="D92" i="7"/>
  <c r="B44" i="7"/>
  <c r="D40" i="7"/>
  <c r="C174" i="6"/>
  <c r="C140" i="6"/>
  <c r="C111" i="6"/>
  <c r="C22" i="6"/>
  <c r="A44" i="5"/>
  <c r="A45" i="5" s="1"/>
  <c r="A46" i="5" s="1"/>
  <c r="A47" i="5" s="1"/>
  <c r="A48" i="5" s="1"/>
  <c r="A49" i="5" s="1"/>
  <c r="A50" i="5" s="1"/>
  <c r="A51" i="5" s="1"/>
  <c r="A52" i="5" s="1"/>
  <c r="A53" i="5" s="1"/>
  <c r="B43" i="5"/>
  <c r="H33" i="5"/>
  <c r="J32" i="5"/>
  <c r="J31" i="5"/>
  <c r="J30" i="5"/>
  <c r="J29" i="5"/>
  <c r="J28" i="5"/>
  <c r="J27" i="5"/>
  <c r="J26" i="5"/>
  <c r="J25" i="5"/>
  <c r="J24" i="5"/>
  <c r="J23" i="5"/>
  <c r="J22" i="5"/>
  <c r="J21" i="5"/>
  <c r="J20" i="5"/>
  <c r="J19" i="5"/>
  <c r="J18" i="5"/>
  <c r="J17" i="5"/>
  <c r="J16" i="5"/>
  <c r="J15" i="5"/>
  <c r="J14" i="5"/>
  <c r="J13" i="5"/>
  <c r="A52" i="4"/>
  <c r="A53" i="4" s="1"/>
  <c r="A54" i="4" s="1"/>
  <c r="A55" i="4" s="1"/>
  <c r="A56" i="4" s="1"/>
  <c r="A57" i="4" s="1"/>
  <c r="A58" i="4" s="1"/>
  <c r="A59" i="4" s="1"/>
  <c r="A60" i="4" s="1"/>
  <c r="A61" i="4" s="1"/>
  <c r="C51" i="4"/>
  <c r="X8" i="4"/>
  <c r="L7" i="4"/>
  <c r="E50" i="4" s="1"/>
  <c r="C31" i="37" l="1"/>
  <c r="I31" i="37" s="1"/>
  <c r="I34" i="37" s="1"/>
  <c r="J40" i="37" s="1"/>
  <c r="J41" i="37" s="1"/>
  <c r="I44" i="37" s="1"/>
  <c r="K68" i="37" s="1"/>
  <c r="C54" i="37"/>
  <c r="K67" i="37" s="1"/>
  <c r="E27" i="37"/>
  <c r="F27" i="37" s="1"/>
  <c r="H11" i="37"/>
  <c r="G27" i="37"/>
  <c r="H36" i="11"/>
  <c r="J36" i="11" s="1"/>
  <c r="M36" i="11" s="1"/>
  <c r="H341" i="1"/>
  <c r="H352" i="1" s="1"/>
  <c r="D535" i="1" s="1"/>
  <c r="O3" i="23"/>
  <c r="O4" i="23" s="1"/>
  <c r="O5" i="23" s="1"/>
  <c r="Q9" i="23" s="1"/>
  <c r="H18" i="9"/>
  <c r="A302" i="12"/>
  <c r="E183" i="7"/>
  <c r="H183" i="7"/>
  <c r="F183" i="7"/>
  <c r="B184" i="7"/>
  <c r="F306" i="7"/>
  <c r="B307" i="7"/>
  <c r="H306" i="7"/>
  <c r="A417" i="12"/>
  <c r="E306" i="7"/>
  <c r="F167" i="6"/>
  <c r="A169" i="6"/>
  <c r="A132" i="12"/>
  <c r="G168" i="6"/>
  <c r="E168" i="6"/>
  <c r="D168" i="6"/>
  <c r="I166" i="6"/>
  <c r="H166" i="6"/>
  <c r="E148" i="6"/>
  <c r="F148" i="6" s="1"/>
  <c r="H148" i="6" s="1"/>
  <c r="E51" i="4"/>
  <c r="H21" i="9"/>
  <c r="D38" i="30"/>
  <c r="D34" i="30"/>
  <c r="D39" i="30"/>
  <c r="D31" i="30"/>
  <c r="D33" i="30"/>
  <c r="D32" i="30"/>
  <c r="D35" i="30"/>
  <c r="D36" i="30" s="1"/>
  <c r="D42" i="5"/>
  <c r="D43" i="5"/>
  <c r="D58" i="9"/>
  <c r="E131" i="6"/>
  <c r="F131" i="6" s="1"/>
  <c r="I131" i="6" s="1"/>
  <c r="I18" i="9"/>
  <c r="C52" i="4"/>
  <c r="E52" i="4" s="1"/>
  <c r="B249" i="7"/>
  <c r="A363" i="12"/>
  <c r="F248" i="7"/>
  <c r="H248" i="7"/>
  <c r="E248" i="7"/>
  <c r="B214" i="7"/>
  <c r="A330" i="12"/>
  <c r="C43" i="12"/>
  <c r="A176" i="12"/>
  <c r="B45" i="7"/>
  <c r="H242" i="7"/>
  <c r="F242" i="7"/>
  <c r="A357" i="12"/>
  <c r="E242" i="7"/>
  <c r="E157" i="7"/>
  <c r="F157" i="7"/>
  <c r="H157" i="7"/>
  <c r="A278" i="12"/>
  <c r="E136" i="7"/>
  <c r="F136" i="7"/>
  <c r="H136" i="7"/>
  <c r="B137" i="7"/>
  <c r="F76" i="11"/>
  <c r="A70" i="23"/>
  <c r="I72" i="6"/>
  <c r="F73" i="6"/>
  <c r="A75" i="6"/>
  <c r="D74" i="6"/>
  <c r="A44" i="12"/>
  <c r="E74" i="6"/>
  <c r="G74" i="6"/>
  <c r="B43" i="12"/>
  <c r="E52" i="11"/>
  <c r="E56" i="11" s="1"/>
  <c r="E130" i="6"/>
  <c r="F130" i="6" s="1"/>
  <c r="H44" i="7"/>
  <c r="F44" i="7"/>
  <c r="E44" i="7"/>
  <c r="H117" i="7"/>
  <c r="F117" i="7"/>
  <c r="E117" i="7"/>
  <c r="H156" i="7"/>
  <c r="F156" i="7"/>
  <c r="E156" i="7"/>
  <c r="H212" i="7"/>
  <c r="F212" i="7"/>
  <c r="E212" i="7"/>
  <c r="H270" i="7"/>
  <c r="F270" i="7"/>
  <c r="E270" i="7"/>
  <c r="H319" i="7"/>
  <c r="F319" i="7"/>
  <c r="E319" i="7"/>
  <c r="H355" i="7"/>
  <c r="F355" i="7"/>
  <c r="E355" i="7"/>
  <c r="H12" i="7"/>
  <c r="F12" i="7"/>
  <c r="E12" i="7"/>
  <c r="H96" i="7"/>
  <c r="F96" i="7"/>
  <c r="E96" i="7"/>
  <c r="H135" i="7"/>
  <c r="F135" i="7"/>
  <c r="E135" i="7"/>
  <c r="H182" i="7"/>
  <c r="F182" i="7"/>
  <c r="E182" i="7"/>
  <c r="H241" i="7"/>
  <c r="F241" i="7"/>
  <c r="E241" i="7"/>
  <c r="H298" i="7"/>
  <c r="F298" i="7"/>
  <c r="E298" i="7"/>
  <c r="H335" i="7"/>
  <c r="F335" i="7"/>
  <c r="E335" i="7"/>
  <c r="H370" i="7"/>
  <c r="F370" i="7"/>
  <c r="E370" i="7"/>
  <c r="H398" i="7"/>
  <c r="F398" i="7"/>
  <c r="E398" i="7"/>
  <c r="D40" i="6"/>
  <c r="D42" i="6"/>
  <c r="D43" i="6"/>
  <c r="A223" i="12"/>
  <c r="A258" i="12"/>
  <c r="A301" i="12"/>
  <c r="A356" i="12"/>
  <c r="A409" i="12"/>
  <c r="A442" i="12"/>
  <c r="A473" i="12"/>
  <c r="A497" i="12"/>
  <c r="A242" i="12"/>
  <c r="A277" i="12"/>
  <c r="A329" i="12"/>
  <c r="A383" i="12"/>
  <c r="A428" i="12"/>
  <c r="A460" i="12"/>
  <c r="A177" i="12"/>
  <c r="B320" i="7"/>
  <c r="B321" i="7" s="1"/>
  <c r="B322" i="7" s="1"/>
  <c r="B323" i="7" s="1"/>
  <c r="B324" i="7" s="1"/>
  <c r="B325" i="7" s="1"/>
  <c r="B326" i="7" s="1"/>
  <c r="B327" i="7" s="1"/>
  <c r="B328" i="7" s="1"/>
  <c r="B329" i="7" s="1"/>
  <c r="B330" i="7" s="1"/>
  <c r="B331" i="7" s="1"/>
  <c r="L33" i="5"/>
  <c r="L35" i="5" s="1"/>
  <c r="L36" i="5" s="1"/>
  <c r="B271" i="7"/>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X41" i="4"/>
  <c r="X42" i="4" s="1"/>
  <c r="D428" i="7"/>
  <c r="F458" i="7"/>
  <c r="B336" i="7"/>
  <c r="B337" i="7" s="1"/>
  <c r="B338" i="7" s="1"/>
  <c r="B339" i="7" s="1"/>
  <c r="B340" i="7" s="1"/>
  <c r="B341" i="7" s="1"/>
  <c r="B342" i="7" s="1"/>
  <c r="B343" i="7" s="1"/>
  <c r="B344" i="7" s="1"/>
  <c r="B345" i="7" s="1"/>
  <c r="B346" i="7" s="1"/>
  <c r="B347" i="7" s="1"/>
  <c r="B348" i="7" s="1"/>
  <c r="B349" i="7" s="1"/>
  <c r="B350" i="7" s="1"/>
  <c r="B351" i="7" s="1"/>
  <c r="B356" i="7"/>
  <c r="B357" i="7" s="1"/>
  <c r="B358" i="7" s="1"/>
  <c r="B359" i="7" s="1"/>
  <c r="B360" i="7" s="1"/>
  <c r="B361" i="7" s="1"/>
  <c r="B362" i="7" s="1"/>
  <c r="B363" i="7" s="1"/>
  <c r="B364" i="7" s="1"/>
  <c r="B365" i="7" s="1"/>
  <c r="E394" i="7"/>
  <c r="B44" i="5"/>
  <c r="D44" i="5" s="1"/>
  <c r="I141" i="9" l="1"/>
  <c r="I152" i="9" s="1"/>
  <c r="L36" i="11"/>
  <c r="Q8" i="23"/>
  <c r="Q10" i="23" s="1"/>
  <c r="G306" i="7"/>
  <c r="I306" i="7" s="1"/>
  <c r="I167" i="6"/>
  <c r="H167" i="6"/>
  <c r="B308" i="7"/>
  <c r="A418" i="12"/>
  <c r="G183" i="7"/>
  <c r="B185" i="7"/>
  <c r="E184" i="7"/>
  <c r="A303" i="12"/>
  <c r="F184" i="7"/>
  <c r="H184" i="7"/>
  <c r="F168" i="6"/>
  <c r="A170" i="6"/>
  <c r="A133" i="12"/>
  <c r="G169" i="6"/>
  <c r="E169" i="6"/>
  <c r="D169" i="6"/>
  <c r="I148" i="6"/>
  <c r="C46" i="5"/>
  <c r="C50" i="5"/>
  <c r="C42" i="5"/>
  <c r="E42" i="5" s="1"/>
  <c r="C43" i="5"/>
  <c r="C47" i="5"/>
  <c r="C51" i="5"/>
  <c r="C44" i="5"/>
  <c r="C48" i="5"/>
  <c r="C52" i="5"/>
  <c r="C45" i="5"/>
  <c r="C49" i="5"/>
  <c r="C53" i="5"/>
  <c r="H131" i="6"/>
  <c r="C53" i="4"/>
  <c r="E53" i="4" s="1"/>
  <c r="G248" i="7"/>
  <c r="B250" i="7"/>
  <c r="A364" i="12"/>
  <c r="B215" i="7"/>
  <c r="A331" i="12"/>
  <c r="B138" i="7"/>
  <c r="A260" i="12"/>
  <c r="B46" i="7"/>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C44" i="12"/>
  <c r="E243" i="7"/>
  <c r="H243" i="7"/>
  <c r="A358" i="12"/>
  <c r="F243" i="7"/>
  <c r="G242" i="7"/>
  <c r="G136" i="7"/>
  <c r="J136" i="7" s="1"/>
  <c r="H158" i="7"/>
  <c r="A279" i="12"/>
  <c r="E158" i="7"/>
  <c r="F158" i="7"/>
  <c r="G157" i="7"/>
  <c r="E77" i="11"/>
  <c r="A71" i="23"/>
  <c r="F74" i="6"/>
  <c r="H74" i="6" s="1"/>
  <c r="A76" i="6"/>
  <c r="E75" i="6"/>
  <c r="D75" i="6"/>
  <c r="G75" i="6"/>
  <c r="A45" i="12"/>
  <c r="H73" i="6"/>
  <c r="I73" i="6"/>
  <c r="B44" i="12"/>
  <c r="E59" i="11"/>
  <c r="E61" i="11" s="1"/>
  <c r="F56" i="11"/>
  <c r="F52" i="11"/>
  <c r="F77" i="11" s="1"/>
  <c r="J37" i="11"/>
  <c r="M37" i="11" s="1"/>
  <c r="L37" i="11"/>
  <c r="H336" i="7"/>
  <c r="F336" i="7"/>
  <c r="E336" i="7"/>
  <c r="E44" i="6"/>
  <c r="F44" i="6" s="1"/>
  <c r="E42" i="6"/>
  <c r="F42" i="6" s="1"/>
  <c r="E43" i="6"/>
  <c r="F43" i="6" s="1"/>
  <c r="E40" i="6"/>
  <c r="F40" i="6" s="1"/>
  <c r="H137" i="7"/>
  <c r="F137" i="7"/>
  <c r="E137" i="7"/>
  <c r="H299" i="7"/>
  <c r="F299" i="7"/>
  <c r="E299" i="7"/>
  <c r="H320" i="7"/>
  <c r="F320" i="7"/>
  <c r="E320" i="7"/>
  <c r="G398" i="7"/>
  <c r="G241" i="7"/>
  <c r="G12" i="7"/>
  <c r="G212" i="7"/>
  <c r="G298" i="7"/>
  <c r="G96" i="7"/>
  <c r="G270" i="7"/>
  <c r="G44" i="7"/>
  <c r="H118" i="7"/>
  <c r="F118" i="7"/>
  <c r="E118" i="7"/>
  <c r="G135" i="7"/>
  <c r="G319" i="7"/>
  <c r="G117" i="7"/>
  <c r="H213" i="7"/>
  <c r="F213" i="7"/>
  <c r="E213" i="7"/>
  <c r="H97" i="7"/>
  <c r="F97" i="7"/>
  <c r="E97" i="7"/>
  <c r="H399" i="7"/>
  <c r="F399" i="7"/>
  <c r="E399" i="7"/>
  <c r="G335" i="7"/>
  <c r="H356" i="7"/>
  <c r="F356" i="7"/>
  <c r="E356" i="7"/>
  <c r="H371" i="7"/>
  <c r="F371" i="7"/>
  <c r="E371" i="7"/>
  <c r="F15" i="7"/>
  <c r="H15" i="7"/>
  <c r="E15" i="7"/>
  <c r="H271" i="7"/>
  <c r="F271" i="7"/>
  <c r="E271" i="7"/>
  <c r="F45" i="7"/>
  <c r="H45" i="7"/>
  <c r="E45" i="7"/>
  <c r="G370" i="7"/>
  <c r="G182" i="7"/>
  <c r="G355" i="7"/>
  <c r="G156" i="7"/>
  <c r="H1000" i="8"/>
  <c r="H130" i="6"/>
  <c r="I130" i="6"/>
  <c r="A461" i="12"/>
  <c r="A243" i="12"/>
  <c r="A410" i="12"/>
  <c r="A429" i="12"/>
  <c r="A443" i="12"/>
  <c r="A224" i="12"/>
  <c r="A280" i="12"/>
  <c r="A474" i="12"/>
  <c r="A384" i="12"/>
  <c r="A498" i="12"/>
  <c r="A178" i="12"/>
  <c r="X43" i="4"/>
  <c r="X44" i="4" s="1"/>
  <c r="C45" i="6"/>
  <c r="B45" i="5"/>
  <c r="D45" i="5" s="1"/>
  <c r="E43" i="5" l="1"/>
  <c r="J306" i="7"/>
  <c r="F169" i="6"/>
  <c r="A171" i="6"/>
  <c r="A134" i="12"/>
  <c r="G170" i="6"/>
  <c r="D170" i="6"/>
  <c r="E170" i="6"/>
  <c r="I183" i="7"/>
  <c r="J183" i="7"/>
  <c r="B309" i="7"/>
  <c r="A419" i="12"/>
  <c r="H168" i="6"/>
  <c r="I168" i="6"/>
  <c r="G184" i="7"/>
  <c r="F185" i="7"/>
  <c r="E185" i="7"/>
  <c r="H185" i="7"/>
  <c r="A304" i="12"/>
  <c r="B186" i="7"/>
  <c r="H186" i="7" s="1"/>
  <c r="D52" i="4"/>
  <c r="D53" i="4"/>
  <c r="D50" i="4"/>
  <c r="F50" i="4" s="1"/>
  <c r="D51" i="4"/>
  <c r="D55" i="4"/>
  <c r="D59" i="4"/>
  <c r="D56" i="4"/>
  <c r="D60" i="4"/>
  <c r="D57" i="4"/>
  <c r="D61" i="4"/>
  <c r="D54" i="4"/>
  <c r="D58" i="4"/>
  <c r="C54" i="4"/>
  <c r="B251" i="7"/>
  <c r="A365" i="12"/>
  <c r="I248" i="7"/>
  <c r="J248" i="7"/>
  <c r="B259" i="12"/>
  <c r="B216" i="7"/>
  <c r="A332" i="12"/>
  <c r="B260" i="12"/>
  <c r="B139" i="7"/>
  <c r="A261" i="12"/>
  <c r="B261" i="12" s="1"/>
  <c r="C45" i="12"/>
  <c r="C100" i="6"/>
  <c r="G243" i="7"/>
  <c r="I243" i="7" s="1"/>
  <c r="A500" i="12"/>
  <c r="E401" i="7"/>
  <c r="F401" i="7"/>
  <c r="H401" i="7"/>
  <c r="I242" i="7"/>
  <c r="J242" i="7"/>
  <c r="E244" i="7"/>
  <c r="F244" i="7"/>
  <c r="H244" i="7"/>
  <c r="A359" i="12"/>
  <c r="F215" i="7"/>
  <c r="E215" i="7"/>
  <c r="H215" i="7"/>
  <c r="I136" i="7"/>
  <c r="G158" i="7"/>
  <c r="J157" i="7"/>
  <c r="I157" i="7"/>
  <c r="H159" i="7"/>
  <c r="F159" i="7"/>
  <c r="E159" i="7"/>
  <c r="I45" i="6"/>
  <c r="I197" i="6" s="1"/>
  <c r="A72" i="23"/>
  <c r="F75" i="6"/>
  <c r="I75" i="6" s="1"/>
  <c r="I74" i="6"/>
  <c r="B45" i="12"/>
  <c r="A77" i="6"/>
  <c r="G76" i="6"/>
  <c r="A46" i="12"/>
  <c r="C46" i="12" s="1"/>
  <c r="E76" i="6"/>
  <c r="D76" i="6"/>
  <c r="F59" i="11"/>
  <c r="G299" i="7"/>
  <c r="I299" i="7" s="1"/>
  <c r="G15" i="7"/>
  <c r="I15" i="7" s="1"/>
  <c r="G371" i="7"/>
  <c r="J371" i="7" s="1"/>
  <c r="G356" i="7"/>
  <c r="J356" i="7" s="1"/>
  <c r="G320" i="7"/>
  <c r="J320" i="7" s="1"/>
  <c r="G213" i="7"/>
  <c r="J213" i="7" s="1"/>
  <c r="G45" i="7"/>
  <c r="J45" i="7" s="1"/>
  <c r="H43" i="6"/>
  <c r="I43" i="6"/>
  <c r="H42" i="6"/>
  <c r="I42" i="6"/>
  <c r="H357" i="7"/>
  <c r="F357" i="7"/>
  <c r="E357" i="7"/>
  <c r="H322" i="7"/>
  <c r="F322" i="7"/>
  <c r="E322" i="7"/>
  <c r="H16" i="7"/>
  <c r="F16" i="7"/>
  <c r="E16" i="7"/>
  <c r="H300" i="7"/>
  <c r="F300" i="7"/>
  <c r="E300" i="7"/>
  <c r="J156" i="7"/>
  <c r="I156" i="7"/>
  <c r="I370" i="7"/>
  <c r="J370" i="7"/>
  <c r="H119" i="7"/>
  <c r="F119" i="7"/>
  <c r="E119" i="7"/>
  <c r="H337" i="7"/>
  <c r="F337" i="7"/>
  <c r="E337" i="7"/>
  <c r="H272" i="7"/>
  <c r="F272" i="7"/>
  <c r="E272" i="7"/>
  <c r="H321" i="7"/>
  <c r="F321" i="7"/>
  <c r="E321" i="7"/>
  <c r="I355" i="7"/>
  <c r="J355" i="7"/>
  <c r="I40" i="6"/>
  <c r="H40" i="6"/>
  <c r="G399" i="7"/>
  <c r="G97" i="7"/>
  <c r="I135" i="7"/>
  <c r="J135" i="7"/>
  <c r="I96" i="7"/>
  <c r="J96" i="7"/>
  <c r="I12" i="7"/>
  <c r="J12" i="7"/>
  <c r="I44" i="6"/>
  <c r="H44" i="6"/>
  <c r="F186" i="7"/>
  <c r="E186" i="7"/>
  <c r="H214" i="7"/>
  <c r="F214" i="7"/>
  <c r="E214" i="7"/>
  <c r="H400" i="7"/>
  <c r="F400" i="7"/>
  <c r="E400" i="7"/>
  <c r="I182" i="7"/>
  <c r="J182" i="7"/>
  <c r="H372" i="7"/>
  <c r="F372" i="7"/>
  <c r="E372" i="7"/>
  <c r="H138" i="7"/>
  <c r="F138" i="7"/>
  <c r="E138" i="7"/>
  <c r="H98" i="7"/>
  <c r="F98" i="7"/>
  <c r="E98" i="7"/>
  <c r="G271" i="7"/>
  <c r="G118" i="7"/>
  <c r="I44" i="7"/>
  <c r="J44" i="7"/>
  <c r="I241" i="7"/>
  <c r="J241" i="7"/>
  <c r="G336" i="7"/>
  <c r="J335" i="7"/>
  <c r="I335" i="7"/>
  <c r="I117" i="7"/>
  <c r="J117" i="7"/>
  <c r="J270" i="7"/>
  <c r="I270" i="7"/>
  <c r="J298" i="7"/>
  <c r="I298" i="7"/>
  <c r="I398" i="7"/>
  <c r="J398" i="7"/>
  <c r="G137" i="7"/>
  <c r="F46" i="7"/>
  <c r="H46" i="7"/>
  <c r="E46" i="7"/>
  <c r="I319" i="7"/>
  <c r="J319" i="7"/>
  <c r="J212" i="7"/>
  <c r="I212" i="7"/>
  <c r="A244" i="12"/>
  <c r="A444" i="12"/>
  <c r="A385" i="12"/>
  <c r="A411" i="12"/>
  <c r="A475" i="12"/>
  <c r="A462" i="12"/>
  <c r="A225" i="12"/>
  <c r="A430" i="12"/>
  <c r="A499" i="12"/>
  <c r="A431" i="12"/>
  <c r="A179" i="12"/>
  <c r="C46" i="6"/>
  <c r="D462" i="7"/>
  <c r="D464" i="7" s="1"/>
  <c r="B46" i="5"/>
  <c r="D46" i="5" s="1"/>
  <c r="E44" i="5"/>
  <c r="F51" i="4" l="1"/>
  <c r="F52" i="4" s="1"/>
  <c r="F53" i="4" s="1"/>
  <c r="A305" i="12"/>
  <c r="B187" i="7"/>
  <c r="A172" i="6"/>
  <c r="A135" i="12"/>
  <c r="G171" i="6"/>
  <c r="D171" i="6"/>
  <c r="E171" i="6"/>
  <c r="I184" i="7"/>
  <c r="J184" i="7"/>
  <c r="B310" i="7"/>
  <c r="A420" i="12"/>
  <c r="F170" i="6"/>
  <c r="I169" i="6"/>
  <c r="H169" i="6"/>
  <c r="G185" i="7"/>
  <c r="C178" i="6"/>
  <c r="E54" i="4"/>
  <c r="C55" i="4"/>
  <c r="J243" i="7"/>
  <c r="B252" i="7"/>
  <c r="A366" i="12"/>
  <c r="B217" i="7"/>
  <c r="A333" i="12"/>
  <c r="A262" i="12"/>
  <c r="B262" i="12" s="1"/>
  <c r="B140" i="7"/>
  <c r="G244" i="7"/>
  <c r="G401" i="7"/>
  <c r="A360" i="12"/>
  <c r="E402" i="7"/>
  <c r="F402" i="7"/>
  <c r="H402" i="7"/>
  <c r="G215" i="7"/>
  <c r="I213" i="7"/>
  <c r="G159" i="7"/>
  <c r="H160" i="7"/>
  <c r="E160" i="7"/>
  <c r="F160" i="7"/>
  <c r="A281" i="12"/>
  <c r="I158" i="7"/>
  <c r="J158" i="7"/>
  <c r="H75" i="6"/>
  <c r="A73" i="23"/>
  <c r="F76" i="6"/>
  <c r="H76" i="6" s="1"/>
  <c r="A78" i="6"/>
  <c r="G77" i="6"/>
  <c r="D77" i="6"/>
  <c r="A47" i="12"/>
  <c r="E77" i="6"/>
  <c r="B46" i="12"/>
  <c r="I371" i="7"/>
  <c r="F61" i="11"/>
  <c r="J299" i="7"/>
  <c r="I356" i="7"/>
  <c r="I45" i="7"/>
  <c r="J15" i="7"/>
  <c r="G98" i="7"/>
  <c r="I98" i="7" s="1"/>
  <c r="G300" i="7"/>
  <c r="J300" i="7" s="1"/>
  <c r="I320" i="7"/>
  <c r="G400" i="7"/>
  <c r="J400" i="7" s="1"/>
  <c r="G322" i="7"/>
  <c r="J322" i="7" s="1"/>
  <c r="G16" i="7"/>
  <c r="I16" i="7" s="1"/>
  <c r="G214" i="7"/>
  <c r="I214" i="7" s="1"/>
  <c r="I118" i="7"/>
  <c r="J118" i="7"/>
  <c r="G138" i="7"/>
  <c r="G186" i="7"/>
  <c r="G272" i="7"/>
  <c r="G321" i="7"/>
  <c r="H338" i="7"/>
  <c r="F338" i="7"/>
  <c r="E338" i="7"/>
  <c r="H17" i="7"/>
  <c r="F17" i="7"/>
  <c r="E17" i="7"/>
  <c r="H99" i="7"/>
  <c r="F99" i="7"/>
  <c r="E99" i="7"/>
  <c r="J137" i="7"/>
  <c r="I137" i="7"/>
  <c r="J336" i="7"/>
  <c r="I336" i="7"/>
  <c r="I97" i="7"/>
  <c r="J97" i="7"/>
  <c r="G119" i="7"/>
  <c r="H187" i="7"/>
  <c r="F187" i="7"/>
  <c r="E187" i="7"/>
  <c r="H120" i="7"/>
  <c r="F120" i="7"/>
  <c r="E120" i="7"/>
  <c r="H373" i="7"/>
  <c r="F373" i="7"/>
  <c r="E373" i="7"/>
  <c r="H47" i="7"/>
  <c r="F47" i="7"/>
  <c r="E47" i="7"/>
  <c r="H245" i="7"/>
  <c r="F245" i="7"/>
  <c r="E245" i="7"/>
  <c r="H273" i="7"/>
  <c r="F273" i="7"/>
  <c r="E273" i="7"/>
  <c r="H323" i="7"/>
  <c r="F323" i="7"/>
  <c r="E323" i="7"/>
  <c r="H139" i="7"/>
  <c r="F139" i="7"/>
  <c r="E139" i="7"/>
  <c r="H358" i="7"/>
  <c r="F358" i="7"/>
  <c r="E358" i="7"/>
  <c r="H216" i="7"/>
  <c r="F216" i="7"/>
  <c r="E216" i="7"/>
  <c r="H301" i="7"/>
  <c r="F301" i="7"/>
  <c r="E301" i="7"/>
  <c r="G46" i="7"/>
  <c r="I271" i="7"/>
  <c r="J271" i="7"/>
  <c r="G372" i="7"/>
  <c r="I399" i="7"/>
  <c r="J399" i="7"/>
  <c r="G337" i="7"/>
  <c r="G357" i="7"/>
  <c r="A432" i="12"/>
  <c r="A245" i="12"/>
  <c r="A226" i="12"/>
  <c r="A476" i="12"/>
  <c r="A386" i="12"/>
  <c r="A445" i="12"/>
  <c r="A412" i="12"/>
  <c r="A501" i="12"/>
  <c r="A463" i="12"/>
  <c r="A478" i="12"/>
  <c r="A180" i="12"/>
  <c r="E45" i="5"/>
  <c r="B47" i="5"/>
  <c r="D47" i="5" s="1"/>
  <c r="F54" i="4" l="1"/>
  <c r="B311" i="7"/>
  <c r="A421" i="12"/>
  <c r="F171" i="6"/>
  <c r="I185" i="7"/>
  <c r="J185" i="7"/>
  <c r="A306" i="12"/>
  <c r="B188" i="7"/>
  <c r="I170" i="6"/>
  <c r="H170" i="6"/>
  <c r="A173" i="6"/>
  <c r="A136" i="12"/>
  <c r="D172" i="6"/>
  <c r="G172" i="6"/>
  <c r="E172" i="6"/>
  <c r="E55" i="4"/>
  <c r="C56" i="4"/>
  <c r="B253" i="7"/>
  <c r="A367" i="12"/>
  <c r="B218" i="7"/>
  <c r="A334" i="12"/>
  <c r="B141" i="7"/>
  <c r="H140" i="7"/>
  <c r="A263" i="12"/>
  <c r="B263" i="12" s="1"/>
  <c r="F140" i="7"/>
  <c r="E140" i="7"/>
  <c r="A361" i="12"/>
  <c r="G402" i="7"/>
  <c r="J401" i="7"/>
  <c r="I401" i="7"/>
  <c r="I244" i="7"/>
  <c r="J244" i="7"/>
  <c r="I215" i="7"/>
  <c r="J215" i="7"/>
  <c r="H161" i="7"/>
  <c r="F161" i="7"/>
  <c r="E161" i="7"/>
  <c r="A282" i="12"/>
  <c r="G160" i="7"/>
  <c r="I159" i="7"/>
  <c r="J159" i="7"/>
  <c r="A479" i="12"/>
  <c r="E375" i="7"/>
  <c r="F375" i="7"/>
  <c r="H375" i="7"/>
  <c r="B47" i="12"/>
  <c r="C47" i="12"/>
  <c r="A74" i="23"/>
  <c r="F77" i="6"/>
  <c r="H77" i="6" s="1"/>
  <c r="I76" i="6"/>
  <c r="A79" i="6"/>
  <c r="D78" i="6"/>
  <c r="A48" i="12"/>
  <c r="E78" i="6"/>
  <c r="G78" i="6"/>
  <c r="I400" i="7"/>
  <c r="J98" i="7"/>
  <c r="I300" i="7"/>
  <c r="I322" i="7"/>
  <c r="J214" i="7"/>
  <c r="G373" i="7"/>
  <c r="I373" i="7" s="1"/>
  <c r="G139" i="7"/>
  <c r="J139" i="7" s="1"/>
  <c r="G120" i="7"/>
  <c r="J120" i="7" s="1"/>
  <c r="G99" i="7"/>
  <c r="J99" i="7" s="1"/>
  <c r="J16" i="7"/>
  <c r="G323" i="7"/>
  <c r="J323" i="7" s="1"/>
  <c r="G187" i="7"/>
  <c r="I187" i="7" s="1"/>
  <c r="H246" i="7"/>
  <c r="F246" i="7"/>
  <c r="E246" i="7"/>
  <c r="H48" i="7"/>
  <c r="F48" i="7"/>
  <c r="E48" i="7"/>
  <c r="H274" i="7"/>
  <c r="F274" i="7"/>
  <c r="E274" i="7"/>
  <c r="G301" i="7"/>
  <c r="G273" i="7"/>
  <c r="I119" i="7"/>
  <c r="J119" i="7"/>
  <c r="J272" i="7"/>
  <c r="I272" i="7"/>
  <c r="J321" i="7"/>
  <c r="I321" i="7"/>
  <c r="I186" i="7"/>
  <c r="J186" i="7"/>
  <c r="J372" i="7"/>
  <c r="I372" i="7"/>
  <c r="H339" i="7"/>
  <c r="F339" i="7"/>
  <c r="E339" i="7"/>
  <c r="H18" i="7"/>
  <c r="F18" i="7"/>
  <c r="E18" i="7"/>
  <c r="H302" i="7"/>
  <c r="F302" i="7"/>
  <c r="E302" i="7"/>
  <c r="H403" i="7"/>
  <c r="E403" i="7"/>
  <c r="F403" i="7"/>
  <c r="H324" i="7"/>
  <c r="F324" i="7"/>
  <c r="E324" i="7"/>
  <c r="H121" i="7"/>
  <c r="F121" i="7"/>
  <c r="E121" i="7"/>
  <c r="H217" i="7"/>
  <c r="F217" i="7"/>
  <c r="E217" i="7"/>
  <c r="H374" i="7"/>
  <c r="F374" i="7"/>
  <c r="E374" i="7"/>
  <c r="J357" i="7"/>
  <c r="I357" i="7"/>
  <c r="G358" i="7"/>
  <c r="G47" i="7"/>
  <c r="G338" i="7"/>
  <c r="H359" i="7"/>
  <c r="F359" i="7"/>
  <c r="E359" i="7"/>
  <c r="H188" i="7"/>
  <c r="F188" i="7"/>
  <c r="E188" i="7"/>
  <c r="H100" i="7"/>
  <c r="F100" i="7"/>
  <c r="E100" i="7"/>
  <c r="J337" i="7"/>
  <c r="I337" i="7"/>
  <c r="J46" i="7"/>
  <c r="I46" i="7"/>
  <c r="G216" i="7"/>
  <c r="G245" i="7"/>
  <c r="G17" i="7"/>
  <c r="I138" i="7"/>
  <c r="J138" i="7"/>
  <c r="A387" i="12"/>
  <c r="A464" i="12"/>
  <c r="A227" i="12"/>
  <c r="A477" i="12"/>
  <c r="A446" i="12"/>
  <c r="A502" i="12"/>
  <c r="A433" i="12"/>
  <c r="A246" i="12"/>
  <c r="A413" i="12"/>
  <c r="A435" i="12"/>
  <c r="A181" i="12"/>
  <c r="A248" i="12"/>
  <c r="B48" i="5"/>
  <c r="D48" i="5" s="1"/>
  <c r="E46" i="5"/>
  <c r="F55" i="4" l="1"/>
  <c r="H171" i="6"/>
  <c r="I171" i="6"/>
  <c r="F172" i="6"/>
  <c r="B312" i="7"/>
  <c r="A422" i="12"/>
  <c r="A137" i="12"/>
  <c r="G173" i="6"/>
  <c r="G174" i="6" s="1"/>
  <c r="D173" i="6"/>
  <c r="E173" i="6"/>
  <c r="A307" i="12"/>
  <c r="B189" i="7"/>
  <c r="E56" i="4"/>
  <c r="C57" i="4"/>
  <c r="B254" i="7"/>
  <c r="A368" i="12"/>
  <c r="B219" i="7"/>
  <c r="A335" i="12"/>
  <c r="G140" i="7"/>
  <c r="B142" i="7"/>
  <c r="E141" i="7"/>
  <c r="H141" i="7"/>
  <c r="A264" i="12"/>
  <c r="B264" i="12" s="1"/>
  <c r="F141" i="7"/>
  <c r="I402" i="7"/>
  <c r="J402" i="7"/>
  <c r="A362" i="12"/>
  <c r="G161" i="7"/>
  <c r="I160" i="7"/>
  <c r="J160" i="7"/>
  <c r="E162" i="7"/>
  <c r="H162" i="7"/>
  <c r="F162" i="7"/>
  <c r="A283" i="12"/>
  <c r="G375" i="7"/>
  <c r="F376" i="7"/>
  <c r="H376" i="7"/>
  <c r="E376" i="7"/>
  <c r="A436" i="12"/>
  <c r="E326" i="7"/>
  <c r="F326" i="7"/>
  <c r="H326" i="7"/>
  <c r="A249" i="12"/>
  <c r="E123" i="7"/>
  <c r="H123" i="7"/>
  <c r="F123" i="7"/>
  <c r="B48" i="12"/>
  <c r="C48" i="12"/>
  <c r="A75" i="23"/>
  <c r="I77" i="6"/>
  <c r="F78" i="6"/>
  <c r="A80" i="6"/>
  <c r="E79" i="6"/>
  <c r="A49" i="12"/>
  <c r="G79" i="6"/>
  <c r="D79" i="6"/>
  <c r="I323" i="7"/>
  <c r="I120" i="7"/>
  <c r="I139" i="7"/>
  <c r="I99" i="7"/>
  <c r="J373" i="7"/>
  <c r="J187" i="7"/>
  <c r="G121" i="7"/>
  <c r="I121" i="7" s="1"/>
  <c r="G18" i="7"/>
  <c r="I18" i="7" s="1"/>
  <c r="G359" i="7"/>
  <c r="I359" i="7" s="1"/>
  <c r="G100" i="7"/>
  <c r="J100" i="7" s="1"/>
  <c r="G274" i="7"/>
  <c r="I274" i="7" s="1"/>
  <c r="H340" i="7"/>
  <c r="F340" i="7"/>
  <c r="E340" i="7"/>
  <c r="H275" i="7"/>
  <c r="F275" i="7"/>
  <c r="E275" i="7"/>
  <c r="H303" i="7"/>
  <c r="F303" i="7"/>
  <c r="E303" i="7"/>
  <c r="J245" i="7"/>
  <c r="I245" i="7"/>
  <c r="G217" i="7"/>
  <c r="G302" i="7"/>
  <c r="G246" i="7"/>
  <c r="H247" i="7"/>
  <c r="F247" i="7"/>
  <c r="E247" i="7"/>
  <c r="H101" i="7"/>
  <c r="F101" i="7"/>
  <c r="E101" i="7"/>
  <c r="H325" i="7"/>
  <c r="F325" i="7"/>
  <c r="E325" i="7"/>
  <c r="H404" i="7"/>
  <c r="F404" i="7"/>
  <c r="E404" i="7"/>
  <c r="I17" i="7"/>
  <c r="J17" i="7"/>
  <c r="H360" i="7"/>
  <c r="F360" i="7"/>
  <c r="E360" i="7"/>
  <c r="F19" i="7"/>
  <c r="H19" i="7"/>
  <c r="E19" i="7"/>
  <c r="I216" i="7"/>
  <c r="J216" i="7"/>
  <c r="J358" i="7"/>
  <c r="I358" i="7"/>
  <c r="G374" i="7"/>
  <c r="I273" i="7"/>
  <c r="J273" i="7"/>
  <c r="H122" i="7"/>
  <c r="F122" i="7"/>
  <c r="E122" i="7"/>
  <c r="H142" i="7"/>
  <c r="F142" i="7"/>
  <c r="E142" i="7"/>
  <c r="F49" i="7"/>
  <c r="H49" i="7"/>
  <c r="E49" i="7"/>
  <c r="H218" i="7"/>
  <c r="F218" i="7"/>
  <c r="E218" i="7"/>
  <c r="G188" i="7"/>
  <c r="I338" i="7"/>
  <c r="J338" i="7"/>
  <c r="J47" i="7"/>
  <c r="I47" i="7"/>
  <c r="G324" i="7"/>
  <c r="G403" i="7"/>
  <c r="G339" i="7"/>
  <c r="J301" i="7"/>
  <c r="I301" i="7"/>
  <c r="G48" i="7"/>
  <c r="A388" i="12"/>
  <c r="A434" i="12"/>
  <c r="A228" i="12"/>
  <c r="A480" i="12"/>
  <c r="A447" i="12"/>
  <c r="A247" i="12"/>
  <c r="A465" i="12"/>
  <c r="A414" i="12"/>
  <c r="A503" i="12"/>
  <c r="A182" i="12"/>
  <c r="E47" i="5"/>
  <c r="B49" i="5"/>
  <c r="D49" i="5" s="1"/>
  <c r="F56" i="4" l="1"/>
  <c r="H172" i="6"/>
  <c r="I172" i="6"/>
  <c r="F173" i="6"/>
  <c r="D174" i="6"/>
  <c r="A308" i="12"/>
  <c r="B190" i="7"/>
  <c r="F189" i="7"/>
  <c r="H189" i="7"/>
  <c r="E189" i="7"/>
  <c r="B313" i="7"/>
  <c r="A423" i="12"/>
  <c r="E57" i="4"/>
  <c r="C58" i="4"/>
  <c r="B255" i="7"/>
  <c r="A369" i="12"/>
  <c r="G141" i="7"/>
  <c r="J141" i="7" s="1"/>
  <c r="B220" i="7"/>
  <c r="F220" i="7" s="1"/>
  <c r="E219" i="7"/>
  <c r="F219" i="7"/>
  <c r="A336" i="12"/>
  <c r="H219" i="7"/>
  <c r="B143" i="7"/>
  <c r="A265" i="12"/>
  <c r="B265" i="12" s="1"/>
  <c r="J140" i="7"/>
  <c r="I140" i="7"/>
  <c r="G376" i="7"/>
  <c r="J376" i="7" s="1"/>
  <c r="H163" i="7"/>
  <c r="A284" i="12"/>
  <c r="F163" i="7"/>
  <c r="E163" i="7"/>
  <c r="G162" i="7"/>
  <c r="I161" i="7"/>
  <c r="J161" i="7"/>
  <c r="E48" i="5"/>
  <c r="E49" i="5" s="1"/>
  <c r="H377" i="7"/>
  <c r="E377" i="7"/>
  <c r="F377" i="7"/>
  <c r="I375" i="7"/>
  <c r="J375" i="7"/>
  <c r="G326" i="7"/>
  <c r="F327" i="7"/>
  <c r="H327" i="7"/>
  <c r="E327" i="7"/>
  <c r="G123" i="7"/>
  <c r="F124" i="7"/>
  <c r="H124" i="7"/>
  <c r="E124" i="7"/>
  <c r="B49" i="12"/>
  <c r="C49" i="12"/>
  <c r="A76" i="23"/>
  <c r="F79" i="6"/>
  <c r="H79" i="6" s="1"/>
  <c r="A81" i="6"/>
  <c r="G80" i="6"/>
  <c r="E80" i="6"/>
  <c r="A50" i="12"/>
  <c r="D80" i="6"/>
  <c r="I78" i="6"/>
  <c r="H78" i="6"/>
  <c r="J121" i="7"/>
  <c r="J359" i="7"/>
  <c r="J18" i="7"/>
  <c r="G275" i="7"/>
  <c r="J275" i="7" s="1"/>
  <c r="J274" i="7"/>
  <c r="I100" i="7"/>
  <c r="G101" i="7"/>
  <c r="J101" i="7" s="1"/>
  <c r="G360" i="7"/>
  <c r="J360" i="7" s="1"/>
  <c r="G122" i="7"/>
  <c r="I122" i="7" s="1"/>
  <c r="G303" i="7"/>
  <c r="I303" i="7" s="1"/>
  <c r="H102" i="7"/>
  <c r="F102" i="7"/>
  <c r="E102" i="7"/>
  <c r="G49" i="7"/>
  <c r="G19" i="7"/>
  <c r="I246" i="7"/>
  <c r="J246" i="7"/>
  <c r="I339" i="7"/>
  <c r="J339" i="7"/>
  <c r="I188" i="7"/>
  <c r="J188" i="7"/>
  <c r="H341" i="7"/>
  <c r="F341" i="7"/>
  <c r="E341" i="7"/>
  <c r="H304" i="7"/>
  <c r="F304" i="7"/>
  <c r="E304" i="7"/>
  <c r="I324" i="7"/>
  <c r="J324" i="7"/>
  <c r="H220" i="7"/>
  <c r="H405" i="7"/>
  <c r="F405" i="7"/>
  <c r="E405" i="7"/>
  <c r="G218" i="7"/>
  <c r="G325" i="7"/>
  <c r="G340" i="7"/>
  <c r="J374" i="7"/>
  <c r="I374" i="7"/>
  <c r="G404" i="7"/>
  <c r="G247" i="7"/>
  <c r="H276" i="7"/>
  <c r="F276" i="7"/>
  <c r="E276" i="7"/>
  <c r="F50" i="7"/>
  <c r="H50" i="7"/>
  <c r="E50" i="7"/>
  <c r="H361" i="7"/>
  <c r="F361" i="7"/>
  <c r="E361" i="7"/>
  <c r="J48" i="7"/>
  <c r="I48" i="7"/>
  <c r="H249" i="7"/>
  <c r="E249" i="7"/>
  <c r="F249" i="7"/>
  <c r="H20" i="7"/>
  <c r="F20" i="7"/>
  <c r="E20" i="7"/>
  <c r="J403" i="7"/>
  <c r="I403" i="7"/>
  <c r="G142" i="7"/>
  <c r="J302" i="7"/>
  <c r="I302" i="7"/>
  <c r="I217" i="7"/>
  <c r="J217" i="7"/>
  <c r="A415" i="12"/>
  <c r="A481" i="12"/>
  <c r="A437" i="12"/>
  <c r="A448" i="12"/>
  <c r="A389" i="12"/>
  <c r="A229" i="12"/>
  <c r="A466" i="12"/>
  <c r="A504" i="12"/>
  <c r="B50" i="5"/>
  <c r="D50" i="5" s="1"/>
  <c r="F57" i="4" l="1"/>
  <c r="B314" i="7"/>
  <c r="A424" i="12"/>
  <c r="A309" i="12"/>
  <c r="B191" i="7"/>
  <c r="H190" i="7"/>
  <c r="F190" i="7"/>
  <c r="E190" i="7"/>
  <c r="I173" i="6"/>
  <c r="H173" i="6"/>
  <c r="G189" i="7"/>
  <c r="E58" i="4"/>
  <c r="C59" i="4"/>
  <c r="E220" i="7"/>
  <c r="I141" i="7"/>
  <c r="B256" i="7"/>
  <c r="A370" i="12"/>
  <c r="G219" i="7"/>
  <c r="B221" i="7"/>
  <c r="H221" i="7" s="1"/>
  <c r="A337" i="12"/>
  <c r="B144" i="7"/>
  <c r="A266" i="12"/>
  <c r="B266" i="12" s="1"/>
  <c r="F143" i="7"/>
  <c r="H143" i="7"/>
  <c r="E143" i="7"/>
  <c r="I376" i="7"/>
  <c r="I162" i="7"/>
  <c r="J162" i="7"/>
  <c r="G163" i="7"/>
  <c r="F164" i="7"/>
  <c r="E164" i="7"/>
  <c r="H164" i="7"/>
  <c r="A285" i="12"/>
  <c r="A250" i="12"/>
  <c r="A251" i="12"/>
  <c r="H126" i="7"/>
  <c r="E126" i="7"/>
  <c r="F126" i="7"/>
  <c r="A183" i="12"/>
  <c r="G327" i="7"/>
  <c r="I327" i="7" s="1"/>
  <c r="E378" i="7"/>
  <c r="F378" i="7"/>
  <c r="H378" i="7"/>
  <c r="G377" i="7"/>
  <c r="H328" i="7"/>
  <c r="F328" i="7"/>
  <c r="E328" i="7"/>
  <c r="I326" i="7"/>
  <c r="J326" i="7"/>
  <c r="G124" i="7"/>
  <c r="J124" i="7" s="1"/>
  <c r="H125" i="7"/>
  <c r="E125" i="7"/>
  <c r="F125" i="7"/>
  <c r="I123" i="7"/>
  <c r="J123" i="7"/>
  <c r="B50" i="12"/>
  <c r="C50" i="12"/>
  <c r="A77" i="23"/>
  <c r="I79" i="6"/>
  <c r="F80" i="6"/>
  <c r="A82" i="6"/>
  <c r="D81" i="6"/>
  <c r="A51" i="12"/>
  <c r="G81" i="6"/>
  <c r="E81" i="6"/>
  <c r="I275" i="7"/>
  <c r="J303" i="7"/>
  <c r="I101" i="7"/>
  <c r="I360" i="7"/>
  <c r="J122" i="7"/>
  <c r="G220" i="7"/>
  <c r="I220" i="7" s="1"/>
  <c r="G102" i="7"/>
  <c r="I102" i="7" s="1"/>
  <c r="G276" i="7"/>
  <c r="J276" i="7" s="1"/>
  <c r="J247" i="7"/>
  <c r="I247" i="7"/>
  <c r="I325" i="7"/>
  <c r="J325" i="7"/>
  <c r="J19" i="7"/>
  <c r="I19" i="7"/>
  <c r="I49" i="7"/>
  <c r="J49" i="7"/>
  <c r="I340" i="7"/>
  <c r="J340" i="7"/>
  <c r="I218" i="7"/>
  <c r="J218" i="7"/>
  <c r="H103" i="7"/>
  <c r="F103" i="7"/>
  <c r="E103" i="7"/>
  <c r="H362" i="7"/>
  <c r="F362" i="7"/>
  <c r="E362" i="7"/>
  <c r="H406" i="7"/>
  <c r="E406" i="7"/>
  <c r="F406" i="7"/>
  <c r="I142" i="7"/>
  <c r="J142" i="7"/>
  <c r="H277" i="7"/>
  <c r="F277" i="7"/>
  <c r="E277" i="7"/>
  <c r="H22" i="7"/>
  <c r="F22" i="7"/>
  <c r="E22" i="7"/>
  <c r="H305" i="7"/>
  <c r="F305" i="7"/>
  <c r="E305" i="7"/>
  <c r="G20" i="7"/>
  <c r="G249" i="7"/>
  <c r="G50" i="7"/>
  <c r="I404" i="7"/>
  <c r="J404" i="7"/>
  <c r="G341" i="7"/>
  <c r="H250" i="7"/>
  <c r="F250" i="7"/>
  <c r="E250" i="7"/>
  <c r="H51" i="7"/>
  <c r="F51" i="7"/>
  <c r="E51" i="7"/>
  <c r="H329" i="7"/>
  <c r="F329" i="7"/>
  <c r="E329" i="7"/>
  <c r="H342" i="7"/>
  <c r="F342" i="7"/>
  <c r="E342" i="7"/>
  <c r="H379" i="7"/>
  <c r="F379" i="7"/>
  <c r="E379" i="7"/>
  <c r="G361" i="7"/>
  <c r="G405" i="7"/>
  <c r="G304" i="7"/>
  <c r="A416" i="12"/>
  <c r="A467" i="12"/>
  <c r="A449" i="12"/>
  <c r="A482" i="12"/>
  <c r="A390" i="12"/>
  <c r="A507" i="12"/>
  <c r="A505" i="12"/>
  <c r="A230" i="12"/>
  <c r="A438" i="12"/>
  <c r="B51" i="5"/>
  <c r="D51" i="5" s="1"/>
  <c r="E50" i="5"/>
  <c r="F58" i="4" l="1"/>
  <c r="G190" i="7"/>
  <c r="A310" i="12"/>
  <c r="B192" i="7"/>
  <c r="F191" i="7"/>
  <c r="H191" i="7"/>
  <c r="E191" i="7"/>
  <c r="J189" i="7"/>
  <c r="I189" i="7"/>
  <c r="F221" i="7"/>
  <c r="B315" i="7"/>
  <c r="A425" i="12"/>
  <c r="E59" i="4"/>
  <c r="F59" i="4" s="1"/>
  <c r="C60" i="4"/>
  <c r="B257" i="7"/>
  <c r="A371" i="12"/>
  <c r="B222" i="7"/>
  <c r="A338" i="12"/>
  <c r="E221" i="7"/>
  <c r="I219" i="7"/>
  <c r="J219" i="7"/>
  <c r="G143" i="7"/>
  <c r="B145" i="7"/>
  <c r="A267" i="12"/>
  <c r="B267" i="12" s="1"/>
  <c r="H144" i="7"/>
  <c r="F144" i="7"/>
  <c r="E144" i="7"/>
  <c r="E165" i="7"/>
  <c r="A286" i="12"/>
  <c r="H165" i="7"/>
  <c r="F165" i="7"/>
  <c r="I163" i="7"/>
  <c r="J163" i="7"/>
  <c r="G164" i="7"/>
  <c r="E52" i="7"/>
  <c r="F52" i="7"/>
  <c r="H52" i="7"/>
  <c r="G126" i="7"/>
  <c r="E127" i="7"/>
  <c r="A252" i="12"/>
  <c r="F127" i="7"/>
  <c r="H127" i="7"/>
  <c r="G378" i="7"/>
  <c r="J378" i="7" s="1"/>
  <c r="A508" i="12"/>
  <c r="E408" i="7"/>
  <c r="F408" i="7"/>
  <c r="H408" i="7"/>
  <c r="J327" i="7"/>
  <c r="I377" i="7"/>
  <c r="J377" i="7"/>
  <c r="G328" i="7"/>
  <c r="I124" i="7"/>
  <c r="G125" i="7"/>
  <c r="B51" i="12"/>
  <c r="C51" i="12"/>
  <c r="A78" i="23"/>
  <c r="F81" i="6"/>
  <c r="H81" i="6" s="1"/>
  <c r="A83" i="6"/>
  <c r="D82" i="6"/>
  <c r="A52" i="12"/>
  <c r="E82" i="6"/>
  <c r="G82" i="6"/>
  <c r="I80" i="6"/>
  <c r="H80" i="6"/>
  <c r="J102" i="7"/>
  <c r="J220" i="7"/>
  <c r="G305" i="7"/>
  <c r="J305" i="7" s="1"/>
  <c r="G103" i="7"/>
  <c r="I103" i="7" s="1"/>
  <c r="I276" i="7"/>
  <c r="G342" i="7"/>
  <c r="I342" i="7" s="1"/>
  <c r="G250" i="7"/>
  <c r="I250" i="7" s="1"/>
  <c r="G51" i="7"/>
  <c r="I51" i="7" s="1"/>
  <c r="G22" i="7"/>
  <c r="J22" i="7" s="1"/>
  <c r="J50" i="7"/>
  <c r="I50" i="7"/>
  <c r="G406" i="7"/>
  <c r="H380" i="7"/>
  <c r="H381" i="7" s="1"/>
  <c r="F380" i="7"/>
  <c r="F381" i="7" s="1"/>
  <c r="E380" i="7"/>
  <c r="H407" i="7"/>
  <c r="F407" i="7"/>
  <c r="E407" i="7"/>
  <c r="I405" i="7"/>
  <c r="J405" i="7"/>
  <c r="J361" i="7"/>
  <c r="I361" i="7"/>
  <c r="H343" i="7"/>
  <c r="F343" i="7"/>
  <c r="E343" i="7"/>
  <c r="H104" i="7"/>
  <c r="F104" i="7"/>
  <c r="E104" i="7"/>
  <c r="H307" i="7"/>
  <c r="F307" i="7"/>
  <c r="E307" i="7"/>
  <c r="I249" i="7"/>
  <c r="J249" i="7"/>
  <c r="H23" i="7"/>
  <c r="F23" i="7"/>
  <c r="E23" i="7"/>
  <c r="H278" i="7"/>
  <c r="F278" i="7"/>
  <c r="E278" i="7"/>
  <c r="H330" i="7"/>
  <c r="F330" i="7"/>
  <c r="E330" i="7"/>
  <c r="J304" i="7"/>
  <c r="I304" i="7"/>
  <c r="H251" i="7"/>
  <c r="F251" i="7"/>
  <c r="E251" i="7"/>
  <c r="H222" i="7"/>
  <c r="F222" i="7"/>
  <c r="E222" i="7"/>
  <c r="H363" i="7"/>
  <c r="F363" i="7"/>
  <c r="E363" i="7"/>
  <c r="G379" i="7"/>
  <c r="G329" i="7"/>
  <c r="I341" i="7"/>
  <c r="J341" i="7"/>
  <c r="G277" i="7"/>
  <c r="G362" i="7"/>
  <c r="J20" i="7"/>
  <c r="I20" i="7"/>
  <c r="A450" i="12"/>
  <c r="A468" i="12"/>
  <c r="A233" i="12"/>
  <c r="A231" i="12"/>
  <c r="A391" i="12"/>
  <c r="A439" i="12"/>
  <c r="A483" i="12"/>
  <c r="A506" i="12"/>
  <c r="B52" i="5"/>
  <c r="D52" i="5" s="1"/>
  <c r="E51" i="5"/>
  <c r="G221" i="7" l="1"/>
  <c r="I221" i="7" s="1"/>
  <c r="J190" i="7"/>
  <c r="I190" i="7"/>
  <c r="A426" i="12"/>
  <c r="A311" i="12"/>
  <c r="B193" i="7"/>
  <c r="E192" i="7"/>
  <c r="H192" i="7"/>
  <c r="F192" i="7"/>
  <c r="G191" i="7"/>
  <c r="E60" i="4"/>
  <c r="F60" i="4" s="1"/>
  <c r="C61" i="4"/>
  <c r="E61" i="4" s="1"/>
  <c r="B258" i="7"/>
  <c r="A372" i="12"/>
  <c r="B223" i="7"/>
  <c r="B224" i="7" s="1"/>
  <c r="A339" i="12"/>
  <c r="G144" i="7"/>
  <c r="B146" i="7"/>
  <c r="A268" i="12"/>
  <c r="B268" i="12" s="1"/>
  <c r="F145" i="7"/>
  <c r="E145" i="7"/>
  <c r="H145" i="7"/>
  <c r="I143" i="7"/>
  <c r="J143" i="7"/>
  <c r="G127" i="7"/>
  <c r="J127" i="7" s="1"/>
  <c r="I164" i="7"/>
  <c r="J164" i="7"/>
  <c r="G165" i="7"/>
  <c r="A287" i="12"/>
  <c r="F166" i="7"/>
  <c r="H166" i="7"/>
  <c r="E166" i="7"/>
  <c r="G52" i="7"/>
  <c r="E53" i="7"/>
  <c r="F53" i="7"/>
  <c r="H53" i="7"/>
  <c r="A184" i="12"/>
  <c r="E128" i="7"/>
  <c r="H128" i="7"/>
  <c r="F128" i="7"/>
  <c r="A253" i="12"/>
  <c r="I126" i="7"/>
  <c r="J126" i="7"/>
  <c r="I378" i="7"/>
  <c r="G408" i="7"/>
  <c r="F409" i="7"/>
  <c r="H409" i="7"/>
  <c r="E409" i="7"/>
  <c r="I328" i="7"/>
  <c r="J328" i="7"/>
  <c r="I125" i="7"/>
  <c r="J125" i="7"/>
  <c r="A234" i="12"/>
  <c r="E106" i="7"/>
  <c r="H106" i="7"/>
  <c r="F106" i="7"/>
  <c r="E33" i="7"/>
  <c r="F33" i="7"/>
  <c r="H33" i="7"/>
  <c r="B52" i="12"/>
  <c r="C52" i="12"/>
  <c r="J103" i="7"/>
  <c r="E121" i="6"/>
  <c r="F121" i="6" s="1"/>
  <c r="A79" i="23"/>
  <c r="J51" i="7"/>
  <c r="I81" i="6"/>
  <c r="F82" i="6"/>
  <c r="E83" i="6"/>
  <c r="G83" i="6"/>
  <c r="A53" i="12"/>
  <c r="D83" i="6"/>
  <c r="A84" i="6"/>
  <c r="J342" i="7"/>
  <c r="I22" i="7"/>
  <c r="G222" i="7"/>
  <c r="J222" i="7" s="1"/>
  <c r="G330" i="7"/>
  <c r="I330" i="7" s="1"/>
  <c r="I305" i="7"/>
  <c r="J250" i="7"/>
  <c r="G104" i="7"/>
  <c r="I104" i="7" s="1"/>
  <c r="G363" i="7"/>
  <c r="J363" i="7" s="1"/>
  <c r="G278" i="7"/>
  <c r="I278" i="7" s="1"/>
  <c r="G380" i="7"/>
  <c r="G381" i="7" s="1"/>
  <c r="H331" i="7"/>
  <c r="H332" i="7" s="1"/>
  <c r="F331" i="7"/>
  <c r="F332" i="7" s="1"/>
  <c r="E331" i="7"/>
  <c r="E332" i="7" s="1"/>
  <c r="I277" i="7"/>
  <c r="J277" i="7"/>
  <c r="J329" i="7"/>
  <c r="I329" i="7"/>
  <c r="G23" i="7"/>
  <c r="G343" i="7"/>
  <c r="G407" i="7"/>
  <c r="H279" i="7"/>
  <c r="F279" i="7"/>
  <c r="E279" i="7"/>
  <c r="H364" i="7"/>
  <c r="F364" i="7"/>
  <c r="E364" i="7"/>
  <c r="H308" i="7"/>
  <c r="F308" i="7"/>
  <c r="E308" i="7"/>
  <c r="I379" i="7"/>
  <c r="J379" i="7"/>
  <c r="H344" i="7"/>
  <c r="E344" i="7"/>
  <c r="F344" i="7"/>
  <c r="F54" i="7"/>
  <c r="H54" i="7"/>
  <c r="E54" i="7"/>
  <c r="H105" i="7"/>
  <c r="F105" i="7"/>
  <c r="E105" i="7"/>
  <c r="H252" i="7"/>
  <c r="F252" i="7"/>
  <c r="E252" i="7"/>
  <c r="H223" i="7"/>
  <c r="E223" i="7"/>
  <c r="H410" i="7"/>
  <c r="F410" i="7"/>
  <c r="E410" i="7"/>
  <c r="J362" i="7"/>
  <c r="I362" i="7"/>
  <c r="G251" i="7"/>
  <c r="G307" i="7"/>
  <c r="I406" i="7"/>
  <c r="J406" i="7"/>
  <c r="A451" i="12"/>
  <c r="A392" i="12"/>
  <c r="A469" i="12"/>
  <c r="A440" i="12"/>
  <c r="A509" i="12"/>
  <c r="A232" i="12"/>
  <c r="E381" i="7"/>
  <c r="A453" i="12"/>
  <c r="B53" i="5"/>
  <c r="D53" i="5" s="1"/>
  <c r="E52" i="5"/>
  <c r="J221" i="7" l="1"/>
  <c r="G192" i="7"/>
  <c r="J192" i="7" s="1"/>
  <c r="A312" i="12"/>
  <c r="B194" i="7"/>
  <c r="E193" i="7"/>
  <c r="H193" i="7"/>
  <c r="F193" i="7"/>
  <c r="J191" i="7"/>
  <c r="I191" i="7"/>
  <c r="F61" i="4"/>
  <c r="H49" i="4" s="1"/>
  <c r="H296" i="1" s="1"/>
  <c r="F223" i="7"/>
  <c r="G223" i="7" s="1"/>
  <c r="B259" i="7"/>
  <c r="A373" i="12"/>
  <c r="A341" i="12"/>
  <c r="H224" i="7"/>
  <c r="E224" i="7"/>
  <c r="B225" i="7"/>
  <c r="F225" i="7" s="1"/>
  <c r="F224" i="7"/>
  <c r="A340" i="12"/>
  <c r="B147" i="7"/>
  <c r="A269" i="12"/>
  <c r="B269" i="12" s="1"/>
  <c r="E146" i="7"/>
  <c r="H146" i="7"/>
  <c r="F146" i="7"/>
  <c r="G145" i="7"/>
  <c r="I144" i="7"/>
  <c r="J144" i="7"/>
  <c r="I127" i="7"/>
  <c r="G53" i="7"/>
  <c r="I53" i="7" s="1"/>
  <c r="G166" i="7"/>
  <c r="H167" i="7"/>
  <c r="F167" i="7"/>
  <c r="E167" i="7"/>
  <c r="A288" i="12"/>
  <c r="J165" i="7"/>
  <c r="I165" i="7"/>
  <c r="A185" i="12"/>
  <c r="I52" i="7"/>
  <c r="J52" i="7"/>
  <c r="J278" i="7"/>
  <c r="G128" i="7"/>
  <c r="H129" i="7"/>
  <c r="F129" i="7"/>
  <c r="A254" i="12"/>
  <c r="E129" i="7"/>
  <c r="E119" i="6"/>
  <c r="F119" i="6" s="1"/>
  <c r="G409" i="7"/>
  <c r="I408" i="7"/>
  <c r="J408" i="7"/>
  <c r="E346" i="7"/>
  <c r="A454" i="12"/>
  <c r="F346" i="7"/>
  <c r="H346" i="7"/>
  <c r="E310" i="7"/>
  <c r="F310" i="7"/>
  <c r="H310" i="7"/>
  <c r="J380" i="7"/>
  <c r="J381" i="7" s="1"/>
  <c r="G106" i="7"/>
  <c r="A235" i="12"/>
  <c r="F107" i="7"/>
  <c r="E107" i="7"/>
  <c r="H107" i="7"/>
  <c r="G33" i="7"/>
  <c r="F34" i="7"/>
  <c r="H34" i="7"/>
  <c r="E34" i="7"/>
  <c r="B53" i="12"/>
  <c r="C53" i="12"/>
  <c r="E53" i="5"/>
  <c r="F41" i="5" s="1"/>
  <c r="H297" i="1" s="1"/>
  <c r="H121" i="6"/>
  <c r="I121" i="6"/>
  <c r="A80" i="23"/>
  <c r="F83" i="6"/>
  <c r="H83" i="6" s="1"/>
  <c r="I380" i="7"/>
  <c r="I381" i="7" s="1"/>
  <c r="A85" i="6"/>
  <c r="G84" i="6"/>
  <c r="A54" i="12"/>
  <c r="E84" i="6"/>
  <c r="D84" i="6"/>
  <c r="H82" i="6"/>
  <c r="I82" i="6"/>
  <c r="I222" i="7"/>
  <c r="J330" i="7"/>
  <c r="J104" i="7"/>
  <c r="I363" i="7"/>
  <c r="G54" i="7"/>
  <c r="I54" i="7" s="1"/>
  <c r="G410" i="7"/>
  <c r="I410" i="7" s="1"/>
  <c r="G344" i="7"/>
  <c r="J344" i="7" s="1"/>
  <c r="G308" i="7"/>
  <c r="I308" i="7" s="1"/>
  <c r="G252" i="7"/>
  <c r="I252" i="7" s="1"/>
  <c r="G279" i="7"/>
  <c r="I279" i="7" s="1"/>
  <c r="G331" i="7"/>
  <c r="G332" i="7" s="1"/>
  <c r="H365" i="7"/>
  <c r="H366" i="7" s="1"/>
  <c r="F365" i="7"/>
  <c r="F366" i="7" s="1"/>
  <c r="E365" i="7"/>
  <c r="H411" i="7"/>
  <c r="F411" i="7"/>
  <c r="E411" i="7"/>
  <c r="F55" i="7"/>
  <c r="H55" i="7"/>
  <c r="E55" i="7"/>
  <c r="H309" i="7"/>
  <c r="F309" i="7"/>
  <c r="E309" i="7"/>
  <c r="G105" i="7"/>
  <c r="I407" i="7"/>
  <c r="J407" i="7"/>
  <c r="J307" i="7"/>
  <c r="I307" i="7"/>
  <c r="H253" i="7"/>
  <c r="F253" i="7"/>
  <c r="E253" i="7"/>
  <c r="H280" i="7"/>
  <c r="F280" i="7"/>
  <c r="E280" i="7"/>
  <c r="I251" i="7"/>
  <c r="J251" i="7"/>
  <c r="H345" i="7"/>
  <c r="F345" i="7"/>
  <c r="E345" i="7"/>
  <c r="I343" i="7"/>
  <c r="J343" i="7"/>
  <c r="G364" i="7"/>
  <c r="I23" i="7"/>
  <c r="J23" i="7"/>
  <c r="A470" i="12"/>
  <c r="A393" i="12"/>
  <c r="A452" i="12"/>
  <c r="A510" i="12"/>
  <c r="I192" i="7" l="1"/>
  <c r="H311" i="1"/>
  <c r="G193" i="7"/>
  <c r="A313" i="12"/>
  <c r="B195" i="7"/>
  <c r="E194" i="7"/>
  <c r="H194" i="7"/>
  <c r="F194" i="7"/>
  <c r="H34" i="11"/>
  <c r="L34" i="11" s="1"/>
  <c r="I49" i="4"/>
  <c r="I50" i="4" s="1"/>
  <c r="I51" i="4" s="1"/>
  <c r="I52" i="4" s="1"/>
  <c r="I53" i="4" s="1"/>
  <c r="I54" i="4" s="1"/>
  <c r="I55" i="4" s="1"/>
  <c r="I56" i="4" s="1"/>
  <c r="I57" i="4" s="1"/>
  <c r="I58" i="4" s="1"/>
  <c r="I59" i="4" s="1"/>
  <c r="I60" i="4" s="1"/>
  <c r="I61" i="4" s="1"/>
  <c r="J53" i="7"/>
  <c r="G224" i="7"/>
  <c r="I224" i="7" s="1"/>
  <c r="B260" i="7"/>
  <c r="A374" i="12"/>
  <c r="E225" i="7"/>
  <c r="G225" i="7" s="1"/>
  <c r="J225" i="7" s="1"/>
  <c r="B226" i="7"/>
  <c r="A342" i="12"/>
  <c r="H225" i="7"/>
  <c r="G146" i="7"/>
  <c r="J145" i="7"/>
  <c r="I145" i="7"/>
  <c r="B148" i="7"/>
  <c r="A270" i="12"/>
  <c r="B270" i="12" s="1"/>
  <c r="E147" i="7"/>
  <c r="H147" i="7"/>
  <c r="F147" i="7"/>
  <c r="F168" i="7"/>
  <c r="A289" i="12"/>
  <c r="E168" i="7"/>
  <c r="H168" i="7"/>
  <c r="G167" i="7"/>
  <c r="I166" i="7"/>
  <c r="J166" i="7"/>
  <c r="A186" i="12"/>
  <c r="G129" i="7"/>
  <c r="I129" i="7" s="1"/>
  <c r="H130" i="7"/>
  <c r="F130" i="7"/>
  <c r="E130" i="7"/>
  <c r="A255" i="12"/>
  <c r="I128" i="7"/>
  <c r="J128" i="7"/>
  <c r="H119" i="6"/>
  <c r="I119" i="6"/>
  <c r="G41" i="5"/>
  <c r="G42" i="5" s="1"/>
  <c r="G43" i="5" s="1"/>
  <c r="G44" i="5" s="1"/>
  <c r="G45" i="5" s="1"/>
  <c r="G46" i="5" s="1"/>
  <c r="G47" i="5" s="1"/>
  <c r="G48" i="5" s="1"/>
  <c r="G49" i="5" s="1"/>
  <c r="G50" i="5" s="1"/>
  <c r="G51" i="5" s="1"/>
  <c r="G52" i="5" s="1"/>
  <c r="G53" i="5" s="1"/>
  <c r="E118" i="6"/>
  <c r="F118" i="6" s="1"/>
  <c r="J409" i="7"/>
  <c r="I409" i="7"/>
  <c r="E347" i="7"/>
  <c r="F347" i="7"/>
  <c r="H347" i="7"/>
  <c r="G346" i="7"/>
  <c r="G310" i="7"/>
  <c r="E311" i="7"/>
  <c r="F311" i="7"/>
  <c r="H311" i="7"/>
  <c r="G34" i="7"/>
  <c r="J34" i="7" s="1"/>
  <c r="G107" i="7"/>
  <c r="J107" i="7" s="1"/>
  <c r="H108" i="7"/>
  <c r="E108" i="7"/>
  <c r="F108" i="7"/>
  <c r="J106" i="7"/>
  <c r="I106" i="7"/>
  <c r="H35" i="7"/>
  <c r="E35" i="7"/>
  <c r="F35" i="7"/>
  <c r="I33" i="7"/>
  <c r="J33" i="7"/>
  <c r="B54" i="12"/>
  <c r="C54" i="12"/>
  <c r="A81" i="23"/>
  <c r="I83" i="6"/>
  <c r="I344" i="7"/>
  <c r="F84" i="6"/>
  <c r="A86" i="6"/>
  <c r="A55" i="12"/>
  <c r="D85" i="6"/>
  <c r="G85" i="6"/>
  <c r="E85" i="6"/>
  <c r="J279" i="7"/>
  <c r="J54" i="7"/>
  <c r="J252" i="7"/>
  <c r="J308" i="7"/>
  <c r="J410" i="7"/>
  <c r="J331" i="7"/>
  <c r="J332" i="7" s="1"/>
  <c r="I331" i="7"/>
  <c r="I332" i="7" s="1"/>
  <c r="G55" i="7"/>
  <c r="I55" i="7" s="1"/>
  <c r="G309" i="7"/>
  <c r="J309" i="7" s="1"/>
  <c r="G253" i="7"/>
  <c r="I253" i="7" s="1"/>
  <c r="G280" i="7"/>
  <c r="J280" i="7" s="1"/>
  <c r="G411" i="7"/>
  <c r="J411" i="7" s="1"/>
  <c r="H254" i="7"/>
  <c r="F254" i="7"/>
  <c r="E254" i="7"/>
  <c r="H348" i="7"/>
  <c r="F348" i="7"/>
  <c r="E348" i="7"/>
  <c r="H412" i="7"/>
  <c r="F412" i="7"/>
  <c r="E412" i="7"/>
  <c r="J364" i="7"/>
  <c r="I364" i="7"/>
  <c r="H281" i="7"/>
  <c r="F281" i="7"/>
  <c r="E281" i="7"/>
  <c r="H56" i="7"/>
  <c r="F56" i="7"/>
  <c r="E56" i="7"/>
  <c r="J223" i="7"/>
  <c r="I223" i="7"/>
  <c r="G345" i="7"/>
  <c r="G365" i="7"/>
  <c r="J105" i="7"/>
  <c r="I105" i="7"/>
  <c r="A511" i="12"/>
  <c r="A394" i="12"/>
  <c r="A455" i="12"/>
  <c r="E366" i="7"/>
  <c r="A396" i="12"/>
  <c r="D533" i="1" l="1"/>
  <c r="D541" i="1" s="1"/>
  <c r="D542" i="1" s="1"/>
  <c r="D544" i="1" s="1"/>
  <c r="H354" i="1"/>
  <c r="J193" i="7"/>
  <c r="I193" i="7"/>
  <c r="G194" i="7"/>
  <c r="A314" i="12"/>
  <c r="B196" i="7"/>
  <c r="H195" i="7"/>
  <c r="E195" i="7"/>
  <c r="F195" i="7"/>
  <c r="E28" i="22"/>
  <c r="I99" i="9"/>
  <c r="E26" i="22"/>
  <c r="J224" i="7"/>
  <c r="B261" i="7"/>
  <c r="A375" i="12"/>
  <c r="B227" i="7"/>
  <c r="A343" i="12"/>
  <c r="E226" i="7"/>
  <c r="F226" i="7"/>
  <c r="H226" i="7"/>
  <c r="B149" i="7"/>
  <c r="A271" i="12"/>
  <c r="B271" i="12" s="1"/>
  <c r="F148" i="7"/>
  <c r="E148" i="7"/>
  <c r="H148" i="7"/>
  <c r="G147" i="7"/>
  <c r="J146" i="7"/>
  <c r="I146" i="7"/>
  <c r="I34" i="7"/>
  <c r="J129" i="7"/>
  <c r="I167" i="7"/>
  <c r="J167" i="7"/>
  <c r="F169" i="7"/>
  <c r="A290" i="12"/>
  <c r="E169" i="7"/>
  <c r="H169" i="7"/>
  <c r="G168" i="7"/>
  <c r="A187" i="12"/>
  <c r="G130" i="7"/>
  <c r="E131" i="7"/>
  <c r="A256" i="12"/>
  <c r="H131" i="7"/>
  <c r="H132" i="7" s="1"/>
  <c r="F131" i="7"/>
  <c r="F132" i="7" s="1"/>
  <c r="I100" i="9"/>
  <c r="I118" i="6"/>
  <c r="H118" i="6"/>
  <c r="G347" i="7"/>
  <c r="I347" i="7" s="1"/>
  <c r="I346" i="7"/>
  <c r="J346" i="7"/>
  <c r="G311" i="7"/>
  <c r="F312" i="7"/>
  <c r="H312" i="7"/>
  <c r="E312" i="7"/>
  <c r="I310" i="7"/>
  <c r="J310" i="7"/>
  <c r="A397" i="12"/>
  <c r="E283" i="7"/>
  <c r="F283" i="7"/>
  <c r="H283" i="7"/>
  <c r="I107" i="7"/>
  <c r="F109" i="7"/>
  <c r="H109" i="7"/>
  <c r="E109" i="7"/>
  <c r="A236" i="12"/>
  <c r="G108" i="7"/>
  <c r="E36" i="7"/>
  <c r="F36" i="7"/>
  <c r="H36" i="7"/>
  <c r="G35" i="7"/>
  <c r="B55" i="12"/>
  <c r="C55" i="12"/>
  <c r="I280" i="7"/>
  <c r="A82" i="23"/>
  <c r="I411" i="7"/>
  <c r="F85" i="6"/>
  <c r="I85" i="6" s="1"/>
  <c r="I309" i="7"/>
  <c r="A87" i="6"/>
  <c r="D86" i="6"/>
  <c r="E86" i="6"/>
  <c r="A56" i="12"/>
  <c r="G86" i="6"/>
  <c r="H84" i="6"/>
  <c r="I84" i="6"/>
  <c r="J55" i="7"/>
  <c r="I225" i="7"/>
  <c r="J253" i="7"/>
  <c r="G56" i="7"/>
  <c r="I56" i="7" s="1"/>
  <c r="G348" i="7"/>
  <c r="I348" i="7" s="1"/>
  <c r="G412" i="7"/>
  <c r="I412" i="7" s="1"/>
  <c r="H349" i="7"/>
  <c r="F349" i="7"/>
  <c r="E349" i="7"/>
  <c r="H255" i="7"/>
  <c r="F255" i="7"/>
  <c r="E255" i="7"/>
  <c r="J365" i="7"/>
  <c r="J366" i="7" s="1"/>
  <c r="I365" i="7"/>
  <c r="I366" i="7" s="1"/>
  <c r="G366" i="7"/>
  <c r="G281" i="7"/>
  <c r="I345" i="7"/>
  <c r="J345" i="7"/>
  <c r="G254" i="7"/>
  <c r="H282" i="7"/>
  <c r="F282" i="7"/>
  <c r="E282" i="7"/>
  <c r="H57" i="7"/>
  <c r="F57" i="7"/>
  <c r="E57" i="7"/>
  <c r="H413" i="7"/>
  <c r="H414" i="7" s="1"/>
  <c r="F413" i="7"/>
  <c r="E413" i="7"/>
  <c r="E414" i="7" s="1"/>
  <c r="A512" i="12"/>
  <c r="A395" i="12"/>
  <c r="A456" i="12"/>
  <c r="A315" i="12" l="1"/>
  <c r="B197" i="7"/>
  <c r="H196" i="7"/>
  <c r="F196" i="7"/>
  <c r="E196" i="7"/>
  <c r="J194" i="7"/>
  <c r="I194" i="7"/>
  <c r="G195" i="7"/>
  <c r="I203" i="6"/>
  <c r="Q202" i="6" s="1"/>
  <c r="I114" i="9"/>
  <c r="E15" i="22"/>
  <c r="B262" i="7"/>
  <c r="A376" i="12"/>
  <c r="B228" i="7"/>
  <c r="A344" i="12"/>
  <c r="G226" i="7"/>
  <c r="I226" i="7" s="1"/>
  <c r="E227" i="7"/>
  <c r="F227" i="7"/>
  <c r="H227" i="7"/>
  <c r="G148" i="7"/>
  <c r="J147" i="7"/>
  <c r="I147" i="7"/>
  <c r="B150" i="7"/>
  <c r="A272" i="12"/>
  <c r="B272" i="12" s="1"/>
  <c r="E149" i="7"/>
  <c r="H149" i="7"/>
  <c r="F149" i="7"/>
  <c r="F256" i="7"/>
  <c r="H256" i="7"/>
  <c r="E256" i="7"/>
  <c r="J168" i="7"/>
  <c r="I168" i="7"/>
  <c r="E170" i="7"/>
  <c r="A291" i="12"/>
  <c r="F170" i="7"/>
  <c r="H170" i="7"/>
  <c r="G169" i="7"/>
  <c r="A188" i="12"/>
  <c r="G312" i="7"/>
  <c r="J312" i="7" s="1"/>
  <c r="J130" i="7"/>
  <c r="I130" i="7"/>
  <c r="E132" i="7"/>
  <c r="G131" i="7"/>
  <c r="H38" i="11"/>
  <c r="L38" i="11" s="1"/>
  <c r="E14" i="22"/>
  <c r="E120" i="6"/>
  <c r="J347" i="7"/>
  <c r="H313" i="7"/>
  <c r="F313" i="7"/>
  <c r="E313" i="7"/>
  <c r="J311" i="7"/>
  <c r="I311" i="7"/>
  <c r="G283" i="7"/>
  <c r="A398" i="12"/>
  <c r="F284" i="7"/>
  <c r="H284" i="7"/>
  <c r="E284" i="7"/>
  <c r="G109" i="7"/>
  <c r="I109" i="7" s="1"/>
  <c r="I108" i="7"/>
  <c r="J108" i="7"/>
  <c r="G36" i="7"/>
  <c r="J36" i="7" s="1"/>
  <c r="H110" i="7"/>
  <c r="A237" i="12"/>
  <c r="F110" i="7"/>
  <c r="E110" i="7"/>
  <c r="J35" i="7"/>
  <c r="I35" i="7"/>
  <c r="E37" i="7"/>
  <c r="F37" i="7"/>
  <c r="H37" i="7"/>
  <c r="B56" i="12"/>
  <c r="C56" i="12"/>
  <c r="A83" i="23"/>
  <c r="H85" i="6"/>
  <c r="F86" i="6"/>
  <c r="A88" i="6"/>
  <c r="E87" i="6"/>
  <c r="G87" i="6"/>
  <c r="D87" i="6"/>
  <c r="A57" i="12"/>
  <c r="J412" i="7"/>
  <c r="J348" i="7"/>
  <c r="J56" i="7"/>
  <c r="G349" i="7"/>
  <c r="I349" i="7" s="1"/>
  <c r="G282" i="7"/>
  <c r="J282" i="7" s="1"/>
  <c r="G57" i="7"/>
  <c r="J57" i="7" s="1"/>
  <c r="H350" i="7"/>
  <c r="F350" i="7"/>
  <c r="E350" i="7"/>
  <c r="G413" i="7"/>
  <c r="J254" i="7"/>
  <c r="I254" i="7"/>
  <c r="I281" i="7"/>
  <c r="J281" i="7"/>
  <c r="H58" i="7"/>
  <c r="F58" i="7"/>
  <c r="E58" i="7"/>
  <c r="G255" i="7"/>
  <c r="A457" i="12"/>
  <c r="F414" i="7"/>
  <c r="A316" i="12" l="1"/>
  <c r="B198" i="7"/>
  <c r="H197" i="7"/>
  <c r="F197" i="7"/>
  <c r="E197" i="7"/>
  <c r="I195" i="7"/>
  <c r="J195" i="7"/>
  <c r="G196" i="7"/>
  <c r="B263" i="7"/>
  <c r="A377" i="12"/>
  <c r="B229" i="7"/>
  <c r="A345" i="12"/>
  <c r="J226" i="7"/>
  <c r="E228" i="7"/>
  <c r="F228" i="7"/>
  <c r="H228" i="7"/>
  <c r="G227" i="7"/>
  <c r="B151" i="7"/>
  <c r="A273" i="12"/>
  <c r="B273" i="12" s="1"/>
  <c r="H150" i="7"/>
  <c r="F150" i="7"/>
  <c r="E150" i="7"/>
  <c r="G149" i="7"/>
  <c r="I148" i="7"/>
  <c r="J148" i="7"/>
  <c r="I312" i="7"/>
  <c r="G256" i="7"/>
  <c r="F257" i="7"/>
  <c r="H257" i="7"/>
  <c r="E257" i="7"/>
  <c r="J169" i="7"/>
  <c r="I169" i="7"/>
  <c r="G170" i="7"/>
  <c r="H171" i="7"/>
  <c r="F171" i="7"/>
  <c r="E171" i="7"/>
  <c r="A292" i="12"/>
  <c r="A189" i="12"/>
  <c r="B189" i="12" s="1"/>
  <c r="I131" i="7"/>
  <c r="I132" i="7" s="1"/>
  <c r="J131" i="7"/>
  <c r="J132" i="7" s="1"/>
  <c r="G132" i="7"/>
  <c r="F120" i="6"/>
  <c r="E140" i="6"/>
  <c r="G313" i="7"/>
  <c r="H314" i="7"/>
  <c r="F314" i="7"/>
  <c r="E314" i="7"/>
  <c r="H285" i="7"/>
  <c r="E285" i="7"/>
  <c r="F285" i="7"/>
  <c r="G284" i="7"/>
  <c r="I283" i="7"/>
  <c r="J283" i="7"/>
  <c r="H38" i="7"/>
  <c r="F38" i="7"/>
  <c r="E38" i="7"/>
  <c r="I36" i="7"/>
  <c r="J109" i="7"/>
  <c r="G110" i="7"/>
  <c r="F111" i="7"/>
  <c r="A238" i="12"/>
  <c r="E111" i="7"/>
  <c r="H111" i="7"/>
  <c r="G37" i="7"/>
  <c r="B57" i="12"/>
  <c r="C57" i="12"/>
  <c r="A84" i="23"/>
  <c r="F87" i="6"/>
  <c r="H87" i="6" s="1"/>
  <c r="A89" i="6"/>
  <c r="G88" i="6"/>
  <c r="A58" i="12"/>
  <c r="E88" i="6"/>
  <c r="D88" i="6"/>
  <c r="H86" i="6"/>
  <c r="I86" i="6"/>
  <c r="I282" i="7"/>
  <c r="I57" i="7"/>
  <c r="J349" i="7"/>
  <c r="G350" i="7"/>
  <c r="I350" i="7" s="1"/>
  <c r="G58" i="7"/>
  <c r="I58" i="7" s="1"/>
  <c r="B182" i="12"/>
  <c r="H39" i="7"/>
  <c r="F39" i="7"/>
  <c r="E39" i="7"/>
  <c r="I255" i="7"/>
  <c r="J255" i="7"/>
  <c r="F59" i="7"/>
  <c r="H59" i="7"/>
  <c r="E59" i="7"/>
  <c r="H351" i="7"/>
  <c r="H352" i="7" s="1"/>
  <c r="F351" i="7"/>
  <c r="F352" i="7" s="1"/>
  <c r="E351" i="7"/>
  <c r="E352" i="7" s="1"/>
  <c r="J413" i="7"/>
  <c r="J414" i="7" s="1"/>
  <c r="I413" i="7"/>
  <c r="I414" i="7" s="1"/>
  <c r="G414" i="7"/>
  <c r="B177" i="12"/>
  <c r="B179" i="12"/>
  <c r="B188" i="12"/>
  <c r="B176" i="12"/>
  <c r="B178" i="12"/>
  <c r="B181" i="12"/>
  <c r="B175" i="12"/>
  <c r="B187" i="12"/>
  <c r="A458" i="12"/>
  <c r="B183" i="12"/>
  <c r="B185" i="12"/>
  <c r="B180" i="12"/>
  <c r="B186" i="12"/>
  <c r="A317" i="12" l="1"/>
  <c r="B199" i="7"/>
  <c r="H198" i="7"/>
  <c r="E198" i="7"/>
  <c r="F198" i="7"/>
  <c r="G197" i="7"/>
  <c r="J196" i="7"/>
  <c r="I196" i="7"/>
  <c r="B264" i="7"/>
  <c r="A378" i="12"/>
  <c r="B230" i="7"/>
  <c r="A346" i="12"/>
  <c r="G228" i="7"/>
  <c r="J227" i="7"/>
  <c r="I227" i="7"/>
  <c r="H229" i="7"/>
  <c r="E229" i="7"/>
  <c r="F229" i="7"/>
  <c r="J149" i="7"/>
  <c r="I149" i="7"/>
  <c r="G150" i="7"/>
  <c r="B152" i="7"/>
  <c r="A274" i="12"/>
  <c r="B274" i="12" s="1"/>
  <c r="E151" i="7"/>
  <c r="H151" i="7"/>
  <c r="F151" i="7"/>
  <c r="E258" i="7"/>
  <c r="H258" i="7"/>
  <c r="F258" i="7"/>
  <c r="G257" i="7"/>
  <c r="I256" i="7"/>
  <c r="J256" i="7"/>
  <c r="F287" i="7"/>
  <c r="H287" i="7"/>
  <c r="A400" i="12"/>
  <c r="E287" i="7"/>
  <c r="A293" i="12"/>
  <c r="F172" i="7"/>
  <c r="H172" i="7"/>
  <c r="E172" i="7"/>
  <c r="G171" i="7"/>
  <c r="I170" i="7"/>
  <c r="J170" i="7"/>
  <c r="A190" i="12"/>
  <c r="B190" i="12" s="1"/>
  <c r="H40" i="7"/>
  <c r="G38" i="7"/>
  <c r="J38" i="7" s="1"/>
  <c r="F140" i="6"/>
  <c r="I120" i="6"/>
  <c r="I140" i="6" s="1"/>
  <c r="H120" i="6"/>
  <c r="H140" i="6" s="1"/>
  <c r="G285" i="7"/>
  <c r="I285" i="7" s="1"/>
  <c r="H315" i="7"/>
  <c r="H316" i="7" s="1"/>
  <c r="E315" i="7"/>
  <c r="F315" i="7"/>
  <c r="F316" i="7" s="1"/>
  <c r="G314" i="7"/>
  <c r="I313" i="7"/>
  <c r="J313" i="7"/>
  <c r="J284" i="7"/>
  <c r="I284" i="7"/>
  <c r="E286" i="7"/>
  <c r="F286" i="7"/>
  <c r="H286" i="7"/>
  <c r="A399" i="12"/>
  <c r="F40" i="7"/>
  <c r="J58" i="7"/>
  <c r="H112" i="7"/>
  <c r="H113" i="7" s="1"/>
  <c r="A239" i="12"/>
  <c r="E112" i="7"/>
  <c r="F112" i="7"/>
  <c r="F113" i="7" s="1"/>
  <c r="G111" i="7"/>
  <c r="I110" i="7"/>
  <c r="J110" i="7"/>
  <c r="I37" i="7"/>
  <c r="J37" i="7"/>
  <c r="B58" i="12"/>
  <c r="C58" i="12"/>
  <c r="A85" i="23"/>
  <c r="I87" i="6"/>
  <c r="F88" i="6"/>
  <c r="A90" i="6"/>
  <c r="E89" i="6"/>
  <c r="D89" i="6"/>
  <c r="A59" i="12"/>
  <c r="G89" i="6"/>
  <c r="G59" i="7"/>
  <c r="I59" i="7" s="1"/>
  <c r="J350" i="7"/>
  <c r="H60" i="7"/>
  <c r="F60" i="7"/>
  <c r="E60" i="7"/>
  <c r="G351" i="7"/>
  <c r="G39" i="7"/>
  <c r="E40" i="7"/>
  <c r="G198" i="7" l="1"/>
  <c r="J197" i="7"/>
  <c r="I197" i="7"/>
  <c r="A318" i="12"/>
  <c r="B200" i="7"/>
  <c r="E199" i="7"/>
  <c r="H199" i="7"/>
  <c r="F199" i="7"/>
  <c r="B265" i="7"/>
  <c r="A379" i="12"/>
  <c r="B231" i="7"/>
  <c r="A347" i="12"/>
  <c r="G229" i="7"/>
  <c r="I229" i="7" s="1"/>
  <c r="H230" i="7"/>
  <c r="E230" i="7"/>
  <c r="F230" i="7"/>
  <c r="I228" i="7"/>
  <c r="J228" i="7"/>
  <c r="G151" i="7"/>
  <c r="I150" i="7"/>
  <c r="J150" i="7"/>
  <c r="A275" i="12"/>
  <c r="B275" i="12" s="1"/>
  <c r="E152" i="7"/>
  <c r="E153" i="7" s="1"/>
  <c r="F152" i="7"/>
  <c r="F153" i="7" s="1"/>
  <c r="H152" i="7"/>
  <c r="H153" i="7" s="1"/>
  <c r="J38" i="11"/>
  <c r="M38" i="11" s="1"/>
  <c r="G258" i="7"/>
  <c r="J257" i="7"/>
  <c r="I257" i="7"/>
  <c r="E259" i="7"/>
  <c r="H259" i="7"/>
  <c r="F259" i="7"/>
  <c r="G287" i="7"/>
  <c r="A401" i="12"/>
  <c r="E288" i="7"/>
  <c r="F288" i="7"/>
  <c r="H288" i="7"/>
  <c r="G172" i="7"/>
  <c r="I172" i="7" s="1"/>
  <c r="J171" i="7"/>
  <c r="I171" i="7"/>
  <c r="A294" i="12"/>
  <c r="E173" i="7"/>
  <c r="H173" i="7"/>
  <c r="F173" i="7"/>
  <c r="A191" i="12"/>
  <c r="B191" i="12" s="1"/>
  <c r="I38" i="7"/>
  <c r="J285" i="7"/>
  <c r="E316" i="7"/>
  <c r="G315" i="7"/>
  <c r="J314" i="7"/>
  <c r="I314" i="7"/>
  <c r="G286" i="7"/>
  <c r="J286" i="7" s="1"/>
  <c r="G112" i="7"/>
  <c r="G113" i="7" s="1"/>
  <c r="E113" i="7"/>
  <c r="J111" i="7"/>
  <c r="I111" i="7"/>
  <c r="B59" i="12"/>
  <c r="C59" i="12"/>
  <c r="A86" i="23"/>
  <c r="F89" i="6"/>
  <c r="H89" i="6" s="1"/>
  <c r="J59" i="7"/>
  <c r="A91" i="6"/>
  <c r="D90" i="6"/>
  <c r="A60" i="12"/>
  <c r="E90" i="6"/>
  <c r="G90" i="6"/>
  <c r="I88" i="6"/>
  <c r="H88" i="6"/>
  <c r="G60" i="7"/>
  <c r="I60" i="7" s="1"/>
  <c r="I39" i="7"/>
  <c r="J39" i="7"/>
  <c r="J40" i="7" s="1"/>
  <c r="G40" i="7"/>
  <c r="J351" i="7"/>
  <c r="J352" i="7" s="1"/>
  <c r="I351" i="7"/>
  <c r="I352" i="7" s="1"/>
  <c r="G352" i="7"/>
  <c r="B184" i="12"/>
  <c r="G199" i="7" l="1"/>
  <c r="A319" i="12"/>
  <c r="B201" i="7"/>
  <c r="E200" i="7"/>
  <c r="F200" i="7"/>
  <c r="H200" i="7"/>
  <c r="J198" i="7"/>
  <c r="I198" i="7"/>
  <c r="J229" i="7"/>
  <c r="B266" i="7"/>
  <c r="A380" i="12"/>
  <c r="B232" i="7"/>
  <c r="A348" i="12"/>
  <c r="G230" i="7"/>
  <c r="J230" i="7" s="1"/>
  <c r="E231" i="7"/>
  <c r="F231" i="7"/>
  <c r="H231" i="7"/>
  <c r="G152" i="7"/>
  <c r="J151" i="7"/>
  <c r="I151" i="7"/>
  <c r="G259" i="7"/>
  <c r="F260" i="7"/>
  <c r="E260" i="7"/>
  <c r="H260" i="7"/>
  <c r="I258" i="7"/>
  <c r="J258" i="7"/>
  <c r="G288" i="7"/>
  <c r="F61" i="7"/>
  <c r="A402" i="12"/>
  <c r="E289" i="7"/>
  <c r="H289" i="7"/>
  <c r="F289" i="7"/>
  <c r="I287" i="7"/>
  <c r="J287" i="7"/>
  <c r="J172" i="7"/>
  <c r="G173" i="7"/>
  <c r="A295" i="12"/>
  <c r="E174" i="7"/>
  <c r="H174" i="7"/>
  <c r="F174" i="7"/>
  <c r="H61" i="7"/>
  <c r="E61" i="7"/>
  <c r="F62" i="7"/>
  <c r="A192" i="12"/>
  <c r="B192" i="12" s="1"/>
  <c r="I40" i="7"/>
  <c r="J315" i="7"/>
  <c r="J316" i="7" s="1"/>
  <c r="G316" i="7"/>
  <c r="I315" i="7"/>
  <c r="I316" i="7" s="1"/>
  <c r="I286" i="7"/>
  <c r="J60" i="7"/>
  <c r="J112" i="7"/>
  <c r="J113" i="7" s="1"/>
  <c r="I112" i="7"/>
  <c r="I113" i="7" s="1"/>
  <c r="B60" i="12"/>
  <c r="C60" i="12"/>
  <c r="A87" i="23"/>
  <c r="I89" i="6"/>
  <c r="F90" i="6"/>
  <c r="A92" i="6"/>
  <c r="E91" i="6"/>
  <c r="G91" i="6"/>
  <c r="A61" i="12"/>
  <c r="D91" i="6"/>
  <c r="E62" i="7"/>
  <c r="I230" i="7" l="1"/>
  <c r="A320" i="12"/>
  <c r="B202" i="7"/>
  <c r="F201" i="7"/>
  <c r="H201" i="7"/>
  <c r="E201" i="7"/>
  <c r="J199" i="7"/>
  <c r="I199" i="7"/>
  <c r="G200" i="7"/>
  <c r="A381" i="12"/>
  <c r="B233" i="7"/>
  <c r="A349" i="12"/>
  <c r="G231" i="7"/>
  <c r="F232" i="7"/>
  <c r="H232" i="7"/>
  <c r="E232" i="7"/>
  <c r="J152" i="7"/>
  <c r="J153" i="7" s="1"/>
  <c r="I152" i="7"/>
  <c r="I153" i="7" s="1"/>
  <c r="G153" i="7"/>
  <c r="G61" i="7"/>
  <c r="I61" i="7" s="1"/>
  <c r="E261" i="7"/>
  <c r="F261" i="7"/>
  <c r="H261" i="7"/>
  <c r="G260" i="7"/>
  <c r="J259" i="7"/>
  <c r="I259" i="7"/>
  <c r="G289" i="7"/>
  <c r="J288" i="7"/>
  <c r="I288" i="7"/>
  <c r="A403" i="12"/>
  <c r="E290" i="7"/>
  <c r="H290" i="7"/>
  <c r="F290" i="7"/>
  <c r="H62" i="7"/>
  <c r="G174" i="7"/>
  <c r="H175" i="7"/>
  <c r="E175" i="7"/>
  <c r="A296" i="12"/>
  <c r="F175" i="7"/>
  <c r="J173" i="7"/>
  <c r="I173" i="7"/>
  <c r="E63" i="7"/>
  <c r="A193" i="12"/>
  <c r="B193" i="12" s="1"/>
  <c r="B61" i="12"/>
  <c r="C61" i="12"/>
  <c r="A88" i="23"/>
  <c r="F91" i="6"/>
  <c r="H91" i="6" s="1"/>
  <c r="A93" i="6"/>
  <c r="G92" i="6"/>
  <c r="D92" i="6"/>
  <c r="A62" i="12"/>
  <c r="E92" i="6"/>
  <c r="I90" i="6"/>
  <c r="H90" i="6"/>
  <c r="G62" i="7"/>
  <c r="A321" i="12" l="1"/>
  <c r="B203" i="7"/>
  <c r="H202" i="7"/>
  <c r="E202" i="7"/>
  <c r="F202" i="7"/>
  <c r="G201" i="7"/>
  <c r="I200" i="7"/>
  <c r="J200" i="7"/>
  <c r="B234" i="7"/>
  <c r="A350" i="12"/>
  <c r="G232" i="7"/>
  <c r="F233" i="7"/>
  <c r="E233" i="7"/>
  <c r="H233" i="7"/>
  <c r="I231" i="7"/>
  <c r="J231" i="7"/>
  <c r="G290" i="7"/>
  <c r="I290" i="7" s="1"/>
  <c r="J61" i="7"/>
  <c r="G261" i="7"/>
  <c r="J260" i="7"/>
  <c r="I260" i="7"/>
  <c r="F262" i="7"/>
  <c r="E262" i="7"/>
  <c r="H262" i="7"/>
  <c r="I289" i="7"/>
  <c r="J289" i="7"/>
  <c r="A404" i="12"/>
  <c r="H291" i="7"/>
  <c r="E291" i="7"/>
  <c r="F291" i="7"/>
  <c r="G175" i="7"/>
  <c r="I175" i="7" s="1"/>
  <c r="H63" i="7"/>
  <c r="H176" i="7"/>
  <c r="F176" i="7"/>
  <c r="A297" i="12"/>
  <c r="E176" i="7"/>
  <c r="J174" i="7"/>
  <c r="I174" i="7"/>
  <c r="F63" i="7"/>
  <c r="G63" i="7" s="1"/>
  <c r="J63" i="7" s="1"/>
  <c r="A194" i="12"/>
  <c r="B194" i="12" s="1"/>
  <c r="B62" i="12"/>
  <c r="C62" i="12"/>
  <c r="A89" i="23"/>
  <c r="I91" i="6"/>
  <c r="A94" i="6"/>
  <c r="A63" i="12"/>
  <c r="D93" i="6"/>
  <c r="E93" i="6"/>
  <c r="G93" i="6"/>
  <c r="F92" i="6"/>
  <c r="H64" i="7"/>
  <c r="I62" i="7"/>
  <c r="J62" i="7"/>
  <c r="G202" i="7" l="1"/>
  <c r="I202" i="7" s="1"/>
  <c r="J201" i="7"/>
  <c r="I201" i="7"/>
  <c r="A322" i="12"/>
  <c r="B204" i="7"/>
  <c r="F203" i="7"/>
  <c r="H203" i="7"/>
  <c r="E203" i="7"/>
  <c r="B235" i="7"/>
  <c r="A351" i="12"/>
  <c r="F234" i="7"/>
  <c r="E234" i="7"/>
  <c r="H234" i="7"/>
  <c r="G233" i="7"/>
  <c r="J232" i="7"/>
  <c r="I232" i="7"/>
  <c r="J290" i="7"/>
  <c r="G262" i="7"/>
  <c r="I262" i="7" s="1"/>
  <c r="F263" i="7"/>
  <c r="H263" i="7"/>
  <c r="E263" i="7"/>
  <c r="I261" i="7"/>
  <c r="J261" i="7"/>
  <c r="G291" i="7"/>
  <c r="E292" i="7"/>
  <c r="F292" i="7"/>
  <c r="H292" i="7"/>
  <c r="A405" i="12"/>
  <c r="J175" i="7"/>
  <c r="G176" i="7"/>
  <c r="F177" i="7"/>
  <c r="E177" i="7"/>
  <c r="A298" i="12"/>
  <c r="H177" i="7"/>
  <c r="E64" i="7"/>
  <c r="F64" i="7"/>
  <c r="A195" i="12"/>
  <c r="B195" i="12" s="1"/>
  <c r="B63" i="12"/>
  <c r="C63" i="12"/>
  <c r="A90" i="23"/>
  <c r="F93" i="6"/>
  <c r="H93" i="6" s="1"/>
  <c r="H92" i="6"/>
  <c r="I92" i="6"/>
  <c r="A95" i="6"/>
  <c r="G94" i="6"/>
  <c r="E94" i="6"/>
  <c r="A64" i="12"/>
  <c r="C64" i="12" s="1"/>
  <c r="D94" i="6"/>
  <c r="I63" i="7"/>
  <c r="J202" i="7" l="1"/>
  <c r="A323" i="12"/>
  <c r="B205" i="7"/>
  <c r="E204" i="7"/>
  <c r="F204" i="7"/>
  <c r="H204" i="7"/>
  <c r="G203" i="7"/>
  <c r="B236" i="7"/>
  <c r="A352" i="12"/>
  <c r="G234" i="7"/>
  <c r="J233" i="7"/>
  <c r="I233" i="7"/>
  <c r="E235" i="7"/>
  <c r="H235" i="7"/>
  <c r="F235" i="7"/>
  <c r="J262" i="7"/>
  <c r="G292" i="7"/>
  <c r="I292" i="7" s="1"/>
  <c r="G263" i="7"/>
  <c r="H264" i="7"/>
  <c r="E264" i="7"/>
  <c r="F264" i="7"/>
  <c r="J291" i="7"/>
  <c r="I291" i="7"/>
  <c r="A406" i="12"/>
  <c r="H293" i="7"/>
  <c r="H294" i="7" s="1"/>
  <c r="F293" i="7"/>
  <c r="F294" i="7" s="1"/>
  <c r="E293" i="7"/>
  <c r="G177" i="7"/>
  <c r="F178" i="7"/>
  <c r="F179" i="7" s="1"/>
  <c r="A299" i="12"/>
  <c r="E178" i="7"/>
  <c r="E179" i="7" s="1"/>
  <c r="H178" i="7"/>
  <c r="H179" i="7" s="1"/>
  <c r="G64" i="7"/>
  <c r="I64" i="7" s="1"/>
  <c r="I176" i="7"/>
  <c r="J176" i="7"/>
  <c r="E65" i="7"/>
  <c r="F65" i="7"/>
  <c r="H65" i="7"/>
  <c r="A196" i="12"/>
  <c r="B196" i="12" s="1"/>
  <c r="A91" i="23"/>
  <c r="I93" i="6"/>
  <c r="F94" i="6"/>
  <c r="A96" i="6"/>
  <c r="E95" i="6"/>
  <c r="A65" i="12"/>
  <c r="C65" i="12" s="1"/>
  <c r="D95" i="6"/>
  <c r="G95" i="6"/>
  <c r="B64" i="12"/>
  <c r="H66" i="7"/>
  <c r="F66" i="7"/>
  <c r="G204" i="7" l="1"/>
  <c r="J204" i="7" s="1"/>
  <c r="A324" i="12"/>
  <c r="B206" i="7"/>
  <c r="E205" i="7"/>
  <c r="F205" i="7"/>
  <c r="H205" i="7"/>
  <c r="I203" i="7"/>
  <c r="J203" i="7"/>
  <c r="B237" i="7"/>
  <c r="A353" i="12"/>
  <c r="F236" i="7"/>
  <c r="E236" i="7"/>
  <c r="H236" i="7"/>
  <c r="G235" i="7"/>
  <c r="J234" i="7"/>
  <c r="I234" i="7"/>
  <c r="J292" i="7"/>
  <c r="G264" i="7"/>
  <c r="J263" i="7"/>
  <c r="I263" i="7"/>
  <c r="E265" i="7"/>
  <c r="F265" i="7"/>
  <c r="H265" i="7"/>
  <c r="G293" i="7"/>
  <c r="E294" i="7"/>
  <c r="J64" i="7"/>
  <c r="G65" i="7"/>
  <c r="J65" i="7" s="1"/>
  <c r="G178" i="7"/>
  <c r="G179" i="7" s="1"/>
  <c r="I177" i="7"/>
  <c r="J177" i="7"/>
  <c r="E66" i="7"/>
  <c r="G66" i="7" s="1"/>
  <c r="A197" i="12"/>
  <c r="B197" i="12" s="1"/>
  <c r="A92" i="23"/>
  <c r="B65" i="12"/>
  <c r="A97" i="6"/>
  <c r="D96" i="6"/>
  <c r="A66" i="12"/>
  <c r="C66" i="12" s="1"/>
  <c r="G96" i="6"/>
  <c r="E96" i="6"/>
  <c r="F95" i="6"/>
  <c r="I94" i="6"/>
  <c r="H94" i="6"/>
  <c r="H67" i="7"/>
  <c r="I204" i="7" l="1"/>
  <c r="G205" i="7"/>
  <c r="A325" i="12"/>
  <c r="B207" i="7"/>
  <c r="H206" i="7"/>
  <c r="F206" i="7"/>
  <c r="E206" i="7"/>
  <c r="B351" i="12"/>
  <c r="B374" i="12"/>
  <c r="B377" i="12"/>
  <c r="B364" i="12"/>
  <c r="B363" i="12"/>
  <c r="B367" i="12"/>
  <c r="A354" i="12"/>
  <c r="B341" i="12"/>
  <c r="B315" i="12"/>
  <c r="B316" i="12"/>
  <c r="B313" i="12"/>
  <c r="B304" i="12"/>
  <c r="B322" i="12"/>
  <c r="B325" i="12"/>
  <c r="B321" i="12"/>
  <c r="B308" i="12"/>
  <c r="B317" i="12"/>
  <c r="B323" i="12"/>
  <c r="B312" i="12"/>
  <c r="B320" i="12"/>
  <c r="B324" i="12"/>
  <c r="B305" i="12"/>
  <c r="B309" i="12"/>
  <c r="B318" i="12"/>
  <c r="B310" i="12"/>
  <c r="B307" i="12"/>
  <c r="B303" i="12"/>
  <c r="B302" i="12"/>
  <c r="B311" i="12"/>
  <c r="B306" i="12"/>
  <c r="B314" i="12"/>
  <c r="B319" i="12"/>
  <c r="G236" i="7"/>
  <c r="I235" i="7"/>
  <c r="J235" i="7"/>
  <c r="B331" i="12"/>
  <c r="B336" i="12"/>
  <c r="B338" i="12"/>
  <c r="H237" i="7"/>
  <c r="H238" i="7" s="1"/>
  <c r="F237" i="7"/>
  <c r="F238" i="7" s="1"/>
  <c r="E237" i="7"/>
  <c r="E67" i="7"/>
  <c r="E266" i="7"/>
  <c r="E267" i="7" s="1"/>
  <c r="F266" i="7"/>
  <c r="F267" i="7" s="1"/>
  <c r="H266" i="7"/>
  <c r="H267" i="7" s="1"/>
  <c r="I264" i="7"/>
  <c r="J264" i="7"/>
  <c r="G265" i="7"/>
  <c r="F67" i="7"/>
  <c r="J293" i="7"/>
  <c r="J294" i="7" s="1"/>
  <c r="I293" i="7"/>
  <c r="I294" i="7" s="1"/>
  <c r="G294" i="7"/>
  <c r="I65" i="7"/>
  <c r="I178" i="7"/>
  <c r="I179" i="7" s="1"/>
  <c r="J178" i="7"/>
  <c r="J179" i="7" s="1"/>
  <c r="F68" i="7"/>
  <c r="A198" i="12"/>
  <c r="B198" i="12" s="1"/>
  <c r="A93" i="23"/>
  <c r="F96" i="6"/>
  <c r="A98" i="6"/>
  <c r="D97" i="6"/>
  <c r="A67" i="12"/>
  <c r="C67" i="12" s="1"/>
  <c r="G97" i="6"/>
  <c r="E97" i="6"/>
  <c r="H95" i="6"/>
  <c r="I95" i="6"/>
  <c r="B66" i="12"/>
  <c r="I66" i="7"/>
  <c r="J66" i="7"/>
  <c r="E68" i="7"/>
  <c r="A326" i="12" l="1"/>
  <c r="B326" i="12" s="1"/>
  <c r="H207" i="7"/>
  <c r="H208" i="7" s="1"/>
  <c r="E207" i="7"/>
  <c r="F207" i="7"/>
  <c r="F208" i="7" s="1"/>
  <c r="B346" i="12"/>
  <c r="B423" i="12"/>
  <c r="B426" i="12"/>
  <c r="B424" i="12"/>
  <c r="B348" i="12"/>
  <c r="B417" i="12"/>
  <c r="B418" i="12"/>
  <c r="B419" i="12"/>
  <c r="B420" i="12"/>
  <c r="B347" i="12"/>
  <c r="B350" i="12"/>
  <c r="B380" i="12"/>
  <c r="B421" i="12"/>
  <c r="B425" i="12"/>
  <c r="B422" i="12"/>
  <c r="B344" i="12"/>
  <c r="B339" i="12"/>
  <c r="B335" i="12"/>
  <c r="B330" i="12"/>
  <c r="B354" i="12"/>
  <c r="B368" i="12"/>
  <c r="B370" i="12"/>
  <c r="B372" i="12"/>
  <c r="B376" i="12"/>
  <c r="B352" i="12"/>
  <c r="G206" i="7"/>
  <c r="B337" i="12"/>
  <c r="B332" i="12"/>
  <c r="B343" i="12"/>
  <c r="B373" i="12"/>
  <c r="B365" i="12"/>
  <c r="B371" i="12"/>
  <c r="B369" i="12"/>
  <c r="B375" i="12"/>
  <c r="B349" i="12"/>
  <c r="B353" i="12"/>
  <c r="B340" i="12"/>
  <c r="B334" i="12"/>
  <c r="B333" i="12"/>
  <c r="B342" i="12"/>
  <c r="B366" i="12"/>
  <c r="B378" i="12"/>
  <c r="B381" i="12"/>
  <c r="B379" i="12"/>
  <c r="B345" i="12"/>
  <c r="I205" i="7"/>
  <c r="J205" i="7"/>
  <c r="E238" i="7"/>
  <c r="G237" i="7"/>
  <c r="I236" i="7"/>
  <c r="J236" i="7"/>
  <c r="G67" i="7"/>
  <c r="I67" i="7" s="1"/>
  <c r="G266" i="7"/>
  <c r="G267" i="7" s="1"/>
  <c r="I265" i="7"/>
  <c r="J265" i="7"/>
  <c r="H68" i="7"/>
  <c r="H69" i="7"/>
  <c r="A199" i="12"/>
  <c r="B199" i="12" s="1"/>
  <c r="A94" i="23"/>
  <c r="F97" i="6"/>
  <c r="H97" i="6" s="1"/>
  <c r="H96" i="6"/>
  <c r="I96" i="6"/>
  <c r="B67" i="12"/>
  <c r="A99" i="6"/>
  <c r="D98" i="6"/>
  <c r="G98" i="6"/>
  <c r="E98" i="6"/>
  <c r="A68" i="12"/>
  <c r="C68" i="12" s="1"/>
  <c r="G68" i="7"/>
  <c r="E208" i="7" l="1"/>
  <c r="G207" i="7"/>
  <c r="I206" i="7"/>
  <c r="J206" i="7"/>
  <c r="J67" i="7"/>
  <c r="B129" i="12"/>
  <c r="B122" i="12"/>
  <c r="B134" i="12"/>
  <c r="B118" i="12"/>
  <c r="B136" i="12"/>
  <c r="B113" i="12"/>
  <c r="B126" i="12"/>
  <c r="B116" i="12"/>
  <c r="B115" i="12"/>
  <c r="B135" i="12"/>
  <c r="B114" i="12"/>
  <c r="B123" i="12"/>
  <c r="B125" i="12"/>
  <c r="B111" i="12"/>
  <c r="B117" i="12"/>
  <c r="B131" i="12"/>
  <c r="B112" i="12"/>
  <c r="B132" i="12"/>
  <c r="B121" i="12"/>
  <c r="B124" i="12"/>
  <c r="B130" i="12"/>
  <c r="B128" i="12"/>
  <c r="B133" i="12"/>
  <c r="B120" i="12"/>
  <c r="B109" i="12"/>
  <c r="B137" i="12"/>
  <c r="B119" i="12"/>
  <c r="B110" i="12"/>
  <c r="B127" i="12"/>
  <c r="J237" i="7"/>
  <c r="J238" i="7" s="1"/>
  <c r="I237" i="7"/>
  <c r="I238" i="7" s="1"/>
  <c r="G238" i="7"/>
  <c r="J266" i="7"/>
  <c r="J267" i="7" s="1"/>
  <c r="I266" i="7"/>
  <c r="I267" i="7" s="1"/>
  <c r="A200" i="12"/>
  <c r="B200" i="12" s="1"/>
  <c r="E69" i="7"/>
  <c r="F69" i="7"/>
  <c r="A201" i="12"/>
  <c r="B201" i="12" s="1"/>
  <c r="B139" i="12"/>
  <c r="B99" i="12"/>
  <c r="B100" i="12"/>
  <c r="B101" i="12"/>
  <c r="B102" i="12"/>
  <c r="B98" i="12"/>
  <c r="B103" i="12"/>
  <c r="B104" i="12"/>
  <c r="B105" i="12"/>
  <c r="A95" i="23"/>
  <c r="I97" i="6"/>
  <c r="F98" i="6"/>
  <c r="B68" i="12"/>
  <c r="A69" i="12"/>
  <c r="C69" i="12" s="1"/>
  <c r="E99" i="6"/>
  <c r="E100" i="6" s="1"/>
  <c r="G99" i="6"/>
  <c r="G100" i="6" s="1"/>
  <c r="D99" i="6"/>
  <c r="B89" i="12"/>
  <c r="B92" i="12"/>
  <c r="B90" i="12"/>
  <c r="B91" i="12"/>
  <c r="B93" i="12"/>
  <c r="B84" i="12"/>
  <c r="B94" i="12"/>
  <c r="B95" i="12"/>
  <c r="B73" i="12"/>
  <c r="B76" i="12"/>
  <c r="B81" i="12"/>
  <c r="B72" i="12"/>
  <c r="B83" i="12"/>
  <c r="B78" i="12"/>
  <c r="B77" i="12"/>
  <c r="B86" i="12"/>
  <c r="B82" i="12"/>
  <c r="B74" i="12"/>
  <c r="B71" i="12"/>
  <c r="B75" i="12"/>
  <c r="B96" i="12"/>
  <c r="B85" i="12"/>
  <c r="B80" i="12"/>
  <c r="B88" i="12"/>
  <c r="B87" i="12"/>
  <c r="B97" i="12"/>
  <c r="B108" i="12"/>
  <c r="B107" i="12"/>
  <c r="I68" i="7"/>
  <c r="J68" i="7"/>
  <c r="H70" i="7"/>
  <c r="F70" i="7"/>
  <c r="I207" i="7" l="1"/>
  <c r="I208" i="7" s="1"/>
  <c r="J207" i="7"/>
  <c r="J208" i="7" s="1"/>
  <c r="G208" i="7"/>
  <c r="G69" i="7"/>
  <c r="J69" i="7" s="1"/>
  <c r="E70" i="7"/>
  <c r="G70" i="7" s="1"/>
  <c r="H87" i="7"/>
  <c r="F71" i="7"/>
  <c r="H71" i="7"/>
  <c r="E71" i="7"/>
  <c r="A203" i="12"/>
  <c r="B203" i="12" s="1"/>
  <c r="A96" i="23"/>
  <c r="B69" i="12"/>
  <c r="D100" i="6"/>
  <c r="F99" i="6"/>
  <c r="I98" i="6"/>
  <c r="H98" i="6"/>
  <c r="F72" i="7"/>
  <c r="H72" i="7"/>
  <c r="E72" i="7"/>
  <c r="I69" i="7" l="1"/>
  <c r="A202" i="12"/>
  <c r="E87" i="7"/>
  <c r="F87" i="7"/>
  <c r="E88" i="7"/>
  <c r="F88" i="7"/>
  <c r="H88" i="7"/>
  <c r="G71" i="7"/>
  <c r="A204" i="12"/>
  <c r="B204" i="12" s="1"/>
  <c r="E73" i="7"/>
  <c r="F73" i="7"/>
  <c r="H73" i="7"/>
  <c r="A97" i="23"/>
  <c r="F100" i="6"/>
  <c r="I99" i="6"/>
  <c r="I198" i="6" s="1"/>
  <c r="I199" i="6" s="1"/>
  <c r="H99" i="6"/>
  <c r="H100" i="6" s="1"/>
  <c r="J70" i="7"/>
  <c r="I70" i="7"/>
  <c r="G72" i="7"/>
  <c r="B202" i="12" l="1"/>
  <c r="G87" i="7"/>
  <c r="I87" i="7" s="1"/>
  <c r="G88" i="7"/>
  <c r="I88" i="7" s="1"/>
  <c r="F89" i="7"/>
  <c r="H89" i="7"/>
  <c r="B500" i="12"/>
  <c r="E89" i="7"/>
  <c r="I71" i="7"/>
  <c r="J71" i="7"/>
  <c r="G73" i="7"/>
  <c r="A205" i="12"/>
  <c r="E74" i="7"/>
  <c r="F74" i="7"/>
  <c r="H74" i="7"/>
  <c r="A98" i="23"/>
  <c r="I100" i="6"/>
  <c r="I72" i="7"/>
  <c r="J72" i="7"/>
  <c r="B205" i="12" l="1"/>
  <c r="J87" i="7"/>
  <c r="B402" i="12"/>
  <c r="B403" i="12"/>
  <c r="B404" i="12"/>
  <c r="B401" i="12"/>
  <c r="B400" i="12"/>
  <c r="B358" i="12"/>
  <c r="B359" i="12"/>
  <c r="B357" i="12"/>
  <c r="B360" i="12"/>
  <c r="B361" i="12"/>
  <c r="B362" i="12"/>
  <c r="G74" i="7"/>
  <c r="J74" i="7" s="1"/>
  <c r="J88" i="7"/>
  <c r="G89" i="7"/>
  <c r="B279" i="12"/>
  <c r="B278" i="12"/>
  <c r="B251" i="12"/>
  <c r="B287" i="12"/>
  <c r="B252" i="12"/>
  <c r="A206" i="12"/>
  <c r="E75" i="7"/>
  <c r="H75" i="7"/>
  <c r="F75" i="7"/>
  <c r="I73" i="7"/>
  <c r="J73" i="7"/>
  <c r="A99" i="23"/>
  <c r="B206" i="12" l="1"/>
  <c r="I74" i="7"/>
  <c r="J89" i="7"/>
  <c r="I89" i="7"/>
  <c r="G75" i="7"/>
  <c r="A207" i="12"/>
  <c r="H76" i="7"/>
  <c r="E76" i="7"/>
  <c r="F76" i="7"/>
  <c r="A100" i="23"/>
  <c r="F77" i="7"/>
  <c r="H77" i="7"/>
  <c r="E77" i="7"/>
  <c r="B207" i="12" l="1"/>
  <c r="G76" i="7"/>
  <c r="A208" i="12"/>
  <c r="I75" i="7"/>
  <c r="J75" i="7"/>
  <c r="A101" i="23"/>
  <c r="G77" i="7"/>
  <c r="B208" i="12" l="1"/>
  <c r="A209" i="12"/>
  <c r="E78" i="7"/>
  <c r="F78" i="7"/>
  <c r="H78" i="7"/>
  <c r="I76" i="7"/>
  <c r="J76" i="7"/>
  <c r="A102" i="23"/>
  <c r="J77" i="7"/>
  <c r="I77" i="7"/>
  <c r="B209" i="12" l="1"/>
  <c r="G78" i="7"/>
  <c r="A210" i="12"/>
  <c r="H79" i="7"/>
  <c r="E79" i="7"/>
  <c r="F79" i="7"/>
  <c r="A103" i="23"/>
  <c r="B210" i="12" l="1"/>
  <c r="A211" i="12"/>
  <c r="B211" i="12" s="1"/>
  <c r="E80" i="7"/>
  <c r="F80" i="7"/>
  <c r="H80" i="7"/>
  <c r="G79" i="7"/>
  <c r="J78" i="7"/>
  <c r="I78" i="7"/>
  <c r="A104" i="23"/>
  <c r="G80" i="7" l="1"/>
  <c r="J79" i="7"/>
  <c r="I79" i="7"/>
  <c r="A212" i="12"/>
  <c r="B212" i="12" s="1"/>
  <c r="E81" i="7"/>
  <c r="F81" i="7"/>
  <c r="H81" i="7"/>
  <c r="A105" i="23"/>
  <c r="G81" i="7" l="1"/>
  <c r="A213" i="12"/>
  <c r="B213" i="12" s="1"/>
  <c r="H82" i="7"/>
  <c r="F82" i="7"/>
  <c r="E82" i="7"/>
  <c r="I80" i="7"/>
  <c r="J80" i="7"/>
  <c r="A106" i="23"/>
  <c r="D27" i="6"/>
  <c r="D31" i="6"/>
  <c r="D38" i="6"/>
  <c r="D28" i="6"/>
  <c r="D34" i="6"/>
  <c r="D36" i="6"/>
  <c r="D25" i="6"/>
  <c r="D33" i="6"/>
  <c r="D39" i="6"/>
  <c r="D30" i="6"/>
  <c r="D35" i="6"/>
  <c r="D41" i="6"/>
  <c r="D37" i="6"/>
  <c r="D32" i="6"/>
  <c r="D29" i="6"/>
  <c r="E38" i="6"/>
  <c r="E34" i="6"/>
  <c r="E39" i="6"/>
  <c r="E30" i="6"/>
  <c r="E25" i="6"/>
  <c r="E33" i="6"/>
  <c r="E32" i="6"/>
  <c r="E27" i="6"/>
  <c r="E41" i="6"/>
  <c r="E31" i="6"/>
  <c r="E29" i="6"/>
  <c r="E37" i="6"/>
  <c r="E36" i="6"/>
  <c r="E28" i="6"/>
  <c r="E35" i="6"/>
  <c r="G32" i="6"/>
  <c r="G30" i="6"/>
  <c r="G38" i="6"/>
  <c r="G25" i="6"/>
  <c r="G31" i="6"/>
  <c r="G33" i="6"/>
  <c r="G41" i="6"/>
  <c r="G39" i="6"/>
  <c r="G35" i="6"/>
  <c r="G29" i="6"/>
  <c r="G34" i="6"/>
  <c r="G28" i="6"/>
  <c r="G36" i="6"/>
  <c r="G37" i="6"/>
  <c r="G27" i="6"/>
  <c r="A214" i="12" l="1"/>
  <c r="B214" i="12" s="1"/>
  <c r="H83" i="7"/>
  <c r="E83" i="7"/>
  <c r="F83" i="7"/>
  <c r="G82" i="7"/>
  <c r="J81" i="7"/>
  <c r="I81" i="7"/>
  <c r="F35" i="6"/>
  <c r="H35" i="6" s="1"/>
  <c r="F36" i="6"/>
  <c r="I36" i="6" s="1"/>
  <c r="F37" i="6"/>
  <c r="H37" i="6" s="1"/>
  <c r="A107" i="23"/>
  <c r="F39" i="6"/>
  <c r="H39" i="6" s="1"/>
  <c r="F38" i="6"/>
  <c r="H38" i="6" s="1"/>
  <c r="F32" i="6"/>
  <c r="I32" i="6" s="1"/>
  <c r="F30" i="6"/>
  <c r="F25" i="6"/>
  <c r="F31" i="6"/>
  <c r="F41" i="6"/>
  <c r="F34" i="6"/>
  <c r="F27" i="6"/>
  <c r="F29" i="6"/>
  <c r="F33" i="6"/>
  <c r="F28" i="6"/>
  <c r="G83" i="7" l="1"/>
  <c r="I82" i="7"/>
  <c r="J82" i="7"/>
  <c r="A215" i="12"/>
  <c r="B215" i="12" s="1"/>
  <c r="F84" i="7"/>
  <c r="H84" i="7"/>
  <c r="E84" i="7"/>
  <c r="I35" i="6"/>
  <c r="H36" i="6"/>
  <c r="I37" i="6"/>
  <c r="H32" i="6"/>
  <c r="A108" i="23"/>
  <c r="I39" i="6"/>
  <c r="I38" i="6"/>
  <c r="I28" i="6"/>
  <c r="H28" i="6"/>
  <c r="H41" i="6"/>
  <c r="I41" i="6"/>
  <c r="H31" i="6"/>
  <c r="I31" i="6"/>
  <c r="H30" i="6"/>
  <c r="I30" i="6"/>
  <c r="I33" i="6"/>
  <c r="H33" i="6"/>
  <c r="I27" i="6"/>
  <c r="H27" i="6"/>
  <c r="I29" i="6"/>
  <c r="H29" i="6"/>
  <c r="H34" i="6"/>
  <c r="I34" i="6"/>
  <c r="H25" i="6"/>
  <c r="I25" i="6"/>
  <c r="G84" i="7" l="1"/>
  <c r="J84" i="7" s="1"/>
  <c r="A216" i="12"/>
  <c r="B216" i="12" s="1"/>
  <c r="H85" i="7"/>
  <c r="E85" i="7"/>
  <c r="F85" i="7"/>
  <c r="I83" i="7"/>
  <c r="J83" i="7"/>
  <c r="A109" i="23"/>
  <c r="I84" i="7" l="1"/>
  <c r="A217" i="12"/>
  <c r="B217" i="12" s="1"/>
  <c r="F86" i="7"/>
  <c r="H86" i="7"/>
  <c r="E86" i="7"/>
  <c r="G85" i="7"/>
  <c r="A110" i="23"/>
  <c r="J85" i="7" l="1"/>
  <c r="I85" i="7"/>
  <c r="A218" i="12"/>
  <c r="B218" i="12" s="1"/>
  <c r="G86" i="7"/>
  <c r="A111" i="23"/>
  <c r="I86" i="7" l="1"/>
  <c r="J86" i="7"/>
  <c r="A219" i="12"/>
  <c r="E90" i="7"/>
  <c r="B454" i="12"/>
  <c r="B456" i="12"/>
  <c r="B493" i="12"/>
  <c r="B397" i="12"/>
  <c r="B437" i="12"/>
  <c r="B444" i="12"/>
  <c r="B539" i="12"/>
  <c r="B514" i="12"/>
  <c r="F90" i="7"/>
  <c r="B478" i="12"/>
  <c r="B243" i="12"/>
  <c r="B481" i="12"/>
  <c r="B470" i="12"/>
  <c r="B225" i="12"/>
  <c r="B440" i="12"/>
  <c r="B409" i="12"/>
  <c r="B385" i="12"/>
  <c r="B524" i="12"/>
  <c r="B457" i="12"/>
  <c r="B443" i="12"/>
  <c r="B296" i="12"/>
  <c r="B288" i="12"/>
  <c r="B388" i="12"/>
  <c r="B277" i="12"/>
  <c r="B238" i="12"/>
  <c r="B465" i="12"/>
  <c r="B389" i="12"/>
  <c r="B509" i="12"/>
  <c r="B231" i="12"/>
  <c r="B233" i="12"/>
  <c r="B487" i="12"/>
  <c r="B429" i="12"/>
  <c r="B508" i="12"/>
  <c r="B485" i="12"/>
  <c r="B436" i="12"/>
  <c r="B247" i="12"/>
  <c r="B541" i="12"/>
  <c r="B494" i="12"/>
  <c r="B499" i="12"/>
  <c r="H90" i="7"/>
  <c r="B532" i="12"/>
  <c r="B543" i="12"/>
  <c r="B515" i="12"/>
  <c r="B392" i="12"/>
  <c r="B284" i="12"/>
  <c r="B408" i="12"/>
  <c r="B234" i="12"/>
  <c r="B328" i="12"/>
  <c r="B430" i="12"/>
  <c r="B535" i="12"/>
  <c r="B546" i="12"/>
  <c r="B531" i="12"/>
  <c r="B474" i="12"/>
  <c r="B253" i="12"/>
  <c r="B235" i="12"/>
  <c r="B544" i="12"/>
  <c r="B522" i="12"/>
  <c r="B492" i="12"/>
  <c r="B383" i="12"/>
  <c r="B255" i="12"/>
  <c r="B451" i="12"/>
  <c r="B439" i="12"/>
  <c r="B446" i="12"/>
  <c r="B283" i="12"/>
  <c r="B386" i="12"/>
  <c r="B525" i="12"/>
  <c r="B223" i="12"/>
  <c r="B227" i="12"/>
  <c r="B301" i="12"/>
  <c r="B527" i="12"/>
  <c r="B387" i="12"/>
  <c r="B232" i="12"/>
  <c r="B236" i="12"/>
  <c r="B434" i="12"/>
  <c r="B406" i="12"/>
  <c r="B506" i="12"/>
  <c r="B463" i="12"/>
  <c r="B517" i="12"/>
  <c r="B480" i="12"/>
  <c r="B519" i="12"/>
  <c r="B518" i="12"/>
  <c r="B482" i="12"/>
  <c r="B246" i="12"/>
  <c r="B291" i="12"/>
  <c r="B458" i="12"/>
  <c r="B442" i="12"/>
  <c r="B520" i="12"/>
  <c r="B411" i="12"/>
  <c r="B462" i="12"/>
  <c r="B393" i="12"/>
  <c r="B297" i="12"/>
  <c r="B226" i="12"/>
  <c r="B469" i="12"/>
  <c r="B521" i="12"/>
  <c r="B413" i="12"/>
  <c r="B526" i="12"/>
  <c r="B237" i="12"/>
  <c r="B285" i="12"/>
  <c r="B414" i="12"/>
  <c r="B537" i="12"/>
  <c r="B547" i="12"/>
  <c r="B466" i="12"/>
  <c r="B475" i="12"/>
  <c r="B229" i="12"/>
  <c r="B280" i="12"/>
  <c r="B448" i="12"/>
  <c r="B505" i="12"/>
  <c r="B530" i="12"/>
  <c r="B242" i="12"/>
  <c r="B550" i="12"/>
  <c r="B432" i="12"/>
  <c r="B510" i="12"/>
  <c r="B488" i="12"/>
  <c r="B497" i="12"/>
  <c r="B329" i="12"/>
  <c r="B534" i="12"/>
  <c r="B447" i="12"/>
  <c r="B460" i="12"/>
  <c r="B405" i="12"/>
  <c r="B542" i="12"/>
  <c r="B256" i="12"/>
  <c r="B254" i="12"/>
  <c r="B295" i="12"/>
  <c r="B540" i="12"/>
  <c r="B498" i="12"/>
  <c r="B228" i="12"/>
  <c r="B491" i="12"/>
  <c r="B290" i="12"/>
  <c r="B416" i="12"/>
  <c r="B250" i="12"/>
  <c r="A112" i="23"/>
  <c r="J350" i="1" l="1"/>
  <c r="B231" i="8"/>
  <c r="A220" i="12"/>
  <c r="B26" i="8" s="1"/>
  <c r="E91" i="7"/>
  <c r="D26" i="6" s="1"/>
  <c r="D46" i="6" s="1"/>
  <c r="D178" i="6" s="1"/>
  <c r="H91" i="7"/>
  <c r="F91" i="7"/>
  <c r="B504" i="12"/>
  <c r="B410" i="12"/>
  <c r="B438" i="12"/>
  <c r="B545" i="12"/>
  <c r="B282" i="12"/>
  <c r="B433" i="12"/>
  <c r="B511" i="12"/>
  <c r="B415" i="12"/>
  <c r="B536" i="12"/>
  <c r="B501" i="12"/>
  <c r="B445" i="12"/>
  <c r="B464" i="12"/>
  <c r="B384" i="12"/>
  <c r="B289" i="12"/>
  <c r="B394" i="12"/>
  <c r="B502" i="12"/>
  <c r="B224" i="12"/>
  <c r="B258" i="12"/>
  <c r="B452" i="12"/>
  <c r="B298" i="12"/>
  <c r="B467" i="12"/>
  <c r="B390" i="12"/>
  <c r="B398" i="12"/>
  <c r="B516" i="12"/>
  <c r="B479" i="12"/>
  <c r="B455" i="12"/>
  <c r="B483" i="12"/>
  <c r="B431" i="12"/>
  <c r="B356" i="12"/>
  <c r="B449" i="12"/>
  <c r="B286" i="12"/>
  <c r="B489" i="12"/>
  <c r="B281" i="12"/>
  <c r="B249" i="12"/>
  <c r="B529" i="12"/>
  <c r="B245" i="12"/>
  <c r="B399" i="12"/>
  <c r="B486" i="12"/>
  <c r="B239" i="12"/>
  <c r="B477" i="12"/>
  <c r="B503" i="12"/>
  <c r="B528" i="12"/>
  <c r="B450" i="12"/>
  <c r="B293" i="12"/>
  <c r="B292" i="12"/>
  <c r="B412" i="12"/>
  <c r="B428" i="12"/>
  <c r="B294" i="12"/>
  <c r="B219" i="12"/>
  <c r="B490" i="12"/>
  <c r="B496" i="12"/>
  <c r="B299" i="12"/>
  <c r="B533" i="12"/>
  <c r="B391" i="12"/>
  <c r="B472" i="12"/>
  <c r="B453" i="12"/>
  <c r="B548" i="12"/>
  <c r="B435" i="12"/>
  <c r="B241" i="12"/>
  <c r="B507" i="12"/>
  <c r="B248" i="12"/>
  <c r="B461" i="12"/>
  <c r="B222" i="12"/>
  <c r="B476" i="12"/>
  <c r="B395" i="12"/>
  <c r="B230" i="12"/>
  <c r="B468" i="12"/>
  <c r="B512" i="12"/>
  <c r="B244" i="12"/>
  <c r="B396" i="12"/>
  <c r="B473" i="12"/>
  <c r="G90" i="7"/>
  <c r="A113" i="23"/>
  <c r="I14" i="11"/>
  <c r="J14" i="11" s="1"/>
  <c r="M14" i="11" s="1"/>
  <c r="K921" i="8" l="1"/>
  <c r="B478" i="8"/>
  <c r="K925" i="8"/>
  <c r="B159" i="8"/>
  <c r="K955" i="8"/>
  <c r="B530" i="8"/>
  <c r="K938" i="8"/>
  <c r="K808" i="8"/>
  <c r="B504" i="8"/>
  <c r="K863" i="8"/>
  <c r="B619" i="8"/>
  <c r="K668" i="8"/>
  <c r="K885" i="8"/>
  <c r="B306" i="8"/>
  <c r="B824" i="8"/>
  <c r="K555" i="8"/>
  <c r="K507" i="8"/>
  <c r="K408" i="8"/>
  <c r="B654" i="8"/>
  <c r="K937" i="8"/>
  <c r="K762" i="8"/>
  <c r="B460" i="8"/>
  <c r="K372" i="8"/>
  <c r="B743" i="8"/>
  <c r="B968" i="8"/>
  <c r="B683" i="8"/>
  <c r="K613" i="8"/>
  <c r="B406" i="8"/>
  <c r="B106" i="8"/>
  <c r="K533" i="8"/>
  <c r="B663" i="8"/>
  <c r="K854" i="8"/>
  <c r="B631" i="8"/>
  <c r="K994" i="8"/>
  <c r="K706" i="8"/>
  <c r="K897" i="8"/>
  <c r="K472" i="8"/>
  <c r="B78" i="8"/>
  <c r="K829" i="8"/>
  <c r="K565" i="8"/>
  <c r="B789" i="8"/>
  <c r="B988" i="8"/>
  <c r="B486" i="8"/>
  <c r="B279" i="8"/>
  <c r="B766" i="8"/>
  <c r="B914" i="8"/>
  <c r="B656" i="8"/>
  <c r="K681" i="8"/>
  <c r="B863" i="8"/>
  <c r="K446" i="8"/>
  <c r="B784" i="8"/>
  <c r="K553" i="8"/>
  <c r="B50" i="8"/>
  <c r="K538" i="8"/>
  <c r="B732" i="8"/>
  <c r="B418" i="8"/>
  <c r="K256" i="8"/>
  <c r="B839" i="8"/>
  <c r="B421" i="8"/>
  <c r="B136" i="8"/>
  <c r="K957" i="8"/>
  <c r="K886" i="8"/>
  <c r="K34" i="8"/>
  <c r="B229" i="8"/>
  <c r="K568" i="8"/>
  <c r="B439" i="8"/>
  <c r="B203" i="8"/>
  <c r="B268" i="8"/>
  <c r="K612" i="8"/>
  <c r="K877" i="8"/>
  <c r="B533" i="8"/>
  <c r="B502" i="8"/>
  <c r="B875" i="8"/>
  <c r="B295" i="8"/>
  <c r="B704" i="8"/>
  <c r="B23" i="8"/>
  <c r="K671" i="8"/>
  <c r="K939" i="8"/>
  <c r="K971" i="8"/>
  <c r="B53" i="8"/>
  <c r="B494" i="8"/>
  <c r="B403" i="8"/>
  <c r="K656" i="8"/>
  <c r="K573" i="8"/>
  <c r="K736" i="8"/>
  <c r="K767" i="8"/>
  <c r="B66" i="8"/>
  <c r="B883" i="8"/>
  <c r="B20" i="8"/>
  <c r="K905" i="8"/>
  <c r="B267" i="8"/>
  <c r="B353" i="8"/>
  <c r="B477" i="8"/>
  <c r="B107" i="8"/>
  <c r="K840" i="8"/>
  <c r="B801" i="8"/>
  <c r="B984" i="8"/>
  <c r="K774" i="8"/>
  <c r="B804" i="8"/>
  <c r="B609" i="8"/>
  <c r="K821" i="8"/>
  <c r="K909" i="8"/>
  <c r="K581" i="8"/>
  <c r="K670" i="8"/>
  <c r="K705" i="8"/>
  <c r="B499" i="8"/>
  <c r="B513" i="8"/>
  <c r="B664" i="8"/>
  <c r="K720" i="8"/>
  <c r="B323" i="8"/>
  <c r="K907" i="8"/>
  <c r="B404" i="8"/>
  <c r="B982" i="8"/>
  <c r="B288" i="8"/>
  <c r="B59" i="8"/>
  <c r="B236" i="8"/>
  <c r="K867" i="8"/>
  <c r="K878" i="8"/>
  <c r="K834" i="8"/>
  <c r="K463" i="8"/>
  <c r="B458" i="8"/>
  <c r="B976" i="8"/>
  <c r="B677" i="8"/>
  <c r="K556" i="8"/>
  <c r="K835" i="8"/>
  <c r="B523" i="8"/>
  <c r="B939" i="8"/>
  <c r="B100" i="8"/>
  <c r="K560" i="8"/>
  <c r="B215" i="8"/>
  <c r="B681" i="8"/>
  <c r="B456" i="8"/>
  <c r="K883" i="8"/>
  <c r="B705" i="8"/>
  <c r="B103" i="8"/>
  <c r="K557" i="8"/>
  <c r="B825" i="8"/>
  <c r="K521" i="8"/>
  <c r="K966" i="8"/>
  <c r="K817" i="8"/>
  <c r="B264" i="8"/>
  <c r="B953" i="8"/>
  <c r="B651" i="8"/>
  <c r="K442" i="8"/>
  <c r="K794" i="8"/>
  <c r="K622" i="8"/>
  <c r="B469" i="8"/>
  <c r="B692" i="8"/>
  <c r="B679" i="8"/>
  <c r="B139" i="8"/>
  <c r="B464" i="8"/>
  <c r="K667" i="8"/>
  <c r="B206" i="8"/>
  <c r="K934" i="8"/>
  <c r="B435" i="8"/>
  <c r="K11" i="8"/>
  <c r="B213" i="8"/>
  <c r="B635" i="8"/>
  <c r="B82" i="8"/>
  <c r="B794" i="8"/>
  <c r="B358" i="8"/>
  <c r="B168" i="8"/>
  <c r="B274" i="8"/>
  <c r="B101" i="8"/>
  <c r="K607" i="8"/>
  <c r="K633" i="8"/>
  <c r="B722" i="8"/>
  <c r="K915" i="8"/>
  <c r="K475" i="8"/>
  <c r="B375" i="8"/>
  <c r="K530" i="8"/>
  <c r="K806" i="8"/>
  <c r="B676" i="8"/>
  <c r="B922" i="8"/>
  <c r="B54" i="8"/>
  <c r="K914" i="8"/>
  <c r="B880" i="8"/>
  <c r="B569" i="8"/>
  <c r="B937" i="8"/>
  <c r="B444" i="8"/>
  <c r="B919" i="8"/>
  <c r="K327" i="8"/>
  <c r="B841" i="8"/>
  <c r="K602" i="8"/>
  <c r="K838" i="8"/>
  <c r="K738" i="8"/>
  <c r="K804" i="8"/>
  <c r="B838" i="8"/>
  <c r="B271" i="8"/>
  <c r="K783" i="8"/>
  <c r="B244" i="8"/>
  <c r="B528" i="8"/>
  <c r="B813" i="8"/>
  <c r="B112" i="8"/>
  <c r="K792" i="8"/>
  <c r="B770" i="8"/>
  <c r="B87" i="8"/>
  <c r="B791" i="8"/>
  <c r="B470" i="8"/>
  <c r="B568" i="8"/>
  <c r="B797" i="8"/>
  <c r="K489" i="8"/>
  <c r="B941" i="8"/>
  <c r="B243" i="8"/>
  <c r="K693" i="8"/>
  <c r="B728" i="8"/>
  <c r="K778" i="8"/>
  <c r="B250" i="8"/>
  <c r="K651" i="8"/>
  <c r="B761" i="8"/>
  <c r="K890" i="8"/>
  <c r="K467" i="8"/>
  <c r="B272" i="8"/>
  <c r="B302" i="8"/>
  <c r="K536" i="8"/>
  <c r="K682" i="8"/>
  <c r="K617" i="8"/>
  <c r="K10" i="8"/>
  <c r="K516" i="8"/>
  <c r="K495" i="8"/>
  <c r="B556" i="8"/>
  <c r="K980" i="8"/>
  <c r="B588" i="8"/>
  <c r="K666" i="8"/>
  <c r="B415" i="8"/>
  <c r="B561" i="8"/>
  <c r="B989" i="8"/>
  <c r="B623" i="8"/>
  <c r="B72" i="8"/>
  <c r="K719" i="8"/>
  <c r="B836" i="8"/>
  <c r="K328" i="8"/>
  <c r="B946" i="8"/>
  <c r="B580" i="8"/>
  <c r="B300" i="8"/>
  <c r="B97" i="8"/>
  <c r="B392" i="8"/>
  <c r="K727" i="8"/>
  <c r="B779" i="8"/>
  <c r="K935" i="8"/>
  <c r="B938" i="8"/>
  <c r="K664" i="8"/>
  <c r="B665" i="8"/>
  <c r="K842" i="8"/>
  <c r="B861" i="8"/>
  <c r="K44" i="8"/>
  <c r="K18" i="8"/>
  <c r="B12" i="8"/>
  <c r="K24" i="8"/>
  <c r="B16" i="8"/>
  <c r="K14" i="8"/>
  <c r="B31" i="8"/>
  <c r="B36" i="8"/>
  <c r="K19" i="8"/>
  <c r="K26" i="8"/>
  <c r="B18" i="8"/>
  <c r="K27" i="8"/>
  <c r="K16" i="8"/>
  <c r="B17" i="8"/>
  <c r="K22" i="8"/>
  <c r="K28" i="8"/>
  <c r="B28" i="8"/>
  <c r="K46" i="8"/>
  <c r="B47" i="8"/>
  <c r="B48" i="8"/>
  <c r="B310" i="8"/>
  <c r="B671" i="8"/>
  <c r="B519" i="8"/>
  <c r="B713" i="8"/>
  <c r="K453" i="8"/>
  <c r="K590" i="8"/>
  <c r="B831" i="8"/>
  <c r="B285" i="8"/>
  <c r="K859" i="8"/>
  <c r="B185" i="8"/>
  <c r="K856" i="8"/>
  <c r="K623" i="8"/>
  <c r="K746" i="8"/>
  <c r="B567" i="8"/>
  <c r="K805" i="8"/>
  <c r="K960" i="8"/>
  <c r="K943" i="8"/>
  <c r="B174" i="8"/>
  <c r="K409" i="8"/>
  <c r="B205" i="8"/>
  <c r="B319" i="8"/>
  <c r="K469" i="8"/>
  <c r="B140" i="8"/>
  <c r="K584" i="8"/>
  <c r="K629" i="8"/>
  <c r="B912" i="8"/>
  <c r="K491" i="8"/>
  <c r="B341" i="8"/>
  <c r="B400" i="8"/>
  <c r="K962" i="8"/>
  <c r="K820" i="8"/>
  <c r="B202" i="8"/>
  <c r="B354" i="8"/>
  <c r="B362" i="8"/>
  <c r="K812" i="8"/>
  <c r="B605" i="8"/>
  <c r="K976" i="8"/>
  <c r="B382" i="8"/>
  <c r="B476" i="8"/>
  <c r="K474" i="8"/>
  <c r="B170" i="8"/>
  <c r="B181" i="8"/>
  <c r="K828" i="8"/>
  <c r="K517" i="8"/>
  <c r="B670" i="8"/>
  <c r="K518" i="8"/>
  <c r="B336" i="8"/>
  <c r="B219" i="8"/>
  <c r="K658" i="8"/>
  <c r="B723" i="8"/>
  <c r="B376" i="8"/>
  <c r="B186" i="8"/>
  <c r="K647" i="8"/>
  <c r="K535" i="8"/>
  <c r="B309" i="8"/>
  <c r="B487" i="8"/>
  <c r="K583" i="8"/>
  <c r="K628" i="8"/>
  <c r="B616" i="8"/>
  <c r="K990" i="8"/>
  <c r="B849" i="8"/>
  <c r="B416" i="8"/>
  <c r="K963" i="8"/>
  <c r="K742" i="8"/>
  <c r="K967" i="8"/>
  <c r="K702" i="8"/>
  <c r="K466" i="8"/>
  <c r="B890" i="8"/>
  <c r="B765" i="8"/>
  <c r="K913" i="8"/>
  <c r="B334" i="8"/>
  <c r="B969" i="8"/>
  <c r="B453" i="8"/>
  <c r="K655" i="8"/>
  <c r="B727" i="8"/>
  <c r="B289" i="8"/>
  <c r="B636" i="8"/>
  <c r="B944" i="8"/>
  <c r="B894" i="8"/>
  <c r="K822" i="8"/>
  <c r="B832" i="8"/>
  <c r="B373" i="8"/>
  <c r="B189" i="8"/>
  <c r="B816" i="8"/>
  <c r="K574" i="8"/>
  <c r="K758" i="8"/>
  <c r="B823" i="8"/>
  <c r="B162" i="8"/>
  <c r="K653" i="8"/>
  <c r="B475" i="8"/>
  <c r="K784" i="8"/>
  <c r="B367" i="8"/>
  <c r="B481" i="8"/>
  <c r="K700" i="8"/>
  <c r="B165" i="8"/>
  <c r="B55" i="8"/>
  <c r="K982" i="8"/>
  <c r="K929" i="8"/>
  <c r="B356" i="8"/>
  <c r="B646" i="8"/>
  <c r="B885" i="8"/>
  <c r="B862" i="8"/>
  <c r="B600" i="8"/>
  <c r="K946" i="8"/>
  <c r="K872" i="8"/>
  <c r="B855" i="8"/>
  <c r="B643" i="8"/>
  <c r="K768" i="8"/>
  <c r="B467" i="8"/>
  <c r="K695" i="8"/>
  <c r="K505" i="8"/>
  <c r="B769" i="8"/>
  <c r="K786" i="8"/>
  <c r="K853" i="8"/>
  <c r="B699" i="8"/>
  <c r="K945" i="8"/>
  <c r="B76" i="8"/>
  <c r="B906" i="8"/>
  <c r="B578" i="8"/>
  <c r="B901" i="8"/>
  <c r="B254" i="8"/>
  <c r="B691" i="8"/>
  <c r="B668" i="8"/>
  <c r="B696" i="8"/>
  <c r="B56" i="8"/>
  <c r="B70" i="8"/>
  <c r="B925" i="8"/>
  <c r="K326" i="8"/>
  <c r="B973" i="8"/>
  <c r="B99" i="8"/>
  <c r="B954" i="8"/>
  <c r="K733" i="8"/>
  <c r="B622" i="8"/>
  <c r="B575" i="8"/>
  <c r="B303" i="8"/>
  <c r="B763" i="8"/>
  <c r="B630" i="8"/>
  <c r="K981" i="8"/>
  <c r="K488" i="8"/>
  <c r="B135" i="8"/>
  <c r="B426" i="8"/>
  <c r="K797" i="8"/>
  <c r="K899" i="8"/>
  <c r="K696" i="8"/>
  <c r="B211" i="8"/>
  <c r="B321" i="8"/>
  <c r="B730" i="8"/>
  <c r="B717" i="8"/>
  <c r="K986" i="8"/>
  <c r="B385" i="8"/>
  <c r="K737" i="8"/>
  <c r="B217" i="8"/>
  <c r="B463" i="8"/>
  <c r="K649" i="8"/>
  <c r="B702" i="8"/>
  <c r="K531" i="8"/>
  <c r="B153" i="8"/>
  <c r="B970" i="8"/>
  <c r="K619" i="8"/>
  <c r="B218" i="8"/>
  <c r="B342" i="8"/>
  <c r="K800" i="8"/>
  <c r="B964" i="8"/>
  <c r="B760" i="8"/>
  <c r="B647" i="8"/>
  <c r="B228" i="8"/>
  <c r="B751" i="8"/>
  <c r="B115" i="8"/>
  <c r="B52" i="8"/>
  <c r="K751" i="8"/>
  <c r="B932" i="8"/>
  <c r="B907" i="8"/>
  <c r="K41" i="8"/>
  <c r="B698" i="8"/>
  <c r="K718" i="8"/>
  <c r="B126" i="8"/>
  <c r="K789" i="8"/>
  <c r="B700" i="8"/>
  <c r="B718" i="8"/>
  <c r="K922" i="8"/>
  <c r="B759" i="8"/>
  <c r="K685" i="8"/>
  <c r="B541" i="8"/>
  <c r="K674" i="8"/>
  <c r="B133" i="8"/>
  <c r="B915" i="8"/>
  <c r="B951" i="8"/>
  <c r="K494" i="8"/>
  <c r="B198" i="8"/>
  <c r="B994" i="8"/>
  <c r="B735" i="8"/>
  <c r="B134" i="8"/>
  <c r="K513" i="8"/>
  <c r="B390" i="8"/>
  <c r="B710" i="8"/>
  <c r="B576" i="8"/>
  <c r="B847" i="8"/>
  <c r="B678" i="8"/>
  <c r="B108" i="8"/>
  <c r="K745" i="8"/>
  <c r="B73" i="8"/>
  <c r="B708" i="8"/>
  <c r="B363" i="8"/>
  <c r="B592" i="8"/>
  <c r="K588" i="8"/>
  <c r="B40" i="8"/>
  <c r="B492" i="8"/>
  <c r="B826" i="8"/>
  <c r="B975" i="8"/>
  <c r="B577" i="8"/>
  <c r="K603" i="8"/>
  <c r="B703" i="8"/>
  <c r="B318" i="8"/>
  <c r="K952" i="8"/>
  <c r="B871" i="8"/>
  <c r="B878" i="8"/>
  <c r="B956" i="8"/>
  <c r="B349" i="8"/>
  <c r="B895" i="8"/>
  <c r="K760" i="8"/>
  <c r="K930" i="8"/>
  <c r="B256" i="8"/>
  <c r="K785" i="8"/>
  <c r="K564" i="8"/>
  <c r="K714" i="8"/>
  <c r="B269" i="8"/>
  <c r="K744" i="8"/>
  <c r="K813" i="8"/>
  <c r="B725" i="8"/>
  <c r="B828" i="8"/>
  <c r="B977" i="8"/>
  <c r="B377" i="8"/>
  <c r="B414" i="8"/>
  <c r="B916" i="8"/>
  <c r="K790" i="8"/>
  <c r="K743" i="8"/>
  <c r="K995" i="8"/>
  <c r="B711" i="8"/>
  <c r="K839" i="8"/>
  <c r="B869" i="8"/>
  <c r="B90" i="8"/>
  <c r="K699" i="8"/>
  <c r="K823" i="8"/>
  <c r="B38" i="8"/>
  <c r="B645" i="8"/>
  <c r="K502" i="8"/>
  <c r="B724" i="8"/>
  <c r="B425" i="8"/>
  <c r="B860" i="8"/>
  <c r="B667" i="8"/>
  <c r="B706" i="8"/>
  <c r="B802" i="8"/>
  <c r="K648" i="8"/>
  <c r="K487" i="8"/>
  <c r="B712" i="8"/>
  <c r="K844" i="8"/>
  <c r="K796" i="8"/>
  <c r="K542" i="8"/>
  <c r="K831" i="8"/>
  <c r="B981" i="8"/>
  <c r="B80" i="8"/>
  <c r="B246" i="8"/>
  <c r="K857" i="8"/>
  <c r="B62" i="8"/>
  <c r="K903" i="8"/>
  <c r="K729" i="8"/>
  <c r="K884" i="8"/>
  <c r="B693" i="8"/>
  <c r="B868" i="8"/>
  <c r="B737" i="8"/>
  <c r="B255" i="8"/>
  <c r="K496" i="8"/>
  <c r="K589" i="8"/>
  <c r="K580" i="8"/>
  <c r="B357" i="8"/>
  <c r="K987" i="8"/>
  <c r="B648" i="8"/>
  <c r="K906" i="8"/>
  <c r="B811" i="8"/>
  <c r="B109" i="8"/>
  <c r="B872" i="8"/>
  <c r="B879" i="8"/>
  <c r="K550" i="8"/>
  <c r="B808" i="8"/>
  <c r="B164" i="8"/>
  <c r="K773" i="8"/>
  <c r="K678" i="8"/>
  <c r="K721" i="8"/>
  <c r="B627" i="8"/>
  <c r="K917" i="8"/>
  <c r="B405" i="8"/>
  <c r="K464" i="8"/>
  <c r="K537" i="8"/>
  <c r="B571" i="8"/>
  <c r="B209" i="8"/>
  <c r="B374" i="8"/>
  <c r="B457" i="8"/>
  <c r="B340" i="8"/>
  <c r="K959" i="8"/>
  <c r="B740" i="8"/>
  <c r="B130" i="8"/>
  <c r="B798" i="8"/>
  <c r="B709" i="8"/>
  <c r="B266" i="8"/>
  <c r="B461" i="8"/>
  <c r="B778" i="8"/>
  <c r="B682" i="8"/>
  <c r="B774" i="8"/>
  <c r="B466" i="8"/>
  <c r="B95" i="8"/>
  <c r="B910" i="8"/>
  <c r="K593" i="8"/>
  <c r="B196" i="8"/>
  <c r="K582" i="8"/>
  <c r="B748" i="8"/>
  <c r="B621" i="8"/>
  <c r="K880" i="8"/>
  <c r="K988" i="8"/>
  <c r="B809" i="8"/>
  <c r="B537" i="8"/>
  <c r="B369" i="8"/>
  <c r="B450" i="8"/>
  <c r="K635" i="8"/>
  <c r="B685" i="8"/>
  <c r="B208" i="8"/>
  <c r="B726" i="8"/>
  <c r="B859" i="8"/>
  <c r="K686" i="8"/>
  <c r="B889" i="8"/>
  <c r="B480" i="8"/>
  <c r="B972" i="8"/>
  <c r="B777" i="8"/>
  <c r="K646" i="8"/>
  <c r="K441" i="8"/>
  <c r="K866" i="8"/>
  <c r="B474" i="8"/>
  <c r="B391" i="8"/>
  <c r="K640" i="8"/>
  <c r="K941" i="8"/>
  <c r="K679" i="8"/>
  <c r="K669" i="8"/>
  <c r="B370" i="8"/>
  <c r="K931" i="8"/>
  <c r="K779" i="8"/>
  <c r="B598" i="8"/>
  <c r="K748" i="8"/>
  <c r="K816" i="8"/>
  <c r="B856" i="8"/>
  <c r="K694" i="8"/>
  <c r="B714" i="8"/>
  <c r="B287" i="8"/>
  <c r="B518" i="8"/>
  <c r="B552" i="8"/>
  <c r="B694" i="8"/>
  <c r="K761" i="8"/>
  <c r="B147" i="8"/>
  <c r="B641" i="8"/>
  <c r="B840" i="8"/>
  <c r="K861" i="8"/>
  <c r="B595" i="8"/>
  <c r="B762" i="8"/>
  <c r="B283" i="8"/>
  <c r="B166" i="8"/>
  <c r="K871" i="8"/>
  <c r="B261" i="8"/>
  <c r="B689" i="8"/>
  <c r="B658" i="8"/>
  <c r="B629" i="8"/>
  <c r="B596" i="8"/>
  <c r="K504" i="8"/>
  <c r="K739" i="8"/>
  <c r="B417" i="8"/>
  <c r="B94" i="8"/>
  <c r="B360" i="8"/>
  <c r="B230" i="8"/>
  <c r="K601" i="8"/>
  <c r="B795" i="8"/>
  <c r="K422" i="8"/>
  <c r="B587" i="8"/>
  <c r="B187" i="8"/>
  <c r="B820" i="8"/>
  <c r="K798" i="8"/>
  <c r="K765" i="8"/>
  <c r="B764" i="8"/>
  <c r="B84" i="8"/>
  <c r="K9" i="8"/>
  <c r="B22" i="8"/>
  <c r="B32" i="8"/>
  <c r="B27" i="8"/>
  <c r="K31" i="8"/>
  <c r="K20" i="8"/>
  <c r="K15" i="8"/>
  <c r="K13" i="8"/>
  <c r="B13" i="8"/>
  <c r="B30" i="8"/>
  <c r="K32" i="8"/>
  <c r="B24" i="8"/>
  <c r="K23" i="8"/>
  <c r="B14" i="8"/>
  <c r="B35" i="8"/>
  <c r="K48" i="8"/>
  <c r="B46" i="8"/>
  <c r="B43" i="8"/>
  <c r="K503" i="8"/>
  <c r="K673" i="8"/>
  <c r="K704" i="8"/>
  <c r="K793" i="8"/>
  <c r="B979" i="8"/>
  <c r="K956" i="8"/>
  <c r="K641" i="8"/>
  <c r="B60" i="8"/>
  <c r="B773" i="8"/>
  <c r="B197" i="8"/>
  <c r="B857" i="8"/>
  <c r="K776" i="8"/>
  <c r="B715" i="8"/>
  <c r="B822" i="8"/>
  <c r="K747" i="8"/>
  <c r="K919" i="8"/>
  <c r="K478" i="8"/>
  <c r="B746" i="8"/>
  <c r="B237" i="8"/>
  <c r="B184" i="8"/>
  <c r="B559" i="8"/>
  <c r="B971" i="8"/>
  <c r="K563" i="8"/>
  <c r="B865" i="8"/>
  <c r="B606" i="8"/>
  <c r="B297" i="8"/>
  <c r="B936" i="8"/>
  <c r="B114" i="8"/>
  <c r="B980" i="8"/>
  <c r="K709" i="8"/>
  <c r="K888" i="8"/>
  <c r="B210" i="8"/>
  <c r="K323" i="8"/>
  <c r="K552" i="8"/>
  <c r="K993" i="8"/>
  <c r="K701" i="8"/>
  <c r="B754" i="8"/>
  <c r="B348" i="8"/>
  <c r="K322" i="8"/>
  <c r="B128" i="8"/>
  <c r="B958" i="8"/>
  <c r="B891" i="8"/>
  <c r="B870" i="8"/>
  <c r="K689" i="8"/>
  <c r="K892" i="8"/>
  <c r="B526" i="8"/>
  <c r="B992" i="8"/>
  <c r="B963" i="8"/>
  <c r="B333" i="8"/>
  <c r="K638" i="8"/>
  <c r="B755" i="8"/>
  <c r="K795" i="8"/>
  <c r="B517" i="8"/>
  <c r="B399" i="8"/>
  <c r="K554" i="8"/>
  <c r="B661" i="8"/>
  <c r="B834" i="8"/>
  <c r="B352" i="8"/>
  <c r="K577" i="8"/>
  <c r="B500" i="8"/>
  <c r="B83" i="8"/>
  <c r="B235" i="8"/>
  <c r="K626" i="8"/>
  <c r="K373" i="8"/>
  <c r="K448" i="8"/>
  <c r="K900" i="8"/>
  <c r="K819" i="8"/>
  <c r="K479" i="8"/>
  <c r="B226" i="8"/>
  <c r="B471" i="8"/>
  <c r="K769" i="8"/>
  <c r="B579" i="8"/>
  <c r="K879" i="8"/>
  <c r="B371" i="8"/>
  <c r="B719" i="8"/>
  <c r="B454" i="8"/>
  <c r="K728" i="8"/>
  <c r="K663" i="8"/>
  <c r="K809" i="8"/>
  <c r="B920" i="8"/>
  <c r="K944" i="8"/>
  <c r="B491" i="8"/>
  <c r="B326" i="8"/>
  <c r="B955" i="8"/>
  <c r="B573" i="8"/>
  <c r="B192" i="8"/>
  <c r="B366" i="8"/>
  <c r="B753" i="8"/>
  <c r="K928" i="8"/>
  <c r="B557" i="8"/>
  <c r="B543" i="8"/>
  <c r="B437" i="8"/>
  <c r="K473" i="8"/>
  <c r="K526" i="8"/>
  <c r="B996" i="8"/>
  <c r="B253" i="8"/>
  <c r="B905" i="8"/>
  <c r="K788" i="8"/>
  <c r="B767" i="8"/>
  <c r="B364" i="8"/>
  <c r="K735" i="8"/>
  <c r="K561" i="8"/>
  <c r="B328" i="8"/>
  <c r="K763" i="8"/>
  <c r="B851" i="8"/>
  <c r="B142" i="8"/>
  <c r="K715" i="8"/>
  <c r="B347" i="8"/>
  <c r="K724" i="8"/>
  <c r="K515" i="8"/>
  <c r="B490" i="8"/>
  <c r="K810" i="8"/>
  <c r="K524" i="8"/>
  <c r="B534" i="8"/>
  <c r="B240" i="8"/>
  <c r="B275" i="8"/>
  <c r="B468" i="8"/>
  <c r="B234" i="8"/>
  <c r="B602" i="8"/>
  <c r="B690" i="8"/>
  <c r="K523" i="8"/>
  <c r="K687" i="8"/>
  <c r="B359" i="8"/>
  <c r="K539" i="8"/>
  <c r="B241" i="8"/>
  <c r="K597" i="8"/>
  <c r="K970" i="8"/>
  <c r="K546" i="8"/>
  <c r="K858" i="8"/>
  <c r="B305" i="8"/>
  <c r="B744" i="8"/>
  <c r="K882" i="8"/>
  <c r="B42" i="8"/>
  <c r="K964" i="8"/>
  <c r="K896" i="8"/>
  <c r="K953" i="8"/>
  <c r="K807" i="8"/>
  <c r="B110" i="8"/>
  <c r="B521" i="8"/>
  <c r="B81" i="8"/>
  <c r="K893" i="8"/>
  <c r="B10" i="8"/>
  <c r="K615" i="8"/>
  <c r="B152" i="8"/>
  <c r="K716" i="8"/>
  <c r="B701" i="8"/>
  <c r="B799" i="8"/>
  <c r="B785" i="8"/>
  <c r="B129" i="8"/>
  <c r="B85" i="8"/>
  <c r="B424" i="8"/>
  <c r="B584" i="8"/>
  <c r="B570" i="8"/>
  <c r="K690" i="8"/>
  <c r="B815" i="8"/>
  <c r="K703" i="8"/>
  <c r="B929" i="8"/>
  <c r="K791" i="8"/>
  <c r="K691" i="8"/>
  <c r="K978" i="8"/>
  <c r="B564" i="8"/>
  <c r="K520" i="8"/>
  <c r="K725" i="8"/>
  <c r="B315" i="8"/>
  <c r="B384" i="8"/>
  <c r="B620" i="8"/>
  <c r="B637" i="8"/>
  <c r="K586" i="8"/>
  <c r="B293" i="8"/>
  <c r="K528" i="8"/>
  <c r="B639" i="8"/>
  <c r="B898" i="8"/>
  <c r="K42" i="8"/>
  <c r="B803" i="8"/>
  <c r="B69" i="8"/>
  <c r="K818" i="8"/>
  <c r="B986" i="8"/>
  <c r="K923" i="8"/>
  <c r="B531" i="8"/>
  <c r="K969" i="8"/>
  <c r="B155" i="8"/>
  <c r="K965" i="8"/>
  <c r="K894" i="8"/>
  <c r="K543" i="8"/>
  <c r="K587" i="8"/>
  <c r="B644" i="8"/>
  <c r="B547" i="8"/>
  <c r="B479" i="8"/>
  <c r="B119" i="8"/>
  <c r="B292" i="8"/>
  <c r="K570" i="8"/>
  <c r="K485" i="8"/>
  <c r="B632" i="8"/>
  <c r="B884" i="8"/>
  <c r="B524" i="8"/>
  <c r="B483" i="8"/>
  <c r="B137" i="8"/>
  <c r="K830" i="8"/>
  <c r="B200" i="8"/>
  <c r="K827" i="8"/>
  <c r="B675" i="8"/>
  <c r="B443" i="8"/>
  <c r="B118" i="8"/>
  <c r="B160" i="8"/>
  <c r="K864" i="8"/>
  <c r="B51" i="8"/>
  <c r="B63" i="8"/>
  <c r="B433" i="8"/>
  <c r="K815" i="8"/>
  <c r="B413" i="8"/>
  <c r="B653" i="8"/>
  <c r="B515" i="8"/>
  <c r="K713" i="8"/>
  <c r="K887" i="8"/>
  <c r="K836" i="8"/>
  <c r="B459" i="8"/>
  <c r="B317" i="8"/>
  <c r="B171" i="8"/>
  <c r="K868" i="8"/>
  <c r="K891" i="8"/>
  <c r="K639" i="8"/>
  <c r="B742" i="8"/>
  <c r="B273" i="8"/>
  <c r="B545" i="8"/>
  <c r="K519" i="8"/>
  <c r="B733" i="8"/>
  <c r="B284" i="8"/>
  <c r="K634" i="8"/>
  <c r="B612" i="8"/>
  <c r="B818" i="8"/>
  <c r="K631" i="8"/>
  <c r="B590" i="8"/>
  <c r="K480" i="8"/>
  <c r="B422" i="8"/>
  <c r="B280" i="8"/>
  <c r="B177" i="8"/>
  <c r="K567" i="8"/>
  <c r="B536" i="8"/>
  <c r="K799" i="8"/>
  <c r="B190" i="8"/>
  <c r="B263" i="8"/>
  <c r="B585" i="8"/>
  <c r="K676" i="8"/>
  <c r="K257" i="8"/>
  <c r="B961" i="8"/>
  <c r="K421" i="8"/>
  <c r="B442" i="8"/>
  <c r="B574" i="8"/>
  <c r="B482" i="8"/>
  <c r="B322" i="8"/>
  <c r="B687" i="8"/>
  <c r="B562" i="8"/>
  <c r="B485" i="8"/>
  <c r="K722" i="8"/>
  <c r="B873" i="8"/>
  <c r="B154" i="8"/>
  <c r="B402" i="8"/>
  <c r="B750" i="8"/>
  <c r="K902" i="8"/>
  <c r="K600" i="8"/>
  <c r="K258" i="8"/>
  <c r="K512" i="8"/>
  <c r="B563" i="8"/>
  <c r="B586" i="8"/>
  <c r="B64" i="8"/>
  <c r="B158" i="8"/>
  <c r="K772" i="8"/>
  <c r="B420" i="8"/>
  <c r="B286" i="8"/>
  <c r="K849" i="8"/>
  <c r="B781" i="8"/>
  <c r="B610" i="8"/>
  <c r="K755" i="8"/>
  <c r="B566" i="8"/>
  <c r="K498" i="8"/>
  <c r="B837" i="8"/>
  <c r="B393" i="8"/>
  <c r="K370" i="8"/>
  <c r="B169" i="8"/>
  <c r="B786" i="8"/>
  <c r="B301" i="8"/>
  <c r="B945" i="8"/>
  <c r="K780" i="8"/>
  <c r="K49" i="8"/>
  <c r="B495" i="8"/>
  <c r="B501" i="8"/>
  <c r="B542" i="8"/>
  <c r="K632" i="8"/>
  <c r="K534" i="8"/>
  <c r="B659" i="8"/>
  <c r="B182" i="8"/>
  <c r="B854" i="8"/>
  <c r="K898" i="8"/>
  <c r="K875" i="8"/>
  <c r="B138" i="8"/>
  <c r="K497" i="8"/>
  <c r="K598" i="8"/>
  <c r="K989" i="8"/>
  <c r="K571" i="8"/>
  <c r="B983" i="8"/>
  <c r="K532" i="8"/>
  <c r="K757" i="8"/>
  <c r="B511" i="8"/>
  <c r="K734" i="8"/>
  <c r="B582" i="8"/>
  <c r="K506" i="8"/>
  <c r="K814" i="8"/>
  <c r="K684" i="8"/>
  <c r="K904" i="8"/>
  <c r="K874" i="8"/>
  <c r="B827" i="8"/>
  <c r="K775" i="8"/>
  <c r="B183" i="8"/>
  <c r="K973" i="8"/>
  <c r="B948" i="8"/>
  <c r="K545" i="8"/>
  <c r="K901" i="8"/>
  <c r="K846" i="8"/>
  <c r="B465" i="8"/>
  <c r="B389" i="8"/>
  <c r="K529" i="8"/>
  <c r="B71" i="8"/>
  <c r="B625" i="8"/>
  <c r="K609" i="8"/>
  <c r="B484" i="8"/>
  <c r="K562" i="8"/>
  <c r="B604" i="8"/>
  <c r="B150" i="8"/>
  <c r="K596" i="8"/>
  <c r="K547" i="8"/>
  <c r="B796" i="8"/>
  <c r="K576" i="8"/>
  <c r="K606" i="8"/>
  <c r="K726" i="8"/>
  <c r="B345" i="8"/>
  <c r="B61" i="8"/>
  <c r="K924" i="8"/>
  <c r="B221" i="8"/>
  <c r="K777" i="8"/>
  <c r="B553" i="8"/>
  <c r="B739" i="8"/>
  <c r="K675" i="8"/>
  <c r="K847" i="8"/>
  <c r="K559" i="8"/>
  <c r="K717" i="8"/>
  <c r="K881" i="8"/>
  <c r="B325" i="8"/>
  <c r="B125" i="8"/>
  <c r="B438" i="8"/>
  <c r="B298" i="8"/>
  <c r="B866" i="8"/>
  <c r="K551" i="8"/>
  <c r="K672" i="8"/>
  <c r="B935" i="8"/>
  <c r="B401" i="8"/>
  <c r="B782" i="8"/>
  <c r="B395" i="8"/>
  <c r="K436" i="8"/>
  <c r="B927" i="8"/>
  <c r="K476" i="8"/>
  <c r="B105" i="8"/>
  <c r="B214" i="8"/>
  <c r="K996" i="8"/>
  <c r="B247" i="8"/>
  <c r="B161" i="8"/>
  <c r="B259" i="8"/>
  <c r="K927" i="8"/>
  <c r="B876" i="8"/>
  <c r="B93" i="8"/>
  <c r="K591" i="8"/>
  <c r="B775" i="8"/>
  <c r="K447" i="8"/>
  <c r="K936" i="8"/>
  <c r="K677" i="8"/>
  <c r="B830" i="8"/>
  <c r="B156" i="8"/>
  <c r="K752" i="8"/>
  <c r="B550" i="8"/>
  <c r="K730" i="8"/>
  <c r="K932" i="8"/>
  <c r="B188" i="8"/>
  <c r="B178" i="8"/>
  <c r="K732" i="8"/>
  <c r="K926" i="8"/>
  <c r="B9" i="8"/>
  <c r="B617" i="8"/>
  <c r="B57" i="8"/>
  <c r="B428" i="8"/>
  <c r="B251" i="8"/>
  <c r="B409" i="8"/>
  <c r="B163" i="8"/>
  <c r="K38" i="8"/>
  <c r="K490" i="8"/>
  <c r="B201" i="8"/>
  <c r="K832" i="8"/>
  <c r="B148" i="8"/>
  <c r="K435" i="8"/>
  <c r="B897" i="8"/>
  <c r="B611" i="8"/>
  <c r="K440" i="8"/>
  <c r="B232" i="8"/>
  <c r="B747" i="8"/>
  <c r="B520" i="8"/>
  <c r="K627" i="8"/>
  <c r="K759" i="8"/>
  <c r="B331" i="8"/>
  <c r="B527" i="8"/>
  <c r="B195" i="8"/>
  <c r="B554" i="8"/>
  <c r="K493" i="8"/>
  <c r="B225" i="8"/>
  <c r="B75" i="8"/>
  <c r="K51" i="8"/>
  <c r="K610" i="8"/>
  <c r="B167" i="8"/>
  <c r="B903" i="8"/>
  <c r="B741" i="8"/>
  <c r="B758" i="8"/>
  <c r="B525" i="8"/>
  <c r="K572" i="8"/>
  <c r="B594" i="8"/>
  <c r="B124" i="8"/>
  <c r="B529" i="8"/>
  <c r="B800" i="8"/>
  <c r="K688" i="8"/>
  <c r="B613" i="8"/>
  <c r="K325" i="8"/>
  <c r="K770" i="8"/>
  <c r="K711" i="8"/>
  <c r="B853" i="8"/>
  <c r="K630" i="8"/>
  <c r="B121" i="8"/>
  <c r="B539" i="8"/>
  <c r="B338" i="8"/>
  <c r="B436" i="8"/>
  <c r="B503" i="8"/>
  <c r="B624" i="8"/>
  <c r="B260" i="8"/>
  <c r="B131" i="8"/>
  <c r="B337" i="8"/>
  <c r="K255" i="8"/>
  <c r="B330" i="8"/>
  <c r="B572" i="8"/>
  <c r="B299" i="8"/>
  <c r="B923" i="8"/>
  <c r="B127" i="8"/>
  <c r="K30" i="8"/>
  <c r="K36" i="8"/>
  <c r="K35" i="8"/>
  <c r="B25" i="8"/>
  <c r="B37" i="8"/>
  <c r="B11" i="8"/>
  <c r="B33" i="8"/>
  <c r="K21" i="8"/>
  <c r="B19" i="8"/>
  <c r="B29" i="8"/>
  <c r="K37" i="8"/>
  <c r="B34" i="8"/>
  <c r="K33" i="8"/>
  <c r="K47" i="8"/>
  <c r="B44" i="8"/>
  <c r="K43" i="8"/>
  <c r="B324" i="8"/>
  <c r="K371" i="8"/>
  <c r="B180" i="8"/>
  <c r="B966" i="8"/>
  <c r="B291" i="8"/>
  <c r="B447" i="8"/>
  <c r="K764" i="8"/>
  <c r="B294" i="8"/>
  <c r="B560" i="8"/>
  <c r="B881" i="8"/>
  <c r="K889" i="8"/>
  <c r="B991" i="8"/>
  <c r="B111" i="8"/>
  <c r="K662" i="8"/>
  <c r="K998" i="8"/>
  <c r="K616" i="8"/>
  <c r="K50" i="8"/>
  <c r="B593" i="8"/>
  <c r="K575" i="8"/>
  <c r="B86" i="8"/>
  <c r="B378" i="8"/>
  <c r="B780" i="8"/>
  <c r="B132" i="8"/>
  <c r="B262" i="8"/>
  <c r="K320" i="8"/>
  <c r="K948" i="8"/>
  <c r="B343" i="8"/>
  <c r="K972" i="8"/>
  <c r="B224" i="8"/>
  <c r="B783" i="8"/>
  <c r="K710" i="8"/>
  <c r="B429" i="8"/>
  <c r="B752" i="8"/>
  <c r="K837" i="8"/>
  <c r="B940" i="8"/>
  <c r="B290" i="8"/>
  <c r="K984" i="8"/>
  <c r="B913" i="8"/>
  <c r="B516" i="8"/>
  <c r="K578" i="8"/>
  <c r="B628" i="8"/>
  <c r="B304" i="8"/>
  <c r="B257" i="8"/>
  <c r="K644" i="8"/>
  <c r="B144" i="8"/>
  <c r="B191" i="8"/>
  <c r="B933" i="8"/>
  <c r="B238" i="8"/>
  <c r="B407" i="8"/>
  <c r="B877" i="8"/>
  <c r="B445" i="8"/>
  <c r="K605" i="8"/>
  <c r="B113" i="8"/>
  <c r="B102" i="8"/>
  <c r="B697" i="8"/>
  <c r="K665" i="8"/>
  <c r="K951" i="8"/>
  <c r="B893" i="8"/>
  <c r="B329" i="8"/>
  <c r="B707" i="8"/>
  <c r="K977" i="8"/>
  <c r="B207" i="8"/>
  <c r="K499" i="8"/>
  <c r="B995" i="8"/>
  <c r="K410" i="8"/>
  <c r="B660" i="8"/>
  <c r="B314" i="8"/>
  <c r="B381" i="8"/>
  <c r="B674" i="8"/>
  <c r="B372" i="8"/>
  <c r="B835" i="8"/>
  <c r="B626" i="8"/>
  <c r="B77" i="8"/>
  <c r="K486" i="8"/>
  <c r="B745" i="8"/>
  <c r="B959" i="8"/>
  <c r="K845" i="8"/>
  <c r="K39" i="8"/>
  <c r="K650" i="8"/>
  <c r="B962" i="8"/>
  <c r="B686" i="8"/>
  <c r="K961" i="8"/>
  <c r="B242" i="8"/>
  <c r="B603" i="8"/>
  <c r="K492" i="8"/>
  <c r="B771" i="8"/>
  <c r="K522" i="8"/>
  <c r="B532" i="8"/>
  <c r="B440" i="8"/>
  <c r="B997" i="8"/>
  <c r="K942" i="8"/>
  <c r="K781" i="8"/>
  <c r="B810" i="8"/>
  <c r="B852" i="8"/>
  <c r="K771" i="8"/>
  <c r="B601" i="8"/>
  <c r="B669" i="8"/>
  <c r="K471" i="8"/>
  <c r="K643" i="8"/>
  <c r="K541" i="8"/>
  <c r="B394" i="8"/>
  <c r="B772" i="8"/>
  <c r="B583" i="8"/>
  <c r="K756" i="8"/>
  <c r="B615" i="8"/>
  <c r="K548" i="8"/>
  <c r="K501" i="8"/>
  <c r="B473" i="8"/>
  <c r="B888" i="8"/>
  <c r="B638" i="8"/>
  <c r="B887" i="8"/>
  <c r="K683" i="8"/>
  <c r="B249" i="8"/>
  <c r="K833" i="8"/>
  <c r="B149" i="8"/>
  <c r="B398" i="8"/>
  <c r="K908" i="8"/>
  <c r="K451" i="8"/>
  <c r="K708" i="8"/>
  <c r="B430" i="8"/>
  <c r="K661" i="8"/>
  <c r="B845" i="8"/>
  <c r="B950" i="8"/>
  <c r="B864" i="8"/>
  <c r="B657" i="8"/>
  <c r="B716" i="8"/>
  <c r="B904" i="8"/>
  <c r="B423" i="8"/>
  <c r="K801" i="8"/>
  <c r="K851" i="8"/>
  <c r="B930" i="8"/>
  <c r="K947" i="8"/>
  <c r="K654" i="8"/>
  <c r="B672" i="8"/>
  <c r="B514" i="8"/>
  <c r="B899" i="8"/>
  <c r="B506" i="8"/>
  <c r="B649" i="8"/>
  <c r="K912" i="8"/>
  <c r="B509" i="8"/>
  <c r="B874" i="8"/>
  <c r="K510" i="8"/>
  <c r="B909" i="8"/>
  <c r="B91" i="8"/>
  <c r="B365" i="8"/>
  <c r="B684" i="8"/>
  <c r="B738" i="8"/>
  <c r="K592" i="8"/>
  <c r="K419" i="8"/>
  <c r="B431" i="8"/>
  <c r="K540" i="8"/>
  <c r="K825" i="8"/>
  <c r="B220" i="8"/>
  <c r="B931" i="8"/>
  <c r="B98" i="8"/>
  <c r="B145" i="8"/>
  <c r="B455" i="8"/>
  <c r="K824" i="8"/>
  <c r="K509" i="8"/>
  <c r="B957" i="8"/>
  <c r="B355" i="8"/>
  <c r="B462" i="8"/>
  <c r="K40" i="8"/>
  <c r="B844" i="8"/>
  <c r="K975" i="8"/>
  <c r="B92" i="8"/>
  <c r="K940" i="8"/>
  <c r="B731" i="8"/>
  <c r="B79" i="8"/>
  <c r="B599" i="8"/>
  <c r="K850" i="8"/>
  <c r="B339" i="8"/>
  <c r="B721" i="8"/>
  <c r="B88" i="8"/>
  <c r="B344" i="8"/>
  <c r="K434" i="8"/>
  <c r="B900" i="8"/>
  <c r="B757" i="8"/>
  <c r="B736" i="8"/>
  <c r="B833" i="8"/>
  <c r="K624" i="8"/>
  <c r="K916" i="8"/>
  <c r="B227" i="8"/>
  <c r="B451" i="8"/>
  <c r="B396" i="8"/>
  <c r="K949" i="8"/>
  <c r="B410" i="8"/>
  <c r="B204" i="8"/>
  <c r="B239" i="8"/>
  <c r="K549" i="8"/>
  <c r="B313" i="8"/>
  <c r="K723" i="8"/>
  <c r="K642" i="8"/>
  <c r="K865" i="8"/>
  <c r="K527" i="8"/>
  <c r="K697" i="8"/>
  <c r="K637" i="8"/>
  <c r="B327" i="8"/>
  <c r="B39" i="8"/>
  <c r="B441" i="8"/>
  <c r="B848" i="8"/>
  <c r="B307" i="8"/>
  <c r="K514" i="8"/>
  <c r="B551" i="8"/>
  <c r="B942" i="8"/>
  <c r="K468" i="8"/>
  <c r="B522" i="8"/>
  <c r="B146" i="8"/>
  <c r="B850" i="8"/>
  <c r="K787" i="8"/>
  <c r="B843" i="8"/>
  <c r="B858" i="8"/>
  <c r="K841" i="8"/>
  <c r="B172" i="8"/>
  <c r="K645" i="8"/>
  <c r="B756" i="8"/>
  <c r="B397" i="8"/>
  <c r="B498" i="8"/>
  <c r="B335" i="8"/>
  <c r="B987" i="8"/>
  <c r="K954" i="8"/>
  <c r="B634" i="8"/>
  <c r="K873" i="8"/>
  <c r="K782" i="8"/>
  <c r="K753" i="8"/>
  <c r="B540" i="8"/>
  <c r="B387" i="8"/>
  <c r="B157" i="8"/>
  <c r="B346" i="8"/>
  <c r="B688" i="8"/>
  <c r="B806" i="8"/>
  <c r="B116" i="8"/>
  <c r="B985" i="8"/>
  <c r="B488" i="8"/>
  <c r="K452" i="8"/>
  <c r="B792" i="8"/>
  <c r="B947" i="8"/>
  <c r="B952" i="8"/>
  <c r="B446" i="8"/>
  <c r="B829" i="8"/>
  <c r="B281" i="8"/>
  <c r="B489" i="8"/>
  <c r="K826" i="8"/>
  <c r="K462" i="8"/>
  <c r="B921" i="8"/>
  <c r="K933" i="8"/>
  <c r="B282" i="8"/>
  <c r="B978" i="8"/>
  <c r="B538" i="8"/>
  <c r="B510" i="8"/>
  <c r="B265" i="8"/>
  <c r="B223" i="8"/>
  <c r="B729" i="8"/>
  <c r="K595" i="8"/>
  <c r="B607" i="8"/>
  <c r="K585" i="8"/>
  <c r="B902" i="8"/>
  <c r="B790" i="8"/>
  <c r="K525" i="8"/>
  <c r="K876" i="8"/>
  <c r="K621" i="8"/>
  <c r="B546" i="8"/>
  <c r="B581" i="8"/>
  <c r="B58" i="8"/>
  <c r="B143" i="8"/>
  <c r="B141" i="8"/>
  <c r="B882" i="8"/>
  <c r="K692" i="8"/>
  <c r="K974" i="8"/>
  <c r="B591" i="8"/>
  <c r="B296" i="8"/>
  <c r="B117" i="8"/>
  <c r="K608" i="8"/>
  <c r="B505" i="8"/>
  <c r="B892" i="8"/>
  <c r="B814" i="8"/>
  <c r="K811" i="8"/>
  <c r="B276" i="8"/>
  <c r="K599" i="8"/>
  <c r="K439" i="8"/>
  <c r="B67" i="8"/>
  <c r="B788" i="8"/>
  <c r="B819" i="8"/>
  <c r="B383" i="8"/>
  <c r="B662" i="8"/>
  <c r="K544" i="8"/>
  <c r="B419" i="8"/>
  <c r="B252" i="8"/>
  <c r="B411" i="8"/>
  <c r="B960" i="8"/>
  <c r="B548" i="8"/>
  <c r="K750" i="8"/>
  <c r="B535" i="8"/>
  <c r="B497" i="8"/>
  <c r="B943" i="8"/>
  <c r="K321" i="8"/>
  <c r="B493" i="8"/>
  <c r="B633" i="8"/>
  <c r="K445" i="8"/>
  <c r="B896" i="8"/>
  <c r="K594" i="8"/>
  <c r="K983" i="8"/>
  <c r="K992" i="8"/>
  <c r="K614" i="8"/>
  <c r="B918" i="8"/>
  <c r="B507" i="8"/>
  <c r="K508" i="8"/>
  <c r="B449" i="8"/>
  <c r="B926" i="8"/>
  <c r="K731" i="8"/>
  <c r="B388" i="8"/>
  <c r="K500" i="8"/>
  <c r="B998" i="8"/>
  <c r="B652" i="8"/>
  <c r="B194" i="8"/>
  <c r="B512" i="8"/>
  <c r="B332" i="8"/>
  <c r="K958" i="8"/>
  <c r="B176" i="8"/>
  <c r="B311" i="8"/>
  <c r="B386" i="8"/>
  <c r="B934" i="8"/>
  <c r="K852" i="8"/>
  <c r="B967" i="8"/>
  <c r="B21" i="8"/>
  <c r="B361" i="8"/>
  <c r="K477" i="8"/>
  <c r="K740" i="8"/>
  <c r="K754" i="8"/>
  <c r="B308" i="8"/>
  <c r="B793" i="8"/>
  <c r="K895" i="8"/>
  <c r="B472" i="8"/>
  <c r="B96" i="8"/>
  <c r="K918" i="8"/>
  <c r="K558" i="8"/>
  <c r="B122" i="8"/>
  <c r="K659" i="8"/>
  <c r="B673" i="8"/>
  <c r="B258" i="8"/>
  <c r="B597" i="8"/>
  <c r="B123" i="8"/>
  <c r="K855" i="8"/>
  <c r="B640" i="8"/>
  <c r="B448" i="8"/>
  <c r="B655" i="8"/>
  <c r="B650" i="8"/>
  <c r="K657" i="8"/>
  <c r="K910" i="8"/>
  <c r="B233" i="8"/>
  <c r="B817" i="8"/>
  <c r="K411" i="8"/>
  <c r="K712" i="8"/>
  <c r="B642" i="8"/>
  <c r="K985" i="8"/>
  <c r="B179" i="8"/>
  <c r="B89" i="8"/>
  <c r="B965" i="8"/>
  <c r="B821" i="8"/>
  <c r="B120" i="8"/>
  <c r="K484" i="8"/>
  <c r="B104" i="8"/>
  <c r="B734" i="8"/>
  <c r="B608" i="8"/>
  <c r="B434" i="8"/>
  <c r="B45" i="8"/>
  <c r="K12" i="8"/>
  <c r="K29" i="8"/>
  <c r="B368" i="8"/>
  <c r="B787" i="8"/>
  <c r="K511" i="8"/>
  <c r="B312" i="8"/>
  <c r="B452" i="8"/>
  <c r="B316" i="8"/>
  <c r="B614" i="8"/>
  <c r="B277" i="8"/>
  <c r="K862" i="8"/>
  <c r="B720" i="8"/>
  <c r="B216" i="8"/>
  <c r="K997" i="8"/>
  <c r="K979" i="8"/>
  <c r="B379" i="8"/>
  <c r="K870" i="8"/>
  <c r="B175" i="8"/>
  <c r="B911" i="8"/>
  <c r="K604" i="8"/>
  <c r="B805" i="8"/>
  <c r="B151" i="8"/>
  <c r="K579" i="8"/>
  <c r="K611" i="8"/>
  <c r="B908" i="8"/>
  <c r="K481" i="8"/>
  <c r="B199" i="8"/>
  <c r="B74" i="8"/>
  <c r="K698" i="8"/>
  <c r="B212" i="8"/>
  <c r="K843" i="8"/>
  <c r="B776" i="8"/>
  <c r="K920" i="8"/>
  <c r="B278" i="8"/>
  <c r="K483" i="8"/>
  <c r="B193" i="8"/>
  <c r="K991" i="8"/>
  <c r="K620" i="8"/>
  <c r="K860" i="8"/>
  <c r="B846" i="8"/>
  <c r="K766" i="8"/>
  <c r="B807" i="8"/>
  <c r="B886" i="8"/>
  <c r="K749" i="8"/>
  <c r="K911" i="8"/>
  <c r="B350" i="8"/>
  <c r="B320" i="8"/>
  <c r="B549" i="8"/>
  <c r="B949" i="8"/>
  <c r="B427" i="8"/>
  <c r="K625" i="8"/>
  <c r="B990" i="8"/>
  <c r="B618" i="8"/>
  <c r="B695" i="8"/>
  <c r="B565" i="8"/>
  <c r="K482" i="8"/>
  <c r="B924" i="8"/>
  <c r="K636" i="8"/>
  <c r="B917" i="8"/>
  <c r="B508" i="8"/>
  <c r="B248" i="8"/>
  <c r="B222" i="8"/>
  <c r="B589" i="8"/>
  <c r="B68" i="8"/>
  <c r="B555" i="8"/>
  <c r="B544" i="8"/>
  <c r="K420" i="8"/>
  <c r="B173" i="8"/>
  <c r="K741" i="8"/>
  <c r="B41" i="8"/>
  <c r="B680" i="8"/>
  <c r="B666" i="8"/>
  <c r="B867" i="8"/>
  <c r="B412" i="8"/>
  <c r="K660" i="8"/>
  <c r="K569" i="8"/>
  <c r="K802" i="8"/>
  <c r="K848" i="8"/>
  <c r="B993" i="8"/>
  <c r="K707" i="8"/>
  <c r="B380" i="8"/>
  <c r="B65" i="8"/>
  <c r="K869" i="8"/>
  <c r="K437" i="8"/>
  <c r="B408" i="8"/>
  <c r="B812" i="8"/>
  <c r="B928" i="8"/>
  <c r="K652" i="8"/>
  <c r="B245" i="8"/>
  <c r="B49" i="8"/>
  <c r="B974" i="8"/>
  <c r="K618" i="8"/>
  <c r="K950" i="8"/>
  <c r="B432" i="8"/>
  <c r="B351" i="8"/>
  <c r="K680" i="8"/>
  <c r="B270" i="8"/>
  <c r="K968" i="8"/>
  <c r="K803" i="8"/>
  <c r="B842" i="8"/>
  <c r="B749" i="8"/>
  <c r="B496" i="8"/>
  <c r="K566" i="8"/>
  <c r="B768" i="8"/>
  <c r="B558" i="8"/>
  <c r="K45" i="8"/>
  <c r="K17" i="8"/>
  <c r="B15" i="8"/>
  <c r="K25" i="8"/>
  <c r="D38" i="9"/>
  <c r="D44" i="9"/>
  <c r="D191" i="6"/>
  <c r="C70" i="11"/>
  <c r="F92" i="7"/>
  <c r="F428" i="7" s="1"/>
  <c r="F464" i="7" s="1"/>
  <c r="E26" i="6"/>
  <c r="H92" i="7"/>
  <c r="H428" i="7" s="1"/>
  <c r="H464" i="7" s="1"/>
  <c r="G26" i="6"/>
  <c r="G46" i="6" s="1"/>
  <c r="G178" i="6" s="1"/>
  <c r="E92" i="7"/>
  <c r="E428" i="7" s="1"/>
  <c r="E464" i="7" s="1"/>
  <c r="G91" i="7"/>
  <c r="J90" i="7"/>
  <c r="I90" i="7"/>
  <c r="B220" i="12"/>
  <c r="G23" i="30"/>
  <c r="D37" i="30" s="1"/>
  <c r="A114" i="23"/>
  <c r="F46" i="9"/>
  <c r="I183" i="6"/>
  <c r="C183" i="6" s="1"/>
  <c r="B20" i="3" l="1"/>
  <c r="I10" i="9"/>
  <c r="D34" i="9"/>
  <c r="D31" i="9"/>
  <c r="D35" i="9"/>
  <c r="D29" i="9"/>
  <c r="B56" i="9"/>
  <c r="D30" i="9"/>
  <c r="D41" i="9"/>
  <c r="D40" i="9"/>
  <c r="D45" i="9"/>
  <c r="D37" i="9"/>
  <c r="D42" i="9"/>
  <c r="D32" i="9"/>
  <c r="D43" i="9"/>
  <c r="D39" i="9"/>
  <c r="D33" i="9"/>
  <c r="D36" i="9"/>
  <c r="B57" i="9"/>
  <c r="H44" i="9"/>
  <c r="H38" i="9"/>
  <c r="F23" i="30"/>
  <c r="D17" i="9"/>
  <c r="D192" i="6"/>
  <c r="E46" i="6"/>
  <c r="F26" i="6"/>
  <c r="J91" i="7"/>
  <c r="J92" i="7" s="1"/>
  <c r="J428" i="7" s="1"/>
  <c r="J464" i="7" s="1"/>
  <c r="I91" i="7"/>
  <c r="I92" i="7" s="1"/>
  <c r="I428" i="7" s="1"/>
  <c r="I464" i="7" s="1"/>
  <c r="G92" i="7"/>
  <c r="G428" i="7" s="1"/>
  <c r="G464" i="7" s="1"/>
  <c r="I30" i="9"/>
  <c r="A115" i="23"/>
  <c r="I38" i="9"/>
  <c r="I44" i="9"/>
  <c r="H16" i="9"/>
  <c r="E5" i="3" l="1"/>
  <c r="F24" i="31" s="1"/>
  <c r="V184" i="1" s="1"/>
  <c r="E4" i="3"/>
  <c r="F24" i="30" s="1"/>
  <c r="G24" i="30" s="1"/>
  <c r="D30" i="31"/>
  <c r="D40" i="31" s="1"/>
  <c r="B62" i="9"/>
  <c r="D19" i="31"/>
  <c r="D26" i="31"/>
  <c r="H36" i="9"/>
  <c r="H31" i="9"/>
  <c r="H43" i="9"/>
  <c r="H30" i="9"/>
  <c r="H35" i="9"/>
  <c r="H41" i="9"/>
  <c r="H37" i="9"/>
  <c r="H32" i="9"/>
  <c r="H33" i="9"/>
  <c r="H34" i="9"/>
  <c r="H39" i="9"/>
  <c r="H29" i="9"/>
  <c r="H40" i="9"/>
  <c r="H42" i="9"/>
  <c r="H45" i="9"/>
  <c r="I16" i="9"/>
  <c r="E22" i="22"/>
  <c r="H26" i="6"/>
  <c r="H46" i="6" s="1"/>
  <c r="F46" i="6"/>
  <c r="I26" i="6"/>
  <c r="A116" i="23"/>
  <c r="I40" i="9"/>
  <c r="I31" i="9"/>
  <c r="I37" i="9"/>
  <c r="I42" i="9"/>
  <c r="I33" i="9"/>
  <c r="I45" i="9"/>
  <c r="I39" i="9"/>
  <c r="I41" i="9"/>
  <c r="I36" i="9"/>
  <c r="I34" i="9"/>
  <c r="I43" i="9"/>
  <c r="I32" i="9"/>
  <c r="I35" i="9"/>
  <c r="V188" i="1" l="1"/>
  <c r="V200" i="1"/>
  <c r="V186" i="1"/>
  <c r="V189" i="1"/>
  <c r="V190" i="1"/>
  <c r="V198" i="1"/>
  <c r="V187" i="1"/>
  <c r="V191" i="1"/>
  <c r="V199" i="1"/>
  <c r="G24" i="31"/>
  <c r="L6" i="14"/>
  <c r="D49" i="30"/>
  <c r="G27" i="30"/>
  <c r="C19" i="14"/>
  <c r="I200" i="6"/>
  <c r="Q200" i="6" s="1"/>
  <c r="E17" i="9"/>
  <c r="G17" i="9" s="1"/>
  <c r="I17" i="9"/>
  <c r="D32" i="31"/>
  <c r="D39" i="31"/>
  <c r="D35" i="31"/>
  <c r="D36" i="31" s="1"/>
  <c r="D31" i="31"/>
  <c r="D38" i="31"/>
  <c r="D34" i="31"/>
  <c r="D33" i="31"/>
  <c r="H66" i="9"/>
  <c r="D57" i="9"/>
  <c r="C22" i="14"/>
  <c r="E181" i="6"/>
  <c r="F181" i="6" s="1"/>
  <c r="H12" i="11"/>
  <c r="E182" i="6"/>
  <c r="F182" i="6" s="1"/>
  <c r="H13" i="11"/>
  <c r="L13" i="11" s="1"/>
  <c r="K188" i="9"/>
  <c r="D194" i="9"/>
  <c r="I46" i="6"/>
  <c r="I29" i="9"/>
  <c r="G23" i="31"/>
  <c r="A117" i="23"/>
  <c r="D46" i="9"/>
  <c r="V216" i="1" l="1"/>
  <c r="D49" i="31"/>
  <c r="C42" i="14"/>
  <c r="C37" i="14"/>
  <c r="C38" i="14" s="1"/>
  <c r="E59" i="9"/>
  <c r="G59" i="9" s="1"/>
  <c r="D195" i="9"/>
  <c r="D189" i="9"/>
  <c r="F23" i="14"/>
  <c r="D37" i="31"/>
  <c r="G27" i="31"/>
  <c r="H46" i="9"/>
  <c r="H17" i="9"/>
  <c r="I68" i="9"/>
  <c r="B68" i="9" s="1"/>
  <c r="C41" i="14"/>
  <c r="C36" i="14"/>
  <c r="C40" i="14"/>
  <c r="C35" i="14"/>
  <c r="C34" i="14"/>
  <c r="D193" i="9"/>
  <c r="D197" i="9"/>
  <c r="D196" i="9"/>
  <c r="G13" i="23"/>
  <c r="N225" i="9"/>
  <c r="N199" i="9"/>
  <c r="O199" i="9"/>
  <c r="I94" i="9"/>
  <c r="E56" i="9"/>
  <c r="F56" i="9" s="1"/>
  <c r="E57" i="9"/>
  <c r="F57" i="9" s="1"/>
  <c r="E58" i="9"/>
  <c r="F58" i="9" s="1"/>
  <c r="H70" i="9"/>
  <c r="O225" i="9"/>
  <c r="F23" i="31"/>
  <c r="C203" i="6"/>
  <c r="C206" i="6" s="1"/>
  <c r="I12" i="11"/>
  <c r="J12" i="11" s="1"/>
  <c r="I181" i="6"/>
  <c r="C181" i="6" s="1"/>
  <c r="D190" i="9"/>
  <c r="D192" i="9"/>
  <c r="D191" i="9"/>
  <c r="C17" i="14"/>
  <c r="C25" i="14"/>
  <c r="F25" i="14" s="1"/>
  <c r="C16" i="14"/>
  <c r="C23" i="14"/>
  <c r="C27" i="14"/>
  <c r="H60" i="11"/>
  <c r="L60" i="11" s="1"/>
  <c r="H33" i="11"/>
  <c r="L12" i="11"/>
  <c r="I182" i="6"/>
  <c r="C182" i="6" s="1"/>
  <c r="I13" i="11"/>
  <c r="J13" i="11" s="1"/>
  <c r="M13" i="11" s="1"/>
  <c r="A118" i="23"/>
  <c r="I46" i="9"/>
  <c r="E46" i="9"/>
  <c r="D207" i="9" l="1"/>
  <c r="G46" i="9"/>
  <c r="A50" i="9"/>
  <c r="F59" i="9"/>
  <c r="D2" i="23"/>
  <c r="E62" i="9"/>
  <c r="F62" i="9" s="1"/>
  <c r="C39" i="14"/>
  <c r="I67" i="9"/>
  <c r="D233" i="9"/>
  <c r="D56" i="9"/>
  <c r="H30" i="11"/>
  <c r="B44" i="14"/>
  <c r="B49" i="14" s="1"/>
  <c r="I95" i="9"/>
  <c r="F95" i="9" s="1"/>
  <c r="L33" i="11"/>
  <c r="J33" i="11"/>
  <c r="M33" i="11" s="1"/>
  <c r="G57" i="9"/>
  <c r="G58" i="9"/>
  <c r="F94" i="9"/>
  <c r="F28" i="14"/>
  <c r="M12" i="11"/>
  <c r="P8" i="11"/>
  <c r="H35" i="11"/>
  <c r="E155" i="6"/>
  <c r="F155" i="6" s="1"/>
  <c r="E143" i="6"/>
  <c r="F143" i="6" s="1"/>
  <c r="H31" i="11"/>
  <c r="E151" i="6"/>
  <c r="F151" i="6" s="1"/>
  <c r="I151" i="6" s="1"/>
  <c r="H32" i="11"/>
  <c r="J60" i="11"/>
  <c r="M60" i="11" s="1"/>
  <c r="I60" i="11"/>
  <c r="C104" i="12"/>
  <c r="C101" i="12"/>
  <c r="C108" i="12"/>
  <c r="C107" i="12"/>
  <c r="C98" i="12"/>
  <c r="C102" i="12"/>
  <c r="C99" i="12"/>
  <c r="C103" i="12"/>
  <c r="C100" i="12"/>
  <c r="A119" i="23"/>
  <c r="H40" i="11"/>
  <c r="J40" i="11" s="1"/>
  <c r="H57" i="11" l="1"/>
  <c r="L57" i="11" s="1"/>
  <c r="D4" i="23"/>
  <c r="D3" i="23"/>
  <c r="D6" i="23"/>
  <c r="B17" i="23"/>
  <c r="B67" i="9"/>
  <c r="E67" i="9" s="1"/>
  <c r="D62" i="9"/>
  <c r="G56" i="9"/>
  <c r="G62" i="9" s="1"/>
  <c r="I69" i="9"/>
  <c r="J30" i="11"/>
  <c r="M30" i="11" s="1"/>
  <c r="C72" i="11"/>
  <c r="H51" i="11" s="1"/>
  <c r="L30" i="11"/>
  <c r="B52" i="14"/>
  <c r="C52" i="14" s="1"/>
  <c r="B48" i="14"/>
  <c r="C49" i="14" s="1"/>
  <c r="C45" i="14"/>
  <c r="B51" i="14"/>
  <c r="C51" i="14"/>
  <c r="B47" i="14"/>
  <c r="C48" i="14" s="1"/>
  <c r="B46" i="14"/>
  <c r="C47" i="14" s="1"/>
  <c r="B45" i="14"/>
  <c r="C46" i="14" s="1"/>
  <c r="B50" i="14"/>
  <c r="C50" i="14" s="1"/>
  <c r="E95" i="9"/>
  <c r="I96" i="9"/>
  <c r="B95" i="9"/>
  <c r="K425" i="8"/>
  <c r="K429" i="8"/>
  <c r="K433" i="8"/>
  <c r="K426" i="8"/>
  <c r="K430" i="8"/>
  <c r="K423" i="8"/>
  <c r="K427" i="8"/>
  <c r="K431" i="8"/>
  <c r="K424" i="8"/>
  <c r="K428" i="8"/>
  <c r="K432" i="8"/>
  <c r="H155" i="6"/>
  <c r="I155" i="6"/>
  <c r="L35" i="11"/>
  <c r="J35" i="11"/>
  <c r="M35" i="11" s="1"/>
  <c r="L31" i="11"/>
  <c r="J31" i="11"/>
  <c r="E174" i="6"/>
  <c r="H151" i="6"/>
  <c r="L32" i="11"/>
  <c r="J32" i="11"/>
  <c r="M32" i="11" s="1"/>
  <c r="C96" i="12"/>
  <c r="C93" i="12"/>
  <c r="C97" i="12"/>
  <c r="C82" i="12"/>
  <c r="C87" i="12"/>
  <c r="C95" i="12"/>
  <c r="C74" i="12"/>
  <c r="C90" i="12"/>
  <c r="C105" i="12"/>
  <c r="C85" i="12"/>
  <c r="C80" i="12"/>
  <c r="C92" i="12"/>
  <c r="C81" i="12"/>
  <c r="C78" i="12"/>
  <c r="C94" i="12"/>
  <c r="C72" i="12"/>
  <c r="C77" i="12"/>
  <c r="C83" i="12"/>
  <c r="C84" i="12"/>
  <c r="C89" i="12"/>
  <c r="C86" i="12"/>
  <c r="K324" i="8" s="1"/>
  <c r="C76" i="12"/>
  <c r="C73" i="12"/>
  <c r="C75" i="12"/>
  <c r="C88" i="12"/>
  <c r="C71" i="12"/>
  <c r="C91" i="12"/>
  <c r="A120" i="23"/>
  <c r="L40" i="11"/>
  <c r="H143" i="6"/>
  <c r="I143" i="6"/>
  <c r="F174" i="6"/>
  <c r="F178" i="6" s="1"/>
  <c r="M40" i="11"/>
  <c r="I70" i="9" l="1"/>
  <c r="D182" i="9"/>
  <c r="M31" i="11"/>
  <c r="J57" i="11"/>
  <c r="M57" i="11" s="1"/>
  <c r="D5" i="23"/>
  <c r="C18" i="23"/>
  <c r="F67" i="9"/>
  <c r="H89" i="9"/>
  <c r="I154" i="9" s="1"/>
  <c r="H355" i="1" s="1"/>
  <c r="H24" i="11"/>
  <c r="L24" i="11" s="1"/>
  <c r="J51" i="11"/>
  <c r="L51" i="11"/>
  <c r="C109" i="12"/>
  <c r="C129" i="12"/>
  <c r="K470" i="8" s="1"/>
  <c r="C126" i="12"/>
  <c r="C132" i="12"/>
  <c r="C116" i="12"/>
  <c r="K450" i="8" s="1"/>
  <c r="C120" i="12"/>
  <c r="C122" i="12"/>
  <c r="C119" i="12"/>
  <c r="C115" i="12"/>
  <c r="K438" i="8" s="1"/>
  <c r="C133" i="12"/>
  <c r="C113" i="12"/>
  <c r="C123" i="12"/>
  <c r="C127" i="12"/>
  <c r="C130" i="12"/>
  <c r="C137" i="12"/>
  <c r="C111" i="12"/>
  <c r="C117" i="12"/>
  <c r="C121" i="12"/>
  <c r="K449" i="8" s="1"/>
  <c r="C135" i="12"/>
  <c r="C118" i="12"/>
  <c r="K465" i="8" s="1"/>
  <c r="C114" i="12"/>
  <c r="C131" i="12"/>
  <c r="C128" i="12"/>
  <c r="C134" i="12"/>
  <c r="C125" i="12"/>
  <c r="C124" i="12"/>
  <c r="C136" i="12"/>
  <c r="C112" i="12"/>
  <c r="C110" i="12"/>
  <c r="I174" i="6"/>
  <c r="I178" i="6" s="1"/>
  <c r="I191" i="6" s="1"/>
  <c r="K262" i="8"/>
  <c r="K266" i="8"/>
  <c r="K270" i="8"/>
  <c r="K274" i="8"/>
  <c r="K278" i="8"/>
  <c r="K282" i="8"/>
  <c r="K286" i="8"/>
  <c r="K290" i="8"/>
  <c r="K294" i="8"/>
  <c r="K298" i="8"/>
  <c r="K302" i="8"/>
  <c r="K306" i="8"/>
  <c r="K310" i="8"/>
  <c r="K314" i="8"/>
  <c r="K318" i="8"/>
  <c r="K259" i="8"/>
  <c r="K263" i="8"/>
  <c r="K267" i="8"/>
  <c r="K271" i="8"/>
  <c r="K275" i="8"/>
  <c r="K279" i="8"/>
  <c r="K283" i="8"/>
  <c r="K287" i="8"/>
  <c r="K291" i="8"/>
  <c r="K295" i="8"/>
  <c r="K299" i="8"/>
  <c r="K303" i="8"/>
  <c r="K307" i="8"/>
  <c r="K311" i="8"/>
  <c r="K315" i="8"/>
  <c r="K319" i="8"/>
  <c r="K260" i="8"/>
  <c r="K264" i="8"/>
  <c r="K268" i="8"/>
  <c r="K272" i="8"/>
  <c r="K276" i="8"/>
  <c r="K280" i="8"/>
  <c r="K284" i="8"/>
  <c r="K288" i="8"/>
  <c r="K292" i="8"/>
  <c r="K296" i="8"/>
  <c r="K300" i="8"/>
  <c r="K304" i="8"/>
  <c r="K308" i="8"/>
  <c r="K312" i="8"/>
  <c r="K316" i="8"/>
  <c r="K261" i="8"/>
  <c r="K265" i="8"/>
  <c r="K269" i="8"/>
  <c r="K273" i="8"/>
  <c r="K277" i="8"/>
  <c r="K281" i="8"/>
  <c r="K285" i="8"/>
  <c r="K289" i="8"/>
  <c r="K293" i="8"/>
  <c r="K297" i="8"/>
  <c r="K301" i="8"/>
  <c r="K305" i="8"/>
  <c r="K309" i="8"/>
  <c r="K313" i="8"/>
  <c r="K317" i="8"/>
  <c r="K54" i="8"/>
  <c r="K58" i="8"/>
  <c r="K62" i="8"/>
  <c r="K66" i="8"/>
  <c r="K70" i="8"/>
  <c r="K74" i="8"/>
  <c r="K78" i="8"/>
  <c r="K82" i="8"/>
  <c r="K86" i="8"/>
  <c r="K90" i="8"/>
  <c r="K94" i="8"/>
  <c r="K98" i="8"/>
  <c r="K102" i="8"/>
  <c r="K106" i="8"/>
  <c r="K110" i="8"/>
  <c r="K114" i="8"/>
  <c r="K118" i="8"/>
  <c r="K122" i="8"/>
  <c r="K126" i="8"/>
  <c r="K130" i="8"/>
  <c r="K134" i="8"/>
  <c r="K138" i="8"/>
  <c r="K142" i="8"/>
  <c r="K146" i="8"/>
  <c r="K150" i="8"/>
  <c r="K154" i="8"/>
  <c r="K158" i="8"/>
  <c r="K162" i="8"/>
  <c r="K166" i="8"/>
  <c r="K170" i="8"/>
  <c r="K174" i="8"/>
  <c r="K178" i="8"/>
  <c r="K182" i="8"/>
  <c r="K186" i="8"/>
  <c r="K190" i="8"/>
  <c r="K194" i="8"/>
  <c r="K198" i="8"/>
  <c r="K202" i="8"/>
  <c r="K206" i="8"/>
  <c r="K210" i="8"/>
  <c r="K214" i="8"/>
  <c r="K218" i="8"/>
  <c r="K222" i="8"/>
  <c r="K226" i="8"/>
  <c r="K230" i="8"/>
  <c r="K234" i="8"/>
  <c r="K238" i="8"/>
  <c r="K242" i="8"/>
  <c r="K246" i="8"/>
  <c r="K250" i="8"/>
  <c r="K254" i="8"/>
  <c r="K55" i="8"/>
  <c r="K59" i="8"/>
  <c r="K63" i="8"/>
  <c r="K67" i="8"/>
  <c r="K71" i="8"/>
  <c r="K75" i="8"/>
  <c r="K79" i="8"/>
  <c r="K83" i="8"/>
  <c r="K87" i="8"/>
  <c r="K91" i="8"/>
  <c r="K95" i="8"/>
  <c r="K99" i="8"/>
  <c r="K103" i="8"/>
  <c r="K107" i="8"/>
  <c r="K111" i="8"/>
  <c r="K115" i="8"/>
  <c r="K119" i="8"/>
  <c r="K123" i="8"/>
  <c r="K127" i="8"/>
  <c r="K131" i="8"/>
  <c r="K135" i="8"/>
  <c r="K139" i="8"/>
  <c r="K143" i="8"/>
  <c r="K147" i="8"/>
  <c r="K151" i="8"/>
  <c r="K155" i="8"/>
  <c r="K159" i="8"/>
  <c r="K163" i="8"/>
  <c r="K167" i="8"/>
  <c r="K171" i="8"/>
  <c r="K175" i="8"/>
  <c r="K179" i="8"/>
  <c r="K183" i="8"/>
  <c r="K187" i="8"/>
  <c r="K191" i="8"/>
  <c r="K195" i="8"/>
  <c r="K199" i="8"/>
  <c r="K203" i="8"/>
  <c r="K207" i="8"/>
  <c r="K211" i="8"/>
  <c r="K215" i="8"/>
  <c r="K219" i="8"/>
  <c r="K223" i="8"/>
  <c r="K227" i="8"/>
  <c r="K231" i="8"/>
  <c r="K235" i="8"/>
  <c r="K239" i="8"/>
  <c r="K243" i="8"/>
  <c r="K247" i="8"/>
  <c r="K251" i="8"/>
  <c r="K52" i="8"/>
  <c r="K56" i="8"/>
  <c r="K60" i="8"/>
  <c r="K64" i="8"/>
  <c r="K68" i="8"/>
  <c r="K72" i="8"/>
  <c r="K76" i="8"/>
  <c r="K80" i="8"/>
  <c r="K84" i="8"/>
  <c r="K88" i="8"/>
  <c r="K92" i="8"/>
  <c r="K96" i="8"/>
  <c r="K100" i="8"/>
  <c r="K104" i="8"/>
  <c r="K108" i="8"/>
  <c r="K112" i="8"/>
  <c r="K116" i="8"/>
  <c r="K120" i="8"/>
  <c r="K124" i="8"/>
  <c r="K128" i="8"/>
  <c r="K132" i="8"/>
  <c r="K136" i="8"/>
  <c r="K140" i="8"/>
  <c r="K144" i="8"/>
  <c r="K148" i="8"/>
  <c r="K152" i="8"/>
  <c r="K156" i="8"/>
  <c r="K160" i="8"/>
  <c r="K164" i="8"/>
  <c r="K168" i="8"/>
  <c r="K172" i="8"/>
  <c r="K176" i="8"/>
  <c r="K180" i="8"/>
  <c r="K184" i="8"/>
  <c r="K188" i="8"/>
  <c r="K192" i="8"/>
  <c r="K196" i="8"/>
  <c r="K200" i="8"/>
  <c r="K204" i="8"/>
  <c r="K208" i="8"/>
  <c r="K212" i="8"/>
  <c r="K216" i="8"/>
  <c r="K220" i="8"/>
  <c r="K224" i="8"/>
  <c r="K228" i="8"/>
  <c r="K232" i="8"/>
  <c r="K236" i="8"/>
  <c r="K240" i="8"/>
  <c r="K244" i="8"/>
  <c r="K248" i="8"/>
  <c r="K252" i="8"/>
  <c r="K53" i="8"/>
  <c r="K57" i="8"/>
  <c r="K61" i="8"/>
  <c r="K65" i="8"/>
  <c r="K69" i="8"/>
  <c r="K73" i="8"/>
  <c r="K77" i="8"/>
  <c r="K81" i="8"/>
  <c r="K85" i="8"/>
  <c r="K89" i="8"/>
  <c r="K93" i="8"/>
  <c r="K97" i="8"/>
  <c r="K101" i="8"/>
  <c r="K105" i="8"/>
  <c r="K109" i="8"/>
  <c r="K113" i="8"/>
  <c r="K117" i="8"/>
  <c r="K121" i="8"/>
  <c r="K125" i="8"/>
  <c r="K129" i="8"/>
  <c r="K133" i="8"/>
  <c r="K137" i="8"/>
  <c r="K141" i="8"/>
  <c r="K145" i="8"/>
  <c r="K149" i="8"/>
  <c r="K153" i="8"/>
  <c r="K157" i="8"/>
  <c r="K161" i="8"/>
  <c r="K165" i="8"/>
  <c r="K169" i="8"/>
  <c r="K173" i="8"/>
  <c r="K177" i="8"/>
  <c r="K181" i="8"/>
  <c r="K185" i="8"/>
  <c r="K189" i="8"/>
  <c r="K193" i="8"/>
  <c r="K197" i="8"/>
  <c r="K201" i="8"/>
  <c r="K205" i="8"/>
  <c r="K209" i="8"/>
  <c r="K213" i="8"/>
  <c r="K217" i="8"/>
  <c r="K221" i="8"/>
  <c r="K225" i="8"/>
  <c r="K229" i="8"/>
  <c r="K233" i="8"/>
  <c r="K237" i="8"/>
  <c r="K241" i="8"/>
  <c r="K245" i="8"/>
  <c r="K249" i="8"/>
  <c r="K253" i="8"/>
  <c r="K413" i="8"/>
  <c r="K417" i="8"/>
  <c r="K414" i="8"/>
  <c r="K418" i="8"/>
  <c r="K415" i="8"/>
  <c r="K412" i="8"/>
  <c r="K416" i="8"/>
  <c r="K377" i="8"/>
  <c r="K381" i="8"/>
  <c r="K385" i="8"/>
  <c r="K389" i="8"/>
  <c r="K393" i="8"/>
  <c r="K397" i="8"/>
  <c r="K401" i="8"/>
  <c r="K405" i="8"/>
  <c r="K374" i="8"/>
  <c r="K378" i="8"/>
  <c r="K382" i="8"/>
  <c r="K386" i="8"/>
  <c r="K390" i="8"/>
  <c r="K394" i="8"/>
  <c r="K398" i="8"/>
  <c r="K402" i="8"/>
  <c r="K406" i="8"/>
  <c r="K375" i="8"/>
  <c r="K379" i="8"/>
  <c r="K383" i="8"/>
  <c r="K387" i="8"/>
  <c r="K391" i="8"/>
  <c r="K395" i="8"/>
  <c r="K399" i="8"/>
  <c r="K403" i="8"/>
  <c r="K407" i="8"/>
  <c r="K376" i="8"/>
  <c r="K380" i="8"/>
  <c r="K384" i="8"/>
  <c r="K388" i="8"/>
  <c r="K392" i="8"/>
  <c r="K396" i="8"/>
  <c r="K400" i="8"/>
  <c r="K404" i="8"/>
  <c r="K330" i="8"/>
  <c r="K331" i="8"/>
  <c r="K335" i="8"/>
  <c r="K339" i="8"/>
  <c r="K343" i="8"/>
  <c r="K347" i="8"/>
  <c r="K351" i="8"/>
  <c r="K355" i="8"/>
  <c r="K359" i="8"/>
  <c r="K363" i="8"/>
  <c r="K367" i="8"/>
  <c r="K332" i="8"/>
  <c r="K336" i="8"/>
  <c r="K340" i="8"/>
  <c r="K344" i="8"/>
  <c r="K348" i="8"/>
  <c r="K352" i="8"/>
  <c r="K356" i="8"/>
  <c r="K360" i="8"/>
  <c r="K364" i="8"/>
  <c r="K329" i="8"/>
  <c r="K333" i="8"/>
  <c r="K337" i="8"/>
  <c r="K341" i="8"/>
  <c r="K345" i="8"/>
  <c r="K349" i="8"/>
  <c r="K353" i="8"/>
  <c r="K357" i="8"/>
  <c r="K361" i="8"/>
  <c r="K346" i="8"/>
  <c r="K362" i="8"/>
  <c r="K369" i="8"/>
  <c r="K334" i="8"/>
  <c r="K350" i="8"/>
  <c r="K365" i="8"/>
  <c r="K338" i="8"/>
  <c r="K354" i="8"/>
  <c r="K366" i="8"/>
  <c r="K342" i="8"/>
  <c r="K358" i="8"/>
  <c r="K368" i="8"/>
  <c r="E178" i="6"/>
  <c r="H174" i="6"/>
  <c r="H178" i="6" s="1"/>
  <c r="A121" i="23"/>
  <c r="D18" i="23" l="1"/>
  <c r="E18" i="23" s="1"/>
  <c r="A154" i="9"/>
  <c r="H23" i="11"/>
  <c r="H47" i="11" s="1"/>
  <c r="H50" i="11" s="1"/>
  <c r="J24" i="11"/>
  <c r="M24" i="11" s="1"/>
  <c r="H156" i="9"/>
  <c r="I156" i="9"/>
  <c r="M51" i="11"/>
  <c r="K455" i="8"/>
  <c r="K461" i="8"/>
  <c r="K454" i="8"/>
  <c r="K459" i="8"/>
  <c r="K457" i="8"/>
  <c r="K456" i="8"/>
  <c r="K460" i="8"/>
  <c r="K458" i="8"/>
  <c r="K443" i="8"/>
  <c r="K444" i="8"/>
  <c r="E191" i="6"/>
  <c r="F191" i="6" s="1"/>
  <c r="J34" i="11"/>
  <c r="I49" i="11"/>
  <c r="A122" i="23"/>
  <c r="B18" i="23" l="1"/>
  <c r="C19" i="23" s="1"/>
  <c r="D19" i="23" s="1"/>
  <c r="B19" i="23" s="1"/>
  <c r="C20" i="23" s="1"/>
  <c r="D20" i="23" s="1"/>
  <c r="I52" i="11"/>
  <c r="I56" i="11" s="1"/>
  <c r="I59" i="11" s="1"/>
  <c r="I61" i="11" s="1"/>
  <c r="I21" i="11"/>
  <c r="H49" i="11"/>
  <c r="J23" i="11"/>
  <c r="M23" i="11" s="1"/>
  <c r="L47" i="11"/>
  <c r="L49" i="11" s="1"/>
  <c r="L23" i="11"/>
  <c r="J47" i="11"/>
  <c r="M47" i="11" s="1"/>
  <c r="J50" i="11"/>
  <c r="M50" i="11" s="1"/>
  <c r="L50" i="11"/>
  <c r="C1003" i="8"/>
  <c r="C1007" i="8"/>
  <c r="C1014" i="8"/>
  <c r="C1004" i="8"/>
  <c r="C1006" i="8"/>
  <c r="C191" i="6"/>
  <c r="J65" i="11" s="1"/>
  <c r="M71" i="11"/>
  <c r="C1012" i="8"/>
  <c r="C1015" i="8"/>
  <c r="C1011" i="8"/>
  <c r="C1013" i="8"/>
  <c r="C1005" i="8"/>
  <c r="E192" i="6"/>
  <c r="C197" i="6" s="1"/>
  <c r="F192" i="6"/>
  <c r="M34" i="11"/>
  <c r="A123" i="23"/>
  <c r="E20" i="23" l="1"/>
  <c r="E19" i="23"/>
  <c r="B20" i="23"/>
  <c r="C21" i="23" s="1"/>
  <c r="D21" i="23" s="1"/>
  <c r="B21" i="23" s="1"/>
  <c r="C22" i="23" s="1"/>
  <c r="D22" i="23" s="1"/>
  <c r="B22" i="23" s="1"/>
  <c r="C23" i="23" s="1"/>
  <c r="H52" i="11"/>
  <c r="H56" i="11" s="1"/>
  <c r="L56" i="11" s="1"/>
  <c r="H21" i="11"/>
  <c r="J49" i="11"/>
  <c r="J21" i="11" s="1"/>
  <c r="M49" i="11"/>
  <c r="M52" i="11" s="1"/>
  <c r="L52" i="11"/>
  <c r="C1008" i="8"/>
  <c r="C1016" i="8"/>
  <c r="C201" i="6"/>
  <c r="D201" i="6" s="1"/>
  <c r="A124" i="23"/>
  <c r="E21" i="23" l="1"/>
  <c r="L21" i="11"/>
  <c r="L22" i="11" s="1"/>
  <c r="H22" i="11"/>
  <c r="H59" i="11"/>
  <c r="L59" i="11" s="1"/>
  <c r="J52" i="11"/>
  <c r="J56" i="11" s="1"/>
  <c r="M56" i="11" s="1"/>
  <c r="C1018" i="8"/>
  <c r="M21" i="11"/>
  <c r="M22" i="11" s="1"/>
  <c r="J22" i="11"/>
  <c r="D23" i="23"/>
  <c r="E22" i="23"/>
  <c r="A125" i="23"/>
  <c r="H61" i="11" l="1"/>
  <c r="L61" i="11" s="1"/>
  <c r="H25" i="11"/>
  <c r="H76" i="11"/>
  <c r="L76" i="11"/>
  <c r="L25" i="11"/>
  <c r="L77" i="11" s="1"/>
  <c r="J59" i="11"/>
  <c r="M59" i="11" s="1"/>
  <c r="I22" i="11"/>
  <c r="I76" i="11" s="1"/>
  <c r="J76" i="11"/>
  <c r="J25" i="11"/>
  <c r="J77" i="11" s="1"/>
  <c r="M25" i="11"/>
  <c r="M77" i="11" s="1"/>
  <c r="M76" i="11"/>
  <c r="B23" i="23"/>
  <c r="C24" i="23" s="1"/>
  <c r="D24" i="23" s="1"/>
  <c r="E24" i="23" s="1"/>
  <c r="E23" i="23"/>
  <c r="A126" i="23"/>
  <c r="H54" i="11" l="1"/>
  <c r="H77" i="11"/>
  <c r="J61" i="11"/>
  <c r="J67" i="11" s="1"/>
  <c r="I25" i="11"/>
  <c r="I77" i="11" s="1"/>
  <c r="B24" i="23"/>
  <c r="C25" i="23" s="1"/>
  <c r="D25" i="23" s="1"/>
  <c r="E25" i="23" s="1"/>
  <c r="A127" i="23"/>
  <c r="M61" i="11" l="1"/>
  <c r="B25" i="23"/>
  <c r="C26" i="23" s="1"/>
  <c r="A128" i="23"/>
  <c r="D26" i="23" l="1"/>
  <c r="B26" i="23" s="1"/>
  <c r="A129" i="23"/>
  <c r="E26" i="23" l="1"/>
  <c r="C27" i="23"/>
  <c r="A130" i="23"/>
  <c r="D27" i="23" l="1"/>
  <c r="B27" i="23" s="1"/>
  <c r="A131" i="23"/>
  <c r="C28" i="23" l="1"/>
  <c r="E27" i="23"/>
  <c r="A132" i="23"/>
  <c r="D28" i="23" l="1"/>
  <c r="B28" i="23" s="1"/>
  <c r="A133" i="23"/>
  <c r="C29" i="23" l="1"/>
  <c r="E28" i="23"/>
  <c r="A134" i="23"/>
  <c r="D29" i="23" l="1"/>
  <c r="B29" i="23" s="1"/>
  <c r="A135" i="23"/>
  <c r="C30" i="23" l="1"/>
  <c r="E29" i="23"/>
  <c r="A136" i="23"/>
  <c r="D30" i="23" l="1"/>
  <c r="B30" i="23" s="1"/>
  <c r="A137" i="23"/>
  <c r="C31" i="23" l="1"/>
  <c r="E30" i="23"/>
  <c r="A138" i="23"/>
  <c r="D31" i="23" l="1"/>
  <c r="B31" i="23" s="1"/>
  <c r="D138" i="23"/>
  <c r="A139" i="23"/>
  <c r="C32" i="23" l="1"/>
  <c r="E31" i="23"/>
  <c r="D139" i="23"/>
  <c r="A140" i="23"/>
  <c r="D32" i="23" l="1"/>
  <c r="B32" i="23" s="1"/>
  <c r="D140" i="23"/>
  <c r="A141" i="23"/>
  <c r="C33" i="23" l="1"/>
  <c r="E32" i="23"/>
  <c r="D141" i="23"/>
  <c r="A142" i="23"/>
  <c r="D33" i="23" l="1"/>
  <c r="B33" i="23" s="1"/>
  <c r="D142" i="23"/>
  <c r="A143" i="23"/>
  <c r="C34" i="23" l="1"/>
  <c r="E33" i="23"/>
  <c r="D143" i="23"/>
  <c r="A144" i="23"/>
  <c r="D34" i="23" l="1"/>
  <c r="B34" i="23" s="1"/>
  <c r="D144" i="23"/>
  <c r="A145" i="23"/>
  <c r="C35" i="23" l="1"/>
  <c r="E34" i="23"/>
  <c r="D145" i="23"/>
  <c r="A146" i="23"/>
  <c r="D35" i="23" l="1"/>
  <c r="B35" i="23" s="1"/>
  <c r="D146" i="23"/>
  <c r="A147" i="23"/>
  <c r="C36" i="23" l="1"/>
  <c r="E35" i="23"/>
  <c r="D147" i="23"/>
  <c r="A148" i="23"/>
  <c r="D36" i="23" l="1"/>
  <c r="B36" i="23" s="1"/>
  <c r="D148" i="23"/>
  <c r="A149" i="23"/>
  <c r="C37" i="23" l="1"/>
  <c r="E36" i="23"/>
  <c r="D149" i="23"/>
  <c r="A150" i="23"/>
  <c r="D37" i="23" l="1"/>
  <c r="B37" i="23" s="1"/>
  <c r="D150" i="23"/>
  <c r="A151" i="23"/>
  <c r="C38" i="23" l="1"/>
  <c r="E37" i="23"/>
  <c r="D151" i="23"/>
  <c r="A152" i="23"/>
  <c r="D38" i="23" l="1"/>
  <c r="B38" i="23" s="1"/>
  <c r="D152" i="23"/>
  <c r="A153" i="23"/>
  <c r="C39" i="23" l="1"/>
  <c r="E38" i="23"/>
  <c r="D153" i="23"/>
  <c r="A154" i="23"/>
  <c r="D39" i="23" l="1"/>
  <c r="B39" i="23" s="1"/>
  <c r="D154" i="23"/>
  <c r="A155" i="23"/>
  <c r="C40" i="23" l="1"/>
  <c r="E39" i="23"/>
  <c r="D155" i="23"/>
  <c r="A156" i="23"/>
  <c r="D40" i="23" l="1"/>
  <c r="B40" i="23" s="1"/>
  <c r="D156" i="23"/>
  <c r="A157" i="23"/>
  <c r="C41" i="23" l="1"/>
  <c r="E40" i="23"/>
  <c r="D157" i="23"/>
  <c r="A158" i="23"/>
  <c r="D41" i="23" l="1"/>
  <c r="B41" i="23" s="1"/>
  <c r="D158" i="23"/>
  <c r="A159" i="23"/>
  <c r="C42" i="23" l="1"/>
  <c r="E41" i="23"/>
  <c r="D159" i="23"/>
  <c r="A160" i="23"/>
  <c r="D42" i="23" l="1"/>
  <c r="B42" i="23" s="1"/>
  <c r="C43" i="23" s="1"/>
  <c r="D160" i="23"/>
  <c r="A161" i="23"/>
  <c r="E42" i="23" l="1"/>
  <c r="D43" i="23"/>
  <c r="B43" i="23" s="1"/>
  <c r="C44" i="23" s="1"/>
  <c r="D161" i="23"/>
  <c r="A162" i="23"/>
  <c r="E43" i="23" l="1"/>
  <c r="D44" i="23"/>
  <c r="B44" i="23" s="1"/>
  <c r="C45" i="23" s="1"/>
  <c r="D162" i="23"/>
  <c r="A163" i="23"/>
  <c r="E44" i="23" l="1"/>
  <c r="D45" i="23"/>
  <c r="B45" i="23" s="1"/>
  <c r="C46" i="23" s="1"/>
  <c r="D163" i="23"/>
  <c r="A164" i="23"/>
  <c r="E45" i="23" l="1"/>
  <c r="D46" i="23"/>
  <c r="B46" i="23" s="1"/>
  <c r="C47" i="23" s="1"/>
  <c r="D164" i="23"/>
  <c r="A165" i="23"/>
  <c r="E46" i="23" l="1"/>
  <c r="D47" i="23"/>
  <c r="B47" i="23" s="1"/>
  <c r="C48" i="23" s="1"/>
  <c r="D165" i="23"/>
  <c r="A166" i="23"/>
  <c r="D48" i="23" l="1"/>
  <c r="B48" i="23" s="1"/>
  <c r="C49" i="23" s="1"/>
  <c r="E47" i="23"/>
  <c r="D166" i="23"/>
  <c r="A167" i="23"/>
  <c r="E48" i="23" l="1"/>
  <c r="D49" i="23"/>
  <c r="E49" i="23" s="1"/>
  <c r="D167" i="23"/>
  <c r="A168" i="23"/>
  <c r="B49" i="23" l="1"/>
  <c r="C50" i="23" s="1"/>
  <c r="D50" i="23" s="1"/>
  <c r="B50" i="23" s="1"/>
  <c r="D168" i="23"/>
  <c r="A169" i="23"/>
  <c r="E50" i="23" l="1"/>
  <c r="C51" i="23"/>
  <c r="D169" i="23"/>
  <c r="A170" i="23"/>
  <c r="D51" i="23" l="1"/>
  <c r="B51" i="23" s="1"/>
  <c r="D170" i="23"/>
  <c r="A171" i="23"/>
  <c r="E51" i="23" l="1"/>
  <c r="C52" i="23"/>
  <c r="D171" i="23"/>
  <c r="A172" i="23"/>
  <c r="D52" i="23" l="1"/>
  <c r="B52" i="23" s="1"/>
  <c r="D172" i="23"/>
  <c r="A173" i="23"/>
  <c r="E52" i="23" l="1"/>
  <c r="C53" i="23"/>
  <c r="D173" i="23"/>
  <c r="A174" i="23"/>
  <c r="D53" i="23" l="1"/>
  <c r="B53" i="23" s="1"/>
  <c r="D174" i="23"/>
  <c r="A175" i="23"/>
  <c r="E53" i="23" l="1"/>
  <c r="C54" i="23"/>
  <c r="D175" i="23"/>
  <c r="A176" i="23"/>
  <c r="D54" i="23" l="1"/>
  <c r="B54" i="23" s="1"/>
  <c r="C55" i="23" s="1"/>
  <c r="D176" i="23"/>
  <c r="A177" i="23"/>
  <c r="E54" i="23" l="1"/>
  <c r="D55" i="23"/>
  <c r="B55" i="23" s="1"/>
  <c r="C56" i="23" s="1"/>
  <c r="D177" i="23"/>
  <c r="A178" i="23"/>
  <c r="D56" i="23" l="1"/>
  <c r="B56" i="23" s="1"/>
  <c r="C57" i="23" s="1"/>
  <c r="E55" i="23"/>
  <c r="D178" i="23"/>
  <c r="A179" i="23"/>
  <c r="E56" i="23" l="1"/>
  <c r="D57" i="23"/>
  <c r="E57" i="23" s="1"/>
  <c r="D179" i="23"/>
  <c r="A180" i="23"/>
  <c r="B57" i="23" l="1"/>
  <c r="D180" i="23"/>
  <c r="A181" i="23"/>
  <c r="C58" i="23" l="1"/>
  <c r="D181" i="23"/>
  <c r="A182" i="23"/>
  <c r="D58" i="23" l="1"/>
  <c r="B58" i="23" s="1"/>
  <c r="D182" i="23"/>
  <c r="A183" i="23"/>
  <c r="E58" i="23" l="1"/>
  <c r="C59" i="23"/>
  <c r="D183" i="23"/>
  <c r="A184" i="23"/>
  <c r="D59" i="23" l="1"/>
  <c r="B59" i="23" s="1"/>
  <c r="D184" i="23"/>
  <c r="A185" i="23"/>
  <c r="E59" i="23" l="1"/>
  <c r="C60" i="23"/>
  <c r="D185" i="23"/>
  <c r="A186" i="23"/>
  <c r="D60" i="23" l="1"/>
  <c r="B60" i="23" s="1"/>
  <c r="D186" i="23"/>
  <c r="A187" i="23"/>
  <c r="E60" i="23" l="1"/>
  <c r="C61" i="23"/>
  <c r="D187" i="23"/>
  <c r="A188" i="23"/>
  <c r="D61" i="23" l="1"/>
  <c r="B61" i="23" s="1"/>
  <c r="D188" i="23"/>
  <c r="A189" i="23"/>
  <c r="E61" i="23" l="1"/>
  <c r="C62" i="23"/>
  <c r="D189" i="23"/>
  <c r="A190" i="23"/>
  <c r="D62" i="23" l="1"/>
  <c r="B62" i="23" s="1"/>
  <c r="D190" i="23"/>
  <c r="A191" i="23"/>
  <c r="E62" i="23" l="1"/>
  <c r="C63" i="23"/>
  <c r="D191" i="23"/>
  <c r="A192" i="23"/>
  <c r="D63" i="23" l="1"/>
  <c r="B63" i="23" s="1"/>
  <c r="D192" i="23"/>
  <c r="A193" i="23"/>
  <c r="E63" i="23" l="1"/>
  <c r="C64" i="23"/>
  <c r="D193" i="23"/>
  <c r="A194" i="23"/>
  <c r="D64" i="23" l="1"/>
  <c r="B64" i="23" s="1"/>
  <c r="D194" i="23"/>
  <c r="A195" i="23"/>
  <c r="E64" i="23" l="1"/>
  <c r="C65" i="23"/>
  <c r="D195" i="23"/>
  <c r="A196" i="23"/>
  <c r="D65" i="23" l="1"/>
  <c r="B65" i="23" s="1"/>
  <c r="D196" i="23"/>
  <c r="A197" i="23"/>
  <c r="E65" i="23" l="1"/>
  <c r="C66" i="23"/>
  <c r="D197" i="23"/>
  <c r="A198" i="23"/>
  <c r="D66" i="23" l="1"/>
  <c r="B66" i="23" s="1"/>
  <c r="D198" i="23"/>
  <c r="A199" i="23"/>
  <c r="E66" i="23" l="1"/>
  <c r="C67" i="23"/>
  <c r="D199" i="23"/>
  <c r="A200" i="23"/>
  <c r="D67" i="23" l="1"/>
  <c r="B67" i="23" s="1"/>
  <c r="D200" i="23"/>
  <c r="A201" i="23"/>
  <c r="E67" i="23" l="1"/>
  <c r="C68" i="23"/>
  <c r="D201" i="23"/>
  <c r="A202" i="23"/>
  <c r="D68" i="23" l="1"/>
  <c r="B68" i="23" s="1"/>
  <c r="D202" i="23"/>
  <c r="A203" i="23"/>
  <c r="E68" i="23" l="1"/>
  <c r="C69" i="23"/>
  <c r="D203" i="23"/>
  <c r="A204" i="23"/>
  <c r="D69" i="23" l="1"/>
  <c r="B69" i="23" s="1"/>
  <c r="D204" i="23"/>
  <c r="A205" i="23"/>
  <c r="E69" i="23" l="1"/>
  <c r="C70" i="23"/>
  <c r="D205" i="23"/>
  <c r="A206" i="23"/>
  <c r="D70" i="23" l="1"/>
  <c r="B70" i="23" s="1"/>
  <c r="D206" i="23"/>
  <c r="A207" i="23"/>
  <c r="E70" i="23" l="1"/>
  <c r="C71" i="23"/>
  <c r="D207" i="23"/>
  <c r="A208" i="23"/>
  <c r="D71" i="23" l="1"/>
  <c r="B71" i="23" s="1"/>
  <c r="D208" i="23"/>
  <c r="A209" i="23"/>
  <c r="E71" i="23" l="1"/>
  <c r="C72" i="23"/>
  <c r="D209" i="23"/>
  <c r="A210" i="23"/>
  <c r="D72" i="23" l="1"/>
  <c r="B72" i="23" s="1"/>
  <c r="D210" i="23"/>
  <c r="A211" i="23"/>
  <c r="E72" i="23" l="1"/>
  <c r="C73" i="23"/>
  <c r="D211" i="23"/>
  <c r="A212" i="23"/>
  <c r="D73" i="23" l="1"/>
  <c r="B73" i="23" s="1"/>
  <c r="D212" i="23"/>
  <c r="A213" i="23"/>
  <c r="E73" i="23" l="1"/>
  <c r="C74" i="23"/>
  <c r="D213" i="23"/>
  <c r="A214" i="23"/>
  <c r="D74" i="23" l="1"/>
  <c r="B74" i="23" s="1"/>
  <c r="D214" i="23"/>
  <c r="A215" i="23"/>
  <c r="E74" i="23" l="1"/>
  <c r="C75" i="23"/>
  <c r="D215" i="23"/>
  <c r="A216" i="23"/>
  <c r="D75" i="23" l="1"/>
  <c r="B75" i="23" s="1"/>
  <c r="D216" i="23"/>
  <c r="A217" i="23"/>
  <c r="E75" i="23" l="1"/>
  <c r="C76" i="23"/>
  <c r="D217" i="23"/>
  <c r="A218" i="23"/>
  <c r="D76" i="23" l="1"/>
  <c r="B76" i="23" s="1"/>
  <c r="D218" i="23"/>
  <c r="A219" i="23"/>
  <c r="E76" i="23" l="1"/>
  <c r="C77" i="23"/>
  <c r="D219" i="23"/>
  <c r="A220" i="23"/>
  <c r="D77" i="23" l="1"/>
  <c r="B77" i="23" s="1"/>
  <c r="D220" i="23"/>
  <c r="A221" i="23"/>
  <c r="E77" i="23" l="1"/>
  <c r="C78" i="23"/>
  <c r="D221" i="23"/>
  <c r="A222" i="23"/>
  <c r="D78" i="23" l="1"/>
  <c r="B78" i="23" s="1"/>
  <c r="D222" i="23"/>
  <c r="A223" i="23"/>
  <c r="E78" i="23" l="1"/>
  <c r="C79" i="23"/>
  <c r="D223" i="23"/>
  <c r="A224" i="23"/>
  <c r="D79" i="23" l="1"/>
  <c r="B79" i="23" s="1"/>
  <c r="D224" i="23"/>
  <c r="A225" i="23"/>
  <c r="E79" i="23" l="1"/>
  <c r="C80" i="23"/>
  <c r="D225" i="23"/>
  <c r="A226" i="23"/>
  <c r="D80" i="23" l="1"/>
  <c r="B80" i="23" s="1"/>
  <c r="D226" i="23"/>
  <c r="A227" i="23"/>
  <c r="E80" i="23" l="1"/>
  <c r="C81" i="23"/>
  <c r="D227" i="23"/>
  <c r="A228" i="23"/>
  <c r="D81" i="23" l="1"/>
  <c r="B81" i="23" s="1"/>
  <c r="D228" i="23"/>
  <c r="A229" i="23"/>
  <c r="E81" i="23" l="1"/>
  <c r="C82" i="23"/>
  <c r="D229" i="23"/>
  <c r="A230" i="23"/>
  <c r="D82" i="23" l="1"/>
  <c r="B82" i="23" s="1"/>
  <c r="D230" i="23"/>
  <c r="A231" i="23"/>
  <c r="E82" i="23" l="1"/>
  <c r="C83" i="23"/>
  <c r="D231" i="23"/>
  <c r="A232" i="23"/>
  <c r="D83" i="23" l="1"/>
  <c r="B83" i="23" s="1"/>
  <c r="D232" i="23"/>
  <c r="A233" i="23"/>
  <c r="E83" i="23" l="1"/>
  <c r="C84" i="23"/>
  <c r="D233" i="23"/>
  <c r="A234" i="23"/>
  <c r="D84" i="23" l="1"/>
  <c r="B84" i="23" s="1"/>
  <c r="D234" i="23"/>
  <c r="A235" i="23"/>
  <c r="E84" i="23" l="1"/>
  <c r="C85" i="23"/>
  <c r="D235" i="23"/>
  <c r="A236" i="23"/>
  <c r="D85" i="23" l="1"/>
  <c r="B85" i="23" s="1"/>
  <c r="D236" i="23"/>
  <c r="A237" i="23"/>
  <c r="E85" i="23" l="1"/>
  <c r="C86" i="23"/>
  <c r="D237" i="23"/>
  <c r="A238" i="23"/>
  <c r="D86" i="23" l="1"/>
  <c r="B86" i="23" s="1"/>
  <c r="D238" i="23"/>
  <c r="A239" i="23"/>
  <c r="E86" i="23" l="1"/>
  <c r="C87" i="23"/>
  <c r="D239" i="23"/>
  <c r="A240" i="23"/>
  <c r="D87" i="23" l="1"/>
  <c r="B87" i="23" s="1"/>
  <c r="D240" i="23"/>
  <c r="A241" i="23"/>
  <c r="E87" i="23" l="1"/>
  <c r="C88" i="23"/>
  <c r="D241" i="23"/>
  <c r="A242" i="23"/>
  <c r="D88" i="23" l="1"/>
  <c r="B88" i="23" s="1"/>
  <c r="D242" i="23"/>
  <c r="A243" i="23"/>
  <c r="E88" i="23" l="1"/>
  <c r="C89" i="23"/>
  <c r="D243" i="23"/>
  <c r="A244" i="23"/>
  <c r="D89" i="23" l="1"/>
  <c r="B89" i="23" s="1"/>
  <c r="D244" i="23"/>
  <c r="A245" i="23"/>
  <c r="E89" i="23" l="1"/>
  <c r="C90" i="23"/>
  <c r="D245" i="23"/>
  <c r="A246" i="23"/>
  <c r="D90" i="23" l="1"/>
  <c r="B90" i="23" s="1"/>
  <c r="D246" i="23"/>
  <c r="A247" i="23"/>
  <c r="E90" i="23" l="1"/>
  <c r="C91" i="23"/>
  <c r="D247" i="23"/>
  <c r="A248" i="23"/>
  <c r="D91" i="23" l="1"/>
  <c r="B91" i="23" s="1"/>
  <c r="D248" i="23"/>
  <c r="A249" i="23"/>
  <c r="E91" i="23" l="1"/>
  <c r="C92" i="23"/>
  <c r="D249" i="23"/>
  <c r="A250" i="23"/>
  <c r="D92" i="23" l="1"/>
  <c r="B92" i="23" s="1"/>
  <c r="D250" i="23"/>
  <c r="A251" i="23"/>
  <c r="E92" i="23" l="1"/>
  <c r="C93" i="23"/>
  <c r="D251" i="23"/>
  <c r="A252" i="23"/>
  <c r="D93" i="23" l="1"/>
  <c r="B93" i="23" s="1"/>
  <c r="D252" i="23"/>
  <c r="A253" i="23"/>
  <c r="E93" i="23" l="1"/>
  <c r="C94" i="23"/>
  <c r="D253" i="23"/>
  <c r="A254" i="23"/>
  <c r="D94" i="23" l="1"/>
  <c r="B94" i="23" s="1"/>
  <c r="D254" i="23"/>
  <c r="A255" i="23"/>
  <c r="E94" i="23" l="1"/>
  <c r="C95" i="23"/>
  <c r="D255" i="23"/>
  <c r="A256" i="23"/>
  <c r="D95" i="23" l="1"/>
  <c r="B95" i="23" s="1"/>
  <c r="D256" i="23"/>
  <c r="A257" i="23"/>
  <c r="E95" i="23" l="1"/>
  <c r="C96" i="23"/>
  <c r="D257" i="23"/>
  <c r="A258" i="23"/>
  <c r="D96" i="23" l="1"/>
  <c r="B96" i="23" s="1"/>
  <c r="D258" i="23"/>
  <c r="A259" i="23"/>
  <c r="E96" i="23" l="1"/>
  <c r="C97" i="23"/>
  <c r="D259" i="23"/>
  <c r="A260" i="23"/>
  <c r="D97" i="23" l="1"/>
  <c r="B97" i="23" s="1"/>
  <c r="D260" i="23"/>
  <c r="A261" i="23"/>
  <c r="E97" i="23" l="1"/>
  <c r="C98" i="23"/>
  <c r="D261" i="23"/>
  <c r="A262" i="23"/>
  <c r="D98" i="23" l="1"/>
  <c r="B98" i="23" s="1"/>
  <c r="D262" i="23"/>
  <c r="A263" i="23"/>
  <c r="E98" i="23" l="1"/>
  <c r="C99" i="23"/>
  <c r="D263" i="23"/>
  <c r="A264" i="23"/>
  <c r="D99" i="23" l="1"/>
  <c r="B99" i="23" s="1"/>
  <c r="D264" i="23"/>
  <c r="A265" i="23"/>
  <c r="E99" i="23" l="1"/>
  <c r="C100" i="23"/>
  <c r="D265" i="23"/>
  <c r="A266" i="23"/>
  <c r="D100" i="23" l="1"/>
  <c r="B100" i="23" s="1"/>
  <c r="D266" i="23"/>
  <c r="A267" i="23"/>
  <c r="E100" i="23" l="1"/>
  <c r="C101" i="23"/>
  <c r="D267" i="23"/>
  <c r="A268" i="23"/>
  <c r="D101" i="23" l="1"/>
  <c r="B101" i="23" s="1"/>
  <c r="D268" i="23"/>
  <c r="A269" i="23"/>
  <c r="E101" i="23" l="1"/>
  <c r="C102" i="23"/>
  <c r="D269" i="23"/>
  <c r="A270" i="23"/>
  <c r="D102" i="23" l="1"/>
  <c r="B102" i="23" s="1"/>
  <c r="D270" i="23"/>
  <c r="A271" i="23"/>
  <c r="E102" i="23" l="1"/>
  <c r="C103" i="23"/>
  <c r="D271" i="23"/>
  <c r="A272" i="23"/>
  <c r="D103" i="23" l="1"/>
  <c r="B103" i="23" s="1"/>
  <c r="D272" i="23"/>
  <c r="A273" i="23"/>
  <c r="E103" i="23" l="1"/>
  <c r="C104" i="23"/>
  <c r="D273" i="23"/>
  <c r="A274" i="23"/>
  <c r="D104" i="23" l="1"/>
  <c r="B104" i="23" s="1"/>
  <c r="D274" i="23"/>
  <c r="A275" i="23"/>
  <c r="E104" i="23" l="1"/>
  <c r="C105" i="23"/>
  <c r="D275" i="23"/>
  <c r="A276" i="23"/>
  <c r="D105" i="23" l="1"/>
  <c r="B105" i="23" s="1"/>
  <c r="D276" i="23"/>
  <c r="A277" i="23"/>
  <c r="E105" i="23" l="1"/>
  <c r="C106" i="23"/>
  <c r="D277" i="23"/>
  <c r="A278" i="23"/>
  <c r="D106" i="23" l="1"/>
  <c r="B106" i="23" s="1"/>
  <c r="D278" i="23"/>
  <c r="A279" i="23"/>
  <c r="E106" i="23" l="1"/>
  <c r="C107" i="23"/>
  <c r="D279" i="23"/>
  <c r="A280" i="23"/>
  <c r="D107" i="23" l="1"/>
  <c r="B107" i="23" s="1"/>
  <c r="D280" i="23"/>
  <c r="A281" i="23"/>
  <c r="E107" i="23" l="1"/>
  <c r="C108" i="23"/>
  <c r="D281" i="23"/>
  <c r="A282" i="23"/>
  <c r="D108" i="23" l="1"/>
  <c r="B108" i="23" s="1"/>
  <c r="D282" i="23"/>
  <c r="A283" i="23"/>
  <c r="E108" i="23" l="1"/>
  <c r="C109" i="23"/>
  <c r="D283" i="23"/>
  <c r="A284" i="23"/>
  <c r="D109" i="23" l="1"/>
  <c r="B109" i="23" s="1"/>
  <c r="D284" i="23"/>
  <c r="A285" i="23"/>
  <c r="E109" i="23" l="1"/>
  <c r="C110" i="23"/>
  <c r="D285" i="23"/>
  <c r="A286" i="23"/>
  <c r="D110" i="23" l="1"/>
  <c r="B110" i="23" s="1"/>
  <c r="D286" i="23"/>
  <c r="A287" i="23"/>
  <c r="E110" i="23" l="1"/>
  <c r="C111" i="23"/>
  <c r="D287" i="23"/>
  <c r="A288" i="23"/>
  <c r="D111" i="23" l="1"/>
  <c r="B111" i="23" s="1"/>
  <c r="D288" i="23"/>
  <c r="A289" i="23"/>
  <c r="E111" i="23" l="1"/>
  <c r="C112" i="23"/>
  <c r="D289" i="23"/>
  <c r="A290" i="23"/>
  <c r="D112" i="23" l="1"/>
  <c r="B112" i="23" s="1"/>
  <c r="D290" i="23"/>
  <c r="A291" i="23"/>
  <c r="E112" i="23" l="1"/>
  <c r="C113" i="23"/>
  <c r="D291" i="23"/>
  <c r="A292" i="23"/>
  <c r="D113" i="23" l="1"/>
  <c r="B113" i="23" s="1"/>
  <c r="D292" i="23"/>
  <c r="A293" i="23"/>
  <c r="E113" i="23" l="1"/>
  <c r="C114" i="23"/>
  <c r="D293" i="23"/>
  <c r="A294" i="23"/>
  <c r="D114" i="23" l="1"/>
  <c r="B114" i="23" s="1"/>
  <c r="D294" i="23"/>
  <c r="A295" i="23"/>
  <c r="E114" i="23" l="1"/>
  <c r="C115" i="23"/>
  <c r="D295" i="23"/>
  <c r="A296" i="23"/>
  <c r="D115" i="23" l="1"/>
  <c r="B115" i="23" s="1"/>
  <c r="D296" i="23"/>
  <c r="A297" i="23"/>
  <c r="E115" i="23" l="1"/>
  <c r="C116" i="23"/>
  <c r="D297" i="23"/>
  <c r="A298" i="23"/>
  <c r="D116" i="23" l="1"/>
  <c r="B116" i="23" s="1"/>
  <c r="D298" i="23"/>
  <c r="A299" i="23"/>
  <c r="E116" i="23" l="1"/>
  <c r="C117" i="23"/>
  <c r="D299" i="23"/>
  <c r="A300" i="23"/>
  <c r="D117" i="23" l="1"/>
  <c r="B117" i="23" s="1"/>
  <c r="D300" i="23"/>
  <c r="A301" i="23"/>
  <c r="E117" i="23" l="1"/>
  <c r="C118" i="23"/>
  <c r="D301" i="23"/>
  <c r="A302" i="23"/>
  <c r="D118" i="23" l="1"/>
  <c r="B118" i="23" s="1"/>
  <c r="D302" i="23"/>
  <c r="A303" i="23"/>
  <c r="E118" i="23" l="1"/>
  <c r="C119" i="23"/>
  <c r="D303" i="23"/>
  <c r="A304" i="23"/>
  <c r="D119" i="23" l="1"/>
  <c r="B119" i="23" s="1"/>
  <c r="D304" i="23"/>
  <c r="A305" i="23"/>
  <c r="E119" i="23" l="1"/>
  <c r="C120" i="23"/>
  <c r="D305" i="23"/>
  <c r="A306" i="23"/>
  <c r="D120" i="23" l="1"/>
  <c r="B120" i="23" s="1"/>
  <c r="D306" i="23"/>
  <c r="A307" i="23"/>
  <c r="E120" i="23" l="1"/>
  <c r="C121" i="23"/>
  <c r="D307" i="23"/>
  <c r="A308" i="23"/>
  <c r="D121" i="23" l="1"/>
  <c r="B121" i="23" s="1"/>
  <c r="D308" i="23"/>
  <c r="A309" i="23"/>
  <c r="E121" i="23" l="1"/>
  <c r="C122" i="23"/>
  <c r="D309" i="23"/>
  <c r="A310" i="23"/>
  <c r="D122" i="23" l="1"/>
  <c r="B122" i="23" s="1"/>
  <c r="D310" i="23"/>
  <c r="A311" i="23"/>
  <c r="E122" i="23" l="1"/>
  <c r="C123" i="23"/>
  <c r="D311" i="23"/>
  <c r="A312" i="23"/>
  <c r="D123" i="23" l="1"/>
  <c r="B123" i="23" s="1"/>
  <c r="D312" i="23"/>
  <c r="A313" i="23"/>
  <c r="E123" i="23" l="1"/>
  <c r="C124" i="23"/>
  <c r="D313" i="23"/>
  <c r="A314" i="23"/>
  <c r="D124" i="23" l="1"/>
  <c r="B124" i="23" s="1"/>
  <c r="D314" i="23"/>
  <c r="A315" i="23"/>
  <c r="E124" i="23" l="1"/>
  <c r="C125" i="23"/>
  <c r="D315" i="23"/>
  <c r="A316" i="23"/>
  <c r="D125" i="23" l="1"/>
  <c r="B125" i="23" s="1"/>
  <c r="D316" i="23"/>
  <c r="A317" i="23"/>
  <c r="E125" i="23" l="1"/>
  <c r="C126" i="23"/>
  <c r="D317" i="23"/>
  <c r="A318" i="23"/>
  <c r="D126" i="23" l="1"/>
  <c r="B126" i="23" s="1"/>
  <c r="D318" i="23"/>
  <c r="A319" i="23"/>
  <c r="E126" i="23" l="1"/>
  <c r="C127" i="23"/>
  <c r="D319" i="23"/>
  <c r="A320" i="23"/>
  <c r="D127" i="23" l="1"/>
  <c r="B127" i="23" s="1"/>
  <c r="D320" i="23"/>
  <c r="A321" i="23"/>
  <c r="E127" i="23" l="1"/>
  <c r="C128" i="23"/>
  <c r="D321" i="23"/>
  <c r="A322" i="23"/>
  <c r="D128" i="23" l="1"/>
  <c r="B128" i="23" s="1"/>
  <c r="D322" i="23"/>
  <c r="A323" i="23"/>
  <c r="C129" i="23" l="1"/>
  <c r="E128" i="23"/>
  <c r="D323" i="23"/>
  <c r="A324" i="23"/>
  <c r="D129" i="23" l="1"/>
  <c r="B129" i="23" s="1"/>
  <c r="D324" i="23"/>
  <c r="A325" i="23"/>
  <c r="C130" i="23" l="1"/>
  <c r="E129" i="23"/>
  <c r="D325" i="23"/>
  <c r="A326" i="23"/>
  <c r="D130" i="23" l="1"/>
  <c r="B130" i="23" s="1"/>
  <c r="D326" i="23"/>
  <c r="A327" i="23"/>
  <c r="C131" i="23" l="1"/>
  <c r="E130" i="23"/>
  <c r="D327" i="23"/>
  <c r="A328" i="23"/>
  <c r="D131" i="23" l="1"/>
  <c r="B131" i="23" s="1"/>
  <c r="D328" i="23"/>
  <c r="A329" i="23"/>
  <c r="C132" i="23" l="1"/>
  <c r="E131" i="23"/>
  <c r="D329" i="23"/>
  <c r="A330" i="23"/>
  <c r="D132" i="23" l="1"/>
  <c r="B132" i="23" s="1"/>
  <c r="D330" i="23"/>
  <c r="A331" i="23"/>
  <c r="C133" i="23" l="1"/>
  <c r="E132" i="23"/>
  <c r="D331" i="23"/>
  <c r="A332" i="23"/>
  <c r="D133" i="23" l="1"/>
  <c r="B133" i="23" s="1"/>
  <c r="D332" i="23"/>
  <c r="A333" i="23"/>
  <c r="C134" i="23" l="1"/>
  <c r="E133" i="23"/>
  <c r="D333" i="23"/>
  <c r="A334" i="23"/>
  <c r="D134" i="23" l="1"/>
  <c r="B134" i="23" s="1"/>
  <c r="D334" i="23"/>
  <c r="A335" i="23"/>
  <c r="C135" i="23" l="1"/>
  <c r="E134" i="23"/>
  <c r="D335" i="23"/>
  <c r="A336" i="23"/>
  <c r="D135" i="23" l="1"/>
  <c r="B135" i="23" s="1"/>
  <c r="D336" i="23"/>
  <c r="A337" i="23"/>
  <c r="C136" i="23" l="1"/>
  <c r="E135" i="23"/>
  <c r="D337" i="23"/>
  <c r="A338" i="23"/>
  <c r="D136" i="23" l="1"/>
  <c r="B136" i="23" s="1"/>
  <c r="D338" i="23"/>
  <c r="A339" i="23"/>
  <c r="E136" i="23" l="1"/>
  <c r="C137" i="23"/>
  <c r="D339" i="23"/>
  <c r="A340" i="23"/>
  <c r="D137" i="23" l="1"/>
  <c r="B137" i="23" s="1"/>
  <c r="B138" i="23" s="1"/>
  <c r="D340" i="23"/>
  <c r="A341" i="23"/>
  <c r="C138" i="23" l="1"/>
  <c r="E138" i="23" s="1"/>
  <c r="E137" i="23"/>
  <c r="B139" i="23"/>
  <c r="C139" i="23"/>
  <c r="E139" i="23" s="1"/>
  <c r="D341" i="23"/>
  <c r="A342" i="23"/>
  <c r="C140" i="23" l="1"/>
  <c r="E140" i="23" s="1"/>
  <c r="B140" i="23"/>
  <c r="D342" i="23"/>
  <c r="A343" i="23"/>
  <c r="C141" i="23" l="1"/>
  <c r="E141" i="23" s="1"/>
  <c r="B141" i="23"/>
  <c r="D343" i="23"/>
  <c r="A344" i="23"/>
  <c r="C142" i="23" l="1"/>
  <c r="E142" i="23" s="1"/>
  <c r="B142" i="23"/>
  <c r="D344" i="23"/>
  <c r="A345" i="23"/>
  <c r="B143" i="23" l="1"/>
  <c r="C143" i="23"/>
  <c r="E143" i="23" s="1"/>
  <c r="D345" i="23"/>
  <c r="A346" i="23"/>
  <c r="B144" i="23" l="1"/>
  <c r="C144" i="23"/>
  <c r="E144" i="23" s="1"/>
  <c r="D346" i="23"/>
  <c r="A347" i="23"/>
  <c r="C145" i="23" l="1"/>
  <c r="E145" i="23" s="1"/>
  <c r="B145" i="23"/>
  <c r="D347" i="23"/>
  <c r="A348" i="23"/>
  <c r="B146" i="23" l="1"/>
  <c r="C146" i="23"/>
  <c r="E146" i="23" s="1"/>
  <c r="D348" i="23"/>
  <c r="A349" i="23"/>
  <c r="C147" i="23" l="1"/>
  <c r="E147" i="23" s="1"/>
  <c r="B147" i="23"/>
  <c r="D349" i="23"/>
  <c r="A350" i="23"/>
  <c r="C148" i="23" l="1"/>
  <c r="E148" i="23" s="1"/>
  <c r="B148" i="23"/>
  <c r="D350" i="23"/>
  <c r="A351" i="23"/>
  <c r="B149" i="23" l="1"/>
  <c r="C149" i="23"/>
  <c r="E149" i="23" s="1"/>
  <c r="D351" i="23"/>
  <c r="A352" i="23"/>
  <c r="C150" i="23" l="1"/>
  <c r="E150" i="23" s="1"/>
  <c r="B150" i="23"/>
  <c r="D352" i="23"/>
  <c r="A353" i="23"/>
  <c r="C151" i="23" l="1"/>
  <c r="E151" i="23" s="1"/>
  <c r="B151" i="23"/>
  <c r="D353" i="23"/>
  <c r="A354" i="23"/>
  <c r="C152" i="23" l="1"/>
  <c r="E152" i="23" s="1"/>
  <c r="B152" i="23"/>
  <c r="D354" i="23"/>
  <c r="A355" i="23"/>
  <c r="C153" i="23" l="1"/>
  <c r="E153" i="23" s="1"/>
  <c r="B153" i="23"/>
  <c r="D355" i="23"/>
  <c r="A356" i="23"/>
  <c r="B154" i="23" l="1"/>
  <c r="C154" i="23"/>
  <c r="E154" i="23" s="1"/>
  <c r="D356" i="23"/>
  <c r="A357" i="23"/>
  <c r="B155" i="23" l="1"/>
  <c r="C155" i="23"/>
  <c r="E155" i="23" s="1"/>
  <c r="D357" i="23"/>
  <c r="A358" i="23"/>
  <c r="B156" i="23" l="1"/>
  <c r="C156" i="23"/>
  <c r="E156" i="23" s="1"/>
  <c r="D358" i="23"/>
  <c r="A359" i="23"/>
  <c r="B157" i="23" l="1"/>
  <c r="C157" i="23"/>
  <c r="E157" i="23" s="1"/>
  <c r="D359" i="23"/>
  <c r="A360" i="23"/>
  <c r="B158" i="23" l="1"/>
  <c r="C158" i="23"/>
  <c r="E158" i="23" s="1"/>
  <c r="D360" i="23"/>
  <c r="A361" i="23"/>
  <c r="B159" i="23" l="1"/>
  <c r="C159" i="23"/>
  <c r="E159" i="23" s="1"/>
  <c r="D361" i="23"/>
  <c r="A362" i="23"/>
  <c r="B160" i="23" l="1"/>
  <c r="C160" i="23"/>
  <c r="E160" i="23" s="1"/>
  <c r="D362" i="23"/>
  <c r="A363" i="23"/>
  <c r="B161" i="23" l="1"/>
  <c r="C161" i="23"/>
  <c r="E161" i="23" s="1"/>
  <c r="D363" i="23"/>
  <c r="A364" i="23"/>
  <c r="C162" i="23" l="1"/>
  <c r="E162" i="23" s="1"/>
  <c r="B162" i="23"/>
  <c r="D364" i="23"/>
  <c r="A365" i="23"/>
  <c r="B163" i="23" l="1"/>
  <c r="C163" i="23"/>
  <c r="E163" i="23" s="1"/>
  <c r="D365" i="23"/>
  <c r="A366" i="23"/>
  <c r="C164" i="23" l="1"/>
  <c r="E164" i="23" s="1"/>
  <c r="B164" i="23"/>
  <c r="D366" i="23"/>
  <c r="A367" i="23"/>
  <c r="B165" i="23" l="1"/>
  <c r="C165" i="23"/>
  <c r="E165" i="23" s="1"/>
  <c r="D367" i="23"/>
  <c r="A368" i="23"/>
  <c r="B166" i="23" l="1"/>
  <c r="C166" i="23"/>
  <c r="E166" i="23" s="1"/>
  <c r="D368" i="23"/>
  <c r="A369" i="23"/>
  <c r="B167" i="23" l="1"/>
  <c r="C167" i="23"/>
  <c r="E167" i="23" s="1"/>
  <c r="D369" i="23"/>
  <c r="A370" i="23"/>
  <c r="B168" i="23" l="1"/>
  <c r="C168" i="23"/>
  <c r="E168" i="23" s="1"/>
  <c r="D370" i="23"/>
  <c r="A371" i="23"/>
  <c r="C169" i="23" l="1"/>
  <c r="E169" i="23" s="1"/>
  <c r="B169" i="23"/>
  <c r="D371" i="23"/>
  <c r="A372" i="23"/>
  <c r="C170" i="23" l="1"/>
  <c r="E170" i="23" s="1"/>
  <c r="B170" i="23"/>
  <c r="D372" i="23"/>
  <c r="A373" i="23"/>
  <c r="C171" i="23" l="1"/>
  <c r="E171" i="23" s="1"/>
  <c r="B171" i="23"/>
  <c r="D373" i="23"/>
  <c r="A374" i="23"/>
  <c r="B172" i="23" l="1"/>
  <c r="C172" i="23"/>
  <c r="E172" i="23" s="1"/>
  <c r="D374" i="23"/>
  <c r="A375" i="23"/>
  <c r="B173" i="23" l="1"/>
  <c r="C173" i="23"/>
  <c r="E173" i="23" s="1"/>
  <c r="D375" i="23"/>
  <c r="A376" i="23"/>
  <c r="C174" i="23" l="1"/>
  <c r="E174" i="23" s="1"/>
  <c r="B174" i="23"/>
  <c r="D376" i="23"/>
  <c r="A377" i="23"/>
  <c r="D377" i="23" s="1"/>
  <c r="D11" i="23" s="1"/>
  <c r="D12" i="23" s="1"/>
  <c r="H11" i="23" l="1"/>
  <c r="I11" i="23" s="1"/>
  <c r="B175" i="23"/>
  <c r="C175" i="23"/>
  <c r="E175" i="23" s="1"/>
  <c r="H12" i="23"/>
  <c r="I12" i="23" s="1"/>
  <c r="C176" i="23" l="1"/>
  <c r="E176" i="23" s="1"/>
  <c r="B176" i="23"/>
  <c r="I13" i="23"/>
  <c r="H13" i="23"/>
  <c r="B177" i="23" l="1"/>
  <c r="C177" i="23"/>
  <c r="E177" i="23" s="1"/>
  <c r="C178" i="23" l="1"/>
  <c r="E178" i="23" s="1"/>
  <c r="B178" i="23"/>
  <c r="B179" i="23" l="1"/>
  <c r="C179" i="23"/>
  <c r="E179" i="23" s="1"/>
  <c r="B180" i="23" l="1"/>
  <c r="C180" i="23"/>
  <c r="E180" i="23" s="1"/>
  <c r="B181" i="23" l="1"/>
  <c r="C181" i="23"/>
  <c r="E181" i="23" s="1"/>
  <c r="C182" i="23" l="1"/>
  <c r="E182" i="23" s="1"/>
  <c r="B182" i="23"/>
  <c r="B183" i="23" l="1"/>
  <c r="C183" i="23"/>
  <c r="E183" i="23" s="1"/>
  <c r="C184" i="23" l="1"/>
  <c r="E184" i="23" s="1"/>
  <c r="B184" i="23"/>
  <c r="B185" i="23" l="1"/>
  <c r="C185" i="23"/>
  <c r="E185" i="23" s="1"/>
  <c r="C186" i="23" l="1"/>
  <c r="E186" i="23" s="1"/>
  <c r="B186" i="23"/>
  <c r="B187" i="23" l="1"/>
  <c r="C187" i="23"/>
  <c r="E187" i="23" s="1"/>
  <c r="C188" i="23" l="1"/>
  <c r="E188" i="23" s="1"/>
  <c r="B188" i="23"/>
  <c r="C189" i="23" l="1"/>
  <c r="E189" i="23" s="1"/>
  <c r="B189" i="23"/>
  <c r="C190" i="23" l="1"/>
  <c r="E190" i="23" s="1"/>
  <c r="B190" i="23"/>
  <c r="B191" i="23" l="1"/>
  <c r="C191" i="23"/>
  <c r="E191" i="23" s="1"/>
  <c r="B192" i="23" l="1"/>
  <c r="C192" i="23"/>
  <c r="E192" i="23" s="1"/>
  <c r="B193" i="23" l="1"/>
  <c r="C193" i="23"/>
  <c r="E193" i="23" s="1"/>
  <c r="C194" i="23" l="1"/>
  <c r="E194" i="23" s="1"/>
  <c r="B194" i="23"/>
  <c r="B195" i="23" l="1"/>
  <c r="C195" i="23"/>
  <c r="E195" i="23" s="1"/>
  <c r="C196" i="23" l="1"/>
  <c r="E196" i="23" s="1"/>
  <c r="B196" i="23"/>
  <c r="B197" i="23" l="1"/>
  <c r="C197" i="23"/>
  <c r="E197" i="23" s="1"/>
  <c r="C198" i="23" l="1"/>
  <c r="E198" i="23" s="1"/>
  <c r="B198" i="23"/>
  <c r="C199" i="23" l="1"/>
  <c r="E199" i="23" s="1"/>
  <c r="B199" i="23"/>
  <c r="B200" i="23" l="1"/>
  <c r="C200" i="23"/>
  <c r="E200" i="23" s="1"/>
  <c r="C201" i="23" l="1"/>
  <c r="E201" i="23" s="1"/>
  <c r="B201" i="23"/>
  <c r="B202" i="23" l="1"/>
  <c r="C202" i="23"/>
  <c r="E202" i="23" s="1"/>
  <c r="B203" i="23" l="1"/>
  <c r="C203" i="23"/>
  <c r="E203" i="23" s="1"/>
  <c r="B204" i="23" l="1"/>
  <c r="C204" i="23"/>
  <c r="E204" i="23" s="1"/>
  <c r="B205" i="23" l="1"/>
  <c r="C205" i="23"/>
  <c r="E205" i="23" s="1"/>
  <c r="B206" i="23" l="1"/>
  <c r="C206" i="23"/>
  <c r="E206" i="23" s="1"/>
  <c r="C207" i="23" l="1"/>
  <c r="E207" i="23" s="1"/>
  <c r="B207" i="23"/>
  <c r="B208" i="23" l="1"/>
  <c r="C208" i="23"/>
  <c r="E208" i="23" s="1"/>
  <c r="B209" i="23" l="1"/>
  <c r="C209" i="23"/>
  <c r="E209" i="23" s="1"/>
  <c r="C210" i="23" l="1"/>
  <c r="E210" i="23" s="1"/>
  <c r="B210" i="23"/>
  <c r="C211" i="23" l="1"/>
  <c r="E211" i="23" s="1"/>
  <c r="B211" i="23"/>
  <c r="C212" i="23" l="1"/>
  <c r="E212" i="23" s="1"/>
  <c r="B212" i="23"/>
  <c r="C213" i="23" l="1"/>
  <c r="E213" i="23" s="1"/>
  <c r="B213" i="23"/>
  <c r="B214" i="23" l="1"/>
  <c r="C214" i="23"/>
  <c r="E214" i="23" s="1"/>
  <c r="B215" i="23" l="1"/>
  <c r="C215" i="23"/>
  <c r="E215" i="23" s="1"/>
  <c r="C216" i="23" l="1"/>
  <c r="E216" i="23" s="1"/>
  <c r="B216" i="23"/>
  <c r="C217" i="23" l="1"/>
  <c r="E217" i="23" s="1"/>
  <c r="B217" i="23"/>
  <c r="B218" i="23" l="1"/>
  <c r="C218" i="23"/>
  <c r="E218" i="23" s="1"/>
  <c r="B219" i="23" l="1"/>
  <c r="C219" i="23"/>
  <c r="E219" i="23" s="1"/>
  <c r="C220" i="23" l="1"/>
  <c r="E220" i="23" s="1"/>
  <c r="B220" i="23"/>
  <c r="C221" i="23" l="1"/>
  <c r="E221" i="23" s="1"/>
  <c r="B221" i="23"/>
  <c r="C222" i="23" l="1"/>
  <c r="E222" i="23" s="1"/>
  <c r="B222" i="23"/>
  <c r="B223" i="23" l="1"/>
  <c r="C223" i="23"/>
  <c r="E223" i="23" s="1"/>
  <c r="C224" i="23" l="1"/>
  <c r="E224" i="23" s="1"/>
  <c r="B224" i="23"/>
  <c r="H59" i="24"/>
  <c r="D59" i="24" s="1"/>
  <c r="H58" i="24"/>
  <c r="D58" i="24" s="1"/>
  <c r="H61" i="24"/>
  <c r="D61" i="24" s="1"/>
  <c r="H60" i="24"/>
  <c r="D60" i="24" s="1"/>
  <c r="B225" i="23" l="1"/>
  <c r="C225" i="23"/>
  <c r="E225" i="23" s="1"/>
  <c r="D62" i="24"/>
  <c r="H65" i="24"/>
  <c r="H66" i="24" s="1"/>
  <c r="M65" i="24"/>
  <c r="M66" i="24" s="1"/>
  <c r="C226" i="23" l="1"/>
  <c r="E226" i="23" s="1"/>
  <c r="B226" i="23"/>
  <c r="B227" i="23" l="1"/>
  <c r="C227" i="23"/>
  <c r="E227" i="23" s="1"/>
  <c r="B228" i="23" l="1"/>
  <c r="C228" i="23"/>
  <c r="E228" i="23" s="1"/>
  <c r="B229" i="23" l="1"/>
  <c r="C229" i="23"/>
  <c r="E229" i="23" s="1"/>
  <c r="C230" i="23" l="1"/>
  <c r="E230" i="23" s="1"/>
  <c r="B230" i="23"/>
  <c r="B231" i="23" l="1"/>
  <c r="C231" i="23"/>
  <c r="E231" i="23" s="1"/>
  <c r="B232" i="23" l="1"/>
  <c r="C232" i="23"/>
  <c r="E232" i="23" s="1"/>
  <c r="C233" i="23" l="1"/>
  <c r="E233" i="23" s="1"/>
  <c r="B233" i="23"/>
  <c r="C234" i="23" l="1"/>
  <c r="E234" i="23" s="1"/>
  <c r="B234" i="23"/>
  <c r="C235" i="23" l="1"/>
  <c r="E235" i="23" s="1"/>
  <c r="B235" i="23"/>
  <c r="B236" i="23" l="1"/>
  <c r="C236" i="23"/>
  <c r="E236" i="23" s="1"/>
  <c r="B237" i="23" l="1"/>
  <c r="C237" i="23"/>
  <c r="E237" i="23" s="1"/>
  <c r="C238" i="23" l="1"/>
  <c r="E238" i="23" s="1"/>
  <c r="B238" i="23"/>
  <c r="C239" i="23" l="1"/>
  <c r="E239" i="23" s="1"/>
  <c r="B239" i="23"/>
  <c r="C240" i="23" l="1"/>
  <c r="E240" i="23" s="1"/>
  <c r="B240" i="23"/>
  <c r="C241" i="23" l="1"/>
  <c r="E241" i="23" s="1"/>
  <c r="B241" i="23"/>
  <c r="B242" i="23" l="1"/>
  <c r="C242" i="23"/>
  <c r="E242" i="23" s="1"/>
  <c r="B243" i="23" l="1"/>
  <c r="C243" i="23"/>
  <c r="E243" i="23" s="1"/>
  <c r="B244" i="23" l="1"/>
  <c r="C244" i="23"/>
  <c r="E244" i="23" s="1"/>
  <c r="B245" i="23" l="1"/>
  <c r="C245" i="23"/>
  <c r="E245" i="23" s="1"/>
  <c r="C246" i="23" l="1"/>
  <c r="E246" i="23" s="1"/>
  <c r="B246" i="23"/>
  <c r="B247" i="23" l="1"/>
  <c r="C247" i="23"/>
  <c r="E247" i="23" s="1"/>
  <c r="B248" i="23" l="1"/>
  <c r="C248" i="23"/>
  <c r="E248" i="23" s="1"/>
  <c r="C249" i="23" l="1"/>
  <c r="E249" i="23" s="1"/>
  <c r="B249" i="23"/>
  <c r="C250" i="23" l="1"/>
  <c r="E250" i="23" s="1"/>
  <c r="B250" i="23"/>
  <c r="C251" i="23" l="1"/>
  <c r="E251" i="23" s="1"/>
  <c r="B251" i="23"/>
  <c r="B252" i="23" l="1"/>
  <c r="C252" i="23"/>
  <c r="E252" i="23" s="1"/>
  <c r="C253" i="23" l="1"/>
  <c r="E253" i="23" s="1"/>
  <c r="B253" i="23"/>
  <c r="C254" i="23" l="1"/>
  <c r="E254" i="23" s="1"/>
  <c r="B254" i="23"/>
  <c r="C255" i="23" l="1"/>
  <c r="E255" i="23" s="1"/>
  <c r="B255" i="23"/>
  <c r="C256" i="23" l="1"/>
  <c r="E256" i="23" s="1"/>
  <c r="B256" i="23"/>
  <c r="B257" i="23" l="1"/>
  <c r="C257" i="23"/>
  <c r="E257" i="23" s="1"/>
  <c r="C258" i="23" l="1"/>
  <c r="E258" i="23" s="1"/>
  <c r="B258" i="23"/>
  <c r="B259" i="23" l="1"/>
  <c r="C259" i="23"/>
  <c r="E259" i="23" s="1"/>
  <c r="B260" i="23" l="1"/>
  <c r="C260" i="23"/>
  <c r="E260" i="23" s="1"/>
  <c r="C261" i="23" l="1"/>
  <c r="E261" i="23" s="1"/>
  <c r="B261" i="23"/>
  <c r="B262" i="23" l="1"/>
  <c r="C262" i="23"/>
  <c r="E262" i="23" s="1"/>
  <c r="B263" i="23" l="1"/>
  <c r="C263" i="23"/>
  <c r="E263" i="23" s="1"/>
  <c r="C264" i="23" l="1"/>
  <c r="E264" i="23" s="1"/>
  <c r="B264" i="23"/>
  <c r="B265" i="23" l="1"/>
  <c r="C265" i="23"/>
  <c r="E265" i="23" s="1"/>
  <c r="C266" i="23" l="1"/>
  <c r="E266" i="23" s="1"/>
  <c r="B266" i="23"/>
  <c r="B267" i="23" l="1"/>
  <c r="C267" i="23"/>
  <c r="E267" i="23" s="1"/>
  <c r="B268" i="23" l="1"/>
  <c r="C268" i="23"/>
  <c r="E268" i="23" s="1"/>
  <c r="C269" i="23" l="1"/>
  <c r="E269" i="23" s="1"/>
  <c r="B269" i="23"/>
  <c r="B270" i="23" l="1"/>
  <c r="C270" i="23"/>
  <c r="E270" i="23" s="1"/>
  <c r="B271" i="23" l="1"/>
  <c r="C271" i="23"/>
  <c r="E271" i="23" s="1"/>
  <c r="C272" i="23" l="1"/>
  <c r="E272" i="23" s="1"/>
  <c r="B272" i="23"/>
  <c r="C273" i="23" l="1"/>
  <c r="E273" i="23" s="1"/>
  <c r="B273" i="23"/>
  <c r="B274" i="23" l="1"/>
  <c r="C274" i="23"/>
  <c r="E274" i="23" s="1"/>
  <c r="B275" i="23" l="1"/>
  <c r="C275" i="23"/>
  <c r="E275" i="23" s="1"/>
  <c r="C276" i="23" l="1"/>
  <c r="E276" i="23" s="1"/>
  <c r="B276" i="23"/>
  <c r="C277" i="23" l="1"/>
  <c r="E277" i="23" s="1"/>
  <c r="B277" i="23"/>
  <c r="B278" i="23" l="1"/>
  <c r="C278" i="23"/>
  <c r="E278" i="23" s="1"/>
  <c r="B279" i="23" l="1"/>
  <c r="C279" i="23"/>
  <c r="E279" i="23" s="1"/>
  <c r="C280" i="23" l="1"/>
  <c r="E280" i="23" s="1"/>
  <c r="B280" i="23"/>
  <c r="B281" i="23" l="1"/>
  <c r="C281" i="23"/>
  <c r="E281" i="23" s="1"/>
  <c r="B282" i="23" l="1"/>
  <c r="C282" i="23"/>
  <c r="E282" i="23" s="1"/>
  <c r="C283" i="23" l="1"/>
  <c r="E283" i="23" s="1"/>
  <c r="B283" i="23"/>
  <c r="B284" i="23" l="1"/>
  <c r="C284" i="23"/>
  <c r="E284" i="23" s="1"/>
  <c r="B285" i="23" l="1"/>
  <c r="C285" i="23"/>
  <c r="E285" i="23" s="1"/>
  <c r="B286" i="23" l="1"/>
  <c r="C286" i="23"/>
  <c r="E286" i="23" s="1"/>
  <c r="C287" i="23" l="1"/>
  <c r="E287" i="23" s="1"/>
  <c r="B287" i="23"/>
  <c r="B288" i="23" l="1"/>
  <c r="C288" i="23"/>
  <c r="E288" i="23" s="1"/>
  <c r="C289" i="23" l="1"/>
  <c r="E289" i="23" s="1"/>
  <c r="B289" i="23"/>
  <c r="B290" i="23" l="1"/>
  <c r="C290" i="23"/>
  <c r="E290" i="23" s="1"/>
  <c r="C291" i="23" l="1"/>
  <c r="E291" i="23" s="1"/>
  <c r="B291" i="23"/>
  <c r="B292" i="23" l="1"/>
  <c r="C292" i="23"/>
  <c r="E292" i="23" s="1"/>
  <c r="C293" i="23" l="1"/>
  <c r="E293" i="23" s="1"/>
  <c r="B293" i="23"/>
  <c r="I192" i="6"/>
  <c r="C192" i="6"/>
  <c r="B294" i="23" l="1"/>
  <c r="C294" i="23"/>
  <c r="E294" i="23" s="1"/>
  <c r="O191" i="6"/>
  <c r="I194" i="6"/>
  <c r="B295" i="23" l="1"/>
  <c r="C295" i="23"/>
  <c r="E295" i="23" s="1"/>
  <c r="B296" i="23" l="1"/>
  <c r="C296" i="23"/>
  <c r="E296" i="23" s="1"/>
  <c r="B297" i="23" l="1"/>
  <c r="C297" i="23"/>
  <c r="E297" i="23" s="1"/>
  <c r="B298" i="23" l="1"/>
  <c r="C298" i="23"/>
  <c r="E298" i="23" s="1"/>
  <c r="C299" i="23" l="1"/>
  <c r="E299" i="23" s="1"/>
  <c r="B299" i="23"/>
  <c r="B300" i="23" l="1"/>
  <c r="C300" i="23"/>
  <c r="E300" i="23" s="1"/>
  <c r="C301" i="23" l="1"/>
  <c r="E301" i="23" s="1"/>
  <c r="B301" i="23"/>
  <c r="B302" i="23" l="1"/>
  <c r="C302" i="23"/>
  <c r="E302" i="23" s="1"/>
  <c r="C303" i="23" l="1"/>
  <c r="E303" i="23" s="1"/>
  <c r="B303" i="23"/>
  <c r="C304" i="23" l="1"/>
  <c r="E304" i="23" s="1"/>
  <c r="B304" i="23"/>
  <c r="C305" i="23" l="1"/>
  <c r="E305" i="23" s="1"/>
  <c r="B305" i="23"/>
  <c r="B306" i="23" l="1"/>
  <c r="C306" i="23"/>
  <c r="E306" i="23" s="1"/>
  <c r="B307" i="23" l="1"/>
  <c r="C307" i="23"/>
  <c r="E307" i="23" s="1"/>
  <c r="B308" i="23" l="1"/>
  <c r="C308" i="23"/>
  <c r="E308" i="23" s="1"/>
  <c r="B309" i="23" l="1"/>
  <c r="C309" i="23"/>
  <c r="E309" i="23" s="1"/>
  <c r="B310" i="23" l="1"/>
  <c r="C310" i="23"/>
  <c r="E310" i="23" s="1"/>
  <c r="C311" i="23" l="1"/>
  <c r="E311" i="23" s="1"/>
  <c r="B311" i="23"/>
  <c r="C312" i="23" l="1"/>
  <c r="E312" i="23" s="1"/>
  <c r="B312" i="23"/>
  <c r="B313" i="23" l="1"/>
  <c r="C313" i="23"/>
  <c r="E313" i="23" s="1"/>
  <c r="C314" i="23" l="1"/>
  <c r="E314" i="23" s="1"/>
  <c r="B314" i="23"/>
  <c r="B315" i="23" l="1"/>
  <c r="C315" i="23"/>
  <c r="E315" i="23" s="1"/>
  <c r="C316" i="23" l="1"/>
  <c r="E316" i="23" s="1"/>
  <c r="B316" i="23"/>
  <c r="B317" i="23" l="1"/>
  <c r="C317" i="23"/>
  <c r="E317" i="23" s="1"/>
  <c r="C318" i="23" l="1"/>
  <c r="E318" i="23" s="1"/>
  <c r="B318" i="23"/>
  <c r="C319" i="23" l="1"/>
  <c r="E319" i="23" s="1"/>
  <c r="B319" i="23"/>
  <c r="C320" i="23" l="1"/>
  <c r="E320" i="23" s="1"/>
  <c r="B320" i="23"/>
  <c r="C321" i="23" l="1"/>
  <c r="E321" i="23" s="1"/>
  <c r="B321" i="23"/>
  <c r="C322" i="23" l="1"/>
  <c r="E322" i="23" s="1"/>
  <c r="B322" i="23"/>
  <c r="C323" i="23" l="1"/>
  <c r="E323" i="23" s="1"/>
  <c r="B323" i="23"/>
  <c r="B324" i="23" l="1"/>
  <c r="C324" i="23"/>
  <c r="E324" i="23" s="1"/>
  <c r="B325" i="23" l="1"/>
  <c r="C325" i="23"/>
  <c r="E325" i="23" s="1"/>
  <c r="C326" i="23" l="1"/>
  <c r="E326" i="23" s="1"/>
  <c r="B326" i="23"/>
  <c r="C327" i="23" l="1"/>
  <c r="E327" i="23" s="1"/>
  <c r="B327" i="23"/>
  <c r="B328" i="23" l="1"/>
  <c r="C328" i="23"/>
  <c r="E328" i="23" s="1"/>
  <c r="B329" i="23" l="1"/>
  <c r="C329" i="23"/>
  <c r="E329" i="23" s="1"/>
  <c r="C330" i="23" l="1"/>
  <c r="E330" i="23" s="1"/>
  <c r="B330" i="23"/>
  <c r="B331" i="23" l="1"/>
  <c r="C331" i="23"/>
  <c r="E331" i="23" s="1"/>
  <c r="C332" i="23" l="1"/>
  <c r="E332" i="23" s="1"/>
  <c r="B332" i="23"/>
  <c r="B333" i="23" l="1"/>
  <c r="C333" i="23"/>
  <c r="E333" i="23" s="1"/>
  <c r="B334" i="23" l="1"/>
  <c r="C334" i="23"/>
  <c r="E334" i="23" s="1"/>
  <c r="C335" i="23" l="1"/>
  <c r="E335" i="23" s="1"/>
  <c r="B335" i="23"/>
  <c r="C336" i="23" l="1"/>
  <c r="E336" i="23" s="1"/>
  <c r="B336" i="23"/>
  <c r="C337" i="23" l="1"/>
  <c r="E337" i="23" s="1"/>
  <c r="B337" i="23"/>
  <c r="C338" i="23" l="1"/>
  <c r="E338" i="23" s="1"/>
  <c r="B338" i="23"/>
  <c r="B339" i="23" l="1"/>
  <c r="C339" i="23"/>
  <c r="E339" i="23" s="1"/>
  <c r="C340" i="23" l="1"/>
  <c r="E340" i="23" s="1"/>
  <c r="B340" i="23"/>
  <c r="B341" i="23" l="1"/>
  <c r="C341" i="23"/>
  <c r="E341" i="23" s="1"/>
  <c r="C342" i="23" l="1"/>
  <c r="E342" i="23" s="1"/>
  <c r="B342" i="23"/>
  <c r="B343" i="23" l="1"/>
  <c r="C343" i="23"/>
  <c r="E343" i="23" s="1"/>
  <c r="C344" i="23" l="1"/>
  <c r="E344" i="23" s="1"/>
  <c r="B344" i="23"/>
  <c r="C345" i="23" l="1"/>
  <c r="E345" i="23" s="1"/>
  <c r="B345" i="23"/>
  <c r="B346" i="23" l="1"/>
  <c r="C346" i="23"/>
  <c r="E346" i="23" s="1"/>
  <c r="B347" i="23" l="1"/>
  <c r="C347" i="23"/>
  <c r="E347" i="23" s="1"/>
  <c r="B348" i="23" l="1"/>
  <c r="C348" i="23"/>
  <c r="E348" i="23" s="1"/>
  <c r="B349" i="23" l="1"/>
  <c r="C349" i="23"/>
  <c r="E349" i="23" s="1"/>
  <c r="B350" i="23" l="1"/>
  <c r="C350" i="23"/>
  <c r="E350" i="23" s="1"/>
  <c r="C351" i="23" l="1"/>
  <c r="E351" i="23" s="1"/>
  <c r="B351" i="23"/>
  <c r="B352" i="23" l="1"/>
  <c r="C352" i="23"/>
  <c r="E352" i="23" s="1"/>
  <c r="C353" i="23" l="1"/>
  <c r="E353" i="23" s="1"/>
  <c r="B353" i="23"/>
  <c r="C354" i="23" l="1"/>
  <c r="E354" i="23" s="1"/>
  <c r="B354" i="23"/>
  <c r="B355" i="23" l="1"/>
  <c r="C355" i="23"/>
  <c r="E355" i="23" s="1"/>
  <c r="C356" i="23" l="1"/>
  <c r="E356" i="23" s="1"/>
  <c r="B356" i="23"/>
  <c r="C357" i="23" l="1"/>
  <c r="E357" i="23" s="1"/>
  <c r="B357" i="23"/>
  <c r="C358" i="23" l="1"/>
  <c r="E358" i="23" s="1"/>
  <c r="B358" i="23"/>
  <c r="B359" i="23" l="1"/>
  <c r="C359" i="23"/>
  <c r="E359" i="23" s="1"/>
  <c r="B360" i="23" l="1"/>
  <c r="C360" i="23"/>
  <c r="E360" i="23" s="1"/>
  <c r="C361" i="23" l="1"/>
  <c r="E361" i="23" s="1"/>
  <c r="B361" i="23"/>
  <c r="C362" i="23" l="1"/>
  <c r="E362" i="23" s="1"/>
  <c r="B362" i="23"/>
  <c r="C363" i="23" l="1"/>
  <c r="E363" i="23" s="1"/>
  <c r="B363" i="23"/>
  <c r="B364" i="23" l="1"/>
  <c r="C364" i="23"/>
  <c r="E364" i="23" s="1"/>
  <c r="C365" i="23" l="1"/>
  <c r="E365" i="23" s="1"/>
  <c r="B365" i="23"/>
  <c r="C366" i="23" l="1"/>
  <c r="E366" i="23" s="1"/>
  <c r="B366" i="23"/>
  <c r="C367" i="23" l="1"/>
  <c r="E367" i="23" s="1"/>
  <c r="B367" i="23"/>
  <c r="C368" i="23" l="1"/>
  <c r="E368" i="23" s="1"/>
  <c r="B368" i="23"/>
  <c r="C369" i="23" l="1"/>
  <c r="E369" i="23" s="1"/>
  <c r="B369" i="23"/>
  <c r="C370" i="23" l="1"/>
  <c r="E370" i="23" s="1"/>
  <c r="B370" i="23"/>
  <c r="C371" i="23" l="1"/>
  <c r="E371" i="23" s="1"/>
  <c r="B371" i="23"/>
  <c r="B372" i="23" l="1"/>
  <c r="C372" i="23"/>
  <c r="E372" i="23" s="1"/>
  <c r="C373" i="23" l="1"/>
  <c r="E373" i="23" s="1"/>
  <c r="B373" i="23"/>
  <c r="C374" i="23" l="1"/>
  <c r="E374" i="23" s="1"/>
  <c r="B374" i="23"/>
  <c r="B375" i="23" l="1"/>
  <c r="C375" i="23"/>
  <c r="E375" i="23" s="1"/>
  <c r="B376" i="23" l="1"/>
  <c r="C376" i="23"/>
  <c r="E376" i="23" s="1"/>
  <c r="C377" i="23" l="1"/>
  <c r="E377" i="23" s="1"/>
  <c r="B37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Lilia Brent</author>
  </authors>
  <commentList>
    <comment ref="F3" authorId="0" shapeId="0" xr:uid="{00000000-0006-0000-0000-000001000000}">
      <text>
        <r>
          <rPr>
            <b/>
            <sz val="9"/>
            <color indexed="81"/>
            <rFont val="Tahoma"/>
            <family val="2"/>
          </rPr>
          <t>Lilia Brent:</t>
        </r>
        <r>
          <rPr>
            <sz val="9"/>
            <color indexed="81"/>
            <rFont val="Tahoma"/>
            <family val="2"/>
          </rPr>
          <t xml:space="preserve">
Refers to the Fee listed in Column E that investor pays to ACORE; not the origination fee charged to Borrower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Lilia Brent</author>
  </authors>
  <commentList>
    <comment ref="F135" authorId="0" shapeId="0" xr:uid="{4D5F73CA-CB2F-4E71-916F-83640632996F}">
      <text>
        <r>
          <rPr>
            <sz val="9"/>
            <color indexed="81"/>
            <rFont val="Tahoma"/>
            <family val="2"/>
          </rPr>
          <t xml:space="preserve">
ignore this box; do not type over the formula</t>
        </r>
      </text>
    </comment>
    <comment ref="E163" authorId="0" shapeId="0" xr:uid="{095BF738-7790-4CCF-9941-E84E6B68FCBF}">
      <text>
        <r>
          <rPr>
            <b/>
            <sz val="9"/>
            <color indexed="81"/>
            <rFont val="Tahoma"/>
            <family val="2"/>
          </rPr>
          <t>typically 10%-12%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Lilia Brent</author>
  </authors>
  <commentList>
    <comment ref="C28" authorId="0" shapeId="0" xr:uid="{52B86D2E-5816-46BF-9C55-D686C7EC1F2F}">
      <text>
        <r>
          <rPr>
            <b/>
            <sz val="9"/>
            <color indexed="81"/>
            <rFont val="Tahoma"/>
            <family val="2"/>
          </rPr>
          <t>Lilia Brent:</t>
        </r>
        <r>
          <rPr>
            <sz val="9"/>
            <color indexed="81"/>
            <rFont val="Tahoma"/>
            <family val="2"/>
          </rPr>
          <t xml:space="preserve">
an "expense" categorization excludes the amount as a valid cost for purposes of calculating equity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Lilia Brent</author>
  </authors>
  <commentList>
    <comment ref="C15" authorId="0" shapeId="0" xr:uid="{00000000-0006-0000-0400-000001000000}">
      <text>
        <r>
          <rPr>
            <b/>
            <sz val="9"/>
            <color indexed="81"/>
            <rFont val="Tahoma"/>
            <family val="2"/>
          </rPr>
          <t>For Tre-ACR &amp; Aflac loans only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lilia</author>
  </authors>
  <commentList>
    <comment ref="F6" authorId="0" shapeId="0" xr:uid="{00000000-0006-0000-0B00-000001000000}">
      <text>
        <r>
          <rPr>
            <sz val="9"/>
            <color indexed="81"/>
            <rFont val="Tahoma"/>
            <family val="2"/>
          </rPr>
          <t xml:space="preserve">
Secured / Unsecured / Personal Property or Supplemental</t>
        </r>
      </text>
    </comment>
    <comment ref="L6" authorId="0" shapeId="0" xr:uid="{00000000-0006-0000-0B00-000002000000}">
      <text>
        <r>
          <rPr>
            <sz val="9"/>
            <color indexed="81"/>
            <rFont val="Tahoma"/>
            <family val="2"/>
          </rPr>
          <t xml:space="preserve">
Disbursement Date shoulld be one month prior to the due date, on the first day of the month</t>
        </r>
      </text>
    </comment>
    <comment ref="C48" authorId="0" shapeId="0" xr:uid="{00000000-0006-0000-0B00-000003000000}">
      <text>
        <r>
          <rPr>
            <b/>
            <sz val="9"/>
            <color indexed="81"/>
            <rFont val="Tahoma"/>
            <family val="2"/>
          </rPr>
          <t xml:space="preserve">Use the 1st of each month vs actual payment day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lilia</author>
    <author>Lilia Brent</author>
  </authors>
  <commentList>
    <comment ref="J12" authorId="0" shapeId="0" xr:uid="{00000000-0006-0000-0C00-000001000000}">
      <text>
        <r>
          <rPr>
            <sz val="9"/>
            <color indexed="81"/>
            <rFont val="Tahoma"/>
            <family val="2"/>
          </rPr>
          <t xml:space="preserve">
Disbursement Date should be one month prior to the due date, on the 1st day of the month</t>
        </r>
      </text>
    </comment>
    <comment ref="L12" authorId="1" shapeId="0" xr:uid="{F9537B77-7AB7-48F9-981B-B16043C1C979}">
      <text>
        <r>
          <rPr>
            <b/>
            <sz val="9"/>
            <color indexed="81"/>
            <rFont val="Tahoma"/>
            <family val="2"/>
          </rPr>
          <t xml:space="preserve">DO NOT INPUT AMOUNTS IN COLUMN L;  THE AMOUNT IS INPUT IN COLUMN K AND ANY INCREASE % REQUIRED IS INPUT IN CELL L9
</t>
        </r>
      </text>
    </comment>
    <comment ref="B40" authorId="0" shapeId="0" xr:uid="{00000000-0006-0000-0C00-000002000000}">
      <text>
        <r>
          <rPr>
            <b/>
            <sz val="9"/>
            <color indexed="81"/>
            <rFont val="Tahoma"/>
            <family val="2"/>
          </rPr>
          <t xml:space="preserve">Use the 1st of each month vs actual payment date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tc={4DE7C5A3-9C9D-4F88-BD07-D01648E771D1}</author>
    <author>Lilia Brent</author>
  </authors>
  <commentList>
    <comment ref="F8" authorId="0" shapeId="0" xr:uid="{4DE7C5A3-9C9D-4F88-BD07-D01648E771D1}">
      <text>
        <t>[Threaded comment]
Your version of Excel allows you to read this threaded comment; however, any edits to it will get removed if the file is opened in a newer version of Excel. Learn more: https://go.microsoft.com/fwlink/?linkid=870924
Comment:
    if the IO period is at the end of the loan term, have it end 1 month prior to the maturity date since there will be principal due equal to the UPB (balloon payment)</t>
      </text>
    </comment>
    <comment ref="K8" authorId="1" shapeId="0" xr:uid="{4DDC6A88-D959-4FEA-B6D7-55A30CB0FEB9}">
      <text>
        <r>
          <rPr>
            <sz val="9"/>
            <color indexed="81"/>
            <rFont val="Tahoma"/>
            <family val="2"/>
          </rPr>
          <t xml:space="preserve">
If there is no IO period, leave blank.  If the IO Period is subject to any condition such as a min DY then input Yes, if there are no conditions for IO period to be in effect then input No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tc={BC92A3BE-46AE-42F6-B695-D4FD69055643}</author>
    <author>Lilia Brent</author>
  </authors>
  <commentList>
    <comment ref="H9" authorId="0" shapeId="0" xr:uid="{BC92A3BE-46AE-42F6-B695-D4FD69055643}">
      <text>
        <t>[Threaded comment]
Your version of Excel allows you to read this threaded comment; however, any edits to it will get removed if the file is opened in a newer version of Excel. Learn more: https://go.microsoft.com/fwlink/?linkid=870924
Comment:
    if the IO period is at the end of the loan term, have it end 1 month prior to the maturity date since there will be principal due equal to the UPB (balloon payment)</t>
      </text>
    </comment>
    <comment ref="L9" authorId="1" shapeId="0" xr:uid="{EF7E2751-59EA-4C01-9276-4AAB0FE0E7AB}">
      <text>
        <r>
          <rPr>
            <sz val="9"/>
            <color indexed="81"/>
            <rFont val="Tahoma"/>
            <family val="2"/>
          </rPr>
          <t xml:space="preserve">
If there is no IO period, leave blank.  If the IO Period is subject to any condition such as a min DY then input Yes, if there are no conditions for IO period to be in effect then input No</t>
        </r>
      </text>
    </comment>
  </commentList>
</comments>
</file>

<file path=xl/sharedStrings.xml><?xml version="1.0" encoding="utf-8"?>
<sst xmlns="http://schemas.openxmlformats.org/spreadsheetml/2006/main" count="7172" uniqueCount="4199">
  <si>
    <t>Lender Wire Profile</t>
  </si>
  <si>
    <t>Investor</t>
  </si>
  <si>
    <t>Funding Instructions or Capital Call Notice</t>
  </si>
  <si>
    <t>Net out Stub Int. from Wire?</t>
  </si>
  <si>
    <t>Net Out Orig. Fee from Wire?</t>
  </si>
  <si>
    <t>Loan Fee Paid to ACORE (%) by Investor</t>
  </si>
  <si>
    <t>ACORE Loan Fee on Initial or Total Loan or N/AP</t>
  </si>
  <si>
    <t>TRE ACR</t>
  </si>
  <si>
    <t>Funding Instructions</t>
  </si>
  <si>
    <t>No</t>
  </si>
  <si>
    <t>Yes</t>
  </si>
  <si>
    <t>Initial</t>
  </si>
  <si>
    <t>AFLAC US</t>
  </si>
  <si>
    <t>Delphi</t>
  </si>
  <si>
    <t>Capital Call Notice</t>
  </si>
  <si>
    <t>N/AP</t>
  </si>
  <si>
    <t>ACORE Credit IV REIT</t>
  </si>
  <si>
    <t>N/A</t>
  </si>
  <si>
    <t>ACORE Credit Partners II Mortgage, LLC</t>
  </si>
  <si>
    <t>ACORE Credit Special Situations</t>
  </si>
  <si>
    <t>SILAC Insurance Company</t>
  </si>
  <si>
    <t>75% of the origination fee paid</t>
  </si>
  <si>
    <t>Total</t>
  </si>
  <si>
    <t>ACORE Credit Partners II TRS, LLC</t>
  </si>
  <si>
    <t>ACORE Credit Partners II CA TRS, LLC</t>
  </si>
  <si>
    <t>TreACR/Aflac Fee Matrix</t>
  </si>
  <si>
    <t>spread</t>
  </si>
  <si>
    <t>fee</t>
  </si>
  <si>
    <t>total spread between min &amp; max fee</t>
  </si>
  <si>
    <t>incremental spread per variance</t>
  </si>
  <si>
    <t>Spread:</t>
  </si>
  <si>
    <t>&lt; feeds from input worksheet / debt stack</t>
  </si>
  <si>
    <t>LOAN SETTLEMENT STATEMENT INPUT WORKSHEET</t>
  </si>
  <si>
    <t>Loan Servicer:</t>
  </si>
  <si>
    <t xml:space="preserve">If this is a construction loan,  the Closing T.M. should work with the Banking Team to complete the Project Budget Worksheets contained in this Workbook  (comprised of the Project Budget Summary, Contractor's Budget Detail and Cost Report) well in advance of closing (making updates as necessary as due diligence progresses).  Additionally, set up of the S&amp;U Recon worksheet should be completed.  (Input the appropriate line items in the S&amp;U recon. worksheet, as well as the figures reflected in the IC Memo presented to the Investment Committee).  The settlement statement input worksheet will feed Amounts Advanced at Closing to the Project Budget and to the S&amp;U Recon as all disbursements will be coded to the Budget and S&amp;U line items.   If no development budget is associated with this transaction, do not code disbursements to the Project Budget but do complete the S&amp;U Recon coding.   </t>
  </si>
  <si>
    <t>INPUT BLUE AND YELLOW HIGHLIGHTED AREAS ONLY</t>
  </si>
  <si>
    <t>I. Loan Identification</t>
  </si>
  <si>
    <t>Control ID</t>
  </si>
  <si>
    <t>Banking Team Office</t>
  </si>
  <si>
    <t>Deal Name</t>
  </si>
  <si>
    <t>Property Location (what will be referenced in the settlement statement &amp; as deal name in TRE ACR/Aflac Funding Inst.)</t>
  </si>
  <si>
    <t>&lt;&lt; This is a reference only; should not override any property addresses uploaded to Backshop from the sizing model</t>
  </si>
  <si>
    <t>II.  Borrower Information</t>
  </si>
  <si>
    <t>Street Address 1</t>
  </si>
  <si>
    <t>Street Address 2</t>
  </si>
  <si>
    <t>Street Address 3</t>
  </si>
  <si>
    <t>Street Address 4</t>
  </si>
  <si>
    <t>City</t>
  </si>
  <si>
    <t>State</t>
  </si>
  <si>
    <t>Zip Code</t>
  </si>
  <si>
    <t>Primary Contact</t>
  </si>
  <si>
    <t>Email Address</t>
  </si>
  <si>
    <t>Telephone No.</t>
  </si>
  <si>
    <t xml:space="preserve"> Mortgage Borrower Addess (Take from the "Notices" Section of the Loan Agreement - typically Article VIII, Section 8.6); Primary Contact info typically in the working party directory of the underwriting checklist.</t>
  </si>
  <si>
    <t>Mezzanine Borrower Address (leave blank if not different from Mortgage Borrower Address)</t>
  </si>
  <si>
    <t>FOR BORROWER SECTION BELOW:  If there are more than one Borrower due to multiple collateral properties, Borrower 1 should be the entity that owns the property with the highest loan allocation (Mezz Borrower 1 would be the mezz borrower associated with that mortgage borrower).  In the unlikely event there are more than one SPE borrower owning one collateral property, Borrower 1 should be the Borrower with the highest ownership percentage (and Mezz Borrower 1 would be the mezz borrower associated with that mortgage borrower).   If the Borrower is a Trust, input full legal name under Entity Name (i.e. John Smith as Trustee of the Smith Family Trust U/T/D 12/01/2000), and leave State of Formation Blank.  For other entities input name, state of formation, and entity type.</t>
  </si>
  <si>
    <t>Entity Name or Last Name</t>
  </si>
  <si>
    <t>First Name (indiv borrower)</t>
  </si>
  <si>
    <t>State of Formation</t>
  </si>
  <si>
    <t>Entity Type</t>
  </si>
  <si>
    <r>
      <rPr>
        <b/>
        <sz val="11"/>
        <rFont val="Calibri"/>
        <family val="2"/>
        <scheme val="minor"/>
      </rPr>
      <t>BORROWER NAME OVERRIDE FOR SIGNATURE BLOC</t>
    </r>
    <r>
      <rPr>
        <sz val="11"/>
        <rFont val="Calibri"/>
        <family val="2"/>
        <scheme val="minor"/>
      </rPr>
      <t>K</t>
    </r>
    <r>
      <rPr>
        <sz val="11"/>
        <color theme="1"/>
        <rFont val="Calibri"/>
        <family val="2"/>
        <scheme val="minor"/>
      </rPr>
      <t xml:space="preserve"> - </t>
    </r>
    <r>
      <rPr>
        <b/>
        <sz val="11"/>
        <color rgb="FFC00000"/>
        <rFont val="Calibri"/>
        <family val="2"/>
        <scheme val="minor"/>
      </rPr>
      <t>OVERRIDES NAMES THAT ARE AUTO POPULATED IN THE GREEN BOX (COLUMN L)</t>
    </r>
  </si>
  <si>
    <r>
      <rPr>
        <b/>
        <sz val="11"/>
        <color theme="1"/>
        <rFont val="Calibri"/>
        <family val="2"/>
        <scheme val="minor"/>
      </rPr>
      <t>BORROWER NAME FOR SIGNATURE BLOCKS.</t>
    </r>
    <r>
      <rPr>
        <sz val="11"/>
        <color theme="1"/>
        <rFont val="Calibri"/>
        <family val="2"/>
        <scheme val="minor"/>
      </rPr>
      <t xml:space="preserve">  Auto populated from inputs in cells E:H; can override in Column I</t>
    </r>
  </si>
  <si>
    <t>Mortgage Borrower 1</t>
  </si>
  <si>
    <t>Mortgage Borrower 2</t>
  </si>
  <si>
    <t>Mortgage Borrower 3</t>
  </si>
  <si>
    <t>Mortgage Borrower 4</t>
  </si>
  <si>
    <t>Mortgage Borrower 5</t>
  </si>
  <si>
    <t>Mortgage Borrower 6</t>
  </si>
  <si>
    <t>Mortgage Borrower 7</t>
  </si>
  <si>
    <t>Mortgage Borrower 8</t>
  </si>
  <si>
    <t>Mortgage Borrower 9</t>
  </si>
  <si>
    <t>Mortgage Borrower 10</t>
  </si>
  <si>
    <t>Mortgage Borrower 11</t>
  </si>
  <si>
    <t>Mortgage Borrower 12</t>
  </si>
  <si>
    <t>Mortgage Borrower 13</t>
  </si>
  <si>
    <t>Mortgage Borrower 14</t>
  </si>
  <si>
    <t>Mortgage Borrower 15</t>
  </si>
  <si>
    <t>Mortgage Borrower 16</t>
  </si>
  <si>
    <t>Mortgage Borrower 17</t>
  </si>
  <si>
    <t>Mortgage Borrower 18</t>
  </si>
  <si>
    <t>Mortgage Borrower 19</t>
  </si>
  <si>
    <t>Mortgage Borrower 20</t>
  </si>
  <si>
    <t>Mortgage Borrower 21</t>
  </si>
  <si>
    <t>Mortgage Borrower 22</t>
  </si>
  <si>
    <t>Mortgage Borrower 23</t>
  </si>
  <si>
    <t>Mortgage Borrower 24</t>
  </si>
  <si>
    <t>Mortgage Borrower 25</t>
  </si>
  <si>
    <t>Mortgage Borrower 26</t>
  </si>
  <si>
    <t>Mortgage Borrower 27</t>
  </si>
  <si>
    <t>Mortgage Borrower 28</t>
  </si>
  <si>
    <t>Mortgage Borrower 29</t>
  </si>
  <si>
    <t>Mortgage Borrower 30</t>
  </si>
  <si>
    <t>Mortgage Borrower 31</t>
  </si>
  <si>
    <t>Mortgage Borrower 32</t>
  </si>
  <si>
    <t>Mortgage Borrower 33</t>
  </si>
  <si>
    <t>Mortgage Borrower 34</t>
  </si>
  <si>
    <t>Mortgage Borrower 35</t>
  </si>
  <si>
    <t>Mortgage Borrower 36</t>
  </si>
  <si>
    <t>Mortgage Borrower 37</t>
  </si>
  <si>
    <t>Mortgage Borrower 38</t>
  </si>
  <si>
    <t>Mortgage Borrower 39</t>
  </si>
  <si>
    <t>Mortgage Borrower 40</t>
  </si>
  <si>
    <t>Mortgage Borrower 41</t>
  </si>
  <si>
    <t>Mortgage Borrower 42</t>
  </si>
  <si>
    <t>Mortgage Borrower 43</t>
  </si>
  <si>
    <t>Mortgage Borrower 44</t>
  </si>
  <si>
    <t>Mortgage Borrower 45</t>
  </si>
  <si>
    <t>Mortgage Borrower 46</t>
  </si>
  <si>
    <t>Mortgage Borrower 47</t>
  </si>
  <si>
    <t>Mortgage Borrower 48</t>
  </si>
  <si>
    <t>Mortgage Borrower 49</t>
  </si>
  <si>
    <t>Mortgage Borrower 50</t>
  </si>
  <si>
    <t>Mezz Borrower 1</t>
  </si>
  <si>
    <t>Mezz Borrower 2</t>
  </si>
  <si>
    <t>Mezz Borrower 3</t>
  </si>
  <si>
    <t>Mezz Borrower 4</t>
  </si>
  <si>
    <t>Mezz Borrower 5</t>
  </si>
  <si>
    <t>Mezz Borrower 6</t>
  </si>
  <si>
    <t>Mezz Borrower 7</t>
  </si>
  <si>
    <t>Mezz Borrower 8</t>
  </si>
  <si>
    <t>Mezz Borrower 9</t>
  </si>
  <si>
    <t>Mezz Borrower 10</t>
  </si>
  <si>
    <t>Mezz Borrower 11</t>
  </si>
  <si>
    <t>Mezz Borrower 12</t>
  </si>
  <si>
    <t>Mezz Borrower 13</t>
  </si>
  <si>
    <t>Mezz Borrower 14</t>
  </si>
  <si>
    <t>Mezz Borrower 15</t>
  </si>
  <si>
    <t>Mezz Borrower 16</t>
  </si>
  <si>
    <t>Mezz Borrower 17</t>
  </si>
  <si>
    <t>Mezz Borrower 18</t>
  </si>
  <si>
    <t>Mezz Borrower 19</t>
  </si>
  <si>
    <t>Mezz Borrower 20</t>
  </si>
  <si>
    <t>Mezz Borrower 21</t>
  </si>
  <si>
    <t>Mezz Borrower 22</t>
  </si>
  <si>
    <t>Mezz Borrower 23</t>
  </si>
  <si>
    <t>Mezz Borrower 24</t>
  </si>
  <si>
    <t>Mezz Borrower 25</t>
  </si>
  <si>
    <t>Mezz Borrower 26</t>
  </si>
  <si>
    <t>Mezz Borrower 27</t>
  </si>
  <si>
    <t>Mezz Borrower 28</t>
  </si>
  <si>
    <t>Mezz Borrower 29</t>
  </si>
  <si>
    <t>Mezz Borrower 30</t>
  </si>
  <si>
    <t>Mezz Borrower 31</t>
  </si>
  <si>
    <t>Mezz Borrower 32</t>
  </si>
  <si>
    <t>Mezz Borrower 33</t>
  </si>
  <si>
    <t>Mezz Borrower 34</t>
  </si>
  <si>
    <t>Mezz Borrower 35</t>
  </si>
  <si>
    <t>Mezz Borrower 36</t>
  </si>
  <si>
    <t>Mezz Borrower 37</t>
  </si>
  <si>
    <t>Mezz Borrower 38</t>
  </si>
  <si>
    <t>Mezz Borrower 39</t>
  </si>
  <si>
    <t>Mezz Borrower 40</t>
  </si>
  <si>
    <t>Mezz Borrower 41</t>
  </si>
  <si>
    <t>Mezz Borrower 42</t>
  </si>
  <si>
    <t>Mezz Borrower 43</t>
  </si>
  <si>
    <t>Mezz Borrower 44</t>
  </si>
  <si>
    <t>Mezz Borrower 45</t>
  </si>
  <si>
    <t>Mezz Borrower 46</t>
  </si>
  <si>
    <t>Mezz Borrower 47</t>
  </si>
  <si>
    <t>Mezz Borrower 48</t>
  </si>
  <si>
    <t>Mezz Borrower 49</t>
  </si>
  <si>
    <t>Mezz Borrower 50</t>
  </si>
  <si>
    <t>III. General Loan Terms</t>
  </si>
  <si>
    <t>Loan Program</t>
  </si>
  <si>
    <t>If construction or heavy renovation loan, is property in New York (yes/no)?</t>
  </si>
  <si>
    <t>&lt;&lt; this is not fully effective now;  phase II of settlement stmt template will add calculation of various NY const notes</t>
  </si>
  <si>
    <t>Capital Call / Funding Instructions Date</t>
  </si>
  <si>
    <t>Settlement Statement Date</t>
  </si>
  <si>
    <t>Loan Closing Date</t>
  </si>
  <si>
    <t>End of Interest Accrual Period</t>
  </si>
  <si>
    <t>&lt;End of interest accrual period and First Payment Date autofill; override as necessary.   If closing date is on a payment day (i.e. the 10th of the month), the end of interest accrual period should be one day prior so that there is -0- days' stub interest. If you want to collect the 1st payment at closing because you are closing on a closing day where there is no stub interest (but are concerned about loan boarding timing), input the end of interest accrual date that is 1 day prior to the 1st payment date.   You should be careful to adequately label that ("1st payment reserve" vs "Stub Interest" on the settlement statement, and make sure loan docs recognize it).</t>
  </si>
  <si>
    <t>Payment Day</t>
  </si>
  <si>
    <t>Whole numbers only; no text</t>
  </si>
  <si>
    <t>First Payment Date</t>
  </si>
  <si>
    <t>auto calculates; revise as necessary</t>
  </si>
  <si>
    <t>Payment Frequency First Mortgage (Backshop Data Field)</t>
  </si>
  <si>
    <t>Monthly</t>
  </si>
  <si>
    <t>Payment Frequency Mezz Loan (Backshop Data Field)</t>
  </si>
  <si>
    <r>
      <t>Initial Loan Term</t>
    </r>
    <r>
      <rPr>
        <sz val="11"/>
        <color rgb="FF0070C0"/>
        <rFont val="Calibri"/>
        <family val="2"/>
        <scheme val="minor"/>
      </rPr>
      <t xml:space="preserve"> </t>
    </r>
    <r>
      <rPr>
        <sz val="11"/>
        <color rgb="FF9966FF"/>
        <rFont val="Calibri"/>
        <family val="2"/>
        <scheme val="minor"/>
      </rPr>
      <t>(</t>
    </r>
    <r>
      <rPr>
        <b/>
        <sz val="11"/>
        <color rgb="FF9966FF"/>
        <rFont val="Calibri"/>
        <family val="2"/>
        <scheme val="minor"/>
      </rPr>
      <t>in number of months</t>
    </r>
    <r>
      <rPr>
        <sz val="11"/>
        <color rgb="FF9966FF"/>
        <rFont val="Calibri"/>
        <family val="2"/>
        <scheme val="minor"/>
      </rPr>
      <t>)</t>
    </r>
    <r>
      <rPr>
        <sz val="11"/>
        <color theme="1"/>
        <rFont val="Calibri"/>
        <family val="2"/>
        <scheme val="minor"/>
      </rPr>
      <t xml:space="preserve"> (Backshop Field)</t>
    </r>
  </si>
  <si>
    <t>Fully Extended Loan Term (in number of months) (Backshop Field)</t>
  </si>
  <si>
    <t># of Extensions (Backshop Field)</t>
  </si>
  <si>
    <t>Auto Fills; override as necessary</t>
  </si>
  <si>
    <t># of Months in Extension 1  (Backshop Field)</t>
  </si>
  <si>
    <t>If the initial loan term input divided by 12 equals  a whole number, this defaults to 12, otherwise it defaults to 11.   Override as necessary</t>
  </si>
  <si>
    <t># of Months in Extension 2 (Backshop Field)</t>
  </si>
  <si>
    <t>Defaults to 0 if only 1 extension; defaults to 12 if there are 2 or more extensions.  Override as necessary</t>
  </si>
  <si>
    <t># of Months in Extension 3 (Backshop Field)</t>
  </si>
  <si>
    <t>Defaults to 0 if 2 or fewer extensions; defaults to 12 if there are 3 extensions, override if necessary (i.e. if ext terms are 6 mos vs 12 mos each)</t>
  </si>
  <si>
    <t># of Months in Extension 4 (Backshop Field)</t>
  </si>
  <si>
    <t># of Months in Extension 5 (Backshop Field)</t>
  </si>
  <si>
    <t># of Months in Extension 6 (Backshop Field)</t>
  </si>
  <si>
    <t># of Months in Extension 7 (Backshop Field)</t>
  </si>
  <si>
    <t># of Months in Extension 8 (Backshop Field)</t>
  </si>
  <si>
    <t># of Months in Extension 9 (Backshop Field)</t>
  </si>
  <si>
    <t># of Months in Extension 10 (Backshop Field)</t>
  </si>
  <si>
    <t>Is Rate Fixed (Yes/No)?</t>
  </si>
  <si>
    <t>Index</t>
  </si>
  <si>
    <t>SOFR 1 Month Term</t>
  </si>
  <si>
    <t>&lt;&lt; don’t forget to change to the appropriate US Treasury index if this is a fixed rate deal</t>
  </si>
  <si>
    <t>Interest Accrual Method</t>
  </si>
  <si>
    <t>Actual/360</t>
  </si>
  <si>
    <t>Index as of Date</t>
  </si>
  <si>
    <t>Floating Rate (ie Term SOFR) Index Rate %</t>
  </si>
  <si>
    <r>
      <rPr>
        <b/>
        <sz val="11"/>
        <color rgb="FF0070C0"/>
        <rFont val="Calibri"/>
        <family val="2"/>
        <scheme val="minor"/>
      </rPr>
      <t>Floating Rate</t>
    </r>
    <r>
      <rPr>
        <sz val="11"/>
        <color theme="1"/>
        <rFont val="Calibri"/>
        <family val="2"/>
        <scheme val="minor"/>
      </rPr>
      <t xml:space="preserve"> Index Rounded Up to 1/1000th</t>
    </r>
  </si>
  <si>
    <t>Floating Rate Index Floor (ie Term SOFR floor)</t>
  </si>
  <si>
    <r>
      <rPr>
        <b/>
        <sz val="11"/>
        <color rgb="FFC00000"/>
        <rFont val="Calibri"/>
        <family val="2"/>
        <scheme val="minor"/>
      </rPr>
      <t>Fixed Rate</t>
    </r>
    <r>
      <rPr>
        <sz val="11"/>
        <color theme="1"/>
        <rFont val="Calibri"/>
        <family val="2"/>
        <scheme val="minor"/>
      </rPr>
      <t xml:space="preserve"> - UST Bid Yield</t>
    </r>
  </si>
  <si>
    <r>
      <rPr>
        <b/>
        <sz val="11"/>
        <color rgb="FFC00000"/>
        <rFont val="Calibri"/>
        <family val="2"/>
        <scheme val="minor"/>
      </rPr>
      <t>Fixed Rate</t>
    </r>
    <r>
      <rPr>
        <sz val="11"/>
        <color theme="1"/>
        <rFont val="Calibri"/>
        <family val="2"/>
        <scheme val="minor"/>
      </rPr>
      <t xml:space="preserve"> - UST Ask Yield</t>
    </r>
  </si>
  <si>
    <t>ACORE BILLS ON FINAL</t>
  </si>
  <si>
    <t>POST CLOSE ICM</t>
  </si>
  <si>
    <r>
      <rPr>
        <b/>
        <sz val="11"/>
        <color rgb="FFC00000"/>
        <rFont val="Calibri"/>
        <family val="2"/>
        <scheme val="minor"/>
      </rPr>
      <t>Fixed Rate</t>
    </r>
    <r>
      <rPr>
        <sz val="11"/>
        <color theme="1"/>
        <rFont val="Calibri"/>
        <family val="2"/>
        <scheme val="minor"/>
      </rPr>
      <t xml:space="preserve"> Index (Median of Bid &amp; Ask rounded up to 1/1000th)</t>
    </r>
  </si>
  <si>
    <t>IMPLIED SPREAD, WHICH</t>
  </si>
  <si>
    <t>SHOULD SHOW FINAL</t>
  </si>
  <si>
    <r>
      <t>Fixed Rate Min. Spread (</t>
    </r>
    <r>
      <rPr>
        <b/>
        <u/>
        <sz val="11"/>
        <color rgb="FFC00000"/>
        <rFont val="Calibri"/>
        <family val="2"/>
        <scheme val="minor"/>
      </rPr>
      <t>Blended</t>
    </r>
    <r>
      <rPr>
        <b/>
        <sz val="11"/>
        <color rgb="FFC00000"/>
        <rFont val="Calibri"/>
        <family val="2"/>
        <scheme val="minor"/>
      </rPr>
      <t xml:space="preserve"> - including mezz)</t>
    </r>
  </si>
  <si>
    <t>SHOULD BE REFLECTED</t>
  </si>
  <si>
    <t>LOCKED INDEX, NOT</t>
  </si>
  <si>
    <t xml:space="preserve">Fixed Interest Rate Coupon Floor </t>
  </si>
  <si>
    <t>IN POST CLOSE ICM</t>
  </si>
  <si>
    <t>IMPLIED INDEX FLOOR</t>
  </si>
  <si>
    <r>
      <t>Interest Rate Lock Date (</t>
    </r>
    <r>
      <rPr>
        <b/>
        <sz val="11"/>
        <color rgb="FFC00000"/>
        <rFont val="Calibri"/>
        <family val="2"/>
        <scheme val="minor"/>
      </rPr>
      <t xml:space="preserve">fixed rate </t>
    </r>
    <r>
      <rPr>
        <sz val="11"/>
        <rFont val="Calibri"/>
        <family val="2"/>
        <scheme val="minor"/>
      </rPr>
      <t>only)</t>
    </r>
  </si>
  <si>
    <t>DO NOT TYPE IN FIXED DEBT STACK IN PURPLE AND YELLOW BOX TO THE RIGHT . AUTO FILLS DEBT STACK'S INTEREST RATE AND SPREAD ONLY; MUST MANUALLY INPUT ALL OTHER CELLS IN THE DEBT STACK SECTION IV.</t>
  </si>
  <si>
    <t>FIXED RATE CAP STACK</t>
  </si>
  <si>
    <t>Int Rate Coupon (greater of int rate coupon floor &amp; UST+Min Spread)</t>
  </si>
  <si>
    <t>Implied Spread Based on Actual UST &amp; Interest Rate Coupon</t>
  </si>
  <si>
    <t>Implied Index (impact from Floor Rate)</t>
  </si>
  <si>
    <r>
      <t>Mezz Loan Amount (</t>
    </r>
    <r>
      <rPr>
        <b/>
        <sz val="11"/>
        <color rgb="FFC00000"/>
        <rFont val="Calibri"/>
        <family val="2"/>
        <scheme val="minor"/>
      </rPr>
      <t>Fixed Rate</t>
    </r>
    <r>
      <rPr>
        <sz val="11"/>
        <rFont val="Calibri"/>
        <family val="2"/>
        <scheme val="minor"/>
      </rPr>
      <t xml:space="preserve"> Deal Only)</t>
    </r>
  </si>
  <si>
    <t>Loan</t>
  </si>
  <si>
    <t>Amount</t>
  </si>
  <si>
    <t>Min Spread</t>
  </si>
  <si>
    <t>Actual Index</t>
  </si>
  <si>
    <r>
      <t>Mezz Interest Rate Coupon (</t>
    </r>
    <r>
      <rPr>
        <b/>
        <sz val="11"/>
        <color rgb="FFC00000"/>
        <rFont val="Calibri"/>
        <family val="2"/>
        <scheme val="minor"/>
      </rPr>
      <t>Fixed Rate</t>
    </r>
    <r>
      <rPr>
        <sz val="11"/>
        <color rgb="FFC00000"/>
        <rFont val="Calibri"/>
        <family val="2"/>
        <scheme val="minor"/>
      </rPr>
      <t>)</t>
    </r>
  </si>
  <si>
    <t>&lt;&lt; if there is no mezz int rate coupon floor (fixed rate deal) leave blank or at 0%</t>
  </si>
  <si>
    <t>Mortgage</t>
  </si>
  <si>
    <r>
      <t>Total Loan Amount (</t>
    </r>
    <r>
      <rPr>
        <b/>
        <sz val="11"/>
        <color rgb="FFFF0000"/>
        <rFont val="Calibri"/>
        <family val="2"/>
        <scheme val="minor"/>
      </rPr>
      <t>Fixed Rate Deal Only</t>
    </r>
    <r>
      <rPr>
        <b/>
        <sz val="11"/>
        <color theme="1"/>
        <rFont val="Calibri"/>
        <family val="2"/>
        <scheme val="minor"/>
      </rPr>
      <t>)</t>
    </r>
  </si>
  <si>
    <t>Mezzanine</t>
  </si>
  <si>
    <t>(BLANK ROW -- FOR POSSIBLE FUTURE USE)</t>
  </si>
  <si>
    <t>sumproduct:</t>
  </si>
  <si>
    <t>Number of Days in the Note Rate (Annual)</t>
  </si>
  <si>
    <t>Auto fill based on input of Interest Accrual Method</t>
  </si>
  <si>
    <t>Number of Days of Stub Interest</t>
  </si>
  <si>
    <t>Auto fills. If the closing day falls on a payment day, this defaults to zero (as there is a full month to first payment date so there won't be any stub interest)</t>
  </si>
  <si>
    <t>Origination Fee %</t>
  </si>
  <si>
    <t>If there are varying origination fees per note, can input the fee per note in column T of the debt stack in Section IV below.</t>
  </si>
  <si>
    <t xml:space="preserve">Is Orig Fee on Total Loan or Initial Advance? </t>
  </si>
  <si>
    <t>(Total Loan / Initial Advance)</t>
  </si>
  <si>
    <t>Total Loan</t>
  </si>
  <si>
    <t>If this varies between notes, can override response in the debt stack for each note</t>
  </si>
  <si>
    <t>Are there any I.O. Strip Notes? (Yes/No)</t>
  </si>
  <si>
    <t>This impacts debt stack headers in the settlement statement</t>
  </si>
  <si>
    <t>Any preferred equity note? (Yes/No)</t>
  </si>
  <si>
    <t>This drives a footnote on the settlement statement  regarding current interest rate vs PIK interest</t>
  </si>
  <si>
    <t>Amortization Term (in # of months) for payment calculation when there is amortization in the loan term</t>
  </si>
  <si>
    <t>input in # of months (ie 360 for 30 year amort; 300 for 25 year amort); affects amortization calculation in amort worksheet</t>
  </si>
  <si>
    <t>Total number of months in fully extended loan term that have amortization</t>
  </si>
  <si>
    <t>i.e. if amortization is required only during the loan extension periods, and there are two one-year extensions, then the term to input here would be 24</t>
  </si>
  <si>
    <t>B NOTES</t>
  </si>
  <si>
    <t>Interest Only Period (Backshop Data Field) in # of months</t>
  </si>
  <si>
    <t>Auto fills; override as necessary</t>
  </si>
  <si>
    <t>ORIGINAL TERM</t>
  </si>
  <si>
    <t>1ST EXT.</t>
  </si>
  <si>
    <t>2nd EXT.</t>
  </si>
  <si>
    <t>3rd EXT.</t>
  </si>
  <si>
    <t>4th EXT.</t>
  </si>
  <si>
    <t>5th EXT.</t>
  </si>
  <si>
    <t>Amortization Type (Backshop Data Field)</t>
  </si>
  <si>
    <t>Transaction Manager (Backshop field):</t>
  </si>
  <si>
    <t xml:space="preserve">THIS TABLE MUST BE CUSTOMIZED; ALL CALCULATION FORMULAS MUST BE INPUT </t>
  </si>
  <si>
    <t>IV. DEBT STACK</t>
  </si>
  <si>
    <t>DELPHI PARTICIPATION SPLITS PER NOTE - PARTICIPANT HAS EQUAL % SHARE IN ALL NOTES</t>
  </si>
  <si>
    <t>DELPHI PARTICIPATION SPLITS - DISPARATE SPLITS</t>
  </si>
  <si>
    <t>Auto Fills using lookup of Lender Name</t>
  </si>
  <si>
    <t>All notes (including F notes) should have their own line.  If you advance from an "F" note at closing, input the amount advanced under the initial loan advance amount column; the undisbursed portion will be reflected in the future funding amount column.  Since Aflac/TRE ACR deals do not have future note names, you will enter initial and future advance amounts on the same line under each note name.</t>
  </si>
  <si>
    <t>On Floating Rate Deals:  Greater of actual index &amp; Term SOFR floor; On Fixed Rate Deals: Actual Index; On IO Strips it is 0%</t>
  </si>
  <si>
    <t>Fixed Rate Spread auto-fills from fixed rate debt stack starting in cell K154; for flotating rate deals must override formula with actual spread per note.</t>
  </si>
  <si>
    <t>For Pref Equtiy Only; Backshop Data Field</t>
  </si>
  <si>
    <t>On floating rate deals, it is the sum of the spread &amp; index shown below; On fixed rate deals it is the greater of the interest rate coupon floor and the sum of the index and min spread shown below; on I.O. Strips the interest rate equals the spread only.</t>
  </si>
  <si>
    <t>Only calculates for initial loan advance</t>
  </si>
  <si>
    <t>Feeds from the Investor Profile worksheet.  Defaults to "No" when there is no initial funding.</t>
  </si>
  <si>
    <t>Defaults to Cell E162; can override below if notes have varying origination fee structure</t>
  </si>
  <si>
    <t>Feeds from the Investor Profile.  Defaults to "No" when there is no initial funding.</t>
  </si>
  <si>
    <t>Backshop Field. This is not the same as note priority. This refers to position of the lien (security instrument), not the note (ie an A-1 note and a B-1 note are both part of the 1st mortgage even though they have different note priorities. The lien would be First for both. We don't usually finance 2nd liens; that will be a rare selection)</t>
  </si>
  <si>
    <t>Backshop field - for both initial &amp; future funding tranche; input even if there is no initial funding advance. This is a NOTE priority, not a lien priority</t>
  </si>
  <si>
    <t>Only enter for TRE ACR and Aflac deals.</t>
  </si>
  <si>
    <r>
      <t xml:space="preserve">Auto-Fill; </t>
    </r>
    <r>
      <rPr>
        <b/>
        <sz val="11"/>
        <color rgb="FFC00000"/>
        <rFont val="Calibri"/>
        <family val="2"/>
        <scheme val="minor"/>
      </rPr>
      <t>do not type in this column of the debt stack</t>
    </r>
  </si>
  <si>
    <t>Enter Yes or No</t>
  </si>
  <si>
    <t>RSLIC</t>
  </si>
  <si>
    <t>SNCC</t>
  </si>
  <si>
    <t>PIIC</t>
  </si>
  <si>
    <t>TMR</t>
  </si>
  <si>
    <t>HCC</t>
  </si>
  <si>
    <t>USSIC</t>
  </si>
  <si>
    <t>TMD-DL</t>
  </si>
  <si>
    <t>HAIH</t>
  </si>
  <si>
    <t>OTHER 1 (Define)</t>
  </si>
  <si>
    <t>OTHER 2 (Define)</t>
  </si>
  <si>
    <t>Totals</t>
  </si>
  <si>
    <t>TMNF</t>
  </si>
  <si>
    <t>Lender Name</t>
  </si>
  <si>
    <t>Investor Client</t>
  </si>
  <si>
    <t>Financing Source (Backshop Field)</t>
  </si>
  <si>
    <t>Note Name</t>
  </si>
  <si>
    <t>Note Classification</t>
  </si>
  <si>
    <t>% of Total Initial Loan Advance</t>
  </si>
  <si>
    <t>Future Funding Amount</t>
  </si>
  <si>
    <t>% of Total Future Funding</t>
  </si>
  <si>
    <t>Total Loan Commitment /Total Notional Amounts</t>
  </si>
  <si>
    <t>% of Total Loan Commitment</t>
  </si>
  <si>
    <t>Spread</t>
  </si>
  <si>
    <t>PIK Rate (if applicable)</t>
  </si>
  <si>
    <t>Per Diem Interest</t>
  </si>
  <si>
    <t>Total Stub Interest</t>
  </si>
  <si>
    <t>Net Stub out of Wire to Escrow?</t>
  </si>
  <si>
    <t>Is Orig Fee paid on Total Loan or Initial Advance?</t>
  </si>
  <si>
    <t>Origination Fee Amount</t>
  </si>
  <si>
    <t>Origination fee paid to ACORE</t>
  </si>
  <si>
    <t>Net Orig. Fee out of Wire to Escrow?</t>
  </si>
  <si>
    <t>Lien</t>
  </si>
  <si>
    <t>Note Priority (1,2,3, etc)</t>
  </si>
  <si>
    <t>Note ID</t>
  </si>
  <si>
    <t>Servicer #</t>
  </si>
  <si>
    <t>I.O. Strip Exclusion</t>
  </si>
  <si>
    <t>Earn-Out</t>
  </si>
  <si>
    <t>&gt;&gt;  % Interest:</t>
  </si>
  <si>
    <t>%</t>
  </si>
  <si>
    <t>AMOUNT</t>
  </si>
  <si>
    <t>TOTALS</t>
  </si>
  <si>
    <t>PROJECT BUDGET CODE</t>
  </si>
  <si>
    <t>DESCRIPTION</t>
  </si>
  <si>
    <t>S&amp;U RECON CODE</t>
  </si>
  <si>
    <t>DO NOT TYPE IN THIS PINK BOX</t>
  </si>
  <si>
    <t>V.  INITIAL LOAN ADVANCE</t>
  </si>
  <si>
    <t>Future Funding</t>
  </si>
  <si>
    <t>Initial Loan Advance</t>
  </si>
  <si>
    <t>ACORE First Mortgage</t>
  </si>
  <si>
    <t>ACORE Mezzanine Debt</t>
  </si>
  <si>
    <t>ACORE Preferred Equity</t>
  </si>
  <si>
    <t>Preferred Equity</t>
  </si>
  <si>
    <t>Total ACORE Initial Advance</t>
  </si>
  <si>
    <t>PAYEE / VENDOR</t>
  </si>
  <si>
    <t>CREDIT</t>
  </si>
  <si>
    <t>DEBIT</t>
  </si>
  <si>
    <t>VI.  LOAN ORIGINATION FEE &amp; STUB INTEREST</t>
  </si>
  <si>
    <t>Total Loan Origination Fee</t>
  </si>
  <si>
    <t>ON NEW YORK CONSTRUCTION LOANS, LEAVE THE PROJECT BUDGET CODE BLANK ABOVE FOR THE TOTAL STUB INTEREST AND INSTEAD CODE BELOW FOR EACH NOTE:</t>
  </si>
  <si>
    <t>Acquisition / Senior Note Stub Interest</t>
  </si>
  <si>
    <t>Building Loan Stub Interest</t>
  </si>
  <si>
    <t>Project Loan Stub Interest</t>
  </si>
  <si>
    <t>Mezz Loan Stub Interest</t>
  </si>
  <si>
    <t>Preferred Equity Stub Interest</t>
  </si>
  <si>
    <t>VII.  LOAN APPLICATION DEPOSIT, ACORE TRAVEL EXPENSES AND LOAN EXPENSES PAID PRE-CLOSING</t>
  </si>
  <si>
    <t>Application Deposit</t>
  </si>
  <si>
    <t>Loan Processing Fee</t>
  </si>
  <si>
    <t>ACORE Capital</t>
  </si>
  <si>
    <t>Travel Expense (Itemized in chart below)</t>
  </si>
  <si>
    <t>Employee</t>
  </si>
  <si>
    <t>Boyd Fellows</t>
  </si>
  <si>
    <t>Stew Ward</t>
  </si>
  <si>
    <t>Chris Tokarski</t>
  </si>
  <si>
    <t>Warren de Haan</t>
  </si>
  <si>
    <t>Total Travel Expense</t>
  </si>
  <si>
    <t>Expenses Paid Before Loan Closing from Application Deposit</t>
  </si>
  <si>
    <t>Payee</t>
  </si>
  <si>
    <t>Debit</t>
  </si>
  <si>
    <t>Project Budget Code</t>
  </si>
  <si>
    <t>S&amp;U Recon Code</t>
  </si>
  <si>
    <t>Net Amount of Application Deposit to Escrow</t>
  </si>
  <si>
    <t>VIII.  LOAN RESERVES TO LOAN SERVICER</t>
  </si>
  <si>
    <t>Tax Reserve</t>
  </si>
  <si>
    <t>&lt;&lt; Linked to the Tax Reserve Worksheet</t>
  </si>
  <si>
    <t>Insurance Reserve</t>
  </si>
  <si>
    <t>&lt;&lt; Linked to the Insurance Reserve Worksheet</t>
  </si>
  <si>
    <t xml:space="preserve">&lt;&lt; FIXED LINE ITEM. DO NOT OVERRIDE. </t>
  </si>
  <si>
    <t>&lt;&lt;FIXED. DO NOT OVERRIDE.  Linked to Project Budget Summary (fed from cost report)</t>
  </si>
  <si>
    <t xml:space="preserve">Construction Draw Reserve </t>
  </si>
  <si>
    <t>Retention Balance Reserve</t>
  </si>
  <si>
    <t>DO NOT CODE FOR DEVELOPMENT BUDGET</t>
  </si>
  <si>
    <t>TOTAL</t>
  </si>
  <si>
    <t>Description</t>
  </si>
  <si>
    <t>Comments (shows on Settlement Stmt.)</t>
  </si>
  <si>
    <t>IX.  THIRD PARTY REPORTS &amp; LOAN DUE DILIGENCE COSTS</t>
  </si>
  <si>
    <t>Appraisal</t>
  </si>
  <si>
    <t>Credit/Background Search</t>
  </si>
  <si>
    <t>ESA Phase I &amp; PCA Report</t>
  </si>
  <si>
    <t>Insurance Consultant</t>
  </si>
  <si>
    <t>Harbor Group Insurance</t>
  </si>
  <si>
    <t>Lender's Closing Counsel</t>
  </si>
  <si>
    <t>Zoning Report</t>
  </si>
  <si>
    <t>The Planning and Zoning Resource (PZR)</t>
  </si>
  <si>
    <t>Local Counsel</t>
  </si>
  <si>
    <t>Underwriting Consultant</t>
  </si>
  <si>
    <t>X.  OTHER DISBURSEMENTS ON BEHALF OF BORROWER (ITEMIZED ON LENDER'S SETTLEMENT STMT.)</t>
  </si>
  <si>
    <t>Property Taxes Paid Through Escrow</t>
  </si>
  <si>
    <t>&lt;&lt; Amount linked to tax reserve worksheet</t>
  </si>
  <si>
    <t>Insurance Premiums Due</t>
  </si>
  <si>
    <t>&lt;&lt; Amount linked to insurance reserve worksheet</t>
  </si>
  <si>
    <t>DACA and/or CMA Initial Deposit</t>
  </si>
  <si>
    <t>&lt;&lt; for project code should stay at 600 as line items that the reserve will cover are not yet identified</t>
  </si>
  <si>
    <t>Construction Draw Reserve Held by Escrow Agent</t>
  </si>
  <si>
    <t>FUNDS REMAINING FOR ACQUISITION, PAYOFF, TITLE, ESCROW AND OTHER CLOSING COSTS ITEMIZED ON THE ESCROW SETTLEMENT STATEMENT.  (IF A NEGATIVE NUMBER, REPRESENTS FUNDS REQUIRED TO COVER ITEMIZED EXPENSES ON LENDER'S SETTLEMENT STMT)</t>
  </si>
  <si>
    <t>&lt; on settlement stmt</t>
  </si>
  <si>
    <t>XI.  OTHER CREDITS ON ESCROW'S SETTLEMENT STATEMENT (NOT ITEMIZED ON LENDER'S STMT.)</t>
  </si>
  <si>
    <t>Comments/Notes</t>
  </si>
  <si>
    <t>Source</t>
  </si>
  <si>
    <t>Credit</t>
  </si>
  <si>
    <t>Project Code</t>
  </si>
  <si>
    <t>XI. (A)  BUYER/BORROWER FUNDS:</t>
  </si>
  <si>
    <t>Borr Equity not Coded for Project Budget</t>
  </si>
  <si>
    <t>XI (B)  OTHER SOURCES OF FUNDS:</t>
  </si>
  <si>
    <t>TOTAL BORROWER FUNDS / OTHER CREDITS:</t>
  </si>
  <si>
    <t>XII.  OTHER DEBITS (DISBURSEMENTS) ON ESCROW'S SETTLEMENT STATEMENT NOT ITEMIZED ON LENDER'S STMT.</t>
  </si>
  <si>
    <t>(Disbursements to Borrower/Sponsor are not coded.  Payoffs of loans encumbering the property are only coded for S&amp;U and not the Project (development)  Budget as the Land Acquisition price is reflected in the budget.)</t>
  </si>
  <si>
    <t>XII. (A) ACQUISITION COSTS</t>
  </si>
  <si>
    <t>Property Acquisition Price</t>
  </si>
  <si>
    <t>Total Acquisition Cost</t>
  </si>
  <si>
    <t>XII. (B)  PAYOFFS</t>
  </si>
  <si>
    <t>do not code for development budget</t>
  </si>
  <si>
    <t>code only for S&amp;U</t>
  </si>
  <si>
    <t>Total Payoffs</t>
  </si>
  <si>
    <t xml:space="preserve">XII. (C)  DISBURSEMENTS TO BORROWER/SPONSOR/AFFILIATE ON ESCROW'S STMT ONLY </t>
  </si>
  <si>
    <t>do not code return of equity for devel budget</t>
  </si>
  <si>
    <t>Total Disbursements to Borrower/Sponsor/Affiliates (Non Cost Items)</t>
  </si>
  <si>
    <t>XII. (D)  OTHER DISBURSEMENTS ON ESCROW'S STMT ONLY</t>
  </si>
  <si>
    <t>TOTAL OTHER DEBITS (DISBURSEMENTS)</t>
  </si>
  <si>
    <t>XIII.  TRANSACTION SUMMARY</t>
  </si>
  <si>
    <t>Reconciliation to Escrow Stmt Notes:</t>
  </si>
  <si>
    <t>Loan Origination Fee &amp; Stub Interest</t>
  </si>
  <si>
    <t>Loan Application Deposit</t>
  </si>
  <si>
    <t>Travel Expense</t>
  </si>
  <si>
    <t>Other Expenses Paid from App Deposit before Close</t>
  </si>
  <si>
    <t>Loan Reserves to Loan Servicer</t>
  </si>
  <si>
    <t>Third Party &amp; Loan Due Diligence Expenses</t>
  </si>
  <si>
    <t>Other Disbursements on Behalf on Borrower</t>
  </si>
  <si>
    <t>Other Credits on Escrow's Stmt Only</t>
  </si>
  <si>
    <t>Acquisition Cost</t>
  </si>
  <si>
    <t>Loan Payoffs</t>
  </si>
  <si>
    <t>Disb to Borrower/Sponsor/Affiliate</t>
  </si>
  <si>
    <t>Other Disbursements on Escrow's Stmt Only</t>
  </si>
  <si>
    <t>Amount Due (From)/To Borrower</t>
  </si>
  <si>
    <t>This should balance to amount shown on the preliminary escrow statements.    No need to code; S&amp;U adds or subtracts (as applicable) from equity.  The Devel Budget takes all costs less loan amt to calculate equity so no coding of borrower equity required</t>
  </si>
  <si>
    <t>Amount Reflected in Escrow Stmt:</t>
  </si>
  <si>
    <t>Variance</t>
  </si>
  <si>
    <t>&lt;&lt; SHOULD BE ZERO</t>
  </si>
  <si>
    <t>XIV.  WIRE INSTRUCTIONS</t>
  </si>
  <si>
    <r>
      <t xml:space="preserve">(1) </t>
    </r>
    <r>
      <rPr>
        <b/>
        <sz val="11"/>
        <color rgb="FFC00000"/>
        <rFont val="Calibri"/>
        <family val="2"/>
        <scheme val="minor"/>
      </rPr>
      <t xml:space="preserve"> Input the names of all lenders involved in this transaction below (column  B) t</t>
    </r>
    <r>
      <rPr>
        <b/>
        <u/>
        <sz val="11"/>
        <color rgb="FFC00000"/>
        <rFont val="Calibri"/>
        <family val="2"/>
        <scheme val="minor"/>
      </rPr>
      <t>hat will have the origination fee and/ or stub interest wired to them</t>
    </r>
    <r>
      <rPr>
        <b/>
        <sz val="11"/>
        <color rgb="FFC00000"/>
        <rFont val="Calibri"/>
        <family val="2"/>
        <scheme val="minor"/>
      </rPr>
      <t xml:space="preserve"> </t>
    </r>
    <r>
      <rPr>
        <b/>
        <u/>
        <sz val="11"/>
        <color rgb="FFC00000"/>
        <rFont val="Calibri"/>
        <family val="2"/>
        <scheme val="minor"/>
      </rPr>
      <t>by Escrow</t>
    </r>
    <r>
      <rPr>
        <sz val="11"/>
        <color rgb="FF0070C0"/>
        <rFont val="Calibri"/>
        <family val="2"/>
        <scheme val="minor"/>
      </rPr>
      <t xml:space="preserve"> (when not netted out of the lender's wire to escrow because of agmt with lender investor or becasue there was a zero initial advance amount.   If stub and orig fees were netted out of the wire to escrow, then do not input lender's name and leave that section blank.  Changes to wire instructions for the lenders can be made in cells B354:I362: I338) 2)  In column D (Purpose) input what is being wired to the lender (i.e. Loan Origination Fee; Stub Interest; Loan Origination Fee &amp; Stub Interest).   (2) complete wire information for the Escrow Agent as well.   </t>
    </r>
  </si>
  <si>
    <t>DO NOT INPUT DATA IN BOXED AREA BELOW</t>
  </si>
  <si>
    <t>CALCULATION - Stub Int &amp; Orig Fees per Lender that Escrow Must Wire to Lender (were not netted out of loan proceeds wired to escrow)</t>
  </si>
  <si>
    <t>WATCH LEADING ZEROS!!  MUST INPUT AN APOSTROPHE (') BEFORE ANY ABA OR ACCOUNT NUMBER THAT STARTS WITH A ZERO OTHERWISE IT IS DROPPED BY EXCEL</t>
  </si>
  <si>
    <t>Payee Role</t>
  </si>
  <si>
    <t xml:space="preserve">Payee / Lender </t>
  </si>
  <si>
    <t>Purpose</t>
  </si>
  <si>
    <t>Bank</t>
  </si>
  <si>
    <t>Address</t>
  </si>
  <si>
    <t>ABA/Routing  #</t>
  </si>
  <si>
    <t>Beneficiary</t>
  </si>
  <si>
    <t>Account #</t>
  </si>
  <si>
    <t>For Further Credit To</t>
  </si>
  <si>
    <t>Account # (further credit)</t>
  </si>
  <si>
    <t>Contact Name</t>
  </si>
  <si>
    <t>Phone Number</t>
  </si>
  <si>
    <t>Reference</t>
  </si>
  <si>
    <t>Escrow Number</t>
  </si>
  <si>
    <t>Stub Int</t>
  </si>
  <si>
    <t>Loan Orig Fee</t>
  </si>
  <si>
    <t>Loan Servicer</t>
  </si>
  <si>
    <t>Loan Reserves</t>
  </si>
  <si>
    <t>--</t>
  </si>
  <si>
    <t>Escrow Agent</t>
  </si>
  <si>
    <t>Lender 1</t>
  </si>
  <si>
    <t>AC IV CA Mortgage LLC</t>
  </si>
  <si>
    <t>Corey Spevack</t>
  </si>
  <si>
    <t>212.235.1206</t>
  </si>
  <si>
    <t>Lender 2</t>
  </si>
  <si>
    <t>ACORE Credit IV REIT (MS) SPV, LLC</t>
  </si>
  <si>
    <t>Lender 3</t>
  </si>
  <si>
    <t>ACORE Credit IV REIT (WF) SPV LLC</t>
  </si>
  <si>
    <t>Lender 4</t>
  </si>
  <si>
    <t>ACORE Credit IV REIT II SPV LLC</t>
  </si>
  <si>
    <t>Lender 5</t>
  </si>
  <si>
    <t>ACORE Credit IV TRS, LLC</t>
  </si>
  <si>
    <t>Lender 6</t>
  </si>
  <si>
    <t>Lender 7</t>
  </si>
  <si>
    <t>Lender 8</t>
  </si>
  <si>
    <t>Lender 9</t>
  </si>
  <si>
    <t>ACSS Real Estate Funding, LLC</t>
  </si>
  <si>
    <t>Lender 10</t>
  </si>
  <si>
    <t>Lender 11</t>
  </si>
  <si>
    <t>Lender 12</t>
  </si>
  <si>
    <t>Lender 13</t>
  </si>
  <si>
    <t>TRE ACR Portfolio</t>
  </si>
  <si>
    <t>Lender 14</t>
  </si>
  <si>
    <t>TRE ACR Portfolio Series II</t>
  </si>
  <si>
    <t>Lender 15</t>
  </si>
  <si>
    <t xml:space="preserve">ACORE Capital </t>
  </si>
  <si>
    <t>LENDER WIRING INSTRUCTIONS MATRIX</t>
  </si>
  <si>
    <t>ABA #</t>
  </si>
  <si>
    <t>Bank of America</t>
  </si>
  <si>
    <t>New York, NY</t>
  </si>
  <si>
    <t>026009593</t>
  </si>
  <si>
    <t>1416212643</t>
  </si>
  <si>
    <t>First Republic Bank</t>
  </si>
  <si>
    <t>101 Pine Street; San Francisco, CA  94111</t>
  </si>
  <si>
    <t>ACORE Capital, LP - Operating Account</t>
  </si>
  <si>
    <t> ACORE Credit IV REIT Inc</t>
  </si>
  <si>
    <t>1416013313</t>
  </si>
  <si>
    <t>ACORE Credit IV REIT Inc</t>
  </si>
  <si>
    <t>ACORE Credit IV Reit II SPV LLC</t>
  </si>
  <si>
    <t>1416114237</t>
  </si>
  <si>
    <t>ACORE Credit IV TRS LLC</t>
  </si>
  <si>
    <t xml:space="preserve">Bank of America </t>
  </si>
  <si>
    <t xml:space="preserve">026009593 </t>
  </si>
  <si>
    <t>ACORE Credit Partners II CA TRS LLC</t>
  </si>
  <si>
    <t>1416417531</t>
  </si>
  <si>
    <t>1499787663</t>
  </si>
  <si>
    <t>1416417111</t>
  </si>
  <si>
    <t>1416808426</t>
  </si>
  <si>
    <t>The Bank of New York Mellon</t>
  </si>
  <si>
    <t>021000018</t>
  </si>
  <si>
    <t>AFL OF COL ACORE TRE CUSTODY</t>
  </si>
  <si>
    <t>9837448400</t>
  </si>
  <si>
    <t>Delphi CRE Funding</t>
  </si>
  <si>
    <t>6948678400</t>
  </si>
  <si>
    <t>Citibank</t>
  </si>
  <si>
    <t>021000089</t>
  </si>
  <si>
    <t>Brown Brothers Harriman NY</t>
  </si>
  <si>
    <t>09250276</t>
  </si>
  <si>
    <t>Global Investment Fund 1 / TRE ACR Portfolio Cash Fund</t>
  </si>
  <si>
    <t>4004453</t>
  </si>
  <si>
    <t>Global Investment Fund 1 / TRE ACR Series II Portfolio Cash Fund</t>
  </si>
  <si>
    <t>Loan Servicer Wire Instructions for Loan Escrows</t>
  </si>
  <si>
    <t>Servicer</t>
  </si>
  <si>
    <t>ABA / Routing #</t>
  </si>
  <si>
    <t>Account</t>
  </si>
  <si>
    <t>Contact</t>
  </si>
  <si>
    <t>Phone</t>
  </si>
  <si>
    <t>Wells Fargo Bank, NA</t>
  </si>
  <si>
    <t>San Francisco, CA</t>
  </si>
  <si>
    <t>Pending to Board Account</t>
  </si>
  <si>
    <t>5000000179143</t>
  </si>
  <si>
    <t>Luke Mayes</t>
  </si>
  <si>
    <t>(704) 715-6705</t>
  </si>
  <si>
    <t>TD Bank NA</t>
  </si>
  <si>
    <t>929 Horsham Road, Horsham, PA 19044</t>
  </si>
  <si>
    <t>036001808</t>
  </si>
  <si>
    <t>Berkadia Commercial Mortgage LLC</t>
  </si>
  <si>
    <t>William Gou</t>
  </si>
  <si>
    <t>(215) 328-1457</t>
  </si>
  <si>
    <t>Initial Payment</t>
  </si>
  <si>
    <t>Future Advance</t>
  </si>
  <si>
    <t>Sources &amp; Uses Reconciliation</t>
  </si>
  <si>
    <t>Equity</t>
  </si>
  <si>
    <t>Counts towards equity</t>
  </si>
  <si>
    <t>Expense</t>
  </si>
  <si>
    <t>Does not count towards equity</t>
  </si>
  <si>
    <t>Deal Name:</t>
  </si>
  <si>
    <t>Debt</t>
  </si>
  <si>
    <t>Impacts / reduces equity</t>
  </si>
  <si>
    <t>Banking Team:</t>
  </si>
  <si>
    <t>Closing Date:</t>
  </si>
  <si>
    <t>Do not revise line items that are not highlighted in blue and have line item number boxed</t>
  </si>
  <si>
    <t>IC MEMO PRESENTED APPROVED</t>
  </si>
  <si>
    <t>ACTUAL INITIAL FUNDING AND IMPACT TO TOTAL</t>
  </si>
  <si>
    <t>VARIANCE (Actual vs. ICM)</t>
  </si>
  <si>
    <t>Code</t>
  </si>
  <si>
    <t>Line Item Classification</t>
  </si>
  <si>
    <t>Initial Funding</t>
  </si>
  <si>
    <t>Explanation / Comments</t>
  </si>
  <si>
    <t>TOTAL LOANS</t>
  </si>
  <si>
    <t>SOURCES OF FUNDS</t>
  </si>
  <si>
    <t>Equity or Debt</t>
  </si>
  <si>
    <t>&lt;&lt; LEAVE THIS LINE ITEM FIXED; DO NOT CHANGE</t>
  </si>
  <si>
    <t>ACORE Mezzanine</t>
  </si>
  <si>
    <t>Prorations (Equity Neutral)</t>
  </si>
  <si>
    <t>Construction Draw Reserve</t>
  </si>
  <si>
    <t>Borrower Equity</t>
  </si>
  <si>
    <t>TOTAL SOURCES</t>
  </si>
  <si>
    <t>Return of Equity</t>
  </si>
  <si>
    <t>Retained (Existing) Equity</t>
  </si>
  <si>
    <t>&lt;&lt; calculated in cells D61:D64</t>
  </si>
  <si>
    <t>TOTAL CAPITALIZATION</t>
  </si>
  <si>
    <t>TOTAL CAPITALIZATION (CELL I25) SHOULD BALANCE TO TOTAL PROJECT COSTS IN DEVEL BUDGET (CONSTRUCTION LOANS ONLY)</t>
  </si>
  <si>
    <t>USES OF FUNDS</t>
  </si>
  <si>
    <t>Equity or Expense</t>
  </si>
  <si>
    <t>Acquisition Costs</t>
  </si>
  <si>
    <t>FUTURE FUNDING AMOUNTS IN COLUMN H MUST BE MANUALLY INPUT</t>
  </si>
  <si>
    <t>Closing Costs</t>
  </si>
  <si>
    <t>Stub Interest</t>
  </si>
  <si>
    <t>Taxes &amp; Insurance</t>
  </si>
  <si>
    <t>FF&amp;E Reserve</t>
  </si>
  <si>
    <t>TIs &amp; LCs Reserve</t>
  </si>
  <si>
    <t>Interest &amp; Carry Reserve</t>
  </si>
  <si>
    <t>Ground Rent Reserve</t>
  </si>
  <si>
    <t>Construction Costs - Hard</t>
  </si>
  <si>
    <t>Construction Costs - Contingency Hard</t>
  </si>
  <si>
    <t>Construction Costs - Soft</t>
  </si>
  <si>
    <t xml:space="preserve">Construction Costs - Contingency Soft </t>
  </si>
  <si>
    <t>Tenant Improvements (Hard Costs)</t>
  </si>
  <si>
    <t>Leasing Costs - LCs (Soft Costs)</t>
  </si>
  <si>
    <t>Loan Payoff - First Mortgage</t>
  </si>
  <si>
    <t>Loan Payoff - Sub Debt / Mezz</t>
  </si>
  <si>
    <t>TOTAL USES</t>
  </si>
  <si>
    <t>FOR REFI'S; COMPLETE "RETAINED (EXISTING) EQUITY" SECTION STARTING ROW 64</t>
  </si>
  <si>
    <t>Total Project Capitalization (Net of  Return of Equity)</t>
  </si>
  <si>
    <t>Less Operating Expenses / Non-Cost Basis Items</t>
  </si>
  <si>
    <t>Less Seller Credits that Offset Purchase Price or Other Costs</t>
  </si>
  <si>
    <t>Adjusted Project Capitalization</t>
  </si>
  <si>
    <t>Total Debt</t>
  </si>
  <si>
    <t>on const loans, make sure total capitalization and equity matches the budget</t>
  </si>
  <si>
    <t>NEED TO VERIFY THESE COSTS</t>
  </si>
  <si>
    <t>Retained (Existing) Equity - Used for Refinances</t>
  </si>
  <si>
    <t xml:space="preserve">Total Equity (Fully Funded) </t>
  </si>
  <si>
    <t>&lt;&lt; only applies to construction loans with devel. Budget</t>
  </si>
  <si>
    <t>Cost Item</t>
  </si>
  <si>
    <t>Source of Verification</t>
  </si>
  <si>
    <t>&lt;&lt; devel budget</t>
  </si>
  <si>
    <t>Construction Costs (Hard &amp; Soft)</t>
  </si>
  <si>
    <t>&lt;&lt; variance to S&amp;U (should be zero)</t>
  </si>
  <si>
    <t>Finance Costs to Date</t>
  </si>
  <si>
    <t>Other:  (define)</t>
  </si>
  <si>
    <t>Total Equity Verified at Closing: (S&amp;U)</t>
  </si>
  <si>
    <t>Total Cost Basis</t>
  </si>
  <si>
    <t>Total Equity at Close per Devel Budget:</t>
  </si>
  <si>
    <t>Less Existing Debt (enter in negative form)</t>
  </si>
  <si>
    <t>Payoff Demand</t>
  </si>
  <si>
    <r>
      <t>&lt;USE</t>
    </r>
    <r>
      <rPr>
        <u/>
        <sz val="10"/>
        <color theme="1"/>
        <rFont val="Calibri"/>
        <family val="2"/>
        <scheme val="minor"/>
      </rPr>
      <t xml:space="preserve"> PRINCIPAL PORTION</t>
    </r>
    <r>
      <rPr>
        <sz val="10"/>
        <color theme="1"/>
        <rFont val="Calibri"/>
        <family val="2"/>
        <scheme val="minor"/>
      </rPr>
      <t xml:space="preserve"> OF PAYOFF AMT; DO NOT INCLUDE INTEREST/FEES </t>
    </r>
  </si>
  <si>
    <t>Variance:</t>
  </si>
  <si>
    <t>&lt;&lt; LOAN PAYOFF IN NEGATIVE FORMAT is input in cell C71</t>
  </si>
  <si>
    <t>Retained Equity</t>
  </si>
  <si>
    <t>CHECKS:</t>
  </si>
  <si>
    <t>VARIANCE BETWEEN TOTAL SOURCES &amp; USES (SHOULD BE ZERO)</t>
  </si>
  <si>
    <t>VARIANCE BETWEEN TOTAL CAPITALIZATION UNDER SOURCES &amp; UNDER USES</t>
  </si>
  <si>
    <t>DROPDOWN MENUS</t>
  </si>
  <si>
    <t>Drop List for Settlement Stmt.</t>
  </si>
  <si>
    <t>Backshop Name</t>
  </si>
  <si>
    <t>Strategy Code</t>
  </si>
  <si>
    <t>Strategy Description</t>
  </si>
  <si>
    <t>Amortization Type</t>
  </si>
  <si>
    <t>CAPITALIZATION LINE ITEMS</t>
  </si>
  <si>
    <t>Closing Transaction Manager</t>
  </si>
  <si>
    <t>Const Draw Disb Method</t>
  </si>
  <si>
    <t>Yes/No Questions</t>
  </si>
  <si>
    <t>Entity Type (Borrower)</t>
  </si>
  <si>
    <t>Escrow Status</t>
  </si>
  <si>
    <t>Financing Source</t>
  </si>
  <si>
    <t>FinancingSourceCD</t>
  </si>
  <si>
    <t>Interest Earned Credited To</t>
  </si>
  <si>
    <t># Days in Note Rate</t>
  </si>
  <si>
    <t>Insurance Policy Types</t>
  </si>
  <si>
    <t>Lender for Debt Stack</t>
  </si>
  <si>
    <t>Investor that Corresponds to Lender Listed at Left</t>
  </si>
  <si>
    <t xml:space="preserve">Lender Name (Signature Block) </t>
  </si>
  <si>
    <t>Line Two of Lender Signature Block:</t>
  </si>
  <si>
    <t>Line Three of Lender Signature Block:</t>
  </si>
  <si>
    <t>Lender Authorized Signers</t>
  </si>
  <si>
    <t>Titles</t>
  </si>
  <si>
    <t>Notes List</t>
  </si>
  <si>
    <t>Facility Type (Backshop Field)</t>
  </si>
  <si>
    <t>Note Type</t>
  </si>
  <si>
    <t>Orig. Fee Treatment</t>
  </si>
  <si>
    <t>Other Credits &amp; Debits on Escrow's Stmt NOT Itemized on Lender's Stmt.</t>
  </si>
  <si>
    <t>Other Disbursements on Behalf of Borrower (On Lender's Stmt)</t>
  </si>
  <si>
    <t>Payment Frequency</t>
  </si>
  <si>
    <t>Payoffs</t>
  </si>
  <si>
    <t>Reserve Type</t>
  </si>
  <si>
    <t>Wire Instructions to Lender</t>
  </si>
  <si>
    <t>Sources of Funds</t>
  </si>
  <si>
    <t>Source of Funds Classification</t>
  </si>
  <si>
    <t>Third Party Reports, Legal &amp; Other Due Diligence Costs</t>
  </si>
  <si>
    <t>Trust Lender Names</t>
  </si>
  <si>
    <t>When used</t>
  </si>
  <si>
    <t>Property</t>
  </si>
  <si>
    <t xml:space="preserve">Bryan Cave </t>
  </si>
  <si>
    <t>DELPHI |TRE ACR | AFLAC |SILAC (as Lender)</t>
  </si>
  <si>
    <t>First Mortgage Payoff</t>
  </si>
  <si>
    <t>Delaware</t>
  </si>
  <si>
    <t>IO - Interest Only</t>
  </si>
  <si>
    <t>Dallas</t>
  </si>
  <si>
    <t>Jamie Ennis</t>
  </si>
  <si>
    <t>Advanced to Borrower</t>
  </si>
  <si>
    <t>Padic</t>
  </si>
  <si>
    <t>LLC</t>
  </si>
  <si>
    <t>In Place</t>
  </si>
  <si>
    <t>3rd Party Owned</t>
  </si>
  <si>
    <t>3RD_PARTY_OWNED</t>
  </si>
  <si>
    <t>Borrower</t>
  </si>
  <si>
    <t>General Liability</t>
  </si>
  <si>
    <t>Wells Fargo Bank</t>
  </si>
  <si>
    <t>First</t>
  </si>
  <si>
    <t>Dechert LLP</t>
  </si>
  <si>
    <t>Bridge to Perm</t>
  </si>
  <si>
    <t>Capital Expenditure Reserve</t>
  </si>
  <si>
    <t>CapEx</t>
  </si>
  <si>
    <t>CA</t>
  </si>
  <si>
    <t>Capital Reserve</t>
  </si>
  <si>
    <t>Delphi CRE Funding LLC, a Delaware Limited Liability Company</t>
  </si>
  <si>
    <t xml:space="preserve">    By:  ACORE Capital Mortgage, LP, a Delaware Limited Partnership, as Authorized Agent</t>
  </si>
  <si>
    <t xml:space="preserve">        By:  ACORE Capital Mortgage GP, LLC, a Delaware Limited Liability Company, its General Partner</t>
  </si>
  <si>
    <t>Perry Stewart Ward</t>
  </si>
  <si>
    <t>Authorized Signatory</t>
  </si>
  <si>
    <t>Note A1</t>
  </si>
  <si>
    <t>A-Note / 1st</t>
  </si>
  <si>
    <t>CREDITS</t>
  </si>
  <si>
    <t>Broker Fees</t>
  </si>
  <si>
    <t>Subordinate Note Payoff</t>
  </si>
  <si>
    <t>Cash</t>
  </si>
  <si>
    <t>Alabama</t>
  </si>
  <si>
    <t>Accounting Standards &amp; Procedures</t>
  </si>
  <si>
    <t>Notes to be on Morgan Stanley Repo</t>
  </si>
  <si>
    <t>Initial IO+Standard</t>
  </si>
  <si>
    <t>Los Angeles</t>
  </si>
  <si>
    <t>Susan Iovino</t>
  </si>
  <si>
    <t>Reserved by Loan Servicer</t>
  </si>
  <si>
    <t>Vcheck Global</t>
  </si>
  <si>
    <t>limited partnership</t>
  </si>
  <si>
    <t>Springing</t>
  </si>
  <si>
    <t>ACORE Credit IV</t>
  </si>
  <si>
    <t>ACORECREDIT4</t>
  </si>
  <si>
    <t>1 Month LIBOR</t>
  </si>
  <si>
    <t>Lender/Servicer</t>
  </si>
  <si>
    <t>Actual / 365</t>
  </si>
  <si>
    <t>Umbrella</t>
  </si>
  <si>
    <t>Berkadia Commercial Mortgage</t>
  </si>
  <si>
    <t>Second</t>
  </si>
  <si>
    <t>Duval &amp; Stachenfeld LLP </t>
  </si>
  <si>
    <t>Construction</t>
  </si>
  <si>
    <t>CN</t>
  </si>
  <si>
    <t>GLOBAL INVESTMENT FUND I, a Delaware Statutory Trust on behalf of TRE ACR Portfolio, a series of the Trust</t>
  </si>
  <si>
    <t xml:space="preserve">    By:  ACORE CAPITAL MORTGAGE, LP, a Delaware Limited Partnership, its Authorized Agent</t>
  </si>
  <si>
    <t>Christopher Tokarski</t>
  </si>
  <si>
    <t>Note A2</t>
  </si>
  <si>
    <t>B Note</t>
  </si>
  <si>
    <t>Initial Advance</t>
  </si>
  <si>
    <t>Quarterly</t>
  </si>
  <si>
    <t>Mezzanine Loan Payoff</t>
  </si>
  <si>
    <t>Letter of Credit</t>
  </si>
  <si>
    <t>Alaska</t>
  </si>
  <si>
    <t>ACORE Credit IV REIT (WF) SPV, LLC</t>
  </si>
  <si>
    <t>Notes to be on Wells Fargo repo</t>
  </si>
  <si>
    <t>Initial IO+Full Amort</t>
  </si>
  <si>
    <t>New York</t>
  </si>
  <si>
    <t>Mary Rollins</t>
  </si>
  <si>
    <t>Reserved by Escrow</t>
  </si>
  <si>
    <t>general partnership</t>
  </si>
  <si>
    <t xml:space="preserve">ACORE Credit Partners II </t>
  </si>
  <si>
    <t>ACORECREDIT2</t>
  </si>
  <si>
    <t>10 Year US Treasury</t>
  </si>
  <si>
    <t>30/360</t>
  </si>
  <si>
    <t>Other Fees</t>
  </si>
  <si>
    <t>Define in Input Cell AJ7</t>
  </si>
  <si>
    <t>Third</t>
  </si>
  <si>
    <t>Fried, Frank, Harris, Shriver &amp; Jacobson LLP</t>
  </si>
  <si>
    <t>Heavy Renovation</t>
  </si>
  <si>
    <t>Debt Service Reserve</t>
  </si>
  <si>
    <t>Debt Service</t>
  </si>
  <si>
    <t>DS</t>
  </si>
  <si>
    <t>Global Investment Fund I, a Delaware statutory trust (the “Trust”), on behalf of TRE ACR Series II Portfolio, a series of the Trust</t>
  </si>
  <si>
    <t>Note A3</t>
  </si>
  <si>
    <t>C Note</t>
  </si>
  <si>
    <t>Amount due from Borrower</t>
  </si>
  <si>
    <t>DACA / CMA Initial Deposit</t>
  </si>
  <si>
    <t>Semi Annual</t>
  </si>
  <si>
    <t>Other Loan Payoff</t>
  </si>
  <si>
    <t>Borrower Recourse</t>
  </si>
  <si>
    <t>Loan Origination Fee</t>
  </si>
  <si>
    <t>Arizona</t>
  </si>
  <si>
    <t>Construction Consultant</t>
  </si>
  <si>
    <t>For A notes to be sold</t>
  </si>
  <si>
    <t>Fixed Prin + Int</t>
  </si>
  <si>
    <t>San Francisco</t>
  </si>
  <si>
    <t>Mona Saidy</t>
  </si>
  <si>
    <t>Aaron Jurist</t>
  </si>
  <si>
    <t>corporation</t>
  </si>
  <si>
    <t>ACORE Credit Partners II - Axos NoN</t>
  </si>
  <si>
    <t>ACP2_AXOSNON</t>
  </si>
  <si>
    <t>3 Month LIBOR</t>
  </si>
  <si>
    <t>Litigation</t>
  </si>
  <si>
    <t>ACORE Credit IV REIT II SPV, LLC</t>
  </si>
  <si>
    <t>Frost Brown Todd LLC</t>
  </si>
  <si>
    <t>Land</t>
  </si>
  <si>
    <t>Debt Service Shortfall Reserve</t>
  </si>
  <si>
    <t>AMERICAN FAMILY LIFE ASSURANCE COMPANY OF COLUMBUS, a Nebraska Corporation</t>
  </si>
  <si>
    <t xml:space="preserve">Warren de Haan </t>
  </si>
  <si>
    <t>Note B1</t>
  </si>
  <si>
    <t>B/C/D Note</t>
  </si>
  <si>
    <t>D Note</t>
  </si>
  <si>
    <t>Held in Escrow for Future Disbursement</t>
  </si>
  <si>
    <t>Annually</t>
  </si>
  <si>
    <t>Reconveyance Fee</t>
  </si>
  <si>
    <t>Arkansas</t>
  </si>
  <si>
    <t>General</t>
  </si>
  <si>
    <t>Standard</t>
  </si>
  <si>
    <t>Define in Drop Lists Cell C9</t>
  </si>
  <si>
    <t xml:space="preserve">Ali Slaughter </t>
  </si>
  <si>
    <t>Trust</t>
  </si>
  <si>
    <t>ACORE Credit Partners II - Customer NoN</t>
  </si>
  <si>
    <t>ACP2_CUSTNON</t>
  </si>
  <si>
    <t>3 Month Treasury</t>
  </si>
  <si>
    <t>Flood</t>
  </si>
  <si>
    <t>Pref Equity</t>
  </si>
  <si>
    <t>Gibson, Dunn &amp; Crutcher LLP</t>
  </si>
  <si>
    <t>Lease Up</t>
  </si>
  <si>
    <t>Environmental Reserve</t>
  </si>
  <si>
    <t>ER</t>
  </si>
  <si>
    <t>AC IV CA MORTGAGE LLC, a Delaware limited liability company</t>
  </si>
  <si>
    <t>David Cordova</t>
  </si>
  <si>
    <t>Note B2</t>
  </si>
  <si>
    <t>Mezz</t>
  </si>
  <si>
    <t>Cash from Buyer</t>
  </si>
  <si>
    <t>Insurance Premiums Paid at Close</t>
  </si>
  <si>
    <t>One Time</t>
  </si>
  <si>
    <t>Demand Fee</t>
  </si>
  <si>
    <t>California</t>
  </si>
  <si>
    <t>EB-5 Financing</t>
  </si>
  <si>
    <t>Engineering Study</t>
  </si>
  <si>
    <t>California Properties</t>
  </si>
  <si>
    <t>Define in Drop Lists Cell C10</t>
  </si>
  <si>
    <t>Alice Kim</t>
  </si>
  <si>
    <t>Define in Drop List Cell Q10</t>
  </si>
  <si>
    <t>ACORE Credit Partners II - MS</t>
  </si>
  <si>
    <t>ACPIIWS</t>
  </si>
  <si>
    <t>3 Month Euro Libor</t>
  </si>
  <si>
    <t>Subcontractor Default Insurance</t>
  </si>
  <si>
    <t xml:space="preserve">ACORE Credit Partners II CA TRS, LLC </t>
  </si>
  <si>
    <t>Ground Lease</t>
  </si>
  <si>
    <t>Hunton Andrews Kurth LLP</t>
  </si>
  <si>
    <t>Excess Cash Flow Reserve</t>
  </si>
  <si>
    <t>Excess Cash</t>
  </si>
  <si>
    <t>OR</t>
  </si>
  <si>
    <t>Other</t>
  </si>
  <si>
    <t>ACORE CREDIT IV TRS, LLC, a Delaware limited liability company</t>
  </si>
  <si>
    <t>Arsineh Aghamalian</t>
  </si>
  <si>
    <t>Note B3</t>
  </si>
  <si>
    <t>Deposit in Escrow</t>
  </si>
  <si>
    <t>Interest Rate Cap Consultant</t>
  </si>
  <si>
    <t>Reserve Credit (Offset)</t>
  </si>
  <si>
    <t>Colorado</t>
  </si>
  <si>
    <t>Other Financing (non-ACORE)</t>
  </si>
  <si>
    <t>Environmental Studies</t>
  </si>
  <si>
    <t>Anthony Marconi</t>
  </si>
  <si>
    <t>Define in Drop List Cell Q11</t>
  </si>
  <si>
    <t>ACORE Credit Partners II - WF</t>
  </si>
  <si>
    <t>ACPIIWF</t>
  </si>
  <si>
    <t>6 Month LIBOR</t>
  </si>
  <si>
    <t>Contractor's General Liability</t>
  </si>
  <si>
    <t>Junior Mezz</t>
  </si>
  <si>
    <t>Katten Muchin Rosenman LLP</t>
  </si>
  <si>
    <t>Moderate Renovation</t>
  </si>
  <si>
    <t>Expense Reserve</t>
  </si>
  <si>
    <t>EE</t>
  </si>
  <si>
    <t>Extra Expense</t>
  </si>
  <si>
    <t>ACORE CREDIT IV REIT II SPV, LLC, a Delaware limited liability company</t>
  </si>
  <si>
    <t>Lawrence Taylor</t>
  </si>
  <si>
    <t>Note A1-1</t>
  </si>
  <si>
    <t>Earnest Money Interest</t>
  </si>
  <si>
    <t>Interest Rate Cap Purchase</t>
  </si>
  <si>
    <t>UCC Termination Fee</t>
  </si>
  <si>
    <t>Connecticut</t>
  </si>
  <si>
    <t>ESA Phase I</t>
  </si>
  <si>
    <t>Chris Thomas</t>
  </si>
  <si>
    <t>Define in Drop List Cell Q12</t>
  </si>
  <si>
    <t>ACORE Hospitality Investments</t>
  </si>
  <si>
    <t>AHIP</t>
  </si>
  <si>
    <t>6 Month Treasury</t>
  </si>
  <si>
    <t>Contractor's E&amp;O / Professional Liability</t>
  </si>
  <si>
    <t>Unsecured</t>
  </si>
  <si>
    <t>King &amp; Spalding LLP</t>
  </si>
  <si>
    <t>Note Sale/REO</t>
  </si>
  <si>
    <t>Free Rent Reserve</t>
  </si>
  <si>
    <t>FR</t>
  </si>
  <si>
    <t>ACSS REAL ESTATE FUNDING, LLC, a Delaware limited liability company</t>
  </si>
  <si>
    <t>William Stefko</t>
  </si>
  <si>
    <t>Note A1-2</t>
  </si>
  <si>
    <t>Other Loan Reserve</t>
  </si>
  <si>
    <t>Other Payoff Fees</t>
  </si>
  <si>
    <t>Seller Concessions (Offset to PP or Costs)</t>
  </si>
  <si>
    <t>Seller Credit</t>
  </si>
  <si>
    <t>Clark Bond</t>
  </si>
  <si>
    <t>ACORE Spec Sits</t>
  </si>
  <si>
    <t>ACORESPECIALSITS</t>
  </si>
  <si>
    <t>3 Year Swaps</t>
  </si>
  <si>
    <t>Business Auto</t>
  </si>
  <si>
    <t>Kutak Rock LLP</t>
  </si>
  <si>
    <t>Permanent - Fixed Rate</t>
  </si>
  <si>
    <t>FF &amp; E Reserve</t>
  </si>
  <si>
    <t>FF</t>
  </si>
  <si>
    <t>FF&amp;E Reserves</t>
  </si>
  <si>
    <t xml:space="preserve">AHIP GH, LLC, a Delaware limited liability company </t>
  </si>
  <si>
    <t xml:space="preserve">   By: AHIP Capital, LP, its managing member</t>
  </si>
  <si>
    <t xml:space="preserve">      By: ACORE Capital, LP, its authorized agent</t>
  </si>
  <si>
    <t xml:space="preserve">         By: ACORE Capital GP, LLC, its general partner</t>
  </si>
  <si>
    <t>David Homsher</t>
  </si>
  <si>
    <t>Note A1-3</t>
  </si>
  <si>
    <t>Exchange Funds</t>
  </si>
  <si>
    <t>Real Estate Taxes paid at Close</t>
  </si>
  <si>
    <t>Florida</t>
  </si>
  <si>
    <t>Seller Credit (Equity Neutral)</t>
  </si>
  <si>
    <t xml:space="preserve">Corey Goodstein </t>
  </si>
  <si>
    <t>ACSS - Axos NoN</t>
  </si>
  <si>
    <t>ACSS_AXOSNON</t>
  </si>
  <si>
    <t>3 Year Treasury</t>
  </si>
  <si>
    <t>Sub-Guard</t>
  </si>
  <si>
    <t>NAV</t>
  </si>
  <si>
    <t>Latham &amp; Watkins LLP</t>
  </si>
  <si>
    <t>Ground Rent</t>
  </si>
  <si>
    <t>GT</t>
  </si>
  <si>
    <t>ACORE CREDIT PARTNERS II MORTGAGE, LLC</t>
  </si>
  <si>
    <t>Adele Fairman</t>
  </si>
  <si>
    <t>Note A1-4</t>
  </si>
  <si>
    <t>UCC Filing</t>
  </si>
  <si>
    <t>Georgia</t>
  </si>
  <si>
    <t>Seller Credit (Offset to PP or Costs)</t>
  </si>
  <si>
    <t>Dimitar Goulev</t>
  </si>
  <si>
    <t>ACSS – Churchill Repo</t>
  </si>
  <si>
    <t>ACSS__CHURCHILL_REPO</t>
  </si>
  <si>
    <t>5 Year Swaps</t>
  </si>
  <si>
    <t>Workers Comp</t>
  </si>
  <si>
    <t>McGuire, Craddock &amp; Strother, P.C.</t>
  </si>
  <si>
    <t>Stabilized</t>
  </si>
  <si>
    <t>Immediate Repair Reserve</t>
  </si>
  <si>
    <t>Immediate Repairs</t>
  </si>
  <si>
    <t>1R</t>
  </si>
  <si>
    <t>Immediate Repair Reserve G</t>
  </si>
  <si>
    <t>Jason Mann</t>
  </si>
  <si>
    <t>Note B1-1</t>
  </si>
  <si>
    <t>Price Adjustment</t>
  </si>
  <si>
    <t>Hawaii</t>
  </si>
  <si>
    <t>Borrower Existing Equity (Paid Outside of Escrow)</t>
  </si>
  <si>
    <t>Emily Tufariello</t>
  </si>
  <si>
    <t>TREACRUS</t>
  </si>
  <si>
    <t>5 Year US Treasury</t>
  </si>
  <si>
    <t>Define in Drop Lists Cell AE16</t>
  </si>
  <si>
    <t>Milbank</t>
  </si>
  <si>
    <t>Define in Drop Lists Cell AP16</t>
  </si>
  <si>
    <t>Insurance</t>
  </si>
  <si>
    <t>IE</t>
  </si>
  <si>
    <t>Insurance Escrow</t>
  </si>
  <si>
    <t>Marla Radford</t>
  </si>
  <si>
    <t>Note B1-2</t>
  </si>
  <si>
    <t>Idaho</t>
  </si>
  <si>
    <t>Market Feasibility Study</t>
  </si>
  <si>
    <t>Eric Ramirez</t>
  </si>
  <si>
    <t>Aksia Sidecar</t>
  </si>
  <si>
    <t>AKSIASIDE</t>
  </si>
  <si>
    <t>7 Year Int Treas</t>
  </si>
  <si>
    <t>Define in Drop Lists Cell AE17</t>
  </si>
  <si>
    <t>Pircher, Nichols &amp; Meeks</t>
  </si>
  <si>
    <t>Define in Drop Lists Cell AP17</t>
  </si>
  <si>
    <t>Operating Reserve</t>
  </si>
  <si>
    <t>OP</t>
  </si>
  <si>
    <t>By:  ACORE Credit Partners II REIT, Inc., its Sole Member</t>
  </si>
  <si>
    <t>Kimberly May</t>
  </si>
  <si>
    <t>Note B1-3</t>
  </si>
  <si>
    <t>Rent Prorations (Equity Neutral)</t>
  </si>
  <si>
    <t>Illinois</t>
  </si>
  <si>
    <t>Future Equity (part of equity funding guaranty)</t>
  </si>
  <si>
    <t>Pace Report</t>
  </si>
  <si>
    <t>Jacob Molga</t>
  </si>
  <si>
    <t>Co-Fund</t>
  </si>
  <si>
    <t>COFUNDING</t>
  </si>
  <si>
    <t>7 Year Swaps</t>
  </si>
  <si>
    <t xml:space="preserve">Winstead PC  </t>
  </si>
  <si>
    <t>Define in Drop Lists Cell AP18</t>
  </si>
  <si>
    <t>Interest Reserve</t>
  </si>
  <si>
    <t>Interest</t>
  </si>
  <si>
    <t>IN</t>
  </si>
  <si>
    <t xml:space="preserve">By:  ACORE Credit Partners II REIT, Inc., its Sole Member </t>
  </si>
  <si>
    <t xml:space="preserve">David Dancer </t>
  </si>
  <si>
    <t>Note B1-4</t>
  </si>
  <si>
    <t>Repair Credit</t>
  </si>
  <si>
    <t>Indiana</t>
  </si>
  <si>
    <t>Define in Drop Lists Cell CB18</t>
  </si>
  <si>
    <t>Define in Drop Lists Cell CC18</t>
  </si>
  <si>
    <t>Property Condition Assessment &amp; Seismic Reports</t>
  </si>
  <si>
    <t>Julie Chang</t>
  </si>
  <si>
    <t>Delaware Life</t>
  </si>
  <si>
    <t>DELAWARELIFE</t>
  </si>
  <si>
    <t>7 Year US Treasury</t>
  </si>
  <si>
    <t>Winston &amp; Strawn LLP</t>
  </si>
  <si>
    <t>Define in Drop Lists Cell AP19</t>
  </si>
  <si>
    <t>Liquidity Reserve</t>
  </si>
  <si>
    <t>LR</t>
  </si>
  <si>
    <t>ACORE CREDIT IV REIT (MS) SPV, LLC</t>
  </si>
  <si>
    <t>Katrina Sweezea</t>
  </si>
  <si>
    <t xml:space="preserve">Security  Deposits Credit  </t>
  </si>
  <si>
    <t>Iowa</t>
  </si>
  <si>
    <t>Define in Drop Lists Cell CB19</t>
  </si>
  <si>
    <t>Define in Drop Lists Cell CC19</t>
  </si>
  <si>
    <t>Property Condition Assessment (PCA) Report</t>
  </si>
  <si>
    <t>Keith Loneker</t>
  </si>
  <si>
    <t>Delphi ACORE</t>
  </si>
  <si>
    <t>DELPHI_ACORE</t>
  </si>
  <si>
    <t>10 Year Swaps</t>
  </si>
  <si>
    <t>Define in Drop Lists Cell AN20</t>
  </si>
  <si>
    <t>Loan Holdback / Earnout</t>
  </si>
  <si>
    <t>Holdback</t>
  </si>
  <si>
    <t>HR</t>
  </si>
  <si>
    <t>Holdback Reserve</t>
  </si>
  <si>
    <t>James Adams</t>
  </si>
  <si>
    <t>Vice Chairman of Finance</t>
  </si>
  <si>
    <t>Seller Concessions (Offset to Purchase Price)</t>
  </si>
  <si>
    <t>Kansas</t>
  </si>
  <si>
    <t>Property Condition Assessment (PCA) &amp; PML Report</t>
  </si>
  <si>
    <t>Kory Klebanoff</t>
  </si>
  <si>
    <t>Delphi Fixed</t>
  </si>
  <si>
    <t>DELPHIFIXED</t>
  </si>
  <si>
    <t>30 Year US Treasury</t>
  </si>
  <si>
    <t>Define in Drop Lists Cell AN21</t>
  </si>
  <si>
    <t>Net Proceeds Reserve</t>
  </si>
  <si>
    <t>Kentucky</t>
  </si>
  <si>
    <t>Uses of Funds (For S&amp;U Recon)</t>
  </si>
  <si>
    <t>Uses Line Item Classification</t>
  </si>
  <si>
    <t>Seismic Report (PML)</t>
  </si>
  <si>
    <t>Kyle Hunt</t>
  </si>
  <si>
    <t>Delphi Offshore</t>
  </si>
  <si>
    <t>DELPHISEASON</t>
  </si>
  <si>
    <t>Prime</t>
  </si>
  <si>
    <t>Define in Drop Lists Cell AN22</t>
  </si>
  <si>
    <t>Operating Shortfall Reserve</t>
  </si>
  <si>
    <t>Seller Credit (Offset to Purchase Price)</t>
  </si>
  <si>
    <t>Louisiana</t>
  </si>
  <si>
    <t>Site Visit</t>
  </si>
  <si>
    <t>Kyle Jeffers</t>
  </si>
  <si>
    <t>Delphi Portfolio</t>
  </si>
  <si>
    <t>DELPHI_PORT</t>
  </si>
  <si>
    <t>Other Define Drop List Cell X23</t>
  </si>
  <si>
    <t>Define in Drop Lists Cell AN23</t>
  </si>
  <si>
    <t>Project Expenditure Reserve</t>
  </si>
  <si>
    <t>Project Reserve</t>
  </si>
  <si>
    <t>PJ</t>
  </si>
  <si>
    <t>ADMINISTRATIVE AGENT</t>
  </si>
  <si>
    <t>Tax Prorations (Equity Neutral)</t>
  </si>
  <si>
    <t>Maine</t>
  </si>
  <si>
    <t>ACORE Loan Origination Fee</t>
  </si>
  <si>
    <t>STR Report</t>
  </si>
  <si>
    <t>Mike Payton</t>
  </si>
  <si>
    <t>Delphi Warehouse Hold</t>
  </si>
  <si>
    <t>DELPHI_WH_Hold</t>
  </si>
  <si>
    <t>Other Define Drop List Cell X24</t>
  </si>
  <si>
    <t>Define in Drop Lists Cell AN24</t>
  </si>
  <si>
    <t>Property Improvement Plan (PIP) Reserve</t>
  </si>
  <si>
    <t>PIP Reserve</t>
  </si>
  <si>
    <t>PO</t>
  </si>
  <si>
    <t>Required Prop Improvement Plan</t>
  </si>
  <si>
    <t>Tenant Improvement Credit (Equity Neutral)</t>
  </si>
  <si>
    <t>Maryland</t>
  </si>
  <si>
    <t>Miles Irish</t>
  </si>
  <si>
    <t>Delphi Warehouse Line</t>
  </si>
  <si>
    <t>DELPHI_WH</t>
  </si>
  <si>
    <t>Replacement Reserve</t>
  </si>
  <si>
    <t>Replacement Reserves</t>
  </si>
  <si>
    <t>RR</t>
  </si>
  <si>
    <t>Replacement Reserve G</t>
  </si>
  <si>
    <t>TI/LC Seller Credit (Equity Neutral)</t>
  </si>
  <si>
    <t>Massachusetts</t>
  </si>
  <si>
    <t>Capital Expenditures</t>
  </si>
  <si>
    <t>UCC Searches</t>
  </si>
  <si>
    <t>Robert Hill</t>
  </si>
  <si>
    <t>Note Sale</t>
  </si>
  <si>
    <t>NOTE_SALE</t>
  </si>
  <si>
    <t>Retention Reserve</t>
  </si>
  <si>
    <t>RN</t>
  </si>
  <si>
    <t>TI/LC Seller Credit (Offset to Purchase Price)</t>
  </si>
  <si>
    <t>Michigan</t>
  </si>
  <si>
    <t xml:space="preserve">Chattel Acquisition </t>
  </si>
  <si>
    <t>Scott Durco</t>
  </si>
  <si>
    <t xml:space="preserve">
WINTHROPPART</t>
  </si>
  <si>
    <t>Rollover Reserve</t>
  </si>
  <si>
    <t>RV</t>
  </si>
  <si>
    <t>Minnesota</t>
  </si>
  <si>
    <t>Closing / Finance Costs</t>
  </si>
  <si>
    <t>Scott Swisher</t>
  </si>
  <si>
    <t>TREACRJPN</t>
  </si>
  <si>
    <t>Seasonality Reserve</t>
  </si>
  <si>
    <t>Seasonality</t>
  </si>
  <si>
    <t>SE</t>
  </si>
  <si>
    <t>Mississippi</t>
  </si>
  <si>
    <t>O&amp;M Plan Fee</t>
  </si>
  <si>
    <t>Tony Fineman</t>
  </si>
  <si>
    <t>Security Deposit Reserve</t>
  </si>
  <si>
    <t>Security Deposit</t>
  </si>
  <si>
    <t>SD</t>
  </si>
  <si>
    <t>Missouri</t>
  </si>
  <si>
    <t>Construction Contract Hard Costs - Advanced at Closing</t>
  </si>
  <si>
    <t>Drop Lists Cell O30</t>
  </si>
  <si>
    <t>Taxes</t>
  </si>
  <si>
    <t>TX</t>
  </si>
  <si>
    <t>Montana</t>
  </si>
  <si>
    <t>Construction Contract Hard Costs - Future Funding</t>
  </si>
  <si>
    <t>Drop Lists Cell O31</t>
  </si>
  <si>
    <t>Tenant Improvement Reserve (Hard Cost)</t>
  </si>
  <si>
    <t>TI and LC</t>
  </si>
  <si>
    <t>IA</t>
  </si>
  <si>
    <t>Tenant Improvements</t>
  </si>
  <si>
    <t>DEBITS</t>
  </si>
  <si>
    <t>Nebraska</t>
  </si>
  <si>
    <t>Drop Lists Cell O32</t>
  </si>
  <si>
    <t>Leasing Commissions Reserve (Soft Costs)</t>
  </si>
  <si>
    <t>Leasing Commissions</t>
  </si>
  <si>
    <t>LC</t>
  </si>
  <si>
    <t>1031 Exchange Fee</t>
  </si>
  <si>
    <t>Nevada</t>
  </si>
  <si>
    <t>Drop Lists Cell O33</t>
  </si>
  <si>
    <t>Construction Hard Costs Reserve</t>
  </si>
  <si>
    <t>Abstract Fee</t>
  </si>
  <si>
    <t>New Hampshire</t>
  </si>
  <si>
    <t>Drop Lists Cell O34</t>
  </si>
  <si>
    <t>Construction Soft Costs Reserve</t>
  </si>
  <si>
    <t>Accounting Fee</t>
  </si>
  <si>
    <t>New Jersey</t>
  </si>
  <si>
    <t>Define in Drop Lists Cell AR35</t>
  </si>
  <si>
    <t>Acquisition Transfer Fee</t>
  </si>
  <si>
    <t>New Mexico</t>
  </si>
  <si>
    <t>Define in Drop Lists Cell AR36</t>
  </si>
  <si>
    <t>Acquisition Closing Costs</t>
  </si>
  <si>
    <t>Contingency</t>
  </si>
  <si>
    <t>Define in Drop Lists Cell AR37</t>
  </si>
  <si>
    <t>Acquisition Price</t>
  </si>
  <si>
    <t>North Carolina</t>
  </si>
  <si>
    <t>Define in Drop Lists Cell AR38</t>
  </si>
  <si>
    <t>Advisory Fee</t>
  </si>
  <si>
    <t>North Dakota</t>
  </si>
  <si>
    <t>Define in Drop Lists Cell AR39</t>
  </si>
  <si>
    <t>ALTA Title Policy</t>
  </si>
  <si>
    <t>Ohio</t>
  </si>
  <si>
    <t>Demolition Costs</t>
  </si>
  <si>
    <t>Define in Drop Lists Cell AR40</t>
  </si>
  <si>
    <t>Asset Management Fee</t>
  </si>
  <si>
    <t>Oklahoma</t>
  </si>
  <si>
    <t>Earnout</t>
  </si>
  <si>
    <t>Assignment Fee</t>
  </si>
  <si>
    <t>Oregon</t>
  </si>
  <si>
    <t>Assumption Fee</t>
  </si>
  <si>
    <t>Pennsylvania</t>
  </si>
  <si>
    <t>Broker Fee</t>
  </si>
  <si>
    <t>Rhode Island</t>
  </si>
  <si>
    <t>Cash due from Borrower/Buyer</t>
  </si>
  <si>
    <t>South Carolina</t>
  </si>
  <si>
    <t>Insurance Premiums</t>
  </si>
  <si>
    <t>Cash Out to Borrower/Affiliate (reduces equity)</t>
  </si>
  <si>
    <t>South Dakota</t>
  </si>
  <si>
    <t>MORTGAGE NOTES - NEW YORK CONST LOANS</t>
  </si>
  <si>
    <t>Cash to Borrower</t>
  </si>
  <si>
    <t>Tennessee</t>
  </si>
  <si>
    <t>Acquisition Note A1</t>
  </si>
  <si>
    <t>Cash to Buyer</t>
  </si>
  <si>
    <t>Texas</t>
  </si>
  <si>
    <t>Acquisition Note A1-1</t>
  </si>
  <si>
    <t>Chattel Acquisition</t>
  </si>
  <si>
    <t>Utah</t>
  </si>
  <si>
    <t>Land Refinance</t>
  </si>
  <si>
    <t>Acquisition Note A1-2</t>
  </si>
  <si>
    <t>City Fees</t>
  </si>
  <si>
    <t>Vermont</t>
  </si>
  <si>
    <t>LC Reserve</t>
  </si>
  <si>
    <t>Acquisition Note A1-3</t>
  </si>
  <si>
    <t>Closing Costs Other</t>
  </si>
  <si>
    <t>Virginia</t>
  </si>
  <si>
    <t>Acquisition Note A1-4</t>
  </si>
  <si>
    <t>Washington</t>
  </si>
  <si>
    <t>Leasing Costs - TIs (Hard Cost) - Advanced at Closing</t>
  </si>
  <si>
    <t>Acquisition Note A2</t>
  </si>
  <si>
    <t>Construction Manager</t>
  </si>
  <si>
    <t>West Virginia</t>
  </si>
  <si>
    <t>Leasing Costs - TIs (Hard Costs ) - Future Funding</t>
  </si>
  <si>
    <t>Acquisition Note B1</t>
  </si>
  <si>
    <t>Contract Sales Price</t>
  </si>
  <si>
    <t>Wisconsin</t>
  </si>
  <si>
    <t>Acquisition Note B1-1</t>
  </si>
  <si>
    <t>Corporate Services</t>
  </si>
  <si>
    <t>Wyoming</t>
  </si>
  <si>
    <t>Loan Payoff - Other</t>
  </si>
  <si>
    <t>Acquisition Note B1-2</t>
  </si>
  <si>
    <t>County Fees</t>
  </si>
  <si>
    <t>Acquisition Note B1-3</t>
  </si>
  <si>
    <t>Courier Fees</t>
  </si>
  <si>
    <t>Acquisition Note B1-4</t>
  </si>
  <si>
    <t>Document Preparation</t>
  </si>
  <si>
    <t xml:space="preserve">Mezzanine Loan Payoff </t>
  </si>
  <si>
    <t>Senior Note A1</t>
  </si>
  <si>
    <t>Documentary Transfer Tax-City</t>
  </si>
  <si>
    <t>Operating Shortfalls &amp; Interest Reserve</t>
  </si>
  <si>
    <t>Senior Note A1-1</t>
  </si>
  <si>
    <t>Documentary Transfer Tax-County</t>
  </si>
  <si>
    <t>Operating Shortfalls Reserve</t>
  </si>
  <si>
    <t>Senior Note A1-2</t>
  </si>
  <si>
    <t>Due Diligence Expenses</t>
  </si>
  <si>
    <t>Owner Hard Costs - Advanced at Closing</t>
  </si>
  <si>
    <t>Senior Note A1-3</t>
  </si>
  <si>
    <t>Earnest Money Deposit</t>
  </si>
  <si>
    <t>Owner Hard Costs - Future Funding</t>
  </si>
  <si>
    <t>Senior Note A1-4</t>
  </si>
  <si>
    <t>Partner Recapitalization (not a return of equity)</t>
  </si>
  <si>
    <t>Senior Note A2</t>
  </si>
  <si>
    <t>Escrow Fees</t>
  </si>
  <si>
    <t>Escrow Holdback</t>
  </si>
  <si>
    <t>Pre-Development Costs</t>
  </si>
  <si>
    <t>Senior Note B1</t>
  </si>
  <si>
    <t>Expense Reimbursement</t>
  </si>
  <si>
    <t>Property Acquisition</t>
  </si>
  <si>
    <t>Senior Note B1-1</t>
  </si>
  <si>
    <t xml:space="preserve">FF&amp;E Reserve </t>
  </si>
  <si>
    <t>RE Tax Reserve</t>
  </si>
  <si>
    <t>Senior Note B1-2</t>
  </si>
  <si>
    <t>Financial Consultants</t>
  </si>
  <si>
    <t>RE Taxes</t>
  </si>
  <si>
    <t>Senior Note B1-3</t>
  </si>
  <si>
    <t>Franchise Tax</t>
  </si>
  <si>
    <t>Reimbursement to Partners</t>
  </si>
  <si>
    <t>Senior Note B1-4</t>
  </si>
  <si>
    <t>Good Standing Certificate</t>
  </si>
  <si>
    <t>Building Note A1</t>
  </si>
  <si>
    <t>Indemnity Charges</t>
  </si>
  <si>
    <t>Site Work</t>
  </si>
  <si>
    <t>Building Note A1-1</t>
  </si>
  <si>
    <t>Independent Manager Fee</t>
  </si>
  <si>
    <t>Soft / Indirect Costs (Includes taxes &amp; insurance)</t>
  </si>
  <si>
    <t>Building Note A1-2</t>
  </si>
  <si>
    <t>Inspection Fees</t>
  </si>
  <si>
    <t>Building Note A1-3</t>
  </si>
  <si>
    <t>Insurance Broker</t>
  </si>
  <si>
    <t xml:space="preserve">Subordinate Debt Payoff </t>
  </si>
  <si>
    <t>Building Note A1-4</t>
  </si>
  <si>
    <t>Building Note A2</t>
  </si>
  <si>
    <t>Building Note B1</t>
  </si>
  <si>
    <t>Insurance Prorations</t>
  </si>
  <si>
    <t>TIs &amp; LCs</t>
  </si>
  <si>
    <t>Building Note B1-1</t>
  </si>
  <si>
    <t>Interest Rate Cap Advisory Fee</t>
  </si>
  <si>
    <t>Building Note B1-2</t>
  </si>
  <si>
    <t>Working Capital</t>
  </si>
  <si>
    <t>Building Note B1-3</t>
  </si>
  <si>
    <t>Interest Rate Cap</t>
  </si>
  <si>
    <t>Building Note B1-4</t>
  </si>
  <si>
    <t>Legal Fees</t>
  </si>
  <si>
    <t>Project Note A1</t>
  </si>
  <si>
    <t>Legal Opinion</t>
  </si>
  <si>
    <t>Project Note A1-1</t>
  </si>
  <si>
    <t>Listing Broker Commission</t>
  </si>
  <si>
    <t>Project Note A1-2</t>
  </si>
  <si>
    <t>Loan Payoff</t>
  </si>
  <si>
    <t>Project Note A1-3</t>
  </si>
  <si>
    <t>Loan Payoff Interest &amp; Fees</t>
  </si>
  <si>
    <t>Project Note A1-4</t>
  </si>
  <si>
    <t>Local Counsel Fees</t>
  </si>
  <si>
    <t>Project Note A2</t>
  </si>
  <si>
    <t>Management Fees</t>
  </si>
  <si>
    <t>Project Note B1</t>
  </si>
  <si>
    <t>Mechanic's Lien Payoff</t>
  </si>
  <si>
    <t>Project Note B1-1</t>
  </si>
  <si>
    <t>Mortgage Broker Fee</t>
  </si>
  <si>
    <t>Project Note B1-2</t>
  </si>
  <si>
    <t>Mortgage Taxes</t>
  </si>
  <si>
    <t>Project Note B1-3</t>
  </si>
  <si>
    <t>Non-Consolidation Opinion Legal Fee</t>
  </si>
  <si>
    <t>Project Note B1-4</t>
  </si>
  <si>
    <t>Notary Fees</t>
  </si>
  <si>
    <t>Operating Expense</t>
  </si>
  <si>
    <t>Other Escrow Fees</t>
  </si>
  <si>
    <t>Other Liens Payoff</t>
  </si>
  <si>
    <t>Other Title Fees</t>
  </si>
  <si>
    <t>Out of Pocket Expenses</t>
  </si>
  <si>
    <t>INTEREST ONLY STRIP NOTES</t>
  </si>
  <si>
    <t>Owner's Title Policy</t>
  </si>
  <si>
    <t xml:space="preserve">Note A1 I.O. </t>
  </si>
  <si>
    <t>I.O. Strip</t>
  </si>
  <si>
    <t>Note A1F I.O.</t>
  </si>
  <si>
    <t>Partner Distribution/Reimbursement (non-cash out)</t>
  </si>
  <si>
    <t xml:space="preserve">Note A2 I.O. </t>
  </si>
  <si>
    <t>Partnership Expenses</t>
  </si>
  <si>
    <t>Note A2F I.O.</t>
  </si>
  <si>
    <t>Personal Property Acquisition</t>
  </si>
  <si>
    <t xml:space="preserve">Note A3 I.O. </t>
  </si>
  <si>
    <t>Personal Property Tax</t>
  </si>
  <si>
    <t>Note A3F I.O.</t>
  </si>
  <si>
    <t>Professional Services</t>
  </si>
  <si>
    <t>Note B1 I.O.</t>
  </si>
  <si>
    <t>Property Condition Assessment (PCA)</t>
  </si>
  <si>
    <t>Note B1F I.O.</t>
  </si>
  <si>
    <t>Prorations - Other</t>
  </si>
  <si>
    <t>Note B2 I.O.</t>
  </si>
  <si>
    <t>Prorations - Tax</t>
  </si>
  <si>
    <t>Note B2F I.O.</t>
  </si>
  <si>
    <t>Real Estate Taxes</t>
  </si>
  <si>
    <t>Reconveyance Fees</t>
  </si>
  <si>
    <t>Recording Fees</t>
  </si>
  <si>
    <t>Registered Agent</t>
  </si>
  <si>
    <t>Search &amp; Exam Fees</t>
  </si>
  <si>
    <t>MEZZANINE NOTES</t>
  </si>
  <si>
    <t>Seismic Report</t>
  </si>
  <si>
    <t>Mezz 1</t>
  </si>
  <si>
    <t>Shipping/Overnight Fees</t>
  </si>
  <si>
    <t>Mezz 2</t>
  </si>
  <si>
    <t>Mezz 3</t>
  </si>
  <si>
    <t>Subdivision Fees</t>
  </si>
  <si>
    <t>Mezz 4</t>
  </si>
  <si>
    <t>Survey</t>
  </si>
  <si>
    <t>Mezz 1-1</t>
  </si>
  <si>
    <t>Survey Review</t>
  </si>
  <si>
    <t>Mezz 1-2</t>
  </si>
  <si>
    <t>Tax Other</t>
  </si>
  <si>
    <t>Mezz 1-3</t>
  </si>
  <si>
    <t>Tax Certificate</t>
  </si>
  <si>
    <t>Mezz 1-4</t>
  </si>
  <si>
    <t>Tax Service</t>
  </si>
  <si>
    <t>Taxes - City/District/Other</t>
  </si>
  <si>
    <t>Title Endorsements</t>
  </si>
  <si>
    <t>Title Fees</t>
  </si>
  <si>
    <t>Title Policy</t>
  </si>
  <si>
    <t>Title Search Fees</t>
  </si>
  <si>
    <t>Transfer Taxes</t>
  </si>
  <si>
    <t>Other - Customized</t>
  </si>
  <si>
    <t>Note A1 (EP)</t>
  </si>
  <si>
    <t>Equity Pledge</t>
  </si>
  <si>
    <t>UCC Plus Policy</t>
  </si>
  <si>
    <t>Note A2 (EP)</t>
  </si>
  <si>
    <t>UCC Plus Policy Endorsements</t>
  </si>
  <si>
    <t>UCC Search</t>
  </si>
  <si>
    <t>UCC Termination Fees</t>
  </si>
  <si>
    <t>Undisbursed Future Funding Loan Proceeds</t>
  </si>
  <si>
    <t>Utility Fees</t>
  </si>
  <si>
    <t>Wire Fees</t>
  </si>
  <si>
    <t>P.E. Note 1</t>
  </si>
  <si>
    <t>P.E. Note 2</t>
  </si>
  <si>
    <t>Zoning</t>
  </si>
  <si>
    <t>P.E. Note</t>
  </si>
  <si>
    <t>Rounding Error</t>
  </si>
  <si>
    <t>BORROWER DESIGNATES; TITLE COMPANY MUST SIGN OFF</t>
  </si>
  <si>
    <r>
      <rPr>
        <u/>
        <sz val="10"/>
        <color rgb="FF0070C0"/>
        <rFont val="Calibri"/>
        <family val="2"/>
        <scheme val="minor"/>
      </rPr>
      <t>ONLY INPUT BLUE SHADED AREAS</t>
    </r>
    <r>
      <rPr>
        <sz val="10"/>
        <color rgb="FF0070C0"/>
        <rFont val="Calibri"/>
        <family val="2"/>
        <scheme val="minor"/>
      </rPr>
      <t xml:space="preserve">.  The Construction/GMP Budget Costs (line items coded 1000 through 21000) are input in the Contractor's Budget Detail Worksheet </t>
    </r>
  </si>
  <si>
    <t>(NOT YET COMPLETE**)</t>
  </si>
  <si>
    <t>NEW YORK DEALS</t>
  </si>
  <si>
    <t>Project Budget Summary</t>
  </si>
  <si>
    <t>A = Acquisition / Senior Loan or Mezz</t>
  </si>
  <si>
    <t>The Billed to Date, Paid to  Date, and Retention Amounts are fed from the Cost Report worksheet.  The settlement statement feeds the Amounts Advanced at Loan Closing</t>
  </si>
  <si>
    <t>B = Building Loan</t>
  </si>
  <si>
    <t>A</t>
  </si>
  <si>
    <t xml:space="preserve">B </t>
  </si>
  <si>
    <t>C</t>
  </si>
  <si>
    <t>D</t>
  </si>
  <si>
    <t>E</t>
  </si>
  <si>
    <t>F</t>
  </si>
  <si>
    <t>P = Project Loan</t>
  </si>
  <si>
    <t>Lender's Budget Code</t>
  </si>
  <si>
    <t>Budget Cost</t>
  </si>
  <si>
    <t>Billed to Date           (Prior to Loan Close)</t>
  </si>
  <si>
    <t>Loan Close Draw</t>
  </si>
  <si>
    <t>Total Billed (B+C)</t>
  </si>
  <si>
    <t>Retention Balance</t>
  </si>
  <si>
    <t>Paid to Date       (D-E)</t>
  </si>
  <si>
    <t>Remaining Costs to Complete Project        (A-D)</t>
  </si>
  <si>
    <t>Type of Cost</t>
  </si>
  <si>
    <t>Note Eligibility</t>
  </si>
  <si>
    <t>If land was acquired prior to loan close, input verified costs in cells B11:B14 if they are not in the cost report (which some cost reports exclude)</t>
  </si>
  <si>
    <t>Land Acquisition</t>
  </si>
  <si>
    <t>Property/Land Acquisition</t>
  </si>
  <si>
    <t>Acq.</t>
  </si>
  <si>
    <t>Acquisition Administrative Costs</t>
  </si>
  <si>
    <t>Other [Define]</t>
  </si>
  <si>
    <t>Total Land Acquisition</t>
  </si>
  <si>
    <t>Construction / GMP Contract - Trades (Hard Costs)</t>
  </si>
  <si>
    <t>Construction/GMP Contract amounts input in the "Contractor's Budget Detail" worksheet</t>
  </si>
  <si>
    <t>General Conditions</t>
  </si>
  <si>
    <t>HC</t>
  </si>
  <si>
    <t>Concrete</t>
  </si>
  <si>
    <t>Masonry</t>
  </si>
  <si>
    <t>Metals</t>
  </si>
  <si>
    <t>Wood &amp; Plastic</t>
  </si>
  <si>
    <t>Thermal &amp; Moisture</t>
  </si>
  <si>
    <t>Doors &amp; Windows</t>
  </si>
  <si>
    <t>Finishes</t>
  </si>
  <si>
    <t>Specialties</t>
  </si>
  <si>
    <t>Equipment</t>
  </si>
  <si>
    <t>Furnishings</t>
  </si>
  <si>
    <t>Special Construction</t>
  </si>
  <si>
    <t>Conveying Systems</t>
  </si>
  <si>
    <t>Mechanical &amp; Plumbing</t>
  </si>
  <si>
    <t>Electrical</t>
  </si>
  <si>
    <t>Extended Contractor Services</t>
  </si>
  <si>
    <t>Upgrades</t>
  </si>
  <si>
    <t>Insurance &amp; Bonding</t>
  </si>
  <si>
    <t>General Contractor Fees</t>
  </si>
  <si>
    <t>General Contractor's Contingency</t>
  </si>
  <si>
    <t>Total Construction Contract / Trades</t>
  </si>
  <si>
    <t>Owner Hard Costs  (NAP of the Construction Contract / GMP)</t>
  </si>
  <si>
    <t>FF&amp;E</t>
  </si>
  <si>
    <t>Pre-Development / Owner Hard Costs</t>
  </si>
  <si>
    <t>Environmental Abatement</t>
  </si>
  <si>
    <t>Misc. Owner Hard Costs</t>
  </si>
  <si>
    <t>Owner Hard Cost Contingency</t>
  </si>
  <si>
    <t>Total Owner Hard Costs</t>
  </si>
  <si>
    <t>Leasing Costs</t>
  </si>
  <si>
    <t>Tenant Improvements (Hard Cost)</t>
  </si>
  <si>
    <t>Leasing Commissions (Soft Cost)</t>
  </si>
  <si>
    <t>SC</t>
  </si>
  <si>
    <t>Lease Buy-Outs (Soft Cost)</t>
  </si>
  <si>
    <t>Rent Concessions (Soft Cost)</t>
  </si>
  <si>
    <t>Other [Define] (Hard Cost)</t>
  </si>
  <si>
    <t>Other [Define] (Soft Cost)</t>
  </si>
  <si>
    <t>Total Leasing  Costs</t>
  </si>
  <si>
    <t>Soft / Indirect  Costs (NAP of the Construction Contract)</t>
  </si>
  <si>
    <t>Accounting</t>
  </si>
  <si>
    <t>Architectural</t>
  </si>
  <si>
    <t>Borrower Legal Fees</t>
  </si>
  <si>
    <t>Building Permits &amp; Fees</t>
  </si>
  <si>
    <t>Construction Management Fees</t>
  </si>
  <si>
    <t xml:space="preserve">Construction Staging </t>
  </si>
  <si>
    <t>Developer Fees (Profit)</t>
  </si>
  <si>
    <t>Devel. Fee</t>
  </si>
  <si>
    <t>Developer Overhead &amp; Office Expenses</t>
  </si>
  <si>
    <t>Leasing Office</t>
  </si>
  <si>
    <t>Legal &amp; Professional</t>
  </si>
  <si>
    <t>Lender Legal Fees</t>
  </si>
  <si>
    <t>Marketing &amp; Start Up Costs</t>
  </si>
  <si>
    <t>OCIP / Insurance</t>
  </si>
  <si>
    <t>Other Consultants</t>
  </si>
  <si>
    <t>Property Taxes</t>
  </si>
  <si>
    <t>Sales Closing Costs</t>
  </si>
  <si>
    <t>Sales Commissions</t>
  </si>
  <si>
    <t>Other:   Define</t>
  </si>
  <si>
    <t>Other: Define</t>
  </si>
  <si>
    <t>Soft Cost Contingency</t>
  </si>
  <si>
    <t>Total Soft/Indirect Costs</t>
  </si>
  <si>
    <t>Finance Costs</t>
  </si>
  <si>
    <t>Interest Carry - ACORE</t>
  </si>
  <si>
    <t>SC-Finance</t>
  </si>
  <si>
    <t>SC contingency analysis below  excludes finance costs; if you want to include any chance type of cost from SC-Finance to SC</t>
  </si>
  <si>
    <t>Interest Carry - Land Acquisition Loan</t>
  </si>
  <si>
    <t>Interest Carry - ACORE (Acq./Senior Loan for NY projects)</t>
  </si>
  <si>
    <t>Interest Carry - ACORE (Building Loan for NY Projects)</t>
  </si>
  <si>
    <t>Interest Carry - ACORE (Project Loan for NY Projects)</t>
  </si>
  <si>
    <t>Interest Carry - Mezz Financing</t>
  </si>
  <si>
    <t>Interest Carry - Preferred Equity</t>
  </si>
  <si>
    <t>Interest Carry - EB-5 or Other non ACORE Mezz</t>
  </si>
  <si>
    <t>Processing Fee</t>
  </si>
  <si>
    <t>Appraisal  (Building Loan for NY Projects)</t>
  </si>
  <si>
    <t>EB-5 or Other Mezz Fees</t>
  </si>
  <si>
    <t>Exit Fees</t>
  </si>
  <si>
    <t>Lender's Due Diligence, Third Party Reports &amp; Legal</t>
  </si>
  <si>
    <t>Lender Inspection Fees</t>
  </si>
  <si>
    <t>Other Consultants &amp; Inspections</t>
  </si>
  <si>
    <t>Rate Cap &amp; Related Costs</t>
  </si>
  <si>
    <t>Title Fees (Acq. /Senior Loan for NY projects)</t>
  </si>
  <si>
    <t>Title Fees (Building Loan for NY projects)</t>
  </si>
  <si>
    <t>Title Fees (Project Loan for NY projects)</t>
  </si>
  <si>
    <t>Title &amp; Escrow Fees</t>
  </si>
  <si>
    <t>Title, Recording &amp; Other Closing Fees</t>
  </si>
  <si>
    <t>Total Finance Costs</t>
  </si>
  <si>
    <t>Construction Draw Reserve for Future Advance</t>
  </si>
  <si>
    <t>TOTAL PROJECT COSTS</t>
  </si>
  <si>
    <t>Total Commitment</t>
  </si>
  <si>
    <t>Advanced Prior to Loan Close</t>
  </si>
  <si>
    <t>Total Drawn</t>
  </si>
  <si>
    <t>Additional (Future) Advance</t>
  </si>
  <si>
    <t>Key Money</t>
  </si>
  <si>
    <t>City / RDA / Other Regulatory Credits</t>
  </si>
  <si>
    <t>Variance between Total Project Costs and Total Sources of Funds</t>
  </si>
  <si>
    <t>Borrower Equity / (Return of Equity)</t>
  </si>
  <si>
    <t>&lt;&lt; THIS SHOULD BE ZERO</t>
  </si>
  <si>
    <t>Total Sources of Funds</t>
  </si>
  <si>
    <t>Amount Available for Retention Balance:</t>
  </si>
  <si>
    <t>&lt;&lt; RETENTION BALANCE MUST BE COVERED BY EITHER A RESERVE ESTABLISHED AT CLOSING, OR BY FUTURE EQUITY AND/OR FUTURE LOAN FUNDING</t>
  </si>
  <si>
    <t>Reconciliation to Settlement at Closing</t>
  </si>
  <si>
    <t>Contingency Summary (Remaining)</t>
  </si>
  <si>
    <t>Total Loan Close Draw Itemized on Development Budget</t>
  </si>
  <si>
    <t>Owner's Hard Cost Contigency:</t>
  </si>
  <si>
    <t>Borrower Return of Equity / Recapitalization</t>
  </si>
  <si>
    <t>Total Hard Cost Contingency:</t>
  </si>
  <si>
    <t>As % of Remaining Hard Costs:</t>
  </si>
  <si>
    <t>Min Required:</t>
  </si>
  <si>
    <t>Total Uses of Funds at Close</t>
  </si>
  <si>
    <t>Soft Cost Contingency:</t>
  </si>
  <si>
    <t>Min Required</t>
  </si>
  <si>
    <t>TOTAL ACORE Initial Advance</t>
  </si>
  <si>
    <t>As % of Remaining Soft Costs**</t>
  </si>
  <si>
    <t>Borrower Cash In through escrow</t>
  </si>
  <si>
    <t>contingency analysis formula for soft cost contingency excludes all finance costs; if you want to include any of the finance costs, change the type of cost to SC (ie you may want to include interest reserve in the calculation)</t>
  </si>
  <si>
    <t>Other Sources of Funds (items 4:11 above)</t>
  </si>
  <si>
    <t>** Excludes Finance Costs &amp; Developer Fee (profit)</t>
  </si>
  <si>
    <t>Total Sources of Funds at Close</t>
  </si>
  <si>
    <t>THIS SECTION IS NOT YET COMPLETE *****   WORK IN PROGRESS - WILL BE PART OF PHASE II OF THIS TEMPLATE</t>
  </si>
  <si>
    <t>THE FOLLOWING IS FOR NEW YORK CONSTRUCTION LOANS ONLY.   DO NOT INCLUDE IN THE PRINT AREA OF THE PROJECT BUDGET ABOVE THAT WILL BE USED AS AN EXHIBIT TO THE LOAN AGREEMENT</t>
  </si>
  <si>
    <t>Budget</t>
  </si>
  <si>
    <t>Billed to Date (prior to Loan Close)</t>
  </si>
  <si>
    <t>Remaining Prior to Loan Close Draw</t>
  </si>
  <si>
    <t>Loan Advance Rate %</t>
  </si>
  <si>
    <t>Acquisition / Senior Loan &amp; Mezz Eligible</t>
  </si>
  <si>
    <t>Building Loan Eligible</t>
  </si>
  <si>
    <t>Project Loan Eligible</t>
  </si>
  <si>
    <t>Future</t>
  </si>
  <si>
    <t>Acq Senior Loan</t>
  </si>
  <si>
    <t xml:space="preserve">Mezzanine </t>
  </si>
  <si>
    <t>Building Loan</t>
  </si>
  <si>
    <t>Project Loan</t>
  </si>
  <si>
    <t>Total Loans</t>
  </si>
  <si>
    <t>Total Capitalization</t>
  </si>
  <si>
    <t>PROJECT BUDGET AND S&amp;U RECON CODES</t>
  </si>
  <si>
    <t>DEVELOPER'S BUDGET</t>
  </si>
  <si>
    <t>SOURCES &amp; USES RECON</t>
  </si>
  <si>
    <t>(Edits are made in the Project Budget Summary Worksheet)</t>
  </si>
  <si>
    <t>(Edits are made in the S&amp;U Recon  Worksheet)</t>
  </si>
  <si>
    <t>Type</t>
  </si>
  <si>
    <t>Uses of Funds</t>
  </si>
  <si>
    <t>CONTRACTOR'S BUDGET / GMP (TRADES)</t>
  </si>
  <si>
    <t>(Edits are made in the Contractor's Budget Detail Worksheet)</t>
  </si>
  <si>
    <t>Sources of Funds - Project Budget</t>
  </si>
  <si>
    <t>(Edit in Project Budget Summary)</t>
  </si>
  <si>
    <t>HIDE THIS COLUMN BEFORE DISTRIBUTING SETTLEMENT STMT.</t>
  </si>
  <si>
    <t xml:space="preserve">Date:  </t>
  </si>
  <si>
    <t>Is settlement stmt. final (Yes/No)? ("Yes" removes "estimate" from header &amp; closing date)</t>
  </si>
  <si>
    <t>&lt;&lt;  if more than 2 borrowers will read "et al"</t>
  </si>
  <si>
    <t>Borrower:</t>
  </si>
  <si>
    <t>Property:</t>
  </si>
  <si>
    <t>&lt;&lt; Index won't show if there is no initial loan advance since there is no stub.</t>
  </si>
  <si>
    <t>&lt; on fixed rate deal will read "Interest Rate Floor (Blended)"</t>
  </si>
  <si>
    <t>NOTES SUMMARY</t>
  </si>
  <si>
    <t>(Initial Loan Advance)</t>
  </si>
  <si>
    <t>Lender</t>
  </si>
  <si>
    <t>ACR Note ID</t>
  </si>
  <si>
    <t>Interest Rate Spread</t>
  </si>
  <si>
    <t xml:space="preserve"> If there are future funding notes that are separate from the initial advance notes (ie "F" note names), the debt stack will show a header for "Addt'l Advance Note Name" in column G and "ACR Note ID" in column H; otherwise it is left blank and you can hide those columns (making sure no text has been added to that column elsewhere that shouldn't be hidden)</t>
  </si>
  <si>
    <t>If this is a fixed rate deal, column K will reflect the interest rate coupon;  if it is a floater, it will reflect the spread</t>
  </si>
  <si>
    <t>Debt Stack headers will include "Notional" in the amount columns when there are interest only strips.  Notional Amounts for IO strips are excluded from the Grand totals.</t>
  </si>
  <si>
    <t>TAUPE SHADED AREAS REFLECT CELLS THAT HAVE FORMULAS IN THEM;  PRIOR TO DISTRIBUTION OF THE SETTLEMENT STMT SHOULD CHANGE FILL TO WHITE</t>
  </si>
  <si>
    <t>&lt; comment re IO strips</t>
  </si>
  <si>
    <t>&lt; comment for preferred equity deals</t>
  </si>
  <si>
    <t>&lt;comment regarding spread for future funding notes on fixed rate deals not being locked</t>
  </si>
  <si>
    <t>Loan Proceeds Wire Itemization</t>
  </si>
  <si>
    <t>&lt;&lt; This itemization is required for ACORE Fund deals since we do not have a capital call notice and Accounting needs to know how much each participating lender of the fund is wiring.   You may elect to disclose this for escrow as well when there are multiple sources of funds / lenders.  Otherwise hide the table.</t>
  </si>
  <si>
    <t>Retained by Lender</t>
  </si>
  <si>
    <t>Orig. Fee</t>
  </si>
  <si>
    <t>Orig. Fee %</t>
  </si>
  <si>
    <t>Net Proceeds</t>
  </si>
  <si>
    <t>SOURCES &amp; USES OF FUNDS</t>
  </si>
  <si>
    <t>Stub Interest (lender retained)</t>
  </si>
  <si>
    <t>Loan Origination Fee (lender retained)</t>
  </si>
  <si>
    <t>Net Loan Proceeds Wired to Escrow / Title</t>
  </si>
  <si>
    <t>Loan Processing Fee (Retained by Lender from the Deposit)</t>
  </si>
  <si>
    <t>ACORE Site Visit Travel Expenses (Retained by Lender from the Deposit)</t>
  </si>
  <si>
    <t>Other Loan Expenses Paid (Retained by Lender from the Deposit) (If any itemized below)</t>
  </si>
  <si>
    <t>&lt;&lt; Rows 76:85 will itemize any expenses paid from the app deposit before loan closing.  If none were paid, hide these rows</t>
  </si>
  <si>
    <t>Net Application Deposit Wired to Escrow / Title</t>
  </si>
  <si>
    <t>TOTAL FUNDS WIRED TO ESCROW/TITLE</t>
  </si>
  <si>
    <t>DISBURSEMENTS TO BE MADE BY ESCROW/TITLE:</t>
  </si>
  <si>
    <t>Amounts Due to Lender(s) (Stub Interest / Loan Orig. Fee) - See Wire Instructions on Page 2 of this  Statement</t>
  </si>
  <si>
    <t>Loan Origination Fee to Lender(s)</t>
  </si>
  <si>
    <t>hide row if stub interest was retained from loan proceeds wire and won't be disbursed by the escrow agent. End of int accrual period auto-fills if there is stub in this row, otherwise it shows blank</t>
  </si>
  <si>
    <t>Loan Reserves to the Loan Servicer</t>
  </si>
  <si>
    <t>Fixed Line Item; Can hide if N/AP</t>
  </si>
  <si>
    <t>Fixed Line Item; Hide if N/AP</t>
  </si>
  <si>
    <t>Third Party Reports Engaged by Lender &amp; Loan Due Diligence Costs</t>
  </si>
  <si>
    <t xml:space="preserve">If the settlement statement credits &amp; debits are printing on more than 1 page, make sure columns are identified with Credit and Debit headers </t>
  </si>
  <si>
    <t>Other Disbursements on Behalf of Borrower</t>
  </si>
  <si>
    <t>Fixed line item; hide if N/AP</t>
  </si>
  <si>
    <t>If amount is negative, the header reads amount due from borrower…; if it is positive it reads funds remaining for other approved disbursements…</t>
  </si>
  <si>
    <t xml:space="preserve">DO NOT TYPE IN BOXED  PURPLE AREAS BELOW -- will auto fill from the "Payee" column  in the wiring instructions Section XIV of the Input worksheet, and then feed the wiring instruction ssection of the settlement statement below.  </t>
  </si>
  <si>
    <t>Borrower(s):</t>
  </si>
  <si>
    <t>DO NOT TYPE IN BOXED AREAS BELOW</t>
  </si>
  <si>
    <t>WIRE INSTRUCTIONS</t>
  </si>
  <si>
    <t xml:space="preserve">YOU MAY WANT TO DELETE SHADED AREAS IN SECTIONS BELOW THE SETTLEMENT FIGURES; THEY ARE THERE JUST TO SHOW WHERE THERE IS A FORMULA, BUT ARE NOT AESTHETICALLY PLEASING </t>
  </si>
  <si>
    <t>Title/Escrow Wire Instructions</t>
  </si>
  <si>
    <t>Application Deposit (Net)</t>
  </si>
  <si>
    <t>WIRE INSTRUCTIONS ENTERED IN SECTION XIV OF THE INPUT WORKSHEET</t>
  </si>
  <si>
    <t>Pay To Bank:</t>
  </si>
  <si>
    <t>Address:</t>
  </si>
  <si>
    <t>ABA:</t>
  </si>
  <si>
    <t>Beneficiary:</t>
  </si>
  <si>
    <t>Account Number:</t>
  </si>
  <si>
    <t>Amount:</t>
  </si>
  <si>
    <t>Escrow Number (include in reference):</t>
  </si>
  <si>
    <t>Reference:</t>
  </si>
  <si>
    <t>Contact:</t>
  </si>
  <si>
    <t>Contact Phone Number:</t>
  </si>
  <si>
    <t>Loan Proceeds (Net)</t>
  </si>
  <si>
    <t>Orig Fee</t>
  </si>
  <si>
    <t>Stub</t>
  </si>
  <si>
    <t>&lt;&lt;&lt;&lt;&lt;&lt;&lt;&lt;&lt;&lt;&lt;&lt;&lt;&lt;&lt;&lt; Hide if NOT TRE ARC</t>
  </si>
  <si>
    <t>For Further Credit To:</t>
  </si>
  <si>
    <t>&lt;&lt;&lt;&lt;&lt;&lt;&lt;&lt;&lt;&lt;&lt;&lt;&lt;&lt;&lt;&lt; Hide if NOT AFLAC</t>
  </si>
  <si>
    <t>For Further Credit to:</t>
  </si>
  <si>
    <t>---------------------SIGNATURES ON NEXT PAGE---------------------</t>
  </si>
  <si>
    <t xml:space="preserve">&lt;&lt; DROP DOWN MENU TO POPULATE BORROWER NAME COMES FROM THE INPUT PAGE.  MANUALLY INPUT OTHER ENTITIES AND THE NAME/TITLE OF SIGNER TO MATCH THE SIGNATURE BLOCK USED IN THE LOAN DOCUMENTS. </t>
  </si>
  <si>
    <t>You can copy/paste the signature block for additional borrowers (drop list will be copied over)</t>
  </si>
  <si>
    <t xml:space="preserve">LOAN SETTLEMENT STATEMENT </t>
  </si>
  <si>
    <t>Mortgage Borrower:</t>
  </si>
  <si>
    <t>ERASE OR HIDE  EXTRA / UNNECESSARY SIG BLOCKS</t>
  </si>
  <si>
    <t>APPROVED BY:</t>
  </si>
  <si>
    <t>BORROWER(S)</t>
  </si>
  <si>
    <t/>
  </si>
  <si>
    <t xml:space="preserve">             By:  _____________________________________________________</t>
  </si>
  <si>
    <t xml:space="preserve">Name:  </t>
  </si>
  <si>
    <t xml:space="preserve">Title:  </t>
  </si>
  <si>
    <t>MEZZANINE BORROWER(S)</t>
  </si>
  <si>
    <t>&lt;&lt; USE DROP LIST FOR LENDER NAME AND FOR THE AUTHORIZED SIGNER (NAME), AND THE REMAINDER OF THE SIGNATURE BLOCK WILL POPULATE</t>
  </si>
  <si>
    <t>MORTGAGE LENDER(S):</t>
  </si>
  <si>
    <t xml:space="preserve">                                                              By:</t>
  </si>
  <si>
    <t>Name:</t>
  </si>
  <si>
    <t>Title:</t>
  </si>
  <si>
    <t>MEZZANINE LENDER(S):</t>
  </si>
  <si>
    <t>ADMINISTRATIVE AGENT:</t>
  </si>
  <si>
    <t>ACORE CAPITAL MORTGAGE, LP, a Delaware Limited Partnership</t>
  </si>
  <si>
    <t xml:space="preserve">  By:  ACORE Capital Mortgage GP, LLC, a Delaware Limited Liability Company, its General Partner</t>
  </si>
  <si>
    <t>___________________________________________</t>
  </si>
  <si>
    <t xml:space="preserve">                  Name:</t>
  </si>
  <si>
    <t xml:space="preserve">                  Title:</t>
  </si>
  <si>
    <t>list</t>
  </si>
  <si>
    <t>A-NOTE SALE SETTLEMENT STATEMENT</t>
  </si>
  <si>
    <t>Date:</t>
  </si>
  <si>
    <t>HAVE FUNDINGS TAKE PLACE SINCE LAST PAYMENT?</t>
  </si>
  <si>
    <t>Purchaser:</t>
  </si>
  <si>
    <t>&lt;---- Yes or No</t>
  </si>
  <si>
    <t>Seller(s):</t>
  </si>
  <si>
    <t>A-notes:</t>
  </si>
  <si>
    <t>Current Funded</t>
  </si>
  <si>
    <t>Interest Rate</t>
  </si>
  <si>
    <t>Current Per Diem Interest</t>
  </si>
  <si>
    <t>Notes:</t>
  </si>
  <si>
    <t>Check Backshop for current OPB and Commitment - override formulas if balances changed since original closing</t>
  </si>
  <si>
    <t>Check term sheet for note sale and confirm spread is the same as the original note - if not, counsel will need to amend loan docs</t>
  </si>
  <si>
    <t>The Future Funding section is for older "F" Notes</t>
  </si>
  <si>
    <t>Enter recent draws for the A-notes being sold:</t>
  </si>
  <si>
    <t>Days and Interest:</t>
  </si>
  <si>
    <t>TOTAL:</t>
  </si>
  <si>
    <t>Future Fundings:</t>
  </si>
  <si>
    <t>Dates:</t>
  </si>
  <si>
    <t>draw:</t>
  </si>
  <si>
    <t>Total:</t>
  </si>
  <si>
    <t>SOFR rate:</t>
  </si>
  <si>
    <t>As of:</t>
  </si>
  <si>
    <r>
      <rPr>
        <sz val="10"/>
        <color rgb="FFFF0000"/>
        <rFont val="Calibri"/>
        <family val="2"/>
        <scheme val="minor"/>
      </rPr>
      <t>&lt;----</t>
    </r>
    <r>
      <rPr>
        <sz val="10"/>
        <color theme="1"/>
        <rFont val="Calibri"/>
        <family val="2"/>
        <scheme val="minor"/>
      </rPr>
      <t xml:space="preserve">  If loan includes Participations, include details of pieces retained vs. sold</t>
    </r>
  </si>
  <si>
    <t>Amount of A-Note purchase</t>
  </si>
  <si>
    <t>Future Funding Obligation</t>
  </si>
  <si>
    <t>Purchase Price</t>
  </si>
  <si>
    <t>Total A-Notes Purchase Price at Closing:</t>
  </si>
  <si>
    <t>Loan Interest Paid by Purchaser</t>
  </si>
  <si>
    <t>Beginning of Interest Accrual</t>
  </si>
  <si>
    <r>
      <rPr>
        <b/>
        <sz val="10"/>
        <color rgb="FFFF0000"/>
        <rFont val="Calibri"/>
        <family val="2"/>
        <scheme val="minor"/>
      </rPr>
      <t>&lt;----</t>
    </r>
    <r>
      <rPr>
        <b/>
        <sz val="10"/>
        <color theme="1"/>
        <rFont val="Calibri"/>
        <family val="2"/>
        <scheme val="minor"/>
      </rPr>
      <t xml:space="preserve">  Review stub interest math if selling shortly after close, it might have already been collected at closing.  Then Adjust interest accrual date to UPCOMING pmt date.  Days Interest flips from positive to negative.</t>
    </r>
  </si>
  <si>
    <t>Total Days Interest:</t>
  </si>
  <si>
    <t>Stub Interest payable to Seller</t>
  </si>
  <si>
    <t>Origination Fee</t>
  </si>
  <si>
    <t>Total Deduction from Purchase Price</t>
  </si>
  <si>
    <t>B</t>
  </si>
  <si>
    <t>Net Wire Amount</t>
  </si>
  <si>
    <t>A+B =</t>
  </si>
  <si>
    <t>Wiring Instructions - From Purchaser to Seller:</t>
  </si>
  <si>
    <t xml:space="preserve">To: </t>
  </si>
  <si>
    <t>Name</t>
  </si>
  <si>
    <t>ABA#</t>
  </si>
  <si>
    <t xml:space="preserve">A/C# </t>
  </si>
  <si>
    <t>FBO:</t>
  </si>
  <si>
    <t>Ref:</t>
  </si>
  <si>
    <t>Signatures on Next Page</t>
  </si>
  <si>
    <t>By:</t>
  </si>
  <si>
    <t xml:space="preserve">Title: </t>
  </si>
  <si>
    <t>Seller:</t>
  </si>
  <si>
    <t>PARTICIPATION SETTLEMENT STATEMENT</t>
  </si>
  <si>
    <t>Participant:</t>
  </si>
  <si>
    <t>Lender:</t>
  </si>
  <si>
    <t>Notes</t>
  </si>
  <si>
    <t>Initial Participation Amount</t>
  </si>
  <si>
    <t>Future Participation Amount</t>
  </si>
  <si>
    <t>Participation amount</t>
  </si>
  <si>
    <t>Total Note Participation at Closing:</t>
  </si>
  <si>
    <t>Stub Interest payable to Lender</t>
  </si>
  <si>
    <t>Wiring Instructions - From Participant to Lender:</t>
  </si>
  <si>
    <t>To: Delphi CRE Funding LLC</t>
  </si>
  <si>
    <t>The below debt stack calculation charts are provided for convenience only;  these do not have to be populated.</t>
  </si>
  <si>
    <t>TRE ACR/Aflac</t>
  </si>
  <si>
    <t>TRE ACR is always note A-1</t>
  </si>
  <si>
    <t>Total Loan Amount</t>
  </si>
  <si>
    <t>Blended Spread</t>
  </si>
  <si>
    <t>TRE ACR's Share of Total Loan</t>
  </si>
  <si>
    <t>Aflac's (or Note A-2) Share of Total Loan</t>
  </si>
  <si>
    <t>Mezz % of Total Loan &amp; Spread</t>
  </si>
  <si>
    <t>Mezz DOES NOT fully advance at close</t>
  </si>
  <si>
    <t>Note</t>
  </si>
  <si>
    <t>annual Spread Amount</t>
  </si>
  <si>
    <t>A-1</t>
  </si>
  <si>
    <t>A-2</t>
  </si>
  <si>
    <t>Aflac</t>
  </si>
  <si>
    <t>Mezz-1</t>
  </si>
  <si>
    <t>Mezz-2</t>
  </si>
  <si>
    <t>total mezz %</t>
  </si>
  <si>
    <t>A-1 &amp; Mezz 1</t>
  </si>
  <si>
    <t>A-2 &amp; Mezz 2</t>
  </si>
  <si>
    <t>Delphi or Fund IV</t>
  </si>
  <si>
    <t>Simple 3 note stack where A Note spread is  known; Solve for B &amp; Mezz Spread</t>
  </si>
  <si>
    <t>Total Loan Amount:</t>
  </si>
  <si>
    <t>Initial Advance Amount:</t>
  </si>
  <si>
    <t>Blended Spread %</t>
  </si>
  <si>
    <t>Does Mezz Fully Advance at close?</t>
  </si>
  <si>
    <t>yes</t>
  </si>
  <si>
    <t>&lt;&lt; leave blank if there is no mezz</t>
  </si>
  <si>
    <t>Annual Spread Amount</t>
  </si>
  <si>
    <t>B-1</t>
  </si>
  <si>
    <t>Multiple A &amp; B Notes with Mezz option; Spreads known for A notes; solve for B notes &amp; mezz</t>
  </si>
  <si>
    <t>A-3</t>
  </si>
  <si>
    <t>solve for</t>
  </si>
  <si>
    <t>B-2</t>
  </si>
  <si>
    <t>B-3</t>
  </si>
  <si>
    <t>Loan Reserves Summary</t>
  </si>
  <si>
    <t>This column auto fills from the input page; however if you have an LOC or Recourse for a particular reserve you will have to manually input amounts</t>
  </si>
  <si>
    <t>Identify the Section in the Loan Agreement that describes the reserve</t>
  </si>
  <si>
    <t>Reserve Name on the Settlement Statement</t>
  </si>
  <si>
    <t>Name in Backshop</t>
  </si>
  <si>
    <t>Amount Established at Closing</t>
  </si>
  <si>
    <t>Monthly Impound</t>
  </si>
  <si>
    <t>Pledged to Lender (Yes/No)</t>
  </si>
  <si>
    <t>LOC Expiration Date</t>
  </si>
  <si>
    <t>Comment</t>
  </si>
  <si>
    <t>From Lender Profile</t>
  </si>
  <si>
    <t>Investor:</t>
  </si>
  <si>
    <t>Net Out Orig Fee?</t>
  </si>
  <si>
    <t>Net Out Stub Interest?</t>
  </si>
  <si>
    <t>ACORE Capital, LP</t>
  </si>
  <si>
    <t>Any Expenses/Fees Payable to ACORE by Investor?</t>
  </si>
  <si>
    <t>80 E. Sir Francis Drake Blvd., Suite 2A</t>
  </si>
  <si>
    <t>Invoice:</t>
  </si>
  <si>
    <t>Larkspur, CA 94939</t>
  </si>
  <si>
    <t>Reliance Standard Life Insurance Company</t>
  </si>
  <si>
    <t>treasury@rsli.com</t>
  </si>
  <si>
    <t>Details</t>
  </si>
  <si>
    <t>Capital Requirement</t>
  </si>
  <si>
    <t xml:space="preserve">&lt;&lt; Borrower names linked to only the 1st two borrowers entered in Section II (Borrower Info.) of the Input worksheet; if there are more than 2 borrowrs the words "et al" appear.  Override as needed. </t>
  </si>
  <si>
    <t>Mezzanine Borrower:</t>
  </si>
  <si>
    <t>Loan Program:</t>
  </si>
  <si>
    <t>Total Loan Commitment:</t>
  </si>
  <si>
    <t>Initial Loan Advance:</t>
  </si>
  <si>
    <t>Accrued Interest Payable</t>
  </si>
  <si>
    <t>Through &amp; Including:</t>
  </si>
  <si>
    <t>Origination Fee Charged to Borrower</t>
  </si>
  <si>
    <t>Origination Fee Due to ACORE from Lender:</t>
  </si>
  <si>
    <t>&lt;&lt; result feeds from criteria in investor profile worksheet</t>
  </si>
  <si>
    <t>Expenses Payable to ACORE Capital</t>
  </si>
  <si>
    <t>&lt;&lt; Manually enter any expenses due to ACORE from Delphi</t>
  </si>
  <si>
    <t>Expected Closing Date</t>
  </si>
  <si>
    <t>Total Capital Call</t>
  </si>
  <si>
    <t>Wiring Instructions for the Title/Escrow Agent</t>
  </si>
  <si>
    <t>&lt;&lt; Wire Instructions are entered in Section XIV of the Input Worksheet</t>
  </si>
  <si>
    <t>Escrow Number &amp; Reference:</t>
  </si>
  <si>
    <t>&lt;&lt; Shaded areas auto fill with ACORE wiring instructions if there are any fees due from Delphi to ACORE; otherwise blank</t>
  </si>
  <si>
    <t>remove shaded area before distributing</t>
  </si>
  <si>
    <t>Signature:</t>
  </si>
  <si>
    <t>Title</t>
  </si>
  <si>
    <t>Internal Review Summary</t>
  </si>
  <si>
    <t>Item</t>
  </si>
  <si>
    <t>Preparer</t>
  </si>
  <si>
    <t>1st Reviewer</t>
  </si>
  <si>
    <t>2nd Reviewer</t>
  </si>
  <si>
    <t>Sender</t>
  </si>
  <si>
    <t>Current Capital Call Request</t>
  </si>
  <si>
    <t>Total Loan Commitment</t>
  </si>
  <si>
    <t>Origination Fee Due to Delphi</t>
  </si>
  <si>
    <t>Origination Fee due to ACORE</t>
  </si>
  <si>
    <t>Expected Funding Date</t>
  </si>
  <si>
    <t>Total Amount of the Capital Call</t>
  </si>
  <si>
    <t>Wire Instructions from Lender to Escrow</t>
  </si>
  <si>
    <t>Wire Instructions from Lender to ACORE for Orig Fee</t>
  </si>
  <si>
    <t>Funding Instruction</t>
  </si>
  <si>
    <t>INVOICE:</t>
  </si>
  <si>
    <t>TO:</t>
  </si>
  <si>
    <t>Aflac US Distribution List</t>
  </si>
  <si>
    <t>Loan Description</t>
  </si>
  <si>
    <t>Origination Fee Due from Borrower (on Total Loan Commitment)</t>
  </si>
  <si>
    <t>ACORE Capital Origination Fee Due (On Initial Funding)</t>
  </si>
  <si>
    <t>&lt;&lt; data feeds from criteria in investor profile worksheet</t>
  </si>
  <si>
    <t>&lt;&lt; INPUT THIS MANUALLY in positive format; THIS IS NOT AUTOMATED</t>
  </si>
  <si>
    <t>Total Amount Due</t>
  </si>
  <si>
    <t>Wiring Instructions - From Lender to ACORE for Origination Fee</t>
  </si>
  <si>
    <t>San Francisco, CA  94111</t>
  </si>
  <si>
    <t>ACORE Capital, LP Operating Account</t>
  </si>
  <si>
    <t xml:space="preserve">A/C#: </t>
  </si>
  <si>
    <t>Sign-off Summary</t>
  </si>
  <si>
    <t xml:space="preserve">Preparer </t>
  </si>
  <si>
    <t xml:space="preserve">1st Reviewer </t>
  </si>
  <si>
    <t xml:space="preserve">2nd Reviewer </t>
  </si>
  <si>
    <t>&lt;&lt; INPUT THIS MANUALLY; THIS IS NOT AUTOMATED</t>
  </si>
  <si>
    <t>Current Funding Request</t>
  </si>
  <si>
    <t>Origination Fee Due to ACORE</t>
  </si>
  <si>
    <t>Wire Instructions - From Lender to Escrow</t>
  </si>
  <si>
    <t>Wire Instructions - From Lender to ACORE for Orgination Fee</t>
  </si>
  <si>
    <t>TRE ACR Distribution Group</t>
  </si>
  <si>
    <t>Total Amount Due:</t>
  </si>
  <si>
    <t xml:space="preserve">ACORE Capital Origination Fee Due </t>
  </si>
  <si>
    <t>Property name:</t>
  </si>
  <si>
    <t>Taxing Authority:</t>
  </si>
  <si>
    <t>County:</t>
  </si>
  <si>
    <t>State:</t>
  </si>
  <si>
    <t>Contact Phone:</t>
  </si>
  <si>
    <t>Website Link(s):</t>
  </si>
  <si>
    <t xml:space="preserve">Installments:   </t>
  </si>
  <si>
    <t xml:space="preserve">Are Taxes Due within 60 days of closing? </t>
  </si>
  <si>
    <t>Due Date:</t>
  </si>
  <si>
    <t>Delinquent Date:</t>
  </si>
  <si>
    <t>Parcel Numbers:</t>
  </si>
  <si>
    <t>Tax Type:</t>
  </si>
  <si>
    <r>
      <t>1</t>
    </r>
    <r>
      <rPr>
        <vertAlign val="superscript"/>
        <sz val="11"/>
        <color theme="1"/>
        <rFont val="Calibri Light"/>
        <family val="2"/>
      </rPr>
      <t>st</t>
    </r>
    <r>
      <rPr>
        <sz val="11"/>
        <color theme="1"/>
        <rFont val="Calibri Light"/>
        <family val="2"/>
      </rPr>
      <t xml:space="preserve"> Installment Due Date:</t>
    </r>
  </si>
  <si>
    <r>
      <t>1</t>
    </r>
    <r>
      <rPr>
        <vertAlign val="superscript"/>
        <sz val="11"/>
        <color theme="1"/>
        <rFont val="Calibri Light"/>
        <family val="2"/>
      </rPr>
      <t>st</t>
    </r>
    <r>
      <rPr>
        <sz val="11"/>
        <color theme="1"/>
        <rFont val="Calibri Light"/>
        <family val="2"/>
      </rPr>
      <t xml:space="preserve"> Installment Delinquency Date:</t>
    </r>
  </si>
  <si>
    <t>Amount Due:</t>
  </si>
  <si>
    <t>2nd Installment Due Date:</t>
  </si>
  <si>
    <t>2nd Installment Delinquency Date:</t>
  </si>
  <si>
    <t>3rd Installment Due Date:</t>
  </si>
  <si>
    <r>
      <rPr>
        <vertAlign val="superscript"/>
        <sz val="11"/>
        <color theme="1"/>
        <rFont val="Calibri Light"/>
        <family val="2"/>
      </rPr>
      <t>3rd</t>
    </r>
    <r>
      <rPr>
        <sz val="11"/>
        <color theme="1"/>
        <rFont val="Calibri Light"/>
        <family val="2"/>
      </rPr>
      <t xml:space="preserve"> Installment Delinquency Date:</t>
    </r>
  </si>
  <si>
    <t>4th Installment Due Date:</t>
  </si>
  <si>
    <t>4th Installment Delinquency Date:</t>
  </si>
  <si>
    <t>Is the Property located in CA ?</t>
  </si>
  <si>
    <t>If the Property is being acquired, include Supplemental Tax Estimate based on Purchase Price in Rows 12-29</t>
  </si>
  <si>
    <t>Copy a snip of the supplemental tax estimate here:</t>
  </si>
  <si>
    <t>Does the Collateral include Personal Property?</t>
  </si>
  <si>
    <t>If Yes, include Personal Property account numbers and amounts in Rows 12-29</t>
  </si>
  <si>
    <t>Is the Collateral a Hotel and managed by a Brand?</t>
  </si>
  <si>
    <t xml:space="preserve">If Yes, Are escrows waived in the Term Sheet if collected under the Management Agreement?  </t>
  </si>
  <si>
    <t>If yes, no escrows needed.</t>
  </si>
  <si>
    <t>Does the Borrower pay Payments In Lieu Of Taxes (PILOT)?</t>
  </si>
  <si>
    <t>If Yes, include details from ICM/Appraisal here, amounts in Rows 12-29 and a Note for the Servicer in Row 44:</t>
  </si>
  <si>
    <t>Is this a Construction Loan and if so, are taxes a line item in the budget?</t>
  </si>
  <si>
    <t>If Yes, Does the Term Sheet allow the tax payment to be drawn when due as opposed to drawing monthy and having that money put into escrow?</t>
  </si>
  <si>
    <t>Next Due:</t>
  </si>
  <si>
    <t>Bill Available:</t>
  </si>
  <si>
    <t>Appraisal Information:</t>
  </si>
  <si>
    <t>Current calendar year</t>
  </si>
  <si>
    <t>Appraiser's Tax Estimate</t>
  </si>
  <si>
    <t>ACORE UW Tax Amount:</t>
  </si>
  <si>
    <t>Additional Comments to Servicer:</t>
  </si>
  <si>
    <t>Note:  If there is possibility of a reassessment, that analysis and the supplemental tax analysis can be completed starting on row 66</t>
  </si>
  <si>
    <t>Tax Reserve Analysis</t>
  </si>
  <si>
    <t>PAID AT CLOSING THROUGH ESCROW</t>
  </si>
  <si>
    <t>ANTICIPATED TAXES FOR ONGOING ESCROW CALCULATION (SHOULD ACCOUNT FOR ANTICIPATED INCREASES)</t>
  </si>
  <si>
    <t>INSTALLMENT NUMBER:</t>
  </si>
  <si>
    <t>Total Annual Tax</t>
  </si>
  <si>
    <t>TAX YEAR:</t>
  </si>
  <si>
    <t>Street Address</t>
  </si>
  <si>
    <t>Taxing Authority</t>
  </si>
  <si>
    <t>Tax ID</t>
  </si>
  <si>
    <t>Tax Type</t>
  </si>
  <si>
    <t>Installment</t>
  </si>
  <si>
    <t>Tax Year</t>
  </si>
  <si>
    <t>Due Date</t>
  </si>
  <si>
    <t>Disb. Date</t>
  </si>
  <si>
    <t>Sub-Total</t>
  </si>
  <si>
    <t>Adjustments (i.e. exclude one time supplemental taxes if reassessment accounted for in intallments; appreciate taxes)</t>
  </si>
  <si>
    <t>appreciation adjustment % (enter negative if it's a discount):</t>
  </si>
  <si>
    <t>&lt; if a reduction, input in negative format</t>
  </si>
  <si>
    <t>Adjusted Annual Taxes</t>
  </si>
  <si>
    <t>Monthly Escrow Amount</t>
  </si>
  <si>
    <t>Are monthly tax escrows waived (yes/no)?</t>
  </si>
  <si>
    <t>Explanation:</t>
  </si>
  <si>
    <t>Date</t>
  </si>
  <si>
    <t>Monthly Escrow Deposit</t>
  </si>
  <si>
    <t>Disbursement Amount</t>
  </si>
  <si>
    <t>Sub-Total Running Balance before Up-Front Deposit</t>
  </si>
  <si>
    <t>Up-Front Deposit to Reserve Account</t>
  </si>
  <si>
    <t>Running Balance With Upfront Deposit</t>
  </si>
  <si>
    <t>Notes/ Comments</t>
  </si>
  <si>
    <t>Closing</t>
  </si>
  <si>
    <t>1st Payment</t>
  </si>
  <si>
    <t>Lender requires a minimum remaining balance in the tax reserve equal to one month's tax escrow amount after any disbursement (which are made in the month prior to the due date)</t>
  </si>
  <si>
    <t>TAX REASSESSMENT ANALYSIS</t>
  </si>
  <si>
    <t># of Installments:</t>
  </si>
  <si>
    <t>&lt;&lt; Only input if taxes are billed in equal installment; otherwise leave  blank</t>
  </si>
  <si>
    <t>EXISTING / CURRENT TAXES</t>
  </si>
  <si>
    <t>REASSESSMENT ESTIMATE OR RECENT</t>
  </si>
  <si>
    <t>TAX ID</t>
  </si>
  <si>
    <t>Fair Market Value (FMV)</t>
  </si>
  <si>
    <t>AV % of FMV</t>
  </si>
  <si>
    <t>Assessed Value (AV)</t>
  </si>
  <si>
    <t>Current Annual Tax</t>
  </si>
  <si>
    <t>Tax Rate</t>
  </si>
  <si>
    <t>Special Assessment</t>
  </si>
  <si>
    <t>Total Annual Taxes</t>
  </si>
  <si>
    <t>Per Intallment</t>
  </si>
  <si>
    <t>FMV</t>
  </si>
  <si>
    <t>Assessed Value</t>
  </si>
  <si>
    <t>Annual Taxes</t>
  </si>
  <si>
    <t>Per Installment</t>
  </si>
  <si>
    <t>SUPPLEMENTAL TAX ANALYSIS</t>
  </si>
  <si>
    <t>End of Tax Fiscal Period:</t>
  </si>
  <si>
    <t># days for supplemental tax:</t>
  </si>
  <si>
    <t>Current Assessment</t>
  </si>
  <si>
    <t>New Assessment</t>
  </si>
  <si>
    <t>Increase / (Decrease)</t>
  </si>
  <si>
    <t>Supplemental Tax</t>
  </si>
  <si>
    <t>Insurance Reserve Analysis</t>
  </si>
  <si>
    <t>Guidelines:</t>
  </si>
  <si>
    <t>Enter all Information regardless of whether the Property is covered under a Blanket Policy.  If there is a Blanket Policy in Effect, no escrows are required.</t>
  </si>
  <si>
    <t>Input all Policies and Policy Numbers as identified in ACORE's insurance consultant's report.</t>
  </si>
  <si>
    <t>If Premiums are due withing 30 days of closing, premiums are paid at closing.  This includes premiums due under Blanket Policies.</t>
  </si>
  <si>
    <t>Flood Policies must be paid prior to loan closing (federal law) and the Borrower must sign the Flood Determination Notice prior to closing.  A minimum 10 days' notice is required (to allow time to buy the policy)</t>
  </si>
  <si>
    <t>Is the Loan a Construction Loan and if so, is there an Insurance budget line item? Does the Term Sheet allow Insurane Premiums to be drawn when due and not escrowed monthly? If so, monthly escrow is not needed.</t>
  </si>
  <si>
    <t>Anticipated Increase %:</t>
  </si>
  <si>
    <t>ANTICIPATED PREMIUMS FOR ONGOING ESCROW ANALYSIS</t>
  </si>
  <si>
    <t>Street Address, City, State</t>
  </si>
  <si>
    <t>Policy Type</t>
  </si>
  <si>
    <t>Policy #</t>
  </si>
  <si>
    <t xml:space="preserve">Is the Policy a Blanket Policy? </t>
  </si>
  <si>
    <t>Is a Premium Due within 30 Days of Closing?</t>
  </si>
  <si>
    <t>Insurer</t>
  </si>
  <si>
    <t>Policy Expiration</t>
  </si>
  <si>
    <t>Current Annual Premium</t>
  </si>
  <si>
    <t>Projected Annual Premium</t>
  </si>
  <si>
    <t>TOTALS BEFORE ADJUSTMENTS</t>
  </si>
  <si>
    <t>ADJUSTMENTS (i.e. exclude policies that are on a blanket policy when there is a mix on blanket and non-blanket policies above.  If all policies are on a blanket policy, make no adjustment and input "Yes" in cell B38 below; can also exclude policies prepaid for loan term)</t>
  </si>
  <si>
    <t>TOTAL ANNUAL INSURANCE TO BE RESERVED VIA MONTHLY INSURANCE RESERVE</t>
  </si>
  <si>
    <t>Are monthly insurance escrows waived initially? (Yes/No)</t>
  </si>
  <si>
    <t>Notes / Comments</t>
  </si>
  <si>
    <t>1st Pmt Date</t>
  </si>
  <si>
    <t>Lender requires a minimum remaining balance in the insurance reserve equal to one month's insurance escrow amount after any disbursement</t>
  </si>
  <si>
    <t>THIS BUDGET SHOULD ONLY CONTAIN COSTS THAT ARE PART OF THE CONSTRUCTION CONTRACT; THE TOTAL SHOULD MATCH THE CONTRACT PRICE (Sometimes architectural fees, engineering, surveys etc are not a part of the GC contract and carried in the developer's budget. If that is the case, input in the project budget summary soft costs section. Only input in this worksheet if part of the construction contract).</t>
  </si>
  <si>
    <t>CONTRACTOR'S / GMP BUDGET DETAIL</t>
  </si>
  <si>
    <t>As of Date:</t>
  </si>
  <si>
    <t>Only input data in blue shaded cells.  All other figures are fed from the Cost Report Worksheet and the Settlement Statement Input page.</t>
  </si>
  <si>
    <t>\</t>
  </si>
  <si>
    <t>G</t>
  </si>
  <si>
    <t>Cost Report Code</t>
  </si>
  <si>
    <t>Job Description</t>
  </si>
  <si>
    <t>Billed to Date (Prior to Loan Close)</t>
  </si>
  <si>
    <t>Total Paid (D-E)</t>
  </si>
  <si>
    <t>Remaining Cost to Complete the Project (A - D)</t>
  </si>
  <si>
    <t>Cost Report Codes (Column B) can be modified to match Borrower's Coding on the Cost Report / Construction General Ledger.   Do not modify codes in Column A as those feed the Project Budget Summary.</t>
  </si>
  <si>
    <t>Architectural Fees (contractor's budget)</t>
  </si>
  <si>
    <t>Blue Prints / Documents (contractor's budget)</t>
  </si>
  <si>
    <t>Building &amp; Site Permits (contractor's budget)</t>
  </si>
  <si>
    <t>Equipment Rental</t>
  </si>
  <si>
    <t>Engineering</t>
  </si>
  <si>
    <t>Inspections /  Testing in General Conditions Budget</t>
  </si>
  <si>
    <t>Telecommunications / Mobile</t>
  </si>
  <si>
    <t>Office Equipment / IT / Software / Supplies</t>
  </si>
  <si>
    <t>Personnel</t>
  </si>
  <si>
    <t xml:space="preserve">Note:  the GC contingency is typically part of general conditions, but our template itemizes separately as line item 21000. </t>
  </si>
  <si>
    <t>Quality Control</t>
  </si>
  <si>
    <t xml:space="preserve">Safety Equipment </t>
  </si>
  <si>
    <t>Scheduling</t>
  </si>
  <si>
    <t>Sewer Connection Fees</t>
  </si>
  <si>
    <t>Shipping</t>
  </si>
  <si>
    <t>Site Logistics</t>
  </si>
  <si>
    <t>Site Office</t>
  </si>
  <si>
    <t>Storage Trailers</t>
  </si>
  <si>
    <t>Surveys</t>
  </si>
  <si>
    <t>Temporary Conditions / Enclosures</t>
  </si>
  <si>
    <t>Temporary Toilets</t>
  </si>
  <si>
    <t>Temporary Utilities</t>
  </si>
  <si>
    <t>Travel</t>
  </si>
  <si>
    <t>Water Connection Fees</t>
  </si>
  <si>
    <t>Other - Define</t>
  </si>
  <si>
    <t>Total General Conditions</t>
  </si>
  <si>
    <t>Backfill - Slurry</t>
  </si>
  <si>
    <t>Curbs  / Walks  /Drives / Gutters</t>
  </si>
  <si>
    <t>Demolition</t>
  </si>
  <si>
    <t>Dewatering / Winterization</t>
  </si>
  <si>
    <t>Drilling / Bore / Augered</t>
  </si>
  <si>
    <t>Dust Control (water truck, calcium carb., etc.)</t>
  </si>
  <si>
    <t>Erosion Control / Storm Water Prevention Program (SWPPS)</t>
  </si>
  <si>
    <t>Fences/Gates</t>
  </si>
  <si>
    <t>Fuel Distribution / Natural Gas</t>
  </si>
  <si>
    <t>General Site Labor</t>
  </si>
  <si>
    <t>Grading  / Excavation Support Systems</t>
  </si>
  <si>
    <t>Grading, Rock &amp; Asphalt Paving</t>
  </si>
  <si>
    <t>Hardscapes / Retaining Walls</t>
  </si>
  <si>
    <t>Hauling / Spoils Offhaul</t>
  </si>
  <si>
    <t>Irrigation</t>
  </si>
  <si>
    <t>Joint Trench Utilities</t>
  </si>
  <si>
    <t>Landscape</t>
  </si>
  <si>
    <t>Paving</t>
  </si>
  <si>
    <t>Piles / Caissons</t>
  </si>
  <si>
    <t>Playground Equipment</t>
  </si>
  <si>
    <t>Ponds &amp; Water Features</t>
  </si>
  <si>
    <t>Sanitary</t>
  </si>
  <si>
    <t>Shoring / Lagging</t>
  </si>
  <si>
    <t>Site &amp; Traffic Signs</t>
  </si>
  <si>
    <t>Site Domestic Water</t>
  </si>
  <si>
    <t>Site Electrical</t>
  </si>
  <si>
    <t>Site Fire Water</t>
  </si>
  <si>
    <t>Site Furniture</t>
  </si>
  <si>
    <t>Site Low Voltage</t>
  </si>
  <si>
    <t>Site Paving</t>
  </si>
  <si>
    <t>Soil Stabilization / Retention / Nail Walls</t>
  </si>
  <si>
    <t>Soils Testing</t>
  </si>
  <si>
    <t>Storm Sewer / Storm Drain</t>
  </si>
  <si>
    <t>Stripes / Bumpers / Seal</t>
  </si>
  <si>
    <t>Survey &amp; Engineering</t>
  </si>
  <si>
    <t>Termite Control</t>
  </si>
  <si>
    <t>Traffic Signals / Road Crossings</t>
  </si>
  <si>
    <t>Water</t>
  </si>
  <si>
    <t>Total Site Work</t>
  </si>
  <si>
    <t>Cast-in-Place / Foundations/Slabs</t>
  </si>
  <si>
    <t>Concrete Pavers</t>
  </si>
  <si>
    <t>Concrete Sealers / Epoxy Cost</t>
  </si>
  <si>
    <t>Crane &amp; Operator</t>
  </si>
  <si>
    <t>Glass Fiber Reinf. Conc. (GFCR)</t>
  </si>
  <si>
    <t>Light Weight Concretre</t>
  </si>
  <si>
    <t>Pre-Cast / Tilt-up</t>
  </si>
  <si>
    <t>Rebar</t>
  </si>
  <si>
    <t>Sandblast</t>
  </si>
  <si>
    <t>Total Concrete</t>
  </si>
  <si>
    <t>Brick Masonry</t>
  </si>
  <si>
    <t>Concrete Masonry Unit (CMU)</t>
  </si>
  <si>
    <t>Glass Block</t>
  </si>
  <si>
    <t>Planters - CMU</t>
  </si>
  <si>
    <t>Stone</t>
  </si>
  <si>
    <t>Veneer</t>
  </si>
  <si>
    <t>Total Masonry</t>
  </si>
  <si>
    <t>Aluminum Rails</t>
  </si>
  <si>
    <t>Canopies, Fins</t>
  </si>
  <si>
    <t>Fireplaces</t>
  </si>
  <si>
    <t>Metal Decking / Catwalks</t>
  </si>
  <si>
    <t>Metal Joists</t>
  </si>
  <si>
    <t>Misc. Metals / Rails / Ladders / Grills</t>
  </si>
  <si>
    <t>Ornamental Metals</t>
  </si>
  <si>
    <t>Stairs</t>
  </si>
  <si>
    <t>Structural Steel</t>
  </si>
  <si>
    <t>Trellis (Metal)</t>
  </si>
  <si>
    <t>Other - Garage Screening (BOK Style)</t>
  </si>
  <si>
    <t>Total Metals</t>
  </si>
  <si>
    <t>Wood and Plastic</t>
  </si>
  <si>
    <t>Balcony, Decks</t>
  </si>
  <si>
    <t>Cabinets</t>
  </si>
  <si>
    <t>Countertops</t>
  </si>
  <si>
    <t>Finish Carpentry</t>
  </si>
  <si>
    <t>Framing</t>
  </si>
  <si>
    <t>FRP / Marlite / Plastic</t>
  </si>
  <si>
    <t>Glu-Lam / Panelized Roof</t>
  </si>
  <si>
    <t>Millwork/Finish Lumber/Trim</t>
  </si>
  <si>
    <t>Misc. Carpentry</t>
  </si>
  <si>
    <t>Misc. Labor</t>
  </si>
  <si>
    <t>Pinnable Wall / Marker Board</t>
  </si>
  <si>
    <t>Plastic Laminates</t>
  </si>
  <si>
    <t>Rough Carpentry</t>
  </si>
  <si>
    <t>Rough Carpentry - Protection</t>
  </si>
  <si>
    <t>Rough Hardware</t>
  </si>
  <si>
    <t>Rough Lumber / Plywood</t>
  </si>
  <si>
    <t>Other:  Define</t>
  </si>
  <si>
    <t>Total Wood &amp; Plastic</t>
  </si>
  <si>
    <t>Thermal and Moisture Protection</t>
  </si>
  <si>
    <t>ACM Metal Panels / Rooftop Metal Panels</t>
  </si>
  <si>
    <t>Building Envelope</t>
  </si>
  <si>
    <t>Caulking / Joint Sealants</t>
  </si>
  <si>
    <t>Coated Foam Roofing</t>
  </si>
  <si>
    <t>Deck Coatings / Traffic Coatings</t>
  </si>
  <si>
    <t>Expansion Joints</t>
  </si>
  <si>
    <t>Fireproofing</t>
  </si>
  <si>
    <t>Gutters &amp; Downspouts</t>
  </si>
  <si>
    <t>Insulation</t>
  </si>
  <si>
    <t>Metal Louvers</t>
  </si>
  <si>
    <t>Preformed Cladding / Siding</t>
  </si>
  <si>
    <t>Roof / Deck Insulation</t>
  </si>
  <si>
    <t>Roof Access (Crb/Vnts/Hatch)</t>
  </si>
  <si>
    <t>Roofing</t>
  </si>
  <si>
    <t>Sheet Metal /  Flashing / Siding</t>
  </si>
  <si>
    <t>Shower Pans</t>
  </si>
  <si>
    <t>Skylights</t>
  </si>
  <si>
    <t>Waterproofing</t>
  </si>
  <si>
    <t>Total Thermal &amp; Moisture</t>
  </si>
  <si>
    <t>Doors and Windows</t>
  </si>
  <si>
    <t>Accordian Doors / Folding Partitions</t>
  </si>
  <si>
    <t>Common Area Doors, Frames &amp; Hardware</t>
  </si>
  <si>
    <t>Curtain Wall</t>
  </si>
  <si>
    <t>Doors &amp; Frames</t>
  </si>
  <si>
    <t>Exterior Doors</t>
  </si>
  <si>
    <t>Finish Hardware</t>
  </si>
  <si>
    <t>Glass Railings</t>
  </si>
  <si>
    <t>Installation</t>
  </si>
  <si>
    <t>Interior Doors / Unit Doors</t>
  </si>
  <si>
    <t>Metal/Aluminum Doors &amp; Frames</t>
  </si>
  <si>
    <t>Mirrors</t>
  </si>
  <si>
    <t>Rollup / Coiling Doors</t>
  </si>
  <si>
    <t>Self Storage Doors</t>
  </si>
  <si>
    <t>Skin / Window Wall Systems</t>
  </si>
  <si>
    <t>Specialty Windows / Glass</t>
  </si>
  <si>
    <t>Specialty Doors</t>
  </si>
  <si>
    <t>Storefront / Glass Windows &amp; Doors</t>
  </si>
  <si>
    <t>Vinyl Windows</t>
  </si>
  <si>
    <t>Wood Doors &amp; Frames</t>
  </si>
  <si>
    <t>Total Doors &amp; Windows</t>
  </si>
  <si>
    <t>Acoustical Ceilings</t>
  </si>
  <si>
    <t>Acoustical Insulation Barrier</t>
  </si>
  <si>
    <t>Acoustical Wall Treatment</t>
  </si>
  <si>
    <t>Carpet</t>
  </si>
  <si>
    <t>Drywall / Framing</t>
  </si>
  <si>
    <t xml:space="preserve">Elastomeric </t>
  </si>
  <si>
    <t>Lath &amp; Plaster</t>
  </si>
  <si>
    <t xml:space="preserve">Lobby Finishes </t>
  </si>
  <si>
    <t>Marble / Granite / Stone</t>
  </si>
  <si>
    <t>Painting / Staining</t>
  </si>
  <si>
    <t>Resilient Flooring / Base / Gypcrete (concrete flooring)</t>
  </si>
  <si>
    <t>Soundboard</t>
  </si>
  <si>
    <t>Specialty Flooring</t>
  </si>
  <si>
    <t>Terrazo</t>
  </si>
  <si>
    <t>Tile</t>
  </si>
  <si>
    <t>Vinyl Flooring / Plank / VT</t>
  </si>
  <si>
    <t>Wallcovering</t>
  </si>
  <si>
    <t>Wood Flooring</t>
  </si>
  <si>
    <t>Total Finishes</t>
  </si>
  <si>
    <t>Access Floor</t>
  </si>
  <si>
    <t>Appliances</t>
  </si>
  <si>
    <t>Cabinets, Millwork &amp; Countertops</t>
  </si>
  <si>
    <t>Fire Alarms / Security Alarms</t>
  </si>
  <si>
    <t>Fire Extinguishers / Fire Protection Specialties</t>
  </si>
  <si>
    <t>Flagpoles</t>
  </si>
  <si>
    <t>FRP Panels</t>
  </si>
  <si>
    <t>Lockers / Mailboxes</t>
  </si>
  <si>
    <t>Manufactured Exterior Specialties</t>
  </si>
  <si>
    <t>Operable Partitions</t>
  </si>
  <si>
    <t>Partitions (Demount / Wire Mesh)</t>
  </si>
  <si>
    <t>Signage (Code Only)</t>
  </si>
  <si>
    <t>Signage / Directories</t>
  </si>
  <si>
    <t>Toilet /  Bath / Accessories</t>
  </si>
  <si>
    <t>Total Specialties</t>
  </si>
  <si>
    <t xml:space="preserve"> Equipment</t>
  </si>
  <si>
    <t>Athletic</t>
  </si>
  <si>
    <t>Audio  Visual</t>
  </si>
  <si>
    <t>Bike Racks</t>
  </si>
  <si>
    <t>Fans</t>
  </si>
  <si>
    <t>Kitchen</t>
  </si>
  <si>
    <t>Parking &amp; Loading Dock</t>
  </si>
  <si>
    <t>Pool / Spa / Sauna</t>
  </si>
  <si>
    <t>Storage Racks</t>
  </si>
  <si>
    <t>Theatre &amp; Stage</t>
  </si>
  <si>
    <t>Window Washing Equipment</t>
  </si>
  <si>
    <t>Trash Chutes &amp; Compactor</t>
  </si>
  <si>
    <t>Other - Fire Fighter Air / Maint Equipment</t>
  </si>
  <si>
    <t>Other - Common Area (non FF&amp;E) Equipment</t>
  </si>
  <si>
    <t>Total Equipment</t>
  </si>
  <si>
    <t>Canvas Awning</t>
  </si>
  <si>
    <t>Furniture</t>
  </si>
  <si>
    <t>Furniture Refinishing / Pews</t>
  </si>
  <si>
    <t>Temporary Offices Furnishings</t>
  </si>
  <si>
    <t>Window Treatment</t>
  </si>
  <si>
    <t>Total Furnishings</t>
  </si>
  <si>
    <t>Erection</t>
  </si>
  <si>
    <t>Erection-Component</t>
  </si>
  <si>
    <t>Freight</t>
  </si>
  <si>
    <t>Gradstands &amp; Bleachers</t>
  </si>
  <si>
    <t>Hangar Bird Netting</t>
  </si>
  <si>
    <t>Hangar Doors</t>
  </si>
  <si>
    <t>Pre-Engineered Structures</t>
  </si>
  <si>
    <t>Sauna</t>
  </si>
  <si>
    <t>Solar Energy Panels</t>
  </si>
  <si>
    <t>Total Special Construction</t>
  </si>
  <si>
    <t>Elevators</t>
  </si>
  <si>
    <t>Hoists &amp; Cranes</t>
  </si>
  <si>
    <t>Lifts</t>
  </si>
  <si>
    <t>Pneumatic Tube System</t>
  </si>
  <si>
    <t>Smoke Curtains</t>
  </si>
  <si>
    <t>Total Conveying Systems</t>
  </si>
  <si>
    <t>Fire Protection / Fire Sprinklers</t>
  </si>
  <si>
    <t>HVAC</t>
  </si>
  <si>
    <t>Plumbing</t>
  </si>
  <si>
    <t>Refrigeration</t>
  </si>
  <si>
    <t>Total Mechanical &amp; Plumbing</t>
  </si>
  <si>
    <t>Communications / Fiberoptic Networks</t>
  </si>
  <si>
    <t>Security Systems /  Access</t>
  </si>
  <si>
    <t>Total Electrical</t>
  </si>
  <si>
    <t>Cleaning /  Dumpsters</t>
  </si>
  <si>
    <t>Dual Man Hoist &amp; Operators</t>
  </si>
  <si>
    <t>Fire-Life Testing &amp; Safety Inspections</t>
  </si>
  <si>
    <t>LEED Consultant, Testing &amp; Commissioning Agent</t>
  </si>
  <si>
    <t>OSHA Compliance</t>
  </si>
  <si>
    <t>Punch Work</t>
  </si>
  <si>
    <t>Soil Improvement Analytical Testing</t>
  </si>
  <si>
    <t>Temporary Stairs, Lifts</t>
  </si>
  <si>
    <t>Other - Site Logistics</t>
  </si>
  <si>
    <t>Total Contractor Services</t>
  </si>
  <si>
    <t>Plan Change Upgrades</t>
  </si>
  <si>
    <t>Total Upgrades / Other</t>
  </si>
  <si>
    <t>SUB-TOTAL TRADES (HARD COSTS)</t>
  </si>
  <si>
    <t>Contractor Insurance &amp; Bonding</t>
  </si>
  <si>
    <t>GC Bonds &amp; Warranties</t>
  </si>
  <si>
    <t>GC Liability Policy</t>
  </si>
  <si>
    <t>OCIP / Course of Const./Builder's Risk</t>
  </si>
  <si>
    <t>Pollution</t>
  </si>
  <si>
    <t>Sub-Bonding / Replacement</t>
  </si>
  <si>
    <t>Sub-Guard Insurance</t>
  </si>
  <si>
    <t>Other - Misc. Insurance</t>
  </si>
  <si>
    <t>Other - define</t>
  </si>
  <si>
    <t>Total Contractor Insurance &amp; Bonding</t>
  </si>
  <si>
    <t>GC Fee</t>
  </si>
  <si>
    <t>Pre-Construction Fees</t>
  </si>
  <si>
    <t>Total General Contractor Fees</t>
  </si>
  <si>
    <t>Contractor's Contingency</t>
  </si>
  <si>
    <t>Total GC Contingency</t>
  </si>
  <si>
    <t>TOTAL CONTRACT PRICE</t>
  </si>
  <si>
    <r>
      <t xml:space="preserve">(1) Copy and paste Sponsor's cost report general ledger to this worksheet, ensuring that data is copied to the appropriate </t>
    </r>
    <r>
      <rPr>
        <u/>
        <sz val="12"/>
        <color rgb="FF0070C0"/>
        <rFont val="Calibri"/>
        <family val="2"/>
        <scheme val="minor"/>
      </rPr>
      <t>blue shade</t>
    </r>
    <r>
      <rPr>
        <sz val="12"/>
        <color rgb="FF0070C0"/>
        <rFont val="Calibri"/>
        <family val="2"/>
        <scheme val="minor"/>
      </rPr>
      <t xml:space="preserve">d columns only.  (2) Amount Billed and Amount Paid should be equal except when retention was taken, at which time the amount paid equals amount billed minus retention.   (3)  Input appropriate budget codes in column A that correspond to the Project Budget in this Workbook.   For property acquired prior to loan close, if the cost report does not reflect the acquisition price input the acquistion cost manually below and code to that line item.  For property being acquired at loan close, the acquisition price paid will feed into the project budget summary from the loan settlement statement. ; (4) The cost report may include line items and amounts that are to be advanced at loan closing.  If those costs are accounted for and coded in the settlement statement, input "close" as the draw # in column I so that the line item amount is not double-counted.  The "close" excludes it from the budget amounts paid to date. </t>
    </r>
  </si>
  <si>
    <t>IF ADVANCED AT LOAN CLOSE INPUT "CLOSE" as the draw number. NO SPACES</t>
  </si>
  <si>
    <t>Input "X" if closing draw line item is already accounted for and coded  in the settlement statement</t>
  </si>
  <si>
    <t>Only  Code "CLOSE" Draw line items for the S&amp;U Recon, and only if not accounted for elsewhere in the Settlement Statement.  If land was acquired prior to close  do not code the land acquisition for the S&amp;U.</t>
  </si>
  <si>
    <t>Budget Code</t>
  </si>
  <si>
    <t>Budget Line Item Description (AUTO FILL)</t>
  </si>
  <si>
    <t>Invoice Date</t>
  </si>
  <si>
    <t>Vendor/Contractor</t>
  </si>
  <si>
    <t>Reference / Invoice #</t>
  </si>
  <si>
    <t>Amount Billed</t>
  </si>
  <si>
    <t>Retention</t>
  </si>
  <si>
    <t>Amount Paid</t>
  </si>
  <si>
    <t>Draw #</t>
  </si>
  <si>
    <t>X = Exclude from Advance Totals</t>
  </si>
  <si>
    <t>HC or SC</t>
  </si>
  <si>
    <t>S&amp;U Code</t>
  </si>
  <si>
    <t>TOTALS EXCLUDING CLOSING DRAW</t>
  </si>
  <si>
    <t>Total Amounts Paid Pre-Close</t>
  </si>
  <si>
    <t>Acquisition</t>
  </si>
  <si>
    <t>Hard Costs</t>
  </si>
  <si>
    <t>Soft Costs</t>
  </si>
  <si>
    <t>Developer Fees</t>
  </si>
  <si>
    <t>Closing Draw</t>
  </si>
  <si>
    <t>Total Costs to Date Incl Close</t>
  </si>
  <si>
    <t>FLOATER</t>
  </si>
  <si>
    <t>&gt;&gt;&gt; FIXED RATE STARTS COLUMN J</t>
  </si>
  <si>
    <t>FIXED RATE</t>
  </si>
  <si>
    <t>Balance to Amortize</t>
  </si>
  <si>
    <t>ALLOCATED PRINCIPAL PRO-RATA BETWEEN MORTGAGE AND MEZZ</t>
  </si>
  <si>
    <t>Amortization Term in Months</t>
  </si>
  <si>
    <t>FV:</t>
  </si>
  <si>
    <t>Assumed Interest Rate</t>
  </si>
  <si>
    <t>Floor LIBOR + Spread</t>
  </si>
  <si>
    <t>Blended Spread:</t>
  </si>
  <si>
    <t>Total Amort:</t>
  </si>
  <si>
    <t>Calculated Hypothetical Level Monthly P&amp;I Payment</t>
  </si>
  <si>
    <t>US Treasury Index:</t>
  </si>
  <si>
    <t>Monthly  Amort:</t>
  </si>
  <si>
    <t># of Months that amortize in fully extended loan</t>
  </si>
  <si>
    <t>Blended Interest Rate Coupon Floor:</t>
  </si>
  <si>
    <t>Interest Rate (greater of int rate coupon floor &amp; spread + index)</t>
  </si>
  <si>
    <t>Loan Amount</t>
  </si>
  <si>
    <t>Amort Allocation*</t>
  </si>
  <si>
    <t>Amortization Term (months):</t>
  </si>
  <si>
    <t>Loan Term (months):</t>
  </si>
  <si>
    <t>Monthly Amort Allocation</t>
  </si>
  <si>
    <t>Rounded to full dollar for Loan Docs</t>
  </si>
  <si>
    <t>I.O. Period (months):</t>
  </si>
  <si>
    <t>Cumulative Amortization</t>
  </si>
  <si>
    <t>Mortgage Constant:</t>
  </si>
  <si>
    <t>Average Monthly Amortization</t>
  </si>
  <si>
    <t>Estimated P&amp;I Pmt (blended)</t>
  </si>
  <si>
    <t>* rounded to whole dollars</t>
  </si>
  <si>
    <t>Amortizing Period</t>
  </si>
  <si>
    <t>EOP Balance</t>
  </si>
  <si>
    <t>Principal</t>
  </si>
  <si>
    <t>AMORT CALCULATOR FOR VARIABLE  AMORT SCHEDULE WITH ESCALATING LOAN AMOUNT</t>
  </si>
  <si>
    <t>Inputs in blue highlight are an example -- override as necessary</t>
  </si>
  <si>
    <t>Loan Advance Amount</t>
  </si>
  <si>
    <t>Amort Term (Mos)</t>
  </si>
  <si>
    <t>Rate</t>
  </si>
  <si>
    <t># of Months in Period</t>
  </si>
  <si>
    <t># of IO Months in Period</t>
  </si>
  <si>
    <t>Constant</t>
  </si>
  <si>
    <t>FV</t>
  </si>
  <si>
    <t>Total Amort</t>
  </si>
  <si>
    <t>Cummul Monthly Amort*</t>
  </si>
  <si>
    <t>Period 1</t>
  </si>
  <si>
    <t>Period 2</t>
  </si>
  <si>
    <t>Period 3</t>
  </si>
  <si>
    <t>Period 4</t>
  </si>
  <si>
    <t>Amort Payment Allocation</t>
  </si>
  <si>
    <t>Advance Rate</t>
  </si>
  <si>
    <t>Amort Mo Payment Period 1</t>
  </si>
  <si>
    <t>Amort Mo Payment Period 2</t>
  </si>
  <si>
    <t>Amort Mo Payment Period 3</t>
  </si>
  <si>
    <t>Amort Mo PaymentPeriod 4</t>
  </si>
  <si>
    <t>*amort payments rounded to whole dollars</t>
  </si>
  <si>
    <t>Property Location</t>
  </si>
  <si>
    <t>Fixed Rate Min. Spread (Blended - including mezz)</t>
  </si>
  <si>
    <t>Fixed Rate Index (Median of Bid &amp; Ask rounded up to 1/1000th)</t>
  </si>
  <si>
    <t xml:space="preserve">Blended Monthly Payment </t>
  </si>
  <si>
    <t>Min Rate Blended</t>
  </si>
  <si>
    <t xml:space="preserve">  Greater of (i) rate floor and (ii) UST + Spread</t>
  </si>
  <si>
    <t>Mezz Interest Rate Coupon (Fixed Rate)</t>
  </si>
  <si>
    <t>Loan Term (Months)</t>
  </si>
  <si>
    <t>Amort Term (Months)</t>
  </si>
  <si>
    <t>IO Period Start Month</t>
  </si>
  <si>
    <t>IO Period End Month</t>
  </si>
  <si>
    <t>Is IO Period Conditional? (Yes/No)</t>
  </si>
  <si>
    <t>DEBT STACK</t>
  </si>
  <si>
    <t>Floor</t>
  </si>
  <si>
    <t>Note A-1</t>
  </si>
  <si>
    <t>Payment Day:</t>
  </si>
  <si>
    <t>End of interest accrual period at closing</t>
  </si>
  <si>
    <t>First Payment Date:</t>
  </si>
  <si>
    <t>EXHIBIT D</t>
  </si>
  <si>
    <t>DO NOT INCLUDE THESE COLUMNS IN THE LOAN AGREEMENT EXHIBIT</t>
  </si>
  <si>
    <t xml:space="preserve">LOAN PAYMENTS SCHEDULE  </t>
  </si>
  <si>
    <t>Property Location:</t>
  </si>
  <si>
    <t>Loan Funding Date:</t>
  </si>
  <si>
    <t>Loan Type:</t>
  </si>
  <si>
    <t>First Mortgage</t>
  </si>
  <si>
    <t>Mezzanine Loan</t>
  </si>
  <si>
    <t>Additional (Future) Advance:</t>
  </si>
  <si>
    <t>Interest Rate:</t>
  </si>
  <si>
    <t>Loan Term (Months):</t>
  </si>
  <si>
    <t>Interest Only Period (Number of Months):</t>
  </si>
  <si>
    <t>Monthly Interest Only Period Commences:</t>
  </si>
  <si>
    <t>Amortization Term (Months):</t>
  </si>
  <si>
    <t>- No Additional (future) Advances are reflected in this payment schedule.  If/when Additional Advances are made, the payment schedule will change.</t>
  </si>
  <si>
    <t>- This schedule assumes all payments are made on time.</t>
  </si>
  <si>
    <t xml:space="preserve">- This schedule reflects  interest and principal payments only and no other monthly reserves or additional payments. </t>
  </si>
  <si>
    <t>NOTE A-1</t>
  </si>
  <si>
    <t>MEZZ-1 NOTE</t>
  </si>
  <si>
    <t>TOTAL LOAN PAYMENTS</t>
  </si>
  <si>
    <t>Payment Month</t>
  </si>
  <si>
    <t># Days Elapsed</t>
  </si>
  <si>
    <t>Payment Amount</t>
  </si>
  <si>
    <t>UPB</t>
  </si>
  <si>
    <t>A Note</t>
  </si>
  <si>
    <t>closing</t>
  </si>
  <si>
    <t>accrued interest &amp; unpaid principal loan balance</t>
  </si>
  <si>
    <t>accrued interest  &amp; unpaid principal loan balance</t>
  </si>
  <si>
    <t>HIDE THESE ROWS</t>
  </si>
  <si>
    <t>-- calc check--</t>
  </si>
  <si>
    <t>TOTAL PRINCIPAL PAID (Calc Check)</t>
  </si>
  <si>
    <t>Note Amount</t>
  </si>
  <si>
    <t>**OUT OF PRINT RANGE**</t>
  </si>
  <si>
    <t>On Single Note</t>
  </si>
  <si>
    <t>Total Interest</t>
  </si>
  <si>
    <t>Balloon</t>
  </si>
  <si>
    <t>LOAN PAYMENT SCHEDULE</t>
  </si>
  <si>
    <t>THIS IS NOT TO BE USED AS AN EXHIBIT</t>
  </si>
  <si>
    <t>THIS IS TO DEMONSTRATE THAT THE SINGLE NOTE AMORT GENERATES THE SAME TOTAL INT PAID AND BALLOON BALANCE AS THE MORTGAGE-MEZZ NOTES WITH PRO-RATA PRINCIPAL REDUCTIONS</t>
  </si>
  <si>
    <t>Current UST</t>
  </si>
  <si>
    <t>Blended Payment</t>
  </si>
  <si>
    <t>Blended Rate Floor</t>
  </si>
  <si>
    <t>A-NOTE</t>
  </si>
  <si>
    <t>Payment Date</t>
  </si>
  <si>
    <t># days elapsed</t>
  </si>
  <si>
    <t>Total Payment</t>
  </si>
  <si>
    <t>Total Int</t>
  </si>
  <si>
    <t>ACORE Capital Financing Source and Lender Definitions</t>
  </si>
  <si>
    <t>ICM Memo Example</t>
  </si>
  <si>
    <t>A Note – Financing Source</t>
  </si>
  <si>
    <t>Current Lender</t>
  </si>
  <si>
    <t xml:space="preserve">Delphi Portfolio </t>
  </si>
  <si>
    <t>Delphi Balance Sheet</t>
  </si>
  <si>
    <t>Delphi has agreed to take the whole loan</t>
  </si>
  <si>
    <t>Delphi Warehouse</t>
  </si>
  <si>
    <t>If Delphi does not want the A Note</t>
  </si>
  <si>
    <t xml:space="preserve">Delphi ACORE </t>
  </si>
  <si>
    <r>
      <rPr>
        <b/>
        <sz val="11"/>
        <rFont val="Calibri"/>
        <family val="2"/>
        <scheme val="minor"/>
      </rPr>
      <t>ACORE SUB-DEBT:</t>
    </r>
    <r>
      <rPr>
        <sz val="11"/>
        <rFont val="Calibri"/>
        <family val="2"/>
        <scheme val="minor"/>
      </rPr>
      <t xml:space="preserve"> This represents ACORE’s sub-debt portion.  Occassionally, notes will be cut with A-2 or A-3 subordinate position that ACORE will retain.  Hapuna is an example of this instance. </t>
    </r>
  </si>
  <si>
    <t>Note Sale/Circles</t>
  </si>
  <si>
    <t>3rd Party Lending Organization Targeted to Purchase Note</t>
  </si>
  <si>
    <t xml:space="preserve">When another lender has expressed interest in the A Note, if this field is populated, the name of the 3rd Party indicated in the Current Lender field will appear on the pipeline report.  </t>
  </si>
  <si>
    <r>
      <rPr>
        <b/>
        <sz val="11"/>
        <color theme="1"/>
        <rFont val="Times New Roman"/>
        <family val="1"/>
      </rPr>
      <t>Co-Funded</t>
    </r>
    <r>
      <rPr>
        <sz val="11"/>
        <color theme="1"/>
        <rFont val="Times New Roman"/>
        <family val="1"/>
      </rPr>
      <t xml:space="preserve"> </t>
    </r>
    <r>
      <rPr>
        <b/>
        <sz val="11"/>
        <color theme="1"/>
        <rFont val="Times New Roman"/>
        <family val="1"/>
      </rPr>
      <t/>
    </r>
  </si>
  <si>
    <t>3rd Party Co-Lending Organization</t>
  </si>
  <si>
    <t xml:space="preserve">When A Note is or will be Co-Funded with another lender.  </t>
  </si>
  <si>
    <r>
      <rPr>
        <b/>
        <sz val="11"/>
        <color theme="1"/>
        <rFont val="Times New Roman"/>
        <family val="1"/>
      </rPr>
      <t>3</t>
    </r>
    <r>
      <rPr>
        <b/>
        <vertAlign val="superscript"/>
        <sz val="11"/>
        <color theme="1"/>
        <rFont val="Times New Roman"/>
        <family val="1"/>
      </rPr>
      <t>rd</t>
    </r>
    <r>
      <rPr>
        <b/>
        <sz val="11"/>
        <color theme="1"/>
        <rFont val="Times New Roman"/>
        <family val="1"/>
      </rPr>
      <t xml:space="preserve"> Party Owned</t>
    </r>
  </si>
  <si>
    <t>3rd Party the Owns the Note</t>
  </si>
  <si>
    <t xml:space="preserve">This is used in cases where the 3rd party owns the note.  </t>
  </si>
  <si>
    <t xml:space="preserve">Set-Up in Backshop - Backshop will typically be set-up to mimic the legal structure of the notes. </t>
  </si>
  <si>
    <t xml:space="preserve">AFLAC's Japan division for A Notes </t>
  </si>
  <si>
    <t>AFLAC's US division for A Notes</t>
  </si>
  <si>
    <t>ACORE Credit IV Facility A Notes</t>
  </si>
  <si>
    <t>B Note/Mezz/Preferred Equity - Financing Source</t>
  </si>
  <si>
    <t>Delphi ACORE (Lender: Delphi ACORE)</t>
  </si>
  <si>
    <t xml:space="preserve">This represents ACORE’s sub-debt portion.  </t>
  </si>
  <si>
    <t>This is used in cases where the 3rd party owns the note that is purchased.</t>
  </si>
  <si>
    <r>
      <rPr>
        <b/>
        <sz val="11"/>
        <color theme="1"/>
        <rFont val="Times New Roman"/>
        <family val="1"/>
      </rPr>
      <t>To Be Co-Funded</t>
    </r>
    <r>
      <rPr>
        <sz val="11"/>
        <color theme="1"/>
        <rFont val="Times New Roman"/>
        <family val="1"/>
      </rPr>
      <t xml:space="preserve"> </t>
    </r>
    <r>
      <rPr>
        <b/>
        <sz val="11"/>
        <color theme="1"/>
        <rFont val="Times New Roman"/>
        <family val="1"/>
      </rPr>
      <t/>
    </r>
  </si>
  <si>
    <t xml:space="preserve">When B Note is or will be Co-Funded with another lender.  </t>
  </si>
  <si>
    <t xml:space="preserve">AFLAC's Japan division - For Mezz  </t>
  </si>
  <si>
    <t>AFLAC's US division for Mezz</t>
  </si>
  <si>
    <t xml:space="preserve">ACORE Credit IV Facility B, C Notes, Mezz and Pref Equity. </t>
  </si>
  <si>
    <t>Other  Fund IV Lender Define Drop Lists Cell AW22</t>
  </si>
  <si>
    <t xml:space="preserve">    By:   Define in Drop Lists Cell AX22</t>
  </si>
  <si>
    <t xml:space="preserve">        By:  Define in Drop Lists Cell AY122</t>
  </si>
  <si>
    <t xml:space="preserve">        By:  Define in Drop Lists Cell AZ22</t>
  </si>
  <si>
    <t>Other  Fund IV Lender Define Drop Lists Cell AW23</t>
  </si>
  <si>
    <t xml:space="preserve">    By:   Define in Drop Lists Cell AX23</t>
  </si>
  <si>
    <t xml:space="preserve">        By:  Define in Drop Lists Cell AY123</t>
  </si>
  <si>
    <t xml:space="preserve">        By:  Define in Drop Lists Cell AZ23</t>
  </si>
  <si>
    <t>AHIP SILO 1 NON-REIT FUNDING, LLC, a Delaware limited liability company</t>
  </si>
  <si>
    <t>By: AHIP SILO 1 NON-REIT HOLDCO, LLC, a Delaware limited liability company, its sole member</t>
  </si>
  <si>
    <t>Other title define drop lists cell BD21</t>
  </si>
  <si>
    <t>Other Signer- Define drop lists cell BC21</t>
  </si>
  <si>
    <t xml:space="preserve">        By:  Define in Drop Lists Cell BA22</t>
  </si>
  <si>
    <t xml:space="preserve">        By:  Define in Drop Lists Cell BA23</t>
  </si>
  <si>
    <t>Other title define drop lists cell BD40</t>
  </si>
  <si>
    <t>Other Signer- Define drop lists cell BC40</t>
  </si>
  <si>
    <t>Other A note Define Drop Lists Cell BF19</t>
  </si>
  <si>
    <t>Other A note Define Drop Lists Cell BF20</t>
  </si>
  <si>
    <t>Other A note Define Drop Lists Cell BF21</t>
  </si>
  <si>
    <t>Other A note Define Drop Lists Cell BF22</t>
  </si>
  <si>
    <t>Other A note Define Drop Lists Cell BF23</t>
  </si>
  <si>
    <t>Other A note Define Drop Lists Cell BF24</t>
  </si>
  <si>
    <t>Other A note Define Drop Lists Cell BF25</t>
  </si>
  <si>
    <t>Other A note Define Drop Lists Cell BF26</t>
  </si>
  <si>
    <t>Other A note Define Drop Lists Cell BF27</t>
  </si>
  <si>
    <t>Other A note Define Drop Lists Cell BF28</t>
  </si>
  <si>
    <t>Other A note Define Drop Lists Cell BF29</t>
  </si>
  <si>
    <t>Other A note Define Drop Lists Cell BF30</t>
  </si>
  <si>
    <t>Other A note Define Drop Lists Cell BF31</t>
  </si>
  <si>
    <t>Other A note Define Drop Lists Cell BF32</t>
  </si>
  <si>
    <t>Other A note Define Drop Lists Cell BF33</t>
  </si>
  <si>
    <t>Other A note Define Drop Lists Cell BF34</t>
  </si>
  <si>
    <t>Other A note Define Drop Lists Cell BF35</t>
  </si>
  <si>
    <t>Other A note Define Drop Lists Cell BF36</t>
  </si>
  <si>
    <t>Other A note Define Drop Lists Cell BF37</t>
  </si>
  <si>
    <t>Other A note Define Drop Lists Cell BF38</t>
  </si>
  <si>
    <t>Other A note Define Drop Lists Cell BF39</t>
  </si>
  <si>
    <t>Other A note Define Drop Lists Cell BF40</t>
  </si>
  <si>
    <t>Other A note Define Drop Lists Cell BF41</t>
  </si>
  <si>
    <t>Other A note Define Drop Lists Cell BF42</t>
  </si>
  <si>
    <t>Other B or Subordinate Mortgage Note Define Drop Lists Cell BF43</t>
  </si>
  <si>
    <t>Other B or Subordinate Mortgage Note Define Drop Lists Cell BF44</t>
  </si>
  <si>
    <t>OtherAcquisition A Note Define Drop Lists Cell BF92</t>
  </si>
  <si>
    <t>OtherAcquisition A Note Define Drop Lists Cell BF93</t>
  </si>
  <si>
    <t>OtherAcquisition A Note Define Drop Lists Cell BF94</t>
  </si>
  <si>
    <t>OtherAcquisition A Note Define Drop Lists Cell BF95</t>
  </si>
  <si>
    <t>OtherAcquisition A Note Define Drop Lists Cell BF96</t>
  </si>
  <si>
    <t>OtherAcquisition A Note Define Drop Lists Cell BF97</t>
  </si>
  <si>
    <t>Other IO Strip Note for A Note - Define in Drop Lists Cell BF109</t>
  </si>
  <si>
    <t>Other IO Strip Note for A Note - Define in Drop Lists Cell BF110</t>
  </si>
  <si>
    <t>Other IO Strip Note for A Note - Define in Drop Lists Cell BF111</t>
  </si>
  <si>
    <t>Other IO Strip Note for A Note - Define in Drop Lists Cell BF112</t>
  </si>
  <si>
    <t>Other Mezz-Define in Drop Lists Cell BF122</t>
  </si>
  <si>
    <t>Other Mezz-Define in Drop Lists Cell BF123</t>
  </si>
  <si>
    <t>Other Mezz-Define in Drop Lists Cell BF124</t>
  </si>
  <si>
    <t>Other Mezz-Define in Drop Lists Cell BF125</t>
  </si>
  <si>
    <t>Other Mezz-Define in Drop Lists Cell BF126</t>
  </si>
  <si>
    <t>Other Mezz-Define in Drop Lists Cell BF127</t>
  </si>
  <si>
    <t>Note Name - input in Drop Lists Cell BF131</t>
  </si>
  <si>
    <t>Note Name - input in Drop Lists Cell BF132</t>
  </si>
  <si>
    <t>Note Name - input in Drop Lists Cell BF133</t>
  </si>
  <si>
    <t>Note Name - input in Drop Lists Cell BF134</t>
  </si>
  <si>
    <t>Define in Drop Lists Cell BF139</t>
  </si>
  <si>
    <t>Define in Drop Lists Cell BF40</t>
  </si>
  <si>
    <t>Input type of note in drop lists cell BG131</t>
  </si>
  <si>
    <t>Input type of note in drop lists cell BG132</t>
  </si>
  <si>
    <t>Input type of note in drop lists cell BG133</t>
  </si>
  <si>
    <t>Input type of note in drop lists cell BG134</t>
  </si>
  <si>
    <t>Input Backshop Facility Type drop lists cell BH131</t>
  </si>
  <si>
    <t>Input Backshop Facility Type drop lists cell BH132</t>
  </si>
  <si>
    <t>Input Backshop Facility Type drop lists cell BH133</t>
  </si>
  <si>
    <t>Input Backshop Facility Type drop lists cell BH134</t>
  </si>
  <si>
    <t>Other Define in Drop Lists Cell BN27</t>
  </si>
  <si>
    <t>Other Define in Drop Lists Cell BN28</t>
  </si>
  <si>
    <t>Other Define in Drop Lists Cell BN29</t>
  </si>
  <si>
    <t>Define in Drop Lists Cell BN140</t>
  </si>
  <si>
    <t>Define in Drop Lists Cell BN141</t>
  </si>
  <si>
    <t>Define in Drop Lists Cell BN142</t>
  </si>
  <si>
    <t>Define in Drop Lists Cell BN143</t>
  </si>
  <si>
    <t>Define in Drop Lists Cell BN144</t>
  </si>
  <si>
    <t>Define in Drop Lists Cell BN145</t>
  </si>
  <si>
    <t>Define in Drop Lists Cell BN146</t>
  </si>
  <si>
    <t>Define in Drop Lists Cell BN147</t>
  </si>
  <si>
    <t>Define in Drop Lists Cell BN148</t>
  </si>
  <si>
    <t>Define in Drop Lists Cell BN149</t>
  </si>
  <si>
    <t>Define in Drop Lists Cell BP15</t>
  </si>
  <si>
    <t>Define in Drop Lists Cell BP16</t>
  </si>
  <si>
    <t>Define in Drop Lists Cell BP17</t>
  </si>
  <si>
    <t>Define in Drop Lists Cell BP18</t>
  </si>
  <si>
    <t>Define in Drop Lists Cell BP19</t>
  </si>
  <si>
    <t>Define in Drop Lists Cell BP20</t>
  </si>
  <si>
    <t>Define in Drop Lists Cell BP21</t>
  </si>
  <si>
    <t>Define in Drop Lists Cell BP22</t>
  </si>
  <si>
    <t>Define in Drop Lists Cell BP23</t>
  </si>
  <si>
    <t>Define in Drop Lists Cell BP24</t>
  </si>
  <si>
    <t>Define in Drop Lists Cell BP25</t>
  </si>
  <si>
    <t>Define in Drop Lists Cell BP26</t>
  </si>
  <si>
    <t>Define in Drop Lists Cell BP27</t>
  </si>
  <si>
    <t>Define in Drop Lists Cell BP28</t>
  </si>
  <si>
    <t>Define Drop List Cell BT13</t>
  </si>
  <si>
    <t>Define Drop List Cell BT14</t>
  </si>
  <si>
    <t>define in Drop Lists cell BZ55</t>
  </si>
  <si>
    <t>define in Drop Lists cell BZ56</t>
  </si>
  <si>
    <t>Definite Drop Lists Cell CC79</t>
  </si>
  <si>
    <t>Definite Drop Lists Cell CC80</t>
  </si>
  <si>
    <t>Definite Drop Lists Cell CC81</t>
  </si>
  <si>
    <t>Define in Drop Lists Cell CF29</t>
  </si>
  <si>
    <t>Define in Drop Lists Cell CF30</t>
  </si>
  <si>
    <t>Define in Drop Lists Cell CF31</t>
  </si>
  <si>
    <t>Define in Drop Lists Cell CF32</t>
  </si>
  <si>
    <t>Define in Drop Lists Cell CF33</t>
  </si>
  <si>
    <t>ACORE CREDIT IV CLO ISSUER 2018-1, LLC</t>
  </si>
  <si>
    <t>AHIP SILO 1 NON-REIT FUNDING, LLC</t>
  </si>
  <si>
    <t>ACORE Credit IV - GS 2018</t>
  </si>
  <si>
    <t xml:space="preserve">     By: AHIP Capital, LP, a Delaware limited partnership, its managing member</t>
  </si>
  <si>
    <t xml:space="preserve">       By: ACORE Capital, LP, a Delaware limited partnership, its authorized agent</t>
  </si>
  <si>
    <t xml:space="preserve">         By: ACORE Capital GP, LLC, a Delaware limited liability company, its general partner</t>
  </si>
  <si>
    <t>6363 &amp; 6399 &amp; 6501 S Fiddler's Green Circle, Englewood, CO</t>
  </si>
  <si>
    <t xml:space="preserve">PV1 Properties, LLC </t>
  </si>
  <si>
    <t xml:space="preserve">SWRCM FG I, LLC </t>
  </si>
  <si>
    <t xml:space="preserve">SWRCM FG II, LLC </t>
  </si>
  <si>
    <t>PV1 Properties Member, LLC</t>
  </si>
  <si>
    <t>SWRCM FG Member, LLC</t>
  </si>
  <si>
    <t xml:space="preserve">TRE ACR Portfolio </t>
  </si>
  <si>
    <t>Note A4</t>
  </si>
  <si>
    <t>Note B4</t>
  </si>
  <si>
    <t>M61 DealID</t>
  </si>
  <si>
    <t>Deal Status</t>
  </si>
  <si>
    <t>Note Level Inputs</t>
  </si>
  <si>
    <t>M61 Deafults</t>
  </si>
  <si>
    <t>Deal Funding Payrules</t>
  </si>
  <si>
    <t>Rate Spread Schedule</t>
  </si>
  <si>
    <t>FeeSchedule</t>
  </si>
  <si>
    <t>Closing Date</t>
  </si>
  <si>
    <t>Pay frequency</t>
  </si>
  <si>
    <t>Initial Maturity Date</t>
  </si>
  <si>
    <t>Fully Extended Maturity Date</t>
  </si>
  <si>
    <t>Expected Maturity Date</t>
  </si>
  <si>
    <t>Extended Maturity Scenario #1</t>
  </si>
  <si>
    <t>Extended Maturity Scenario #2</t>
  </si>
  <si>
    <t>Extended Maturity Scenario #3</t>
  </si>
  <si>
    <t>IO Term</t>
  </si>
  <si>
    <t>Amort Term</t>
  </si>
  <si>
    <t>Rate Type</t>
  </si>
  <si>
    <t>Index Name</t>
  </si>
  <si>
    <t>Initial Funding Amount</t>
  </si>
  <si>
    <t xml:space="preserve">Total Loan Commitment </t>
  </si>
  <si>
    <t>Stub Int Override</t>
  </si>
  <si>
    <t>Accrual Frequency</t>
  </si>
  <si>
    <t>Determination Date Lead Days</t>
  </si>
  <si>
    <t>Determination Date Reference Day of the Month</t>
  </si>
  <si>
    <t>Payment Date Business Day Lag</t>
  </si>
  <si>
    <t>Monthly DS Override when Amortizing</t>
  </si>
  <si>
    <t>First Period Interest Payment Override</t>
  </si>
  <si>
    <t>Stub Paid In Arrears</t>
  </si>
  <si>
    <t>Settle With Accrual Flag</t>
  </si>
  <si>
    <t>Rate Index Reset Freq</t>
  </si>
  <si>
    <t>First Rate Index Reset Date</t>
  </si>
  <si>
    <t>Loan Purchase</t>
  </si>
  <si>
    <t>Amort Int Calc Day Count</t>
  </si>
  <si>
    <t>Stub Paid in Advance</t>
  </si>
  <si>
    <t>Capitalized Closing Costs</t>
  </si>
  <si>
    <t>Initial Index Value Override</t>
  </si>
  <si>
    <t>Include Servicing Payment Overridein Level Yield</t>
  </si>
  <si>
    <t>Index Rounding Rule</t>
  </si>
  <si>
    <t>Rounding Method</t>
  </si>
  <si>
    <t>Stub Interest Paidon Future Advances</t>
  </si>
  <si>
    <t>Purchased Int Override</t>
  </si>
  <si>
    <t>Future Funding Billing Cutoff Day</t>
  </si>
  <si>
    <t>Curtailment Billing Cutoff Day</t>
  </si>
  <si>
    <t xml:space="preserve">Interest Rule For Paydowns </t>
  </si>
  <si>
    <t>Amort Interest Rule for Paydowns</t>
  </si>
  <si>
    <t>Debt Type</t>
  </si>
  <si>
    <t>Billing Notes</t>
  </si>
  <si>
    <t>Cap Stack</t>
  </si>
  <si>
    <t>UseRuleto Determine Note Funding</t>
  </si>
  <si>
    <t>Note Funding Rule</t>
  </si>
  <si>
    <t>FundingPriority</t>
  </si>
  <si>
    <t>Note BalanceCap</t>
  </si>
  <si>
    <t>RepaymentPriority</t>
  </si>
  <si>
    <t>Funding Sequence 1</t>
  </si>
  <si>
    <t>Repayment Sequence 1</t>
  </si>
  <si>
    <t>NoteName</t>
  </si>
  <si>
    <t>StartDate</t>
  </si>
  <si>
    <t>ValueType</t>
  </si>
  <si>
    <t>Value</t>
  </si>
  <si>
    <t>Calc Method</t>
  </si>
  <si>
    <t>Rate or Spread Strip in BP/1000</t>
  </si>
  <si>
    <t>Determination Date Holiday List</t>
  </si>
  <si>
    <t>Fee Name</t>
  </si>
  <si>
    <t>Start Date</t>
  </si>
  <si>
    <t>End Date</t>
  </si>
  <si>
    <t>Value Type</t>
  </si>
  <si>
    <t>Fee Amt Override</t>
  </si>
  <si>
    <t>Base Amt Override</t>
  </si>
  <si>
    <t>Apply True Up</t>
  </si>
  <si>
    <t>Included Level Yield</t>
  </si>
  <si>
    <t>Included Basis</t>
  </si>
  <si>
    <t>% of Fee Stripped</t>
  </si>
  <si>
    <t>Property Type</t>
  </si>
  <si>
    <t>Category</t>
  </si>
  <si>
    <t>DealStatus</t>
  </si>
  <si>
    <t>Active</t>
  </si>
  <si>
    <t>323 - Active</t>
  </si>
  <si>
    <t>Inactive</t>
  </si>
  <si>
    <t>324 - Inactive</t>
  </si>
  <si>
    <t>Phantom</t>
  </si>
  <si>
    <t>325 - Phantom</t>
  </si>
  <si>
    <t>296 - Land</t>
  </si>
  <si>
    <t>Various</t>
  </si>
  <si>
    <t>297 - Various</t>
  </si>
  <si>
    <t>Student Housing</t>
  </si>
  <si>
    <t>298 - Student Housing</t>
  </si>
  <si>
    <t>Condo Construction</t>
  </si>
  <si>
    <t>299 - Condo Construction</t>
  </si>
  <si>
    <t>Hospitality</t>
  </si>
  <si>
    <t>131 - Hospitality</t>
  </si>
  <si>
    <t>Industrial</t>
  </si>
  <si>
    <t>132 - Industrial</t>
  </si>
  <si>
    <t>Office</t>
  </si>
  <si>
    <t>133 - Office</t>
  </si>
  <si>
    <t>Retail</t>
  </si>
  <si>
    <t>134 - Retail</t>
  </si>
  <si>
    <t>Mixed Use</t>
  </si>
  <si>
    <t>136 - Mixed Use</t>
  </si>
  <si>
    <t>Multifamily</t>
  </si>
  <si>
    <t>137 - Multifamily</t>
  </si>
  <si>
    <t>ProRata</t>
  </si>
  <si>
    <t>260 - ProRata</t>
  </si>
  <si>
    <t>Sequential</t>
  </si>
  <si>
    <t>261 - Sequential</t>
  </si>
  <si>
    <t>Y</t>
  </si>
  <si>
    <t>3 - Y</t>
  </si>
  <si>
    <t>N</t>
  </si>
  <si>
    <t>4 - N</t>
  </si>
  <si>
    <t>Property Release</t>
  </si>
  <si>
    <t>315 - Property Release</t>
  </si>
  <si>
    <t>Payoff/Paydown</t>
  </si>
  <si>
    <t>316 - Payoff/Paydown</t>
  </si>
  <si>
    <t>Additional Collateral Purchase</t>
  </si>
  <si>
    <t>317 - Additional Collateral Purchase</t>
  </si>
  <si>
    <t>Capital Expenditure</t>
  </si>
  <si>
    <t>318 - Capital Expenditure</t>
  </si>
  <si>
    <t>Debt Service / Opex</t>
  </si>
  <si>
    <t>319 - Debt Service / Opex</t>
  </si>
  <si>
    <t>321 - Other</t>
  </si>
  <si>
    <t>Amortization</t>
  </si>
  <si>
    <t>351 - Amortization</t>
  </si>
  <si>
    <t>Coupon Strip</t>
  </si>
  <si>
    <t>163 - Coupon Strip</t>
  </si>
  <si>
    <t>Exit Fee Strip</t>
  </si>
  <si>
    <t>164 - Exit Fee Strip</t>
  </si>
  <si>
    <t>Origination Fee Strip</t>
  </si>
  <si>
    <t>165 - Origination Fee Strip</t>
  </si>
  <si>
    <t>Additional Fee Strip</t>
  </si>
  <si>
    <t>166 - Additional Fee Strip</t>
  </si>
  <si>
    <t>Unused Fee Strip</t>
  </si>
  <si>
    <t>405 - Unused Fee Strip</t>
  </si>
  <si>
    <t>USD</t>
  </si>
  <si>
    <t>187 - USD</t>
  </si>
  <si>
    <t>EUR</t>
  </si>
  <si>
    <t>188 - EUR</t>
  </si>
  <si>
    <t>GBP</t>
  </si>
  <si>
    <t>189 - GBP</t>
  </si>
  <si>
    <t>CAD</t>
  </si>
  <si>
    <t>190 - CAD</t>
  </si>
  <si>
    <t>23 - Acquisition</t>
  </si>
  <si>
    <t>Origination</t>
  </si>
  <si>
    <t>24 - Origination</t>
  </si>
  <si>
    <t>First mortgage</t>
  </si>
  <si>
    <t>42 - First mortgage</t>
  </si>
  <si>
    <t>Subordinated mortgage</t>
  </si>
  <si>
    <t>43 - Subordinated mortgage</t>
  </si>
  <si>
    <t>44 - Mezz</t>
  </si>
  <si>
    <t>Securitization</t>
  </si>
  <si>
    <t>45 - Securitization</t>
  </si>
  <si>
    <t>Conduit</t>
  </si>
  <si>
    <t>46 - Conduit</t>
  </si>
  <si>
    <t>CMBS</t>
  </si>
  <si>
    <t>47 - CMBS</t>
  </si>
  <si>
    <t>RMBS</t>
  </si>
  <si>
    <t>48 - RMBS</t>
  </si>
  <si>
    <t>49 - Other</t>
  </si>
  <si>
    <t>A note</t>
  </si>
  <si>
    <t>50 - A note</t>
  </si>
  <si>
    <t>B note</t>
  </si>
  <si>
    <t>51 - B note</t>
  </si>
  <si>
    <t>C note</t>
  </si>
  <si>
    <t>52 - C note</t>
  </si>
  <si>
    <t>HFS</t>
  </si>
  <si>
    <t>53 - HFS</t>
  </si>
  <si>
    <t>HTM</t>
  </si>
  <si>
    <t>54 - HTM</t>
  </si>
  <si>
    <t>AFS</t>
  </si>
  <si>
    <t>55 - AFS</t>
  </si>
  <si>
    <t>274 - N/A</t>
  </si>
  <si>
    <t>S&amp;P 500</t>
  </si>
  <si>
    <t>275 - S&amp;P 500</t>
  </si>
  <si>
    <t>Moodys</t>
  </si>
  <si>
    <t>276 - Moodys</t>
  </si>
  <si>
    <t>Fitch</t>
  </si>
  <si>
    <t>277 - Fitch</t>
  </si>
  <si>
    <t>278 - 1</t>
  </si>
  <si>
    <t>279 - 2</t>
  </si>
  <si>
    <t>280 - 3</t>
  </si>
  <si>
    <t>281 - 4</t>
  </si>
  <si>
    <t>282 - 5</t>
  </si>
  <si>
    <t>138 - N/A</t>
  </si>
  <si>
    <t>Fixed</t>
  </si>
  <si>
    <t>139 - Fixed</t>
  </si>
  <si>
    <t>Floating</t>
  </si>
  <si>
    <t>140 - Floating</t>
  </si>
  <si>
    <t>Nearest</t>
  </si>
  <si>
    <t>250 - Nearest</t>
  </si>
  <si>
    <t>Up</t>
  </si>
  <si>
    <t>251 - Up</t>
  </si>
  <si>
    <t>Down</t>
  </si>
  <si>
    <t>252 - Down</t>
  </si>
  <si>
    <t>150 - Rate</t>
  </si>
  <si>
    <t>151 - Spread</t>
  </si>
  <si>
    <t>Coupon Floor</t>
  </si>
  <si>
    <t>152 - Coupon Floor</t>
  </si>
  <si>
    <t>Coupon Cap</t>
  </si>
  <si>
    <t>153 - Coupon Cap</t>
  </si>
  <si>
    <t>Index Floor</t>
  </si>
  <si>
    <t>154 - Index Floor</t>
  </si>
  <si>
    <t>Index Cap</t>
  </si>
  <si>
    <t>155 - Index Cap</t>
  </si>
  <si>
    <t>Amort Rate</t>
  </si>
  <si>
    <t>156 - Amort Rate</t>
  </si>
  <si>
    <t>Amort Spread</t>
  </si>
  <si>
    <t>157 - Amort Spread</t>
  </si>
  <si>
    <t>Amort Rate Floor</t>
  </si>
  <si>
    <t>158 - Amort Rate Floor</t>
  </si>
  <si>
    <t>Amort Rate Cap</t>
  </si>
  <si>
    <t>159 - Amort Rate Cap</t>
  </si>
  <si>
    <t>Reference Rate</t>
  </si>
  <si>
    <t>596 - Reference Rate</t>
  </si>
  <si>
    <t>178 - Actual/360</t>
  </si>
  <si>
    <t>179 - 30/360</t>
  </si>
  <si>
    <t>Actual/365</t>
  </si>
  <si>
    <t>180 - Actual/365</t>
  </si>
  <si>
    <t>Exit Fee</t>
  </si>
  <si>
    <t>Additional Fee</t>
  </si>
  <si>
    <t>Draw Fee</t>
  </si>
  <si>
    <t>Servicing Fee</t>
  </si>
  <si>
    <t>Unused Fee</t>
  </si>
  <si>
    <t>Prepayment Fee</t>
  </si>
  <si>
    <t>Multi</t>
  </si>
  <si>
    <t>56 - Multi</t>
  </si>
  <si>
    <t>AL</t>
  </si>
  <si>
    <t>57 - AL</t>
  </si>
  <si>
    <t>AK</t>
  </si>
  <si>
    <t>58 - AK</t>
  </si>
  <si>
    <t>AZ</t>
  </si>
  <si>
    <t>59 - AZ</t>
  </si>
  <si>
    <t>AR</t>
  </si>
  <si>
    <t>60 - AR</t>
  </si>
  <si>
    <t>61 - CA</t>
  </si>
  <si>
    <t>CO</t>
  </si>
  <si>
    <t>62 - CO</t>
  </si>
  <si>
    <t>CT</t>
  </si>
  <si>
    <t>63 - CT</t>
  </si>
  <si>
    <t>DE</t>
  </si>
  <si>
    <t>64 - DE</t>
  </si>
  <si>
    <t>DC</t>
  </si>
  <si>
    <t>65 - DC</t>
  </si>
  <si>
    <t>FL</t>
  </si>
  <si>
    <t>66 - FL</t>
  </si>
  <si>
    <t>GA</t>
  </si>
  <si>
    <t>67 - GA</t>
  </si>
  <si>
    <t>HI</t>
  </si>
  <si>
    <t>68 - HI</t>
  </si>
  <si>
    <t>ID</t>
  </si>
  <si>
    <t>69 - ID</t>
  </si>
  <si>
    <t>IL</t>
  </si>
  <si>
    <t>70 - IL</t>
  </si>
  <si>
    <t>71 - IN</t>
  </si>
  <si>
    <t>72 - IA</t>
  </si>
  <si>
    <t>KS</t>
  </si>
  <si>
    <t>73 - KS</t>
  </si>
  <si>
    <t>KY</t>
  </si>
  <si>
    <t>74 - KY</t>
  </si>
  <si>
    <t>LA</t>
  </si>
  <si>
    <t>75 - LA</t>
  </si>
  <si>
    <t>ME</t>
  </si>
  <si>
    <t>76 - ME</t>
  </si>
  <si>
    <t>MD</t>
  </si>
  <si>
    <t>77 - MD</t>
  </si>
  <si>
    <t>MA</t>
  </si>
  <si>
    <t>78 - MA</t>
  </si>
  <si>
    <t>MI</t>
  </si>
  <si>
    <t>79 - MI</t>
  </si>
  <si>
    <t>MN</t>
  </si>
  <si>
    <t>80 - MN</t>
  </si>
  <si>
    <t>MS</t>
  </si>
  <si>
    <t>81 - MS</t>
  </si>
  <si>
    <t>MO</t>
  </si>
  <si>
    <t>82 - MO</t>
  </si>
  <si>
    <t>MT</t>
  </si>
  <si>
    <t>83 - MT</t>
  </si>
  <si>
    <t>NE</t>
  </si>
  <si>
    <t>84 - NE</t>
  </si>
  <si>
    <t>NV</t>
  </si>
  <si>
    <t>85 - NV</t>
  </si>
  <si>
    <t>NH</t>
  </si>
  <si>
    <t>86 - NH</t>
  </si>
  <si>
    <t>NJ</t>
  </si>
  <si>
    <t>87 - NJ</t>
  </si>
  <si>
    <t>NM</t>
  </si>
  <si>
    <t>88 - NM</t>
  </si>
  <si>
    <t>NY</t>
  </si>
  <si>
    <t>89 - NY</t>
  </si>
  <si>
    <t>NC</t>
  </si>
  <si>
    <t>90 - NC</t>
  </si>
  <si>
    <t>ND</t>
  </si>
  <si>
    <t>91 - ND</t>
  </si>
  <si>
    <t>OH</t>
  </si>
  <si>
    <t>92 - OH</t>
  </si>
  <si>
    <t>OK</t>
  </si>
  <si>
    <t>93 - OK</t>
  </si>
  <si>
    <t>94 - OR</t>
  </si>
  <si>
    <t>PA</t>
  </si>
  <si>
    <t>95 - PA</t>
  </si>
  <si>
    <t>PR</t>
  </si>
  <si>
    <t>96 - PR</t>
  </si>
  <si>
    <t>RI</t>
  </si>
  <si>
    <t>97 - RI</t>
  </si>
  <si>
    <t>98 - SC</t>
  </si>
  <si>
    <t>99 - SD</t>
  </si>
  <si>
    <t>TN</t>
  </si>
  <si>
    <t>100 - TN</t>
  </si>
  <si>
    <t>101 - TX</t>
  </si>
  <si>
    <t>UT</t>
  </si>
  <si>
    <t>102 - UT</t>
  </si>
  <si>
    <t>VT</t>
  </si>
  <si>
    <t>103 - VT</t>
  </si>
  <si>
    <t>VA</t>
  </si>
  <si>
    <t>104 - VA</t>
  </si>
  <si>
    <t>WA</t>
  </si>
  <si>
    <t>105 - WA</t>
  </si>
  <si>
    <t>WV</t>
  </si>
  <si>
    <t>106 - WV</t>
  </si>
  <si>
    <t>WI</t>
  </si>
  <si>
    <t>107 - WI</t>
  </si>
  <si>
    <t>WY</t>
  </si>
  <si>
    <t>108 - WY</t>
  </si>
  <si>
    <t>Germany</t>
  </si>
  <si>
    <t>109 - Germany</t>
  </si>
  <si>
    <t>UK</t>
  </si>
  <si>
    <t>110 - UK</t>
  </si>
  <si>
    <t>Puerto Rico</t>
  </si>
  <si>
    <t>111 - Puerto Rico</t>
  </si>
  <si>
    <t>South Africa</t>
  </si>
  <si>
    <t>112 - South Africa</t>
  </si>
  <si>
    <t>Brazil</t>
  </si>
  <si>
    <t>113 - Brazil</t>
  </si>
  <si>
    <t>France</t>
  </si>
  <si>
    <t>114 - France</t>
  </si>
  <si>
    <t>Netherlands</t>
  </si>
  <si>
    <t>115 - Netherlands</t>
  </si>
  <si>
    <t>Australia</t>
  </si>
  <si>
    <t>116 - Australia</t>
  </si>
  <si>
    <t>Ethiopia</t>
  </si>
  <si>
    <t>117 - Ethiopia</t>
  </si>
  <si>
    <t>Turkey</t>
  </si>
  <si>
    <t>118 - Turkey</t>
  </si>
  <si>
    <t>Belgium</t>
  </si>
  <si>
    <t>119 - Belgium</t>
  </si>
  <si>
    <t>Switzerland</t>
  </si>
  <si>
    <t>120 - Switzerland</t>
  </si>
  <si>
    <t>Spain</t>
  </si>
  <si>
    <t>121 - Spain</t>
  </si>
  <si>
    <t>Egypt</t>
  </si>
  <si>
    <t>122 - Egypt</t>
  </si>
  <si>
    <t>Israel</t>
  </si>
  <si>
    <t>123 - Israel</t>
  </si>
  <si>
    <t>Japan</t>
  </si>
  <si>
    <t>124 - Japan</t>
  </si>
  <si>
    <t>Trinidad/Tobago</t>
  </si>
  <si>
    <t>125 - Trinidad/Tobago</t>
  </si>
  <si>
    <t>Sweden</t>
  </si>
  <si>
    <t>126 - Sweden</t>
  </si>
  <si>
    <t>Italy</t>
  </si>
  <si>
    <t>127 - Italy</t>
  </si>
  <si>
    <t>Kenya</t>
  </si>
  <si>
    <t>128 - Kenya</t>
  </si>
  <si>
    <t>Ireland</t>
  </si>
  <si>
    <t>129 - Ireland</t>
  </si>
  <si>
    <t>Croatia</t>
  </si>
  <si>
    <t>130 - Croatia</t>
  </si>
  <si>
    <t>Condo Conversion</t>
  </si>
  <si>
    <t>135 - Condo Conversion</t>
  </si>
  <si>
    <t>244 - N/A</t>
  </si>
  <si>
    <t>1M LIBOR</t>
  </si>
  <si>
    <t>245 - 1M LIBOR</t>
  </si>
  <si>
    <t>2M LIBOR</t>
  </si>
  <si>
    <t>246 - 2M LIBOR</t>
  </si>
  <si>
    <t>3M LIBOR</t>
  </si>
  <si>
    <t>247 - 3M LIBOR</t>
  </si>
  <si>
    <t>6M LIBOR</t>
  </si>
  <si>
    <t>248 - 6M LIBOR</t>
  </si>
  <si>
    <t>12M LIBOR</t>
  </si>
  <si>
    <t>249 - 12M LIBOR</t>
  </si>
  <si>
    <t>Include Prepayment Date</t>
  </si>
  <si>
    <t>Exclude Prepayment Date</t>
  </si>
  <si>
    <t>Full Period Accrual</t>
  </si>
  <si>
    <t>571 - Yes</t>
  </si>
  <si>
    <t>572 - No</t>
  </si>
  <si>
    <t>NA</t>
  </si>
  <si>
    <t>573 - NA</t>
  </si>
  <si>
    <t>Loan Agreement</t>
  </si>
  <si>
    <t>Settlement Statement</t>
  </si>
  <si>
    <t>Legal</t>
  </si>
  <si>
    <t>Billing</t>
  </si>
  <si>
    <t>Senior</t>
  </si>
  <si>
    <t>Sub</t>
  </si>
  <si>
    <t>3rd Party</t>
  </si>
  <si>
    <t>None</t>
  </si>
  <si>
    <t>Note Priority</t>
  </si>
  <si>
    <t>Servicer Name</t>
  </si>
  <si>
    <t>Defaults</t>
  </si>
  <si>
    <t>Extended Maturity Scenario #4</t>
  </si>
  <si>
    <t>Extended Maturity Scenario #5</t>
  </si>
  <si>
    <t>Extended Maturity Scenario #6</t>
  </si>
  <si>
    <t>Extended Maturity Scenario #7</t>
  </si>
  <si>
    <t>Extended Maturity Scenario #8</t>
  </si>
  <si>
    <t>Extended Maturity Scenario #9</t>
  </si>
  <si>
    <t>Extended Maturity Scenario #10</t>
  </si>
  <si>
    <t>Accrual Frequency Overrides</t>
  </si>
  <si>
    <t>Determination Date Lead Days Overrides</t>
  </si>
  <si>
    <t>Determination Date Reference Day of the Month Overrides</t>
  </si>
  <si>
    <t>Payment Date Business Day Lag Overrides</t>
  </si>
  <si>
    <t>Monthly DS Override when Amortizing Overrides</t>
  </si>
  <si>
    <t>First Period Interest Payment Override Overrides</t>
  </si>
  <si>
    <t>Stub Paid In Arrears Overrides</t>
  </si>
  <si>
    <t>Settle With Accrual Flag Overrides</t>
  </si>
  <si>
    <t>Rate Index Reset Freq Overrides</t>
  </si>
  <si>
    <t>First Rate Index Reset Date Overrides</t>
  </si>
  <si>
    <t>Loan Purchase Overrides</t>
  </si>
  <si>
    <t>Amort Int Calc Day Count Overrides</t>
  </si>
  <si>
    <t>Stub Paid in Advance Overrides</t>
  </si>
  <si>
    <t>Capitalized Closing Costs Overrides</t>
  </si>
  <si>
    <t>Initial Index Value Override Overrides</t>
  </si>
  <si>
    <t>Include Servicing Payment Overridein Level Yield Overrides</t>
  </si>
  <si>
    <t>Index Rounding Rule Overrides</t>
  </si>
  <si>
    <t>Rounding Method Overrides</t>
  </si>
  <si>
    <t>Stub Interest Paidon Future Advances Overrides</t>
  </si>
  <si>
    <t>Purchased Int Override Overrides</t>
  </si>
  <si>
    <t>Future Funding Billing Cutoff Day Overrides</t>
  </si>
  <si>
    <t>Curtailment Billing Cutoff Day Overrides</t>
  </si>
  <si>
    <t>Interest Rule For Paydowns  Overrides</t>
  </si>
  <si>
    <t>Amort Interest Rule for Paydowns Overrides</t>
  </si>
  <si>
    <t>Debt Type Overrides</t>
  </si>
  <si>
    <t>Billing Notes Overrides</t>
  </si>
  <si>
    <t>Cap Stack Overrides</t>
  </si>
  <si>
    <t>Orig Fee 1</t>
  </si>
  <si>
    <t>ACORE Orig Fee</t>
  </si>
  <si>
    <t>Autospread Fundings</t>
  </si>
  <si>
    <t>Purpose Type</t>
  </si>
  <si>
    <t>Required equity</t>
  </si>
  <si>
    <t>Additional equity</t>
  </si>
  <si>
    <t>Distribution Method</t>
  </si>
  <si>
    <t>Frequency Factor</t>
  </si>
  <si>
    <t>Comments</t>
  </si>
  <si>
    <t>Debt Amount</t>
  </si>
  <si>
    <t>1 - Active</t>
  </si>
  <si>
    <t>2 - Inactive</t>
  </si>
  <si>
    <t>BalanceTransactionSchedule</t>
  </si>
  <si>
    <t>5 - BalanceTransactionSchedule</t>
  </si>
  <si>
    <t>DefaultSchedule</t>
  </si>
  <si>
    <t>6 - DefaultSchedule</t>
  </si>
  <si>
    <t>FeeCouponSchedule</t>
  </si>
  <si>
    <t>7 - FeeCouponSchedule</t>
  </si>
  <si>
    <t>FinancingFeeSchedule</t>
  </si>
  <si>
    <t>8 - FinancingFeeSchedule</t>
  </si>
  <si>
    <t>FinancingSchedule</t>
  </si>
  <si>
    <t>9 - FinancingSchedule</t>
  </si>
  <si>
    <t>FundingSchedule</t>
  </si>
  <si>
    <t>10 - FundingSchedule</t>
  </si>
  <si>
    <t>Maturity</t>
  </si>
  <si>
    <t>11 - Maturity</t>
  </si>
  <si>
    <t>PIKSchedule</t>
  </si>
  <si>
    <t>12 - PIKSchedule</t>
  </si>
  <si>
    <t>PrepayAndAdditionalFeeSchedule</t>
  </si>
  <si>
    <t>13 - PrepayAndAdditionalFeeSchedule</t>
  </si>
  <si>
    <t>RateSpreadSchedule</t>
  </si>
  <si>
    <t>14 - RateSpreadSchedule</t>
  </si>
  <si>
    <t>ServicingFeeSchedule</t>
  </si>
  <si>
    <t>15 - ServicingFeeSchedule</t>
  </si>
  <si>
    <t>StrippingSchedule</t>
  </si>
  <si>
    <t>16 - StrippingSchedule</t>
  </si>
  <si>
    <t>PIKScheduleDetail</t>
  </si>
  <si>
    <t>17 - PIKScheduleDetail</t>
  </si>
  <si>
    <t>LIBORSchedule</t>
  </si>
  <si>
    <t>18 - LIBORSchedule</t>
  </si>
  <si>
    <t>AmortSchedule</t>
  </si>
  <si>
    <t>19 - AmortSchedule</t>
  </si>
  <si>
    <t>FeeCouponStripReceivable</t>
  </si>
  <si>
    <t>20 - FeeCouponStripReceivable</t>
  </si>
  <si>
    <t>Structured Finance</t>
  </si>
  <si>
    <t>21 - Structured Finance</t>
  </si>
  <si>
    <t>22 - Conduit</t>
  </si>
  <si>
    <t>Application Received</t>
  </si>
  <si>
    <t>25 - Application Received</t>
  </si>
  <si>
    <t>Application Approved</t>
  </si>
  <si>
    <t>26 - Application Approved</t>
  </si>
  <si>
    <t>Termsheet Signed</t>
  </si>
  <si>
    <t>27 - Termsheet Signed</t>
  </si>
  <si>
    <t>Underwriting</t>
  </si>
  <si>
    <t>28 - Underwriting</t>
  </si>
  <si>
    <t>Funded</t>
  </si>
  <si>
    <t>29 - Funded</t>
  </si>
  <si>
    <t>Cancelled</t>
  </si>
  <si>
    <t>30 - Cancelled</t>
  </si>
  <si>
    <t>Broker</t>
  </si>
  <si>
    <t>31 - Broker</t>
  </si>
  <si>
    <t>Direct</t>
  </si>
  <si>
    <t>32 - Direct</t>
  </si>
  <si>
    <t>Employee Referred</t>
  </si>
  <si>
    <t>33 - Employee Referred</t>
  </si>
  <si>
    <t>34 - Construction</t>
  </si>
  <si>
    <t>Bridge</t>
  </si>
  <si>
    <t>35 - Bridge</t>
  </si>
  <si>
    <t>36 - Standard</t>
  </si>
  <si>
    <t>Last 2 Quarter to next Month</t>
  </si>
  <si>
    <t>37 - Last 2 Quarter to next Month</t>
  </si>
  <si>
    <t>Full Loan Term</t>
  </si>
  <si>
    <t>38 - Full Loan Term</t>
  </si>
  <si>
    <t>Inception to next month</t>
  </si>
  <si>
    <t>39 - Inception to next month</t>
  </si>
  <si>
    <t>DO NOT Calc</t>
  </si>
  <si>
    <t>40 - DO NOT Calc</t>
  </si>
  <si>
    <t>Custom</t>
  </si>
  <si>
    <t>41 - Custom</t>
  </si>
  <si>
    <t>Healthcare</t>
  </si>
  <si>
    <t>460 - Healthcare</t>
  </si>
  <si>
    <t>Hotel</t>
  </si>
  <si>
    <t>461 - Hotel</t>
  </si>
  <si>
    <t>Mobile Home Park</t>
  </si>
  <si>
    <t>462 - Mobile Home Park</t>
  </si>
  <si>
    <t>463 - Other</t>
  </si>
  <si>
    <t>Self-Storage</t>
  </si>
  <si>
    <t>464 - Self-Storage</t>
  </si>
  <si>
    <t>Senior Housing</t>
  </si>
  <si>
    <t>465 - Senior Housing</t>
  </si>
  <si>
    <t>Parking</t>
  </si>
  <si>
    <t>466 - Parking</t>
  </si>
  <si>
    <t>US</t>
  </si>
  <si>
    <t>141 - US</t>
  </si>
  <si>
    <t>142 - UK</t>
  </si>
  <si>
    <t>143 - Other</t>
  </si>
  <si>
    <t>Cash Flow Only</t>
  </si>
  <si>
    <t>144 - Cash Flow Only</t>
  </si>
  <si>
    <t>145 - Annually</t>
  </si>
  <si>
    <t>146 - Semi Annual</t>
  </si>
  <si>
    <t>147 - Quarterly</t>
  </si>
  <si>
    <t>148 - Monthly</t>
  </si>
  <si>
    <t>149 - One Time</t>
  </si>
  <si>
    <t>778 - Index Name</t>
  </si>
  <si>
    <t>160 - Exit Fee</t>
  </si>
  <si>
    <t>161 - Prepayment Fee</t>
  </si>
  <si>
    <t>162 - Additional Fee</t>
  </si>
  <si>
    <t>350 - Unused Fee</t>
  </si>
  <si>
    <t>Default Rate Step Up</t>
  </si>
  <si>
    <t>167 - Default Rate Step Up</t>
  </si>
  <si>
    <t>Default Rate Override</t>
  </si>
  <si>
    <t>168 - Default Rate Override</t>
  </si>
  <si>
    <t>Severity</t>
  </si>
  <si>
    <t>169 - Severity</t>
  </si>
  <si>
    <t>Debt Service Shortfall</t>
  </si>
  <si>
    <t>170 - Debt Service Shortfall</t>
  </si>
  <si>
    <t>Origination Fees</t>
  </si>
  <si>
    <t>171 - Origination Fees</t>
  </si>
  <si>
    <t>Origination Expenses</t>
  </si>
  <si>
    <t>172 - Origination Expenses</t>
  </si>
  <si>
    <t>Additional Fees</t>
  </si>
  <si>
    <t>173 - Additional Fees</t>
  </si>
  <si>
    <t>Prepayment/Exit</t>
  </si>
  <si>
    <t>174 - Prepayment/Exit</t>
  </si>
  <si>
    <t>Financing Rate</t>
  </si>
  <si>
    <t>175 - Financing Rate</t>
  </si>
  <si>
    <t>Financing Spread</t>
  </si>
  <si>
    <t>176 - Financing Spread</t>
  </si>
  <si>
    <t>Financing Advance Rate</t>
  </si>
  <si>
    <t>177 - Financing Advance Rate</t>
  </si>
  <si>
    <t>CBD</t>
  </si>
  <si>
    <t>181 - CBD</t>
  </si>
  <si>
    <t>182 - Note</t>
  </si>
  <si>
    <t>Financing Facility</t>
  </si>
  <si>
    <t>183 - Financing Facility</t>
  </si>
  <si>
    <t>Deal</t>
  </si>
  <si>
    <t>283 - Deal</t>
  </si>
  <si>
    <t>284 - Property</t>
  </si>
  <si>
    <t>Task</t>
  </si>
  <si>
    <t>388 - Task</t>
  </si>
  <si>
    <t>IN_ServicingTrLogInfo</t>
  </si>
  <si>
    <t>391 - IN_ServicingTrLogInfo</t>
  </si>
  <si>
    <t>Deal Funding</t>
  </si>
  <si>
    <t>502 - Deal Funding</t>
  </si>
  <si>
    <t>WellsDailyExtract</t>
  </si>
  <si>
    <t>588 - WellsDailyExtract</t>
  </si>
  <si>
    <t>Reserve Account</t>
  </si>
  <si>
    <t>719 - Reserve Account</t>
  </si>
  <si>
    <t>Analysis</t>
  </si>
  <si>
    <t>773 - Analysis</t>
  </si>
  <si>
    <t>I/O</t>
  </si>
  <si>
    <t>184 - I/O</t>
  </si>
  <si>
    <t>P&amp;I</t>
  </si>
  <si>
    <t>185 - P&amp;I</t>
  </si>
  <si>
    <t>I/O*</t>
  </si>
  <si>
    <t>186 - I/O*</t>
  </si>
  <si>
    <t>191 - General</t>
  </si>
  <si>
    <t>LOP - Loan Origination/Purchase</t>
  </si>
  <si>
    <t>192 - LOP - Loan Origination/Purchase</t>
  </si>
  <si>
    <t>LOF - Loan Origination Fees Received</t>
  </si>
  <si>
    <t>193 - LOF - Loan Origination Fees Received</t>
  </si>
  <si>
    <t>LER - Loan Exit Fees Received</t>
  </si>
  <si>
    <t>194 - LER - Loan Exit Fees Received</t>
  </si>
  <si>
    <t>LAR - Loan Additional Fees Received</t>
  </si>
  <si>
    <t>195 - LAR - Loan Additional Fees Received</t>
  </si>
  <si>
    <t>LFF - Loan Future Funding</t>
  </si>
  <si>
    <t>196 - LFF - Loan Future Funding</t>
  </si>
  <si>
    <t>LCU - Loan Curtailment</t>
  </si>
  <si>
    <t>197 - LCU - Loan Curtailment</t>
  </si>
  <si>
    <t>LIR - Loan Interest Received</t>
  </si>
  <si>
    <t>198 - LIR - Loan Interest Received</t>
  </si>
  <si>
    <t>LPR - Loan Principal Received</t>
  </si>
  <si>
    <t>199 - LPR - Loan Principal Received</t>
  </si>
  <si>
    <t>LBP - Loan Balloon Payment</t>
  </si>
  <si>
    <t>200 - LBP - Loan Balloon Payment</t>
  </si>
  <si>
    <t>LAS - Loan A-note Sale Basis Sold</t>
  </si>
  <si>
    <t>201 - LAS - Loan A-note Sale Basis Sold</t>
  </si>
  <si>
    <t>LAP - Loan A-note Sale Proceeds</t>
  </si>
  <si>
    <t>202 - LAP - Loan A-note Sale Proceeds</t>
  </si>
  <si>
    <t>LAA - Loan Amort Accrual</t>
  </si>
  <si>
    <t>203 - LAA - Loan Amort Accrual</t>
  </si>
  <si>
    <t>LPI - Loan PIK Interest</t>
  </si>
  <si>
    <t>204 - LPI - Loan PIK Interest</t>
  </si>
  <si>
    <t>LIS - Loan Interest Stripped</t>
  </si>
  <si>
    <t>205 - LIS - Loan Interest Stripped</t>
  </si>
  <si>
    <t>LOS - Loan Origination Fees Stripped</t>
  </si>
  <si>
    <t>206 - LOS - Loan Origination Fees Stripped</t>
  </si>
  <si>
    <t>LAF - Loan Additional Fees Stripped</t>
  </si>
  <si>
    <t>207 - LAF - Loan Additional Fees Stripped</t>
  </si>
  <si>
    <t>LES - Loan Exit Fees Stripped</t>
  </si>
  <si>
    <t>208 - LES - Loan Exit Fees Stripped</t>
  </si>
  <si>
    <t>LSR - Loan Interest Stripping Received</t>
  </si>
  <si>
    <t>209 - LSR - Loan Interest Stripping Received</t>
  </si>
  <si>
    <t>LOR - Loan Origination Fee Stripping Received</t>
  </si>
  <si>
    <t>210 - LOR - Loan Origination Fee Stripping Received</t>
  </si>
  <si>
    <t>LFS - Loan Exit Fee Stripping Received</t>
  </si>
  <si>
    <t>211 - LFS - Loan Exit Fee Stripping Received</t>
  </si>
  <si>
    <t>LFD - Loan Financing Draw</t>
  </si>
  <si>
    <t>212 - LFD - Loan Financing Draw</t>
  </si>
  <si>
    <t>LFC - Loan Financing Curtailment</t>
  </si>
  <si>
    <t>213 - LFC - Loan Financing Curtailment</t>
  </si>
  <si>
    <t>LFI - Loan Financing Interest Expense</t>
  </si>
  <si>
    <t>214 - LFI - Loan Financing Interest Expense</t>
  </si>
  <si>
    <t>LFP - Loan Financing Principal Payment</t>
  </si>
  <si>
    <t>215 - LFP - Loan Financing Principal Payment</t>
  </si>
  <si>
    <t>LDP - Loan Financing Draw Fee Paid</t>
  </si>
  <si>
    <t>216 - LDP - Loan Financing Draw Fee Paid</t>
  </si>
  <si>
    <t>FUF - Financing Unused Fees</t>
  </si>
  <si>
    <t>217 - FUF - Financing Unused Fees</t>
  </si>
  <si>
    <t>FFA - Financing Fees Amort</t>
  </si>
  <si>
    <t>218 - FFA - Financing Fees Amort</t>
  </si>
  <si>
    <t>FDC - Financing Deferred Cost</t>
  </si>
  <si>
    <t>219 - FDC - Financing Deferred Cost</t>
  </si>
  <si>
    <t>FOP - Financing Origination Fees Paid</t>
  </si>
  <si>
    <t>220 - FOP - Financing Origination Fees Paid</t>
  </si>
  <si>
    <t>LEP - Financing Exit Fees Paid</t>
  </si>
  <si>
    <t>221 - LEP - Financing Exit Fees Paid</t>
  </si>
  <si>
    <t>LAF - Financing Additional Fees Paid</t>
  </si>
  <si>
    <t>222 - LAF - Financing Additional Fees Paid</t>
  </si>
  <si>
    <t>POP - Preferred Equity Origination/Purchase</t>
  </si>
  <si>
    <t>223 - POP - Preferred Equity Origination/Purchase</t>
  </si>
  <si>
    <t>POF - Preferred Equity Origination Fees Received</t>
  </si>
  <si>
    <t>224 - POF - Preferred Equity Origination Fees Received</t>
  </si>
  <si>
    <t>PER - Preferred Equity Exit Fees Received</t>
  </si>
  <si>
    <t>225 - PER - Preferred Equity Exit Fees Received</t>
  </si>
  <si>
    <t>PAR - Preferred Equity Additional Fees Received</t>
  </si>
  <si>
    <t>226 - PAR - Preferred Equity Additional Fees Received</t>
  </si>
  <si>
    <t>PPR - Preferred Equity Principal Received</t>
  </si>
  <si>
    <t>227 - PPR - Preferred Equity Principal Received</t>
  </si>
  <si>
    <t>PBP - Preferred Equity Balloon Payment</t>
  </si>
  <si>
    <t>228 - PBP - Preferred Equity Balloon Payment</t>
  </si>
  <si>
    <t>PPI - Preferred Equity PIK Interest</t>
  </si>
  <si>
    <t>229 - PPI - Preferred Equity PIK Interest</t>
  </si>
  <si>
    <t>PIS - Preferred Equity Interest Stripped</t>
  </si>
  <si>
    <t>230 - PIS - Preferred Equity Interest Stripped</t>
  </si>
  <si>
    <t>POS - Preferred Equity Origination Fees Stripped</t>
  </si>
  <si>
    <t>231 - POS - Preferred Equity Origination Fees Stripped</t>
  </si>
  <si>
    <t>PAF - Preferred Equity Additional Fees Stripped</t>
  </si>
  <si>
    <t>232 - PAF - Preferred Equity Additional Fees Stripped</t>
  </si>
  <si>
    <t>PES - Preferred Equity Exit Fees Stripped</t>
  </si>
  <si>
    <t>233 - PES - Preferred Equity Exit Fees Stripped</t>
  </si>
  <si>
    <t>PSR - Preferred Equity Interest Stripping Received</t>
  </si>
  <si>
    <t>234 - PSR - Preferred Equity Interest Stripping Received</t>
  </si>
  <si>
    <t>POR - Preferred Equity Origination Fee Stripping Received</t>
  </si>
  <si>
    <t>235 - POR - Preferred Equity Origination Fee Stripping Received</t>
  </si>
  <si>
    <t>PFS - Preferred Equity Exit Fee Stripping Received</t>
  </si>
  <si>
    <t>236 - PFS - Preferred Equity Exit Fee Stripping Received</t>
  </si>
  <si>
    <t>PFD - Preferred Equity Financing Draw</t>
  </si>
  <si>
    <t>237 - PFD - Preferred Equity Financing Draw</t>
  </si>
  <si>
    <t>PCU - Preferred Equity Curtailment</t>
  </si>
  <si>
    <t>238 - PCU - Preferred Equity Curtailment</t>
  </si>
  <si>
    <t>PFI - Preferred Equity Financing Interest Expense</t>
  </si>
  <si>
    <t>239 - PFI - Preferred Equity Financing Interest Expense</t>
  </si>
  <si>
    <t>PFP - Preferred Equity Financing Principal Payment</t>
  </si>
  <si>
    <t>240 - PFP - Preferred Equity Financing Principal Payment</t>
  </si>
  <si>
    <t>PFC - Preferred Equity Financing curtailment</t>
  </si>
  <si>
    <t>241 - PFC - Preferred Equity Financing curtailment</t>
  </si>
  <si>
    <t>PIR - Preferred Equity Interest Received</t>
  </si>
  <si>
    <t>242 - PIR - Preferred Equity Interest Received</t>
  </si>
  <si>
    <t>PDA - Preferred Eq Discount Accretion</t>
  </si>
  <si>
    <t>243 - PDA - Preferred Eq Discount Accretion</t>
  </si>
  <si>
    <t>1M USD SOFR</t>
  </si>
  <si>
    <t>777 - 1M USD SOFR</t>
  </si>
  <si>
    <t>BackShop Import</t>
  </si>
  <si>
    <t>253 - BackShop Import</t>
  </si>
  <si>
    <t>Posted</t>
  </si>
  <si>
    <t>254 - Posted</t>
  </si>
  <si>
    <t>Not Posted</t>
  </si>
  <si>
    <t>255 - Not Posted</t>
  </si>
  <si>
    <t>By BackShop</t>
  </si>
  <si>
    <t>256 - By BackShop</t>
  </si>
  <si>
    <t>System Generated</t>
  </si>
  <si>
    <t>257 - System Generated</t>
  </si>
  <si>
    <t>Copy Deal</t>
  </si>
  <si>
    <t>349 - Copy Deal</t>
  </si>
  <si>
    <t>By Sizer</t>
  </si>
  <si>
    <t>352 - By Sizer</t>
  </si>
  <si>
    <t>Imported</t>
  </si>
  <si>
    <t>613 - Imported</t>
  </si>
  <si>
    <t>ManualUpdate</t>
  </si>
  <si>
    <t>682 - ManualUpdate</t>
  </si>
  <si>
    <t>Copy Note</t>
  </si>
  <si>
    <t>714 - Copy Note</t>
  </si>
  <si>
    <t>Funding sequence</t>
  </si>
  <si>
    <t>258 - Funding sequence</t>
  </si>
  <si>
    <t>Repayment sequence</t>
  </si>
  <si>
    <t>259 - Repayment sequence</t>
  </si>
  <si>
    <t>Interest Received</t>
  </si>
  <si>
    <t>262 - Interest Received</t>
  </si>
  <si>
    <t>Principal Received</t>
  </si>
  <si>
    <t>263 - Principal Received</t>
  </si>
  <si>
    <t>Fees Received</t>
  </si>
  <si>
    <t>264 - Fees Received</t>
  </si>
  <si>
    <t>Prepayment Fee Received</t>
  </si>
  <si>
    <t>420 - Prepayment Fee Received</t>
  </si>
  <si>
    <t>Exit Fee Received</t>
  </si>
  <si>
    <t>421 - Exit Fee Received</t>
  </si>
  <si>
    <t>Extension Fee Received</t>
  </si>
  <si>
    <t>422 - Extension Fee Received</t>
  </si>
  <si>
    <t>PIKInterestPaid</t>
  </si>
  <si>
    <t>652 - PIKInterestPaid</t>
  </si>
  <si>
    <t>Failed</t>
  </si>
  <si>
    <t>265 - Failed</t>
  </si>
  <si>
    <t>Completed</t>
  </si>
  <si>
    <t>266 - Completed</t>
  </si>
  <si>
    <t>Running</t>
  </si>
  <si>
    <t>267 - Running</t>
  </si>
  <si>
    <t>Processing</t>
  </si>
  <si>
    <t>292 - Processing</t>
  </si>
  <si>
    <t>Dependents</t>
  </si>
  <si>
    <t>326 - Dependents</t>
  </si>
  <si>
    <t>CalcSubmit</t>
  </si>
  <si>
    <t>735 - CalcSubmit</t>
  </si>
  <si>
    <t>CancelCalc</t>
  </si>
  <si>
    <t>736 - CancelCalc</t>
  </si>
  <si>
    <t>SaveDBPending</t>
  </si>
  <si>
    <t>810 - SaveDBPending</t>
  </si>
  <si>
    <t>CRES-Dev</t>
  </si>
  <si>
    <t>268 - CRES-Dev</t>
  </si>
  <si>
    <t>CRES-QA</t>
  </si>
  <si>
    <t>269 - CRES-QA</t>
  </si>
  <si>
    <t>CRES-PP</t>
  </si>
  <si>
    <t>270 - CRES-PP</t>
  </si>
  <si>
    <t>CRES-Prod</t>
  </si>
  <si>
    <t>271 - CRES-Prod</t>
  </si>
  <si>
    <t>Real Time</t>
  </si>
  <si>
    <t>272 - Real Time</t>
  </si>
  <si>
    <t>Batch</t>
  </si>
  <si>
    <t>273 - Batch</t>
  </si>
  <si>
    <t>CREDealID</t>
  </si>
  <si>
    <t>285 - CREDealID</t>
  </si>
  <si>
    <t>DealName</t>
  </si>
  <si>
    <t>286 - DealName</t>
  </si>
  <si>
    <t>CRENoteID</t>
  </si>
  <si>
    <t>287 - CRENoteID</t>
  </si>
  <si>
    <t>288 - NoteName</t>
  </si>
  <si>
    <t>PropertyName</t>
  </si>
  <si>
    <t>289 - PropertyName</t>
  </si>
  <si>
    <t>PropertyAddress</t>
  </si>
  <si>
    <t>290 - PropertyAddress</t>
  </si>
  <si>
    <t>FinancingFacilityName</t>
  </si>
  <si>
    <t>291 - FinancingFacilityName</t>
  </si>
  <si>
    <t>ClientNoteID</t>
  </si>
  <si>
    <t>322 - ClientNoteID</t>
  </si>
  <si>
    <t>Critical</t>
  </si>
  <si>
    <t>293 - Critical</t>
  </si>
  <si>
    <t>Normal</t>
  </si>
  <si>
    <t>294 - Normal</t>
  </si>
  <si>
    <t>Info</t>
  </si>
  <si>
    <t>295 - Info</t>
  </si>
  <si>
    <t>Default</t>
  </si>
  <si>
    <t>300 - Default</t>
  </si>
  <si>
    <t>Out of scope</t>
  </si>
  <si>
    <t>301 - Out of scope</t>
  </si>
  <si>
    <t>Funding</t>
  </si>
  <si>
    <t>302 - Funding</t>
  </si>
  <si>
    <t>Curtailment</t>
  </si>
  <si>
    <t>303 - Curtailment</t>
  </si>
  <si>
    <t>304 - Origination Fees</t>
  </si>
  <si>
    <t>305 - Exit Fees</t>
  </si>
  <si>
    <t>Prepayment Fees</t>
  </si>
  <si>
    <t>306 - Prepayment Fees</t>
  </si>
  <si>
    <t>307 - Additional Fees</t>
  </si>
  <si>
    <t>308 - Interest</t>
  </si>
  <si>
    <t>Balloon Payment</t>
  </si>
  <si>
    <t>309 - Balloon Payment</t>
  </si>
  <si>
    <t>310 - Initial Funding</t>
  </si>
  <si>
    <t>Scheduled Principal</t>
  </si>
  <si>
    <t>311 - Scheduled Principal</t>
  </si>
  <si>
    <t>Amort</t>
  </si>
  <si>
    <t>312 - Amort</t>
  </si>
  <si>
    <t>Ending Balance</t>
  </si>
  <si>
    <t>313 - Ending Balance</t>
  </si>
  <si>
    <t>Book Value</t>
  </si>
  <si>
    <t>314 - Book Value</t>
  </si>
  <si>
    <t>TI/LC</t>
  </si>
  <si>
    <t>320 - TI/LC</t>
  </si>
  <si>
    <t>Capitalized Interest (Complex)</t>
  </si>
  <si>
    <t>517 - Capitalized Interest (Complex)</t>
  </si>
  <si>
    <t>Capitalized Interest (Non-Complex)</t>
  </si>
  <si>
    <t>518 - Capitalized Interest (Non-Complex)</t>
  </si>
  <si>
    <t>OpEx</t>
  </si>
  <si>
    <t>519 - OpEx</t>
  </si>
  <si>
    <t>Force Funding</t>
  </si>
  <si>
    <t>520 - Force Funding</t>
  </si>
  <si>
    <t>Capitalized Interest</t>
  </si>
  <si>
    <t>581 - Capitalized Interest</t>
  </si>
  <si>
    <t>Note Transfer</t>
  </si>
  <si>
    <t>629 - Note Transfer</t>
  </si>
  <si>
    <t>Full Payoff</t>
  </si>
  <si>
    <t>630 - Full Payoff</t>
  </si>
  <si>
    <t>Paydown</t>
  </si>
  <si>
    <t>631 - Paydown</t>
  </si>
  <si>
    <t>Proforma</t>
  </si>
  <si>
    <t>341 - Proforma</t>
  </si>
  <si>
    <t>327 - None</t>
  </si>
  <si>
    <t>Initial or Actual Payoff Date</t>
  </si>
  <si>
    <t>328 - Initial or Actual Payoff Date</t>
  </si>
  <si>
    <t>329 - Expected Maturity Date</t>
  </si>
  <si>
    <t>Extended Maturity Date #1</t>
  </si>
  <si>
    <t>330 - Extended Maturity Date #1</t>
  </si>
  <si>
    <t>Extended Maturity Date #2</t>
  </si>
  <si>
    <t>331 - Extended Maturity Date #2</t>
  </si>
  <si>
    <t>Extended Maturity Date #3</t>
  </si>
  <si>
    <t>332 - Extended Maturity Date #3</t>
  </si>
  <si>
    <t>Open Prepayment Date</t>
  </si>
  <si>
    <t>333 - Open Prepayment Date</t>
  </si>
  <si>
    <t>343 - Fully Extended Maturity Date</t>
  </si>
  <si>
    <t>Current Maturity Date</t>
  </si>
  <si>
    <t>553 - Current Maturity Date</t>
  </si>
  <si>
    <t>Extended Maturity Date</t>
  </si>
  <si>
    <t>715 - Extended Maturity Date</t>
  </si>
  <si>
    <t>334 - Initial or Actual Payoff Date</t>
  </si>
  <si>
    <t>335 - Expected Maturity Date</t>
  </si>
  <si>
    <t>336 - Extended Maturity Date #1</t>
  </si>
  <si>
    <t>337 - Extended Maturity Date #2</t>
  </si>
  <si>
    <t>338 - Extended Maturity Date #3</t>
  </si>
  <si>
    <t>339 - Open Prepayment Date</t>
  </si>
  <si>
    <t>342 - Fully Extended Maturity Date</t>
  </si>
  <si>
    <t>CalculatorEmailNotification</t>
  </si>
  <si>
    <t>340 - CalculatorEmailNotification</t>
  </si>
  <si>
    <t>NewUserEmailNotification</t>
  </si>
  <si>
    <t>347 - NewUserEmailNotification</t>
  </si>
  <si>
    <t>ResetPasswordEmailNotification</t>
  </si>
  <si>
    <t>348 - ResetPasswordEmailNotification</t>
  </si>
  <si>
    <t>ExportFFBackshopFailEmailNotification</t>
  </si>
  <si>
    <t>363 - ExportFFBackshopFailEmailNotification</t>
  </si>
  <si>
    <t>BatchCalculationEmailNotification</t>
  </si>
  <si>
    <t>595 - BatchCalculationEmailNotification</t>
  </si>
  <si>
    <t>DealFailedToSave</t>
  </si>
  <si>
    <t>598 - DealFailedToSave</t>
  </si>
  <si>
    <t>DealGenerateFFFailed</t>
  </si>
  <si>
    <t>615 - DealGenerateFFFailed</t>
  </si>
  <si>
    <t>BatchUploadSummary</t>
  </si>
  <si>
    <t>683 - BatchUploadSummary</t>
  </si>
  <si>
    <t>ForceFundingEmailNotification</t>
  </si>
  <si>
    <t>686 - ForceFundingEmailNotification</t>
  </si>
  <si>
    <t>BackshopImportFailed</t>
  </si>
  <si>
    <t>706 - BackshopImportFailed</t>
  </si>
  <si>
    <t>GenerateAutomationNotification</t>
  </si>
  <si>
    <t>802 - GenerateAutomationNotification</t>
  </si>
  <si>
    <t>GenerateAutomationFundingNotification</t>
  </si>
  <si>
    <t>803 - GenerateAutomationFundingNotification</t>
  </si>
  <si>
    <t>UserDefault_Note</t>
  </si>
  <si>
    <t>344 - UserDefault_Note</t>
  </si>
  <si>
    <t>UserDefault_Deal</t>
  </si>
  <si>
    <t>345 - UserDefault_Deal</t>
  </si>
  <si>
    <t>UserDefault_URL</t>
  </si>
  <si>
    <t>346 - UserDefault_URL</t>
  </si>
  <si>
    <t>353 - First</t>
  </si>
  <si>
    <t>354 - Second</t>
  </si>
  <si>
    <t>355 - Third</t>
  </si>
  <si>
    <t>356 - Mezzanine</t>
  </si>
  <si>
    <t>357 - Pref Equity</t>
  </si>
  <si>
    <t>358 - Ground Lease</t>
  </si>
  <si>
    <t>359 - Junior Mezz</t>
  </si>
  <si>
    <t>360 - Unsecured</t>
  </si>
  <si>
    <t>361 - Other</t>
  </si>
  <si>
    <t>362 - NAV</t>
  </si>
  <si>
    <t>Lowest</t>
  </si>
  <si>
    <t>364 - Lowest</t>
  </si>
  <si>
    <t>Low</t>
  </si>
  <si>
    <t>365 - Low</t>
  </si>
  <si>
    <t>Medium</t>
  </si>
  <si>
    <t>366 - Medium</t>
  </si>
  <si>
    <t>High</t>
  </si>
  <si>
    <t>367 - High</t>
  </si>
  <si>
    <t>Highest</t>
  </si>
  <si>
    <t>368 - Highest</t>
  </si>
  <si>
    <t>Enhancement</t>
  </si>
  <si>
    <t>369 - Enhancement</t>
  </si>
  <si>
    <t>Bug</t>
  </si>
  <si>
    <t>370 - Bug</t>
  </si>
  <si>
    <t>Service</t>
  </si>
  <si>
    <t>371 - Service</t>
  </si>
  <si>
    <t>Business</t>
  </si>
  <si>
    <t>372 - Business</t>
  </si>
  <si>
    <t>Open</t>
  </si>
  <si>
    <t>373 - Open</t>
  </si>
  <si>
    <t>InProgress</t>
  </si>
  <si>
    <t>374 - InProgress</t>
  </si>
  <si>
    <t>OnHold</t>
  </si>
  <si>
    <t>375 - OnHold</t>
  </si>
  <si>
    <t>376 - Cancelled</t>
  </si>
  <si>
    <t>RequiresFeedback</t>
  </si>
  <si>
    <t>377 - RequiresFeedback</t>
  </si>
  <si>
    <t>Closed</t>
  </si>
  <si>
    <t>378 - Closed</t>
  </si>
  <si>
    <t>379 - Task</t>
  </si>
  <si>
    <t>TaskComments</t>
  </si>
  <si>
    <t>380 - TaskComments</t>
  </si>
  <si>
    <t>381 - Comment</t>
  </si>
  <si>
    <t>Schedule change</t>
  </si>
  <si>
    <t>382 - Schedule change</t>
  </si>
  <si>
    <t>Task created</t>
  </si>
  <si>
    <t>383 - Task created</t>
  </si>
  <si>
    <t>Status change</t>
  </si>
  <si>
    <t>384 - Status change</t>
  </si>
  <si>
    <t>Priority change</t>
  </si>
  <si>
    <t>385 - Priority change</t>
  </si>
  <si>
    <t>Assignment change</t>
  </si>
  <si>
    <t>386 - Assignment change</t>
  </si>
  <si>
    <t>Deadline change</t>
  </si>
  <si>
    <t>387 - Deadline change</t>
  </si>
  <si>
    <t>Wells Fargo</t>
  </si>
  <si>
    <t>389 - Wells Fargo</t>
  </si>
  <si>
    <t>390 - Other</t>
  </si>
  <si>
    <t>AzureBlob</t>
  </si>
  <si>
    <t>392 - AzureBlob</t>
  </si>
  <si>
    <t>Directory</t>
  </si>
  <si>
    <t>393 - Directory</t>
  </si>
  <si>
    <t>Created</t>
  </si>
  <si>
    <t>394 - Created</t>
  </si>
  <si>
    <t>Deleted</t>
  </si>
  <si>
    <t>395 - Deleted</t>
  </si>
  <si>
    <t>Stripping Payrules</t>
  </si>
  <si>
    <t>396 - Stripping Payrules</t>
  </si>
  <si>
    <t>Funding Rules</t>
  </si>
  <si>
    <t>397 - Funding Rules</t>
  </si>
  <si>
    <t>Funding Schedules</t>
  </si>
  <si>
    <t>398 - Funding Schedules</t>
  </si>
  <si>
    <t>Spread Schedules</t>
  </si>
  <si>
    <t>399 - Spread Schedules</t>
  </si>
  <si>
    <t>Prepay Fee Schedules</t>
  </si>
  <si>
    <t>400 - Prepay Fee Schedules</t>
  </si>
  <si>
    <t>Stripping Schedules</t>
  </si>
  <si>
    <t>401 - Stripping Schedules</t>
  </si>
  <si>
    <t>402 - Funding Schedules</t>
  </si>
  <si>
    <t>Coupon Schedule</t>
  </si>
  <si>
    <t>403 - Coupon Schedule</t>
  </si>
  <si>
    <t>Amortization Schedule</t>
  </si>
  <si>
    <t>404 - Amortization Schedule</t>
  </si>
  <si>
    <t>Maturity Schedule</t>
  </si>
  <si>
    <t>413 - Maturity Schedule</t>
  </si>
  <si>
    <t>PIK Schedule</t>
  </si>
  <si>
    <t>495 - PIK Schedule</t>
  </si>
  <si>
    <t>Manual Cashflow</t>
  </si>
  <si>
    <t>685 - Manual Cashflow</t>
  </si>
  <si>
    <t>Market Price</t>
  </si>
  <si>
    <t>780 - Market Price</t>
  </si>
  <si>
    <t>406 - Other</t>
  </si>
  <si>
    <t>407 - Loan Agreement</t>
  </si>
  <si>
    <t>408 - Closing</t>
  </si>
  <si>
    <t>Finance</t>
  </si>
  <si>
    <t>409 - Finance</t>
  </si>
  <si>
    <t>Settlement</t>
  </si>
  <si>
    <t>410 - Settlement</t>
  </si>
  <si>
    <t>597 - Settlement Statement</t>
  </si>
  <si>
    <t>PMT Date</t>
  </si>
  <si>
    <t>411 - PMT Date</t>
  </si>
  <si>
    <t>Index Date</t>
  </si>
  <si>
    <t>412 - Index Date</t>
  </si>
  <si>
    <t>DealNote</t>
  </si>
  <si>
    <t>414 - DealNote</t>
  </si>
  <si>
    <t>DealPayrules</t>
  </si>
  <si>
    <t>415 - DealPayrules</t>
  </si>
  <si>
    <t>DealFunding</t>
  </si>
  <si>
    <t>416 - DealFunding</t>
  </si>
  <si>
    <t>DocumentImport</t>
  </si>
  <si>
    <t>417 - DocumentImport</t>
  </si>
  <si>
    <t>418 - DealStatus</t>
  </si>
  <si>
    <t>DealNoteStatus</t>
  </si>
  <si>
    <t>419 - DealNoteStatus</t>
  </si>
  <si>
    <t>DealAutoSpread</t>
  </si>
  <si>
    <t>634 - DealAutoSpread</t>
  </si>
  <si>
    <t>DealMaturity</t>
  </si>
  <si>
    <t>774 - DealMaturity</t>
  </si>
  <si>
    <t>Archived</t>
  </si>
  <si>
    <t>423 - Archived</t>
  </si>
  <si>
    <t>424 - 3RD_PARTY_OWNED</t>
  </si>
  <si>
    <t>425 - ACORECREDIT4</t>
  </si>
  <si>
    <t>CAPONESUB</t>
  </si>
  <si>
    <t>426 - CAPONESUB</t>
  </si>
  <si>
    <t>427 - COFUNDING</t>
  </si>
  <si>
    <t>428 - DELPHI_ACORE</t>
  </si>
  <si>
    <t>429 - DELPHI_PORT</t>
  </si>
  <si>
    <t>430 - DELPHI_WH</t>
  </si>
  <si>
    <t>431 - DELPHI_WH_Hold</t>
  </si>
  <si>
    <t>MORGANREPO</t>
  </si>
  <si>
    <t>432 - MORGANREPO</t>
  </si>
  <si>
    <t>433 - NOTE_SALE</t>
  </si>
  <si>
    <t>OPPORTUNISTIC_SALE</t>
  </si>
  <si>
    <t>434 - OPPORTUNISTIC_SALE</t>
  </si>
  <si>
    <t>REFIPROG</t>
  </si>
  <si>
    <t>435 - REFIPROG</t>
  </si>
  <si>
    <t>TBD</t>
  </si>
  <si>
    <t>436 - TBD</t>
  </si>
  <si>
    <t>TREACRGL</t>
  </si>
  <si>
    <t>437 - TREACRGL</t>
  </si>
  <si>
    <t>438 - TREACRJPN</t>
  </si>
  <si>
    <t>439 - TREACRUS</t>
  </si>
  <si>
    <t>TREACRUS2</t>
  </si>
  <si>
    <t>440 - TREACRUS2</t>
  </si>
  <si>
    <t>WELLFARGOREPO</t>
  </si>
  <si>
    <t>441 - WELLFARGOREPO</t>
  </si>
  <si>
    <t>455 - None</t>
  </si>
  <si>
    <t>580 - Delphi Fixed</t>
  </si>
  <si>
    <t>ACORECRD4GOLDM</t>
  </si>
  <si>
    <t>599 - ACORECRD4GOLDM</t>
  </si>
  <si>
    <t>ACORECREDIT4OFF</t>
  </si>
  <si>
    <t>600 - ACORECREDIT4OFF</t>
  </si>
  <si>
    <t>BCIMC</t>
  </si>
  <si>
    <t>601 - BCIMC</t>
  </si>
  <si>
    <t>602 - DELPHISEASON</t>
  </si>
  <si>
    <t>ACORE Credit IV - MS</t>
  </si>
  <si>
    <t>603 - ACORE Credit IV - MS</t>
  </si>
  <si>
    <t>442 - Senior</t>
  </si>
  <si>
    <t>443 - Sub</t>
  </si>
  <si>
    <t>444 - 3rd Party</t>
  </si>
  <si>
    <t>456 - None</t>
  </si>
  <si>
    <t>565 - AC IV CA Mortgage LLC</t>
  </si>
  <si>
    <t>ACORE Credit IV CLO Issuer 2018-1, LLC</t>
  </si>
  <si>
    <t>566 - ACORE Credit IV CLO Issuer 2018-1, LLC</t>
  </si>
  <si>
    <t>567 - ACORE Credit IV REIT II SPV, LLC</t>
  </si>
  <si>
    <t>568 - ACORE Credit IV TRS, LLC</t>
  </si>
  <si>
    <t>569 - ACORE Credit IV REIT (MS) SPV, LLC</t>
  </si>
  <si>
    <t>570 - Co-Fund</t>
  </si>
  <si>
    <t>445 - Billing</t>
  </si>
  <si>
    <t>446 - Legal</t>
  </si>
  <si>
    <t>457 - None</t>
  </si>
  <si>
    <t>Delphi I</t>
  </si>
  <si>
    <t>447 - Delphi I</t>
  </si>
  <si>
    <t>448 - 3rd Party</t>
  </si>
  <si>
    <t>449 - AFLAC US</t>
  </si>
  <si>
    <t>450 - ACORE Credit IV</t>
  </si>
  <si>
    <t>Delphi II</t>
  </si>
  <si>
    <t>451 - Delphi II</t>
  </si>
  <si>
    <t>Delphi III</t>
  </si>
  <si>
    <t>452 - Delphi III</t>
  </si>
  <si>
    <t>453 - TRE ACR</t>
  </si>
  <si>
    <t>Delphi IV</t>
  </si>
  <si>
    <t>454 - Delphi IV</t>
  </si>
  <si>
    <t>458 - None</t>
  </si>
  <si>
    <t>ACORE Credit IV - Offshore</t>
  </si>
  <si>
    <t>724 - ACORE Credit IV - Offshore</t>
  </si>
  <si>
    <t>ACSS</t>
  </si>
  <si>
    <t>725 - ACSS</t>
  </si>
  <si>
    <t>726 - AHIP</t>
  </si>
  <si>
    <t>727 - Delaware Life</t>
  </si>
  <si>
    <t>728 - Delphi Fixed</t>
  </si>
  <si>
    <t>729 - Delphi Offshore</t>
  </si>
  <si>
    <t>Delphi V</t>
  </si>
  <si>
    <t>730 - Delphi V</t>
  </si>
  <si>
    <t>Delphi VI</t>
  </si>
  <si>
    <t>731 - Delphi VI</t>
  </si>
  <si>
    <t>Delphi VII</t>
  </si>
  <si>
    <t>732 - Delphi VII</t>
  </si>
  <si>
    <t>Delphi VIII</t>
  </si>
  <si>
    <t>779 - Delphi VIII</t>
  </si>
  <si>
    <t>TRE ACR Series II</t>
  </si>
  <si>
    <t>785 - TRE ACR Series II</t>
  </si>
  <si>
    <t>ACP II</t>
  </si>
  <si>
    <t>786 - ACP II</t>
  </si>
  <si>
    <t>Harel</t>
  </si>
  <si>
    <t>787 - Harel</t>
  </si>
  <si>
    <t>SILAC</t>
  </si>
  <si>
    <t>788 - SILAC</t>
  </si>
  <si>
    <t>Equitrust</t>
  </si>
  <si>
    <t>790 - Equitrust</t>
  </si>
  <si>
    <t>Aksia</t>
  </si>
  <si>
    <t>805 - Aksia</t>
  </si>
  <si>
    <t>Delphi IX</t>
  </si>
  <si>
    <t>817 - Delphi IX</t>
  </si>
  <si>
    <t>Box</t>
  </si>
  <si>
    <t>459 - Box</t>
  </si>
  <si>
    <t>LocalServer</t>
  </si>
  <si>
    <t>641 - LocalServer</t>
  </si>
  <si>
    <t>FTPServer</t>
  </si>
  <si>
    <t>642 - FTPServer</t>
  </si>
  <si>
    <t>467 - CapEx</t>
  </si>
  <si>
    <t>468 - Debt Service</t>
  </si>
  <si>
    <t>Deferred Maintenance</t>
  </si>
  <si>
    <t>469 - Deferred Maintenance</t>
  </si>
  <si>
    <t>470 - Environmental Reserve</t>
  </si>
  <si>
    <t>Excess Cash Flow</t>
  </si>
  <si>
    <t>471 - Excess Cash Flow</t>
  </si>
  <si>
    <t>472 - FF &amp; E Reserve</t>
  </si>
  <si>
    <t>473 - Ground Rent</t>
  </si>
  <si>
    <t>474 - Holdback</t>
  </si>
  <si>
    <t>475 - Immediate Repairs</t>
  </si>
  <si>
    <t>476 - Insurance</t>
  </si>
  <si>
    <t>477 - Interest</t>
  </si>
  <si>
    <t>478 - Leasing Commissions</t>
  </si>
  <si>
    <t>Loss Draft Account</t>
  </si>
  <si>
    <t>479 - Loss Draft Account</t>
  </si>
  <si>
    <t>480 - Net Proceeds</t>
  </si>
  <si>
    <t>481 - Operating Reserve</t>
  </si>
  <si>
    <t>482 - Other</t>
  </si>
  <si>
    <t>483 - PIP Reserve</t>
  </si>
  <si>
    <t>484 - Replacement Reserves</t>
  </si>
  <si>
    <t>485 - Rollover Reserve</t>
  </si>
  <si>
    <t>486 - Seasonality</t>
  </si>
  <si>
    <t>487 - Security Deposit</t>
  </si>
  <si>
    <t>Tax and Insurance</t>
  </si>
  <si>
    <t>488 - Tax and Insurance</t>
  </si>
  <si>
    <t>489 - Taxes</t>
  </si>
  <si>
    <t>490 - TI and LC</t>
  </si>
  <si>
    <t>491 - Liquidity Reserve</t>
  </si>
  <si>
    <t>492 - Expense Reserve</t>
  </si>
  <si>
    <t>493 - Tenant Improvements</t>
  </si>
  <si>
    <t>494 - Project Reserve</t>
  </si>
  <si>
    <t>589 - Construction Draw Reserve</t>
  </si>
  <si>
    <t>590 - Free Rent Reserve</t>
  </si>
  <si>
    <t>591 - Retention Reserve</t>
  </si>
  <si>
    <t>Reject</t>
  </si>
  <si>
    <t>496 - Reject</t>
  </si>
  <si>
    <t>Save (Draft)</t>
  </si>
  <si>
    <t>497 - Save (Draft)</t>
  </si>
  <si>
    <t>Submit for Approver</t>
  </si>
  <si>
    <t>498 - Submit for Approver</t>
  </si>
  <si>
    <t>Save</t>
  </si>
  <si>
    <t>551 - Save</t>
  </si>
  <si>
    <t>WFNotification</t>
  </si>
  <si>
    <t>582 - WFNotification</t>
  </si>
  <si>
    <t>499 - Yes</t>
  </si>
  <si>
    <t>Waived</t>
  </si>
  <si>
    <t>500 - Waived</t>
  </si>
  <si>
    <t>501 - N/A</t>
  </si>
  <si>
    <t>Pending</t>
  </si>
  <si>
    <t>550 - Pending</t>
  </si>
  <si>
    <t>616 - No</t>
  </si>
  <si>
    <t>503 - Cash Flow Only</t>
  </si>
  <si>
    <t>CF + GAAP Basis (Prospective)</t>
  </si>
  <si>
    <t>504 - CF + GAAP Basis (Prospective)</t>
  </si>
  <si>
    <t>CF + PV Basis (Prospective)</t>
  </si>
  <si>
    <t>505 - CF + PV Basis (Prospective)</t>
  </si>
  <si>
    <t>Full Mode (Prospective)</t>
  </si>
  <si>
    <t>506 - Full Mode (Prospective)</t>
  </si>
  <si>
    <t>CF + GAAP Basis (Inception)</t>
  </si>
  <si>
    <t>507 - CF + GAAP Basis (Inception)</t>
  </si>
  <si>
    <t>CF + PV Basis (Inception)</t>
  </si>
  <si>
    <t>508 - CF + PV Basis (Inception)</t>
  </si>
  <si>
    <t>Full Mode (Inception)</t>
  </si>
  <si>
    <t>509 - Full Mode (Inception)</t>
  </si>
  <si>
    <t>Client</t>
  </si>
  <si>
    <t>510 - Client</t>
  </si>
  <si>
    <t>Pool</t>
  </si>
  <si>
    <t>511 - Pool</t>
  </si>
  <si>
    <t>MaturityDate</t>
  </si>
  <si>
    <t>512 - MaturityDate</t>
  </si>
  <si>
    <t>Fund</t>
  </si>
  <si>
    <t>574 - Fund</t>
  </si>
  <si>
    <t>FinancingSource</t>
  </si>
  <si>
    <t>633 - FinancingSource</t>
  </si>
  <si>
    <t>Next Month</t>
  </si>
  <si>
    <t>513 - Next Month</t>
  </si>
  <si>
    <t>Previous Month</t>
  </si>
  <si>
    <t>514 - Previous Month</t>
  </si>
  <si>
    <t>Next Quater</t>
  </si>
  <si>
    <t>515 - Next Quater</t>
  </si>
  <si>
    <t>Year End</t>
  </si>
  <si>
    <t>516 - Year End</t>
  </si>
  <si>
    <t>528 - None</t>
  </si>
  <si>
    <t>Servicing</t>
  </si>
  <si>
    <t>521 - Servicing</t>
  </si>
  <si>
    <t>M61</t>
  </si>
  <si>
    <t>522 - M61</t>
  </si>
  <si>
    <t>Ignore</t>
  </si>
  <si>
    <t>523 - Ignore</t>
  </si>
  <si>
    <t>Less than and equal to 0.1</t>
  </si>
  <si>
    <t>524 - Less than and equal to 0.1</t>
  </si>
  <si>
    <t>From 0.1 to 0.99</t>
  </si>
  <si>
    <t>525 - From 0.1 to 0.99</t>
  </si>
  <si>
    <t>Between 1 and 50</t>
  </si>
  <si>
    <t>526 - Between 1 and 50</t>
  </si>
  <si>
    <t>Greater than 50</t>
  </si>
  <si>
    <t>527 - Greater than 50</t>
  </si>
  <si>
    <t>529 - Default</t>
  </si>
  <si>
    <t>Fee on Unfunded Commitment</t>
  </si>
  <si>
    <t>530 - Fee on Unfunded Commitment</t>
  </si>
  <si>
    <t>531 - Monthly</t>
  </si>
  <si>
    <t>532 - Quarterly</t>
  </si>
  <si>
    <t>Semi-Annually</t>
  </si>
  <si>
    <t>533 - Semi-Annually</t>
  </si>
  <si>
    <t>534 - Annually</t>
  </si>
  <si>
    <t>535 - Actual/360</t>
  </si>
  <si>
    <t>Actual/Actual</t>
  </si>
  <si>
    <t>536 - Actual/Actual</t>
  </si>
  <si>
    <t>Hard Start Date</t>
  </si>
  <si>
    <t>537 - Hard Start Date</t>
  </si>
  <si>
    <t>538 - Loan Closing Date</t>
  </si>
  <si>
    <t>Date of First Advance</t>
  </si>
  <si>
    <t>539 - Date of First Advance</t>
  </si>
  <si>
    <t>Period Start Date of First Advance</t>
  </si>
  <si>
    <t>540 - Period Start Date of First Advance</t>
  </si>
  <si>
    <t>Calendar Period</t>
  </si>
  <si>
    <t>541 - Calendar Period</t>
  </si>
  <si>
    <t>Interest Period</t>
  </si>
  <si>
    <t>542 - Interest Period</t>
  </si>
  <si>
    <t>Transaction Based</t>
  </si>
  <si>
    <t>543 - Transaction Based</t>
  </si>
  <si>
    <t>Payment Period</t>
  </si>
  <si>
    <t>544 - Payment Period</t>
  </si>
  <si>
    <t>Date Specific</t>
  </si>
  <si>
    <t>545 - Date Specific</t>
  </si>
  <si>
    <t>Open Period</t>
  </si>
  <si>
    <t>546 - Open Period</t>
  </si>
  <si>
    <t>547 - TRUE</t>
  </si>
  <si>
    <t>548 - FALSE</t>
  </si>
  <si>
    <t>PeriodicCloseDBBackupEmail</t>
  </si>
  <si>
    <t>549 - PeriodicCloseDBBackupEmail</t>
  </si>
  <si>
    <t>Tier 2 Approval</t>
  </si>
  <si>
    <t>552 - Tier 2 Approval</t>
  </si>
  <si>
    <t>WorkflowAdditionalGroup</t>
  </si>
  <si>
    <t>564 - WorkflowAdditionalGroup</t>
  </si>
  <si>
    <t>1st Approval</t>
  </si>
  <si>
    <t>606 - 1st Approval</t>
  </si>
  <si>
    <t>Approval (L4)</t>
  </si>
  <si>
    <t>610 - Approval (L4)</t>
  </si>
  <si>
    <t>Tier 1 Approval</t>
  </si>
  <si>
    <t>617 - Tier 1 Approval</t>
  </si>
  <si>
    <t xml:space="preserve"> REO Reserve Group</t>
  </si>
  <si>
    <t>720 -  REO Reserve Group</t>
  </si>
  <si>
    <t>554 - Exit Fee</t>
  </si>
  <si>
    <t>Extension Fee</t>
  </si>
  <si>
    <t>555 - Extension Fee</t>
  </si>
  <si>
    <t>556 - Additional Fee</t>
  </si>
  <si>
    <t>557 - Origination Fee</t>
  </si>
  <si>
    <t>558 - Draw Fee</t>
  </si>
  <si>
    <t>559 - Servicing Fee</t>
  </si>
  <si>
    <t>560 - Unused Fee</t>
  </si>
  <si>
    <t>561 - Prepayment Fee</t>
  </si>
  <si>
    <t>Coupon Fee</t>
  </si>
  <si>
    <t>562 - Coupon Fee</t>
  </si>
  <si>
    <t>Other Fee</t>
  </si>
  <si>
    <t>563 - Other Fee</t>
  </si>
  <si>
    <t>Acore Origination Fee</t>
  </si>
  <si>
    <t>684 - Acore Origination Fee</t>
  </si>
  <si>
    <t>575 - None</t>
  </si>
  <si>
    <t>Scheduled</t>
  </si>
  <si>
    <t>576 - Scheduled</t>
  </si>
  <si>
    <t>Sent</t>
  </si>
  <si>
    <t>577 - Sent</t>
  </si>
  <si>
    <t>System</t>
  </si>
  <si>
    <t>578 - System</t>
  </si>
  <si>
    <t>User</t>
  </si>
  <si>
    <t>579 - User</t>
  </si>
  <si>
    <t>583 - N/A</t>
  </si>
  <si>
    <t>Daily</t>
  </si>
  <si>
    <t>584 - Daily</t>
  </si>
  <si>
    <t>Weekly</t>
  </si>
  <si>
    <t>585 - Weekly</t>
  </si>
  <si>
    <t>586 - Monthly</t>
  </si>
  <si>
    <t>587 - Quarterly</t>
  </si>
  <si>
    <t>592 - Include Prepayment Date</t>
  </si>
  <si>
    <t>593 - Exclude Prepayment Date</t>
  </si>
  <si>
    <t>594 - Full Period Accrual</t>
  </si>
  <si>
    <t>WFPrelim</t>
  </si>
  <si>
    <t>604 - WFPrelim</t>
  </si>
  <si>
    <t>WFFinal</t>
  </si>
  <si>
    <t>605 - WFFinal</t>
  </si>
  <si>
    <t>WFConsolidatedPrelim</t>
  </si>
  <si>
    <t>607 - WFConsolidatedPrelim</t>
  </si>
  <si>
    <t>WFFinalWithoutApproval</t>
  </si>
  <si>
    <t>704 - WFFinalWithoutApproval</t>
  </si>
  <si>
    <t>Bell Curve</t>
  </si>
  <si>
    <t>608 - Bell Curve</t>
  </si>
  <si>
    <t>Linear</t>
  </si>
  <si>
    <t>609 - Linear</t>
  </si>
  <si>
    <t>Smooth Step Down</t>
  </si>
  <si>
    <t>611 - Smooth Step Down</t>
  </si>
  <si>
    <t>Smooth Step Up</t>
  </si>
  <si>
    <t>612 - Smooth Step Up</t>
  </si>
  <si>
    <t>AMFundingTeamInternal</t>
  </si>
  <si>
    <t>614 - AMFundingTeamInternal</t>
  </si>
  <si>
    <t>Straight Line Amortization</t>
  </si>
  <si>
    <t>618 - Straight Line Amortization</t>
  </si>
  <si>
    <t>Fixed Payment Amortization</t>
  </si>
  <si>
    <t>619 - Fixed Payment Amortization</t>
  </si>
  <si>
    <t>Full Amortization by Rate &amp; Term</t>
  </si>
  <si>
    <t>620 - Full Amortization by Rate &amp; Term</t>
  </si>
  <si>
    <t>Custom Deal Amortization</t>
  </si>
  <si>
    <t>621 - Custom Deal Amortization</t>
  </si>
  <si>
    <t>Custom Note Amortization</t>
  </si>
  <si>
    <t>622 - Custom Note Amortization</t>
  </si>
  <si>
    <t>IO Only</t>
  </si>
  <si>
    <t>623 - IO Only</t>
  </si>
  <si>
    <t>Pro-rata by Commitment</t>
  </si>
  <si>
    <t>624 - Pro-rata by Commitment</t>
  </si>
  <si>
    <t>Pro-rata by Ending Funded Balance</t>
  </si>
  <si>
    <t>625 - Pro-rata by Ending Funded Balance</t>
  </si>
  <si>
    <t>Pro-rata by Ending Balance</t>
  </si>
  <si>
    <t>626 - Pro-rata by Ending Balance</t>
  </si>
  <si>
    <t>Pro-rata by Beginning Balance</t>
  </si>
  <si>
    <t>627 - Pro-rata by Beginning Balance</t>
  </si>
  <si>
    <t>628 - Custom</t>
  </si>
  <si>
    <t>Not Applicable</t>
  </si>
  <si>
    <t>635 - Not Applicable</t>
  </si>
  <si>
    <t>Use Payrules</t>
  </si>
  <si>
    <t>636 - Use Payrules</t>
  </si>
  <si>
    <t>DealNoteAmountDiscrepancy</t>
  </si>
  <si>
    <t>632 - DealNoteAmountDiscrepancy</t>
  </si>
  <si>
    <t>637 - Closing</t>
  </si>
  <si>
    <t>Prepayment</t>
  </si>
  <si>
    <t>638 - Prepayment</t>
  </si>
  <si>
    <t>Upsize/Mod</t>
  </si>
  <si>
    <t>639 - Upsize/Mod</t>
  </si>
  <si>
    <t>640 - Curtailment</t>
  </si>
  <si>
    <t>649 - Note Transfer</t>
  </si>
  <si>
    <t>Equity Rebalancing</t>
  </si>
  <si>
    <t>690 - Equity Rebalancing</t>
  </si>
  <si>
    <t>691 - Scheduled Principal</t>
  </si>
  <si>
    <t>AccountingReport</t>
  </si>
  <si>
    <t>643 - AccountingReport</t>
  </si>
  <si>
    <t>Select</t>
  </si>
  <si>
    <t>644 - Select</t>
  </si>
  <si>
    <t>PMT Not Received</t>
  </si>
  <si>
    <t>645 - PMT Not Received</t>
  </si>
  <si>
    <t>Override IO Note Interest</t>
  </si>
  <si>
    <t>646 - Override IO Note Interest</t>
  </si>
  <si>
    <t>Add’l Interest Adj</t>
  </si>
  <si>
    <t>647 - Add’l Interest Adj</t>
  </si>
  <si>
    <t>648 - Other</t>
  </si>
  <si>
    <t>WellsImport</t>
  </si>
  <si>
    <t>650 - WellsImport</t>
  </si>
  <si>
    <t>BerkadiaImport</t>
  </si>
  <si>
    <t>651 - BerkadiaImport</t>
  </si>
  <si>
    <t>FHLA1</t>
  </si>
  <si>
    <t>653 - FHLA1</t>
  </si>
  <si>
    <t>FHLA2</t>
  </si>
  <si>
    <t>654 - FHLA2</t>
  </si>
  <si>
    <t>FHLA3</t>
  </si>
  <si>
    <t>655 - FHLA3</t>
  </si>
  <si>
    <t>FHLA4</t>
  </si>
  <si>
    <t>656 - FHLA4</t>
  </si>
  <si>
    <t>FHLA5</t>
  </si>
  <si>
    <t>657 - FHLA5</t>
  </si>
  <si>
    <t>FHLA6</t>
  </si>
  <si>
    <t>658 - FHLA6</t>
  </si>
  <si>
    <t>FHLA7</t>
  </si>
  <si>
    <t>659 - FHLA7</t>
  </si>
  <si>
    <t>FHLA8</t>
  </si>
  <si>
    <t>660 - FHLA8</t>
  </si>
  <si>
    <t>FHLA9</t>
  </si>
  <si>
    <t>661 - FHLA9</t>
  </si>
  <si>
    <t>FHLA10</t>
  </si>
  <si>
    <t>662 - FHLA10</t>
  </si>
  <si>
    <t>FHLA11</t>
  </si>
  <si>
    <t>663 - FHLA11</t>
  </si>
  <si>
    <t>FHLA12</t>
  </si>
  <si>
    <t>664 - FHLA12</t>
  </si>
  <si>
    <t>FHLA13</t>
  </si>
  <si>
    <t>665 - FHLA13</t>
  </si>
  <si>
    <t>FHLA14</t>
  </si>
  <si>
    <t>666 - FHLA14</t>
  </si>
  <si>
    <t>FHLA15</t>
  </si>
  <si>
    <t>667 - FHLA15</t>
  </si>
  <si>
    <t>FHLA16</t>
  </si>
  <si>
    <t>668 - FHLA16</t>
  </si>
  <si>
    <t>FHLA17</t>
  </si>
  <si>
    <t>669 - FHLA17</t>
  </si>
  <si>
    <t>FHLA18</t>
  </si>
  <si>
    <t>670 - FHLA18</t>
  </si>
  <si>
    <t>FHLA19</t>
  </si>
  <si>
    <t>671 - FHLA19</t>
  </si>
  <si>
    <t>FHLA20</t>
  </si>
  <si>
    <t>672 - FHLA20</t>
  </si>
  <si>
    <t>FHLA21</t>
  </si>
  <si>
    <t>673 - FHLA21</t>
  </si>
  <si>
    <t>FHLA22</t>
  </si>
  <si>
    <t>674 - FHLA22</t>
  </si>
  <si>
    <t>FHLA23</t>
  </si>
  <si>
    <t>675 - FHLA23</t>
  </si>
  <si>
    <t>FHLA24</t>
  </si>
  <si>
    <t>676 - FHLA24</t>
  </si>
  <si>
    <t>FHLA25</t>
  </si>
  <si>
    <t>677 - FHLA25</t>
  </si>
  <si>
    <t>FHLA26</t>
  </si>
  <si>
    <t>678 - FHLA26</t>
  </si>
  <si>
    <t>FHLA27</t>
  </si>
  <si>
    <t>679 - FHLA27</t>
  </si>
  <si>
    <t>FHLA28</t>
  </si>
  <si>
    <t>680 - FHLA28</t>
  </si>
  <si>
    <t>FHLA29</t>
  </si>
  <si>
    <t>681 - FHLA29</t>
  </si>
  <si>
    <t>702 - None</t>
  </si>
  <si>
    <t>Contractual</t>
  </si>
  <si>
    <t>687 - Contractual</t>
  </si>
  <si>
    <t>COVID</t>
  </si>
  <si>
    <t>688 - COVID</t>
  </si>
  <si>
    <t>689 - Other</t>
  </si>
  <si>
    <t>Generate</t>
  </si>
  <si>
    <t>692 - Generate</t>
  </si>
  <si>
    <t>Invoiced</t>
  </si>
  <si>
    <t>693 - Invoiced</t>
  </si>
  <si>
    <t>Paid</t>
  </si>
  <si>
    <t>694 - Paid</t>
  </si>
  <si>
    <t>695 - N/A</t>
  </si>
  <si>
    <t>Invoice Queued</t>
  </si>
  <si>
    <t>696 - Invoice Queued</t>
  </si>
  <si>
    <t>Deal Invoice</t>
  </si>
  <si>
    <t>697 - Deal Invoice</t>
  </si>
  <si>
    <t>Deal Funding Invoice</t>
  </si>
  <si>
    <t>698 - Deal Funding Invoice</t>
  </si>
  <si>
    <t>699 - Date Specific</t>
  </si>
  <si>
    <t>Straight-line</t>
  </si>
  <si>
    <t>700 - Straight-line</t>
  </si>
  <si>
    <t>CPR</t>
  </si>
  <si>
    <t>701 - CPR</t>
  </si>
  <si>
    <t>ACORE Accounting</t>
  </si>
  <si>
    <t>703 - ACORE Accounting</t>
  </si>
  <si>
    <t>DrawInvoiceException</t>
  </si>
  <si>
    <t>705 - DrawInvoiceException</t>
  </si>
  <si>
    <t>DrawInvoiceSyncNotification</t>
  </si>
  <si>
    <t>707 - DrawInvoiceSyncNotification</t>
  </si>
  <si>
    <t>708 - Initial</t>
  </si>
  <si>
    <t>Extension</t>
  </si>
  <si>
    <t>709 - Extension</t>
  </si>
  <si>
    <t>Fully extended</t>
  </si>
  <si>
    <t>710 - Fully extended</t>
  </si>
  <si>
    <t>ActualPayoffDate</t>
  </si>
  <si>
    <t>711 - ActualPayoffDate</t>
  </si>
  <si>
    <t>ExpectedMaturityDate</t>
  </si>
  <si>
    <t>712 - ExpectedMaturityDate</t>
  </si>
  <si>
    <t>OpenPrepaymentDate</t>
  </si>
  <si>
    <t>713 - OpenPrepaymentDate</t>
  </si>
  <si>
    <t>Reserve Payment</t>
  </si>
  <si>
    <t>716 - Reserve Payment</t>
  </si>
  <si>
    <t>Reserve Release</t>
  </si>
  <si>
    <t>717 - Reserve Release</t>
  </si>
  <si>
    <t>Float Interest</t>
  </si>
  <si>
    <t>718 - Float Interest</t>
  </si>
  <si>
    <t>Most recent effective date</t>
  </si>
  <si>
    <t>721 - Most recent effective date</t>
  </si>
  <si>
    <t>All effective date(s)</t>
  </si>
  <si>
    <t>722 - All effective date(s)</t>
  </si>
  <si>
    <t>Note level</t>
  </si>
  <si>
    <t>723 - Note level</t>
  </si>
  <si>
    <t>733 - Cash</t>
  </si>
  <si>
    <t>Non-Cash</t>
  </si>
  <si>
    <t>734 - Non-Cash</t>
  </si>
  <si>
    <t>PrepaymentEvent</t>
  </si>
  <si>
    <t>737 - PrepaymentEvent</t>
  </si>
  <si>
    <t>Spread Maintenance</t>
  </si>
  <si>
    <t>738 - Spread Maintenance</t>
  </si>
  <si>
    <t>739 - Min Spread</t>
  </si>
  <si>
    <t>Min Interest</t>
  </si>
  <si>
    <t>740 - Min Interest</t>
  </si>
  <si>
    <t>Greater Of SM or Mini Mult</t>
  </si>
  <si>
    <t>741 - Greater Of SM or Mini Mult</t>
  </si>
  <si>
    <t>Principal Balance</t>
  </si>
  <si>
    <t>742 - Principal Balance</t>
  </si>
  <si>
    <t>Original Commitment</t>
  </si>
  <si>
    <t>743 - Original Commitment</t>
  </si>
  <si>
    <t>Current Commitment</t>
  </si>
  <si>
    <t>744 - Current Commitment</t>
  </si>
  <si>
    <t>Initial Future Funding</t>
  </si>
  <si>
    <t>745 - Initial Future Funding</t>
  </si>
  <si>
    <t>User Entered</t>
  </si>
  <si>
    <t>746 - User Entered</t>
  </si>
  <si>
    <t>Auto Spread</t>
  </si>
  <si>
    <t>747 - Auto Spread</t>
  </si>
  <si>
    <t>748 - Funding</t>
  </si>
  <si>
    <t>Assignment (pre-approved)</t>
  </si>
  <si>
    <t>749 - Assignment (pre-approved)</t>
  </si>
  <si>
    <t>Deferral / Waiver &lt; 1 month</t>
  </si>
  <si>
    <t>750 - Deferral / Waiver &lt; 1 month</t>
  </si>
  <si>
    <t>Other Administrative</t>
  </si>
  <si>
    <t>751 - Other Administrative</t>
  </si>
  <si>
    <t>SNDA Approval</t>
  </si>
  <si>
    <t>752 - SNDA Approval</t>
  </si>
  <si>
    <t>Deferral/Waiver 1-6 months</t>
  </si>
  <si>
    <t>753 - Deferral/Waiver 1-6 months</t>
  </si>
  <si>
    <t>Easement / Condemnation (minor)</t>
  </si>
  <si>
    <t>754 - Easement / Condemnation (minor)</t>
  </si>
  <si>
    <t>Lease Approval (minor)</t>
  </si>
  <si>
    <t>755 - Lease Approval (minor)</t>
  </si>
  <si>
    <t>Lease Approval (Major, compliant)</t>
  </si>
  <si>
    <t>756 - Lease Approval (Major, compliant)</t>
  </si>
  <si>
    <t>Extension &lt; 1 month</t>
  </si>
  <si>
    <t>757 - Extension &lt; 1 month</t>
  </si>
  <si>
    <t>Administrative Mod</t>
  </si>
  <si>
    <t>758 - Administrative Mod</t>
  </si>
  <si>
    <t>PM Change</t>
  </si>
  <si>
    <t>759 - PM Change</t>
  </si>
  <si>
    <t>Assignment (consent required)</t>
  </si>
  <si>
    <t>760 - Assignment (consent required)</t>
  </si>
  <si>
    <t>Deferral / Waiver (Material)</t>
  </si>
  <si>
    <t>761 - Deferral / Waiver (Material)</t>
  </si>
  <si>
    <t>Easement / Condemnation (Material)</t>
  </si>
  <si>
    <t>762 - Easement / Condemnation (Material)</t>
  </si>
  <si>
    <t>IRC Change</t>
  </si>
  <si>
    <t>763 - IRC Change</t>
  </si>
  <si>
    <t>Lease Approval (Non-Compliant)</t>
  </si>
  <si>
    <t>764 - Lease Approval (Non-Compliant)</t>
  </si>
  <si>
    <t>765 - Litigation</t>
  </si>
  <si>
    <t>Moderate Extension / Restructuring</t>
  </si>
  <si>
    <t>766 - Moderate Extension / Restructuring</t>
  </si>
  <si>
    <t>Subordinate Financing</t>
  </si>
  <si>
    <t>767 - Subordinate Financing</t>
  </si>
  <si>
    <t>Accrued Interest Waiver &lt;31 days</t>
  </si>
  <si>
    <t>768 - Accrued Interest Waiver &lt;31 days</t>
  </si>
  <si>
    <t>Additional Investment</t>
  </si>
  <si>
    <t>769 - Additional Investment</t>
  </si>
  <si>
    <t>Material Loan Mod</t>
  </si>
  <si>
    <t>770 - Material Loan Mod</t>
  </si>
  <si>
    <t>Material Extension / Restructuring</t>
  </si>
  <si>
    <t>771 - Material Extension / Restructuring</t>
  </si>
  <si>
    <t>Allow Superior Lien</t>
  </si>
  <si>
    <t>772 - Allow Superior Lien</t>
  </si>
  <si>
    <t>CoreCalculator</t>
  </si>
  <si>
    <t>775 - CoreCalculator</t>
  </si>
  <si>
    <t>PrepayCalculator</t>
  </si>
  <si>
    <t>776 - PrepayCalculator</t>
  </si>
  <si>
    <t>EligibleDealsToAutospread</t>
  </si>
  <si>
    <t>781 - EligibleDealsToAutospread</t>
  </si>
  <si>
    <t>To</t>
  </si>
  <si>
    <t>782 - To</t>
  </si>
  <si>
    <t>Cc</t>
  </si>
  <si>
    <t>783 - Cc</t>
  </si>
  <si>
    <t>Bcc</t>
  </si>
  <si>
    <t>784 - Bcc</t>
  </si>
  <si>
    <t>AutoSpread_UnderwritingDataChanged</t>
  </si>
  <si>
    <t>789 - AutoSpread_UnderwritingDataChanged</t>
  </si>
  <si>
    <t>All_AutoSpread_Deals</t>
  </si>
  <si>
    <t>799 - All_AutoSpread_Deals</t>
  </si>
  <si>
    <t>FundingMoveToNextMonth</t>
  </si>
  <si>
    <t>800 - FundingMoveToNextMonth</t>
  </si>
  <si>
    <t>AmortizationAutoWire</t>
  </si>
  <si>
    <t>801 - AmortizationAutoWire</t>
  </si>
  <si>
    <t>CommitmentDiscrepancy</t>
  </si>
  <si>
    <t>806 - CommitmentDiscrepancy</t>
  </si>
  <si>
    <t>Phantom_Deal</t>
  </si>
  <si>
    <t>807 - Phantom_Deal</t>
  </si>
  <si>
    <t>ACORECreditPartnersII</t>
  </si>
  <si>
    <t>791 - ACORECreditPartnersII</t>
  </si>
  <si>
    <t>MissingParentClient</t>
  </si>
  <si>
    <t>792 - MissingParentClient</t>
  </si>
  <si>
    <t>793 - Daily</t>
  </si>
  <si>
    <t>794 - Monthly</t>
  </si>
  <si>
    <t>795 - Quarterly</t>
  </si>
  <si>
    <t>796 - Annually</t>
  </si>
  <si>
    <t>C# (Existing)</t>
  </si>
  <si>
    <t>797 - C# (Existing)</t>
  </si>
  <si>
    <t>V1 (New)</t>
  </si>
  <si>
    <t>798 - V1 (New)</t>
  </si>
  <si>
    <t>-</t>
  </si>
  <si>
    <t>804 - -</t>
  </si>
  <si>
    <t>808 - Credit</t>
  </si>
  <si>
    <t>809 - Debit</t>
  </si>
  <si>
    <t>By Initial accrual end date</t>
  </si>
  <si>
    <t>811 - By Initial accrual end date</t>
  </si>
  <si>
    <t>By First Payment date</t>
  </si>
  <si>
    <t>812 - By First Payment date</t>
  </si>
  <si>
    <t>813 - None</t>
  </si>
  <si>
    <t xml:space="preserve">Next Business day </t>
  </si>
  <si>
    <t xml:space="preserve">814 - Next Business day </t>
  </si>
  <si>
    <t>Previous Business day</t>
  </si>
  <si>
    <t>815 - Previous Business day</t>
  </si>
  <si>
    <t>Closest Business day</t>
  </si>
  <si>
    <t>816 - Closest Business day</t>
  </si>
  <si>
    <t>ParentID</t>
  </si>
  <si>
    <t>Lookup ID</t>
  </si>
  <si>
    <t>Display Name</t>
  </si>
  <si>
    <t>LYesOrNO</t>
  </si>
  <si>
    <t>LClassification</t>
  </si>
  <si>
    <t>LindexName</t>
  </si>
  <si>
    <t>LRoundingRule</t>
  </si>
  <si>
    <t>LPaydownScenarios</t>
  </si>
  <si>
    <t>LdebtType</t>
  </si>
  <si>
    <t>Determination Date Month Relative To Commencement</t>
  </si>
  <si>
    <t>Determination Date Month Relative To Commencement Overrides</t>
  </si>
  <si>
    <t>LRateType</t>
  </si>
  <si>
    <t>LLienPosition</t>
  </si>
  <si>
    <t>1 - Wells Fargo Bank</t>
  </si>
  <si>
    <t>2 - Berkadia Commercial Mortgage</t>
  </si>
  <si>
    <t>Bank of the Ozarks</t>
  </si>
  <si>
    <t>3 - Bank of the Ozarks</t>
  </si>
  <si>
    <t>Canyon Park Owner I LLC</t>
  </si>
  <si>
    <t>4 - Canyon Park Owner I LLC</t>
  </si>
  <si>
    <t>Cohen Financial</t>
  </si>
  <si>
    <t>5 - Cohen Financial</t>
  </si>
  <si>
    <t>Hanover Street Capital</t>
  </si>
  <si>
    <t>6 - Hanover Street Capital</t>
  </si>
  <si>
    <t>Prime and Cohen Financial</t>
  </si>
  <si>
    <t>7 - Prime and Cohen Financial</t>
  </si>
  <si>
    <t>Square Mile</t>
  </si>
  <si>
    <t>8 - Square Mile</t>
  </si>
  <si>
    <t>9 - ACORE Capital</t>
  </si>
  <si>
    <t>LServicerName</t>
  </si>
  <si>
    <t>ACORE Credit Partners II</t>
  </si>
  <si>
    <t>ACORE Credit XI</t>
  </si>
  <si>
    <t>ACORE Special Sits</t>
  </si>
  <si>
    <t>AFLAC</t>
  </si>
  <si>
    <t>AHIP Capital</t>
  </si>
  <si>
    <t>All</t>
  </si>
  <si>
    <t>BcIMC Sidecar</t>
  </si>
  <si>
    <t>Delphi Financial</t>
  </si>
  <si>
    <t>Group 1001</t>
  </si>
  <si>
    <t>Refinance Program</t>
  </si>
  <si>
    <t>Stepstone</t>
  </si>
  <si>
    <t>Winthrop</t>
  </si>
  <si>
    <t>ACORE Credit IV – Axos 2021</t>
  </si>
  <si>
    <t>ACORE Credit IV – Axos 2021 Offshore</t>
  </si>
  <si>
    <t>ACORE Credit IV - DB</t>
  </si>
  <si>
    <t>ACORE Credit IV - DB Offshore</t>
  </si>
  <si>
    <t>ACORE Credit IV - GS 2018 Offshore</t>
  </si>
  <si>
    <t>ACORE Credit IV - MS Offshore - MS</t>
  </si>
  <si>
    <t>ACORE Credit IV - Note Repo</t>
  </si>
  <si>
    <t>ACORE Credit IV - WF</t>
  </si>
  <si>
    <t>ACORE Credit IV - WF Offshore</t>
  </si>
  <si>
    <t>ACORE Credit IV Offshore - Note Repo</t>
  </si>
  <si>
    <t>AFLAC US - C</t>
  </si>
  <si>
    <t>Cap One Subscription Line</t>
  </si>
  <si>
    <t>Delphi Offshore Sold</t>
  </si>
  <si>
    <t>Delphi Warehouse LIne</t>
  </si>
  <si>
    <t>Harel Participation</t>
  </si>
  <si>
    <t>Morgan Stanley Repo</t>
  </si>
  <si>
    <t>Note Sale - ACORE Credit IV</t>
  </si>
  <si>
    <t>Note Sale - ACORE Credit Partners II</t>
  </si>
  <si>
    <t>Note Sale - ACORE Spec Sits</t>
  </si>
  <si>
    <t>Note Sale - Column Financial Inc</t>
  </si>
  <si>
    <t>Note Sale - Delphi ACORE</t>
  </si>
  <si>
    <t>Note Sale - Delphi Offshore</t>
  </si>
  <si>
    <t>Note Sale - Delphi Portfolio</t>
  </si>
  <si>
    <t>Note Sale - Delphi Warehouse</t>
  </si>
  <si>
    <t>Opportunistic Sale</t>
  </si>
  <si>
    <t>SILAC Insurance</t>
  </si>
  <si>
    <t>To be determined</t>
  </si>
  <si>
    <t>TRE ACR GL allocations</t>
  </si>
  <si>
    <t>Wells Fargo Repo</t>
  </si>
  <si>
    <t>Winthrop - Participation</t>
  </si>
  <si>
    <t>FinancingSourceName</t>
  </si>
  <si>
    <t>NoteFundingRule</t>
  </si>
  <si>
    <t>Lratespreadratetype</t>
  </si>
  <si>
    <t>LratespreadCalcType</t>
  </si>
  <si>
    <t>411 - US</t>
  </si>
  <si>
    <t>412 - UK</t>
  </si>
  <si>
    <t>US &amp; UK</t>
  </si>
  <si>
    <t>413 - US &amp; UK</t>
  </si>
  <si>
    <t>1 - Exit Fee</t>
  </si>
  <si>
    <t>2 - Additional Fee</t>
  </si>
  <si>
    <t>Extension Fee_COMM</t>
  </si>
  <si>
    <t>3 - Extension Fee_COMM</t>
  </si>
  <si>
    <t>4 - Origination Fee</t>
  </si>
  <si>
    <t>5 - Draw Fee</t>
  </si>
  <si>
    <t>6 - Servicing Fee</t>
  </si>
  <si>
    <t>7 - Unused Fee</t>
  </si>
  <si>
    <t>8 - Prepayment Fee</t>
  </si>
  <si>
    <t>Extension Fee_UPB</t>
  </si>
  <si>
    <t>11 - Extension Fee_UPB</t>
  </si>
  <si>
    <t>Exit Fee_IncAmor</t>
  </si>
  <si>
    <t>12 - Exit Fee_IncAmor</t>
  </si>
  <si>
    <t>Exit Fee_Payoff</t>
  </si>
  <si>
    <t>13 - Exit Fee_Payoff</t>
  </si>
  <si>
    <t>Origination Fee_AsFunded</t>
  </si>
  <si>
    <t>14 - Origination Fee_AsFunded</t>
  </si>
  <si>
    <t>Coupon</t>
  </si>
  <si>
    <t>15 - Coupon</t>
  </si>
  <si>
    <t>16 - ACORE Orig Fee</t>
  </si>
  <si>
    <t>17 - Assumption Fee</t>
  </si>
  <si>
    <t>Default Interest</t>
  </si>
  <si>
    <t>18 - Default Interest</t>
  </si>
  <si>
    <t>Late Fees</t>
  </si>
  <si>
    <t>19 - Late Fees</t>
  </si>
  <si>
    <t>Realized Gain/(Loss)</t>
  </si>
  <si>
    <t>20 - Realized Gain/(Loss)</t>
  </si>
  <si>
    <t>Mod Fee</t>
  </si>
  <si>
    <t>21 - Mod Fee</t>
  </si>
  <si>
    <t>LHolidayList</t>
  </si>
  <si>
    <t>LFeeNameType</t>
  </si>
  <si>
    <t>LApplyTrueUp</t>
  </si>
  <si>
    <t>LPurposeType</t>
  </si>
  <si>
    <t>Initial interest accrual end date</t>
  </si>
  <si>
    <t>Final interest accrual end date override</t>
  </si>
  <si>
    <t>ManishSingh</t>
  </si>
  <si>
    <t>user</t>
  </si>
  <si>
    <t>22-9999</t>
  </si>
  <si>
    <t>LSS Test 1</t>
  </si>
  <si>
    <t>LSST1</t>
  </si>
  <si>
    <t>LSST2</t>
  </si>
  <si>
    <t>LSST3</t>
  </si>
  <si>
    <t>LSST4</t>
  </si>
  <si>
    <t>LSST5</t>
  </si>
  <si>
    <t>LSST6</t>
  </si>
  <si>
    <t>LSST7</t>
  </si>
  <si>
    <t>LSST8</t>
  </si>
  <si>
    <t>LSST9</t>
  </si>
  <si>
    <t>LSST10</t>
  </si>
  <si>
    <t>LSST11</t>
  </si>
  <si>
    <t>LSST12</t>
  </si>
  <si>
    <t>Rohit Sahu</t>
  </si>
  <si>
    <t>LSST13</t>
  </si>
  <si>
    <t>LSST14</t>
  </si>
  <si>
    <t>LSST15</t>
  </si>
  <si>
    <t>igai</t>
  </si>
  <si>
    <t>ACP2_TRS</t>
  </si>
  <si>
    <t xml:space="preserve">ACP2_CA_TRS   </t>
  </si>
  <si>
    <t>TRE_ACR_SERIES_II_PORTFOLIO</t>
  </si>
  <si>
    <t>AC IV CA Mortgage, 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</si>
</sst>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m/d/yyyy;@"/>
    <numFmt numFmtId="165" formatCode="[$-409]mmm\-yy;@"/>
    <numFmt numFmtId="166" formatCode="0_);[Red]\(0\)"/>
    <numFmt numFmtId="167" formatCode="0.0%"/>
    <numFmt numFmtId="168" formatCode="0.000%"/>
    <numFmt numFmtId="169" formatCode="0.000000%"/>
    <numFmt numFmtId="170" formatCode="&quot;$&quot;#,##0.00"/>
    <numFmt numFmtId="171" formatCode="_(&quot;$&quot;* #,##0_);_(&quot;$&quot;* \(#,##0\);_(&quot;$&quot;* &quot;-&quot;??_);_(@_)"/>
    <numFmt numFmtId="172" formatCode="0.00000%"/>
    <numFmt numFmtId="173" formatCode="0.0000%"/>
    <numFmt numFmtId="174" formatCode="_(&quot;$&quot;* #,##0.000_);_(&quot;$&quot;* \(#,##0.000\);_(&quot;$&quot;* &quot;-&quot;???_);_(@_)"/>
    <numFmt numFmtId="175" formatCode="mm/dd/yy;@"/>
    <numFmt numFmtId="176" formatCode="_(&quot;$&quot;* #,##0.00000000000_);_(&quot;$&quot;* \(#,##0.00000000000\);_(&quot;$&quot;* &quot;-&quot;??_);_(@_)"/>
    <numFmt numFmtId="177" formatCode="_(* #,##0.000_);_(* \(#,##0.000\);_(* &quot;-&quot;??_);_(@_)"/>
    <numFmt numFmtId="178" formatCode="0.0000000%"/>
    <numFmt numFmtId="179" formatCode="0.00000000"/>
    <numFmt numFmtId="180" formatCode="0.0000000000"/>
    <numFmt numFmtId="181" formatCode="0.0000000000%"/>
    <numFmt numFmtId="182" formatCode="m/d/yy;@"/>
    <numFmt numFmtId="183" formatCode="_(* #,##0_);_(* \(#,##0\);_(* &quot;-&quot;??_);_(@_)"/>
  </numFmts>
  <fonts count="124">
    <font>
      <sz val="11"/>
      <color theme="1"/>
      <name val="Calibri"/>
      <family val="2"/>
      <scheme val="minor"/>
    </font>
    <font>
      <sz val="11"/>
      <color theme="1"/>
      <name val="Calibri"/>
      <family val="2"/>
      <scheme val="minor"/>
    </font>
    <font>
      <b/>
      <sz val="11"/>
      <color theme="1"/>
      <name val="Calibri"/>
      <family val="2"/>
      <scheme val="minor"/>
    </font>
    <font>
      <b/>
      <u/>
      <sz val="11"/>
      <color theme="1"/>
      <name val="Calibri"/>
      <family val="2"/>
      <scheme val="minor"/>
    </font>
    <font>
      <b/>
      <sz val="10"/>
      <color theme="1"/>
      <name val="Calibri"/>
      <family val="2"/>
      <scheme val="minor"/>
    </font>
    <font>
      <sz val="10"/>
      <color theme="1"/>
      <name val="Calibri"/>
      <family val="2"/>
      <scheme val="minor"/>
    </font>
    <font>
      <b/>
      <u/>
      <sz val="10"/>
      <color theme="1"/>
      <name val="Calibri"/>
      <family val="2"/>
      <scheme val="minor"/>
    </font>
    <font>
      <u/>
      <sz val="11"/>
      <color theme="10"/>
      <name val="Calibri"/>
      <family val="2"/>
      <scheme val="minor"/>
    </font>
    <font>
      <u/>
      <sz val="11"/>
      <color theme="1"/>
      <name val="Calibri"/>
      <family val="2"/>
      <scheme val="minor"/>
    </font>
    <font>
      <sz val="11"/>
      <color rgb="FFC00000"/>
      <name val="Calibri"/>
      <family val="2"/>
      <scheme val="minor"/>
    </font>
    <font>
      <sz val="9"/>
      <color indexed="81"/>
      <name val="Tahoma"/>
      <family val="2"/>
    </font>
    <font>
      <b/>
      <sz val="9"/>
      <color indexed="81"/>
      <name val="Tahoma"/>
      <family val="2"/>
    </font>
    <font>
      <b/>
      <u/>
      <sz val="10"/>
      <color rgb="FFC00000"/>
      <name val="Calibri"/>
      <family val="2"/>
      <scheme val="minor"/>
    </font>
    <font>
      <b/>
      <sz val="10"/>
      <color rgb="FFC00000"/>
      <name val="Calibri"/>
      <family val="2"/>
      <scheme val="minor"/>
    </font>
    <font>
      <sz val="10"/>
      <color rgb="FF0070C0"/>
      <name val="Calibri"/>
      <family val="2"/>
      <scheme val="minor"/>
    </font>
    <font>
      <i/>
      <sz val="10"/>
      <color theme="1"/>
      <name val="Calibri"/>
      <family val="2"/>
      <scheme val="minor"/>
    </font>
    <font>
      <sz val="10"/>
      <color rgb="FFC00000"/>
      <name val="Calibri"/>
      <family val="2"/>
      <scheme val="minor"/>
    </font>
    <font>
      <sz val="10"/>
      <name val="Calibri"/>
      <family val="2"/>
      <scheme val="minor"/>
    </font>
    <font>
      <b/>
      <sz val="10"/>
      <name val="Calibri"/>
      <family val="2"/>
      <scheme val="minor"/>
    </font>
    <font>
      <b/>
      <i/>
      <sz val="10"/>
      <color theme="1"/>
      <name val="Calibri"/>
      <family val="2"/>
      <scheme val="minor"/>
    </font>
    <font>
      <sz val="11"/>
      <name val="Calibri"/>
      <family val="2"/>
      <scheme val="minor"/>
    </font>
    <font>
      <i/>
      <sz val="10"/>
      <name val="Calibri"/>
      <family val="2"/>
      <scheme val="minor"/>
    </font>
    <font>
      <sz val="10"/>
      <color rgb="FFFFFFCC"/>
      <name val="Calibri"/>
      <family val="2"/>
      <scheme val="minor"/>
    </font>
    <font>
      <sz val="11"/>
      <color rgb="FFFFFFCC"/>
      <name val="Calibri"/>
      <family val="2"/>
      <scheme val="minor"/>
    </font>
    <font>
      <b/>
      <sz val="10"/>
      <color rgb="FFFFFFCC"/>
      <name val="Calibri"/>
      <family val="2"/>
      <scheme val="minor"/>
    </font>
    <font>
      <b/>
      <u/>
      <sz val="12"/>
      <color theme="1"/>
      <name val="Calibri"/>
      <family val="2"/>
      <scheme val="minor"/>
    </font>
    <font>
      <b/>
      <sz val="11"/>
      <name val="Calibri"/>
      <family val="2"/>
      <scheme val="minor"/>
    </font>
    <font>
      <u/>
      <sz val="10"/>
      <color theme="1"/>
      <name val="Calibri"/>
      <family val="2"/>
      <scheme val="minor"/>
    </font>
    <font>
      <sz val="12"/>
      <color theme="1"/>
      <name val="Calibri"/>
      <family val="2"/>
      <scheme val="minor"/>
    </font>
    <font>
      <b/>
      <u/>
      <sz val="10"/>
      <name val="Calibri"/>
      <family val="2"/>
      <scheme val="minor"/>
    </font>
    <font>
      <i/>
      <sz val="11"/>
      <color theme="1"/>
      <name val="Calibri"/>
      <family val="2"/>
      <scheme val="minor"/>
    </font>
    <font>
      <i/>
      <u/>
      <sz val="11"/>
      <color theme="1"/>
      <name val="Calibri"/>
      <family val="2"/>
      <scheme val="minor"/>
    </font>
    <font>
      <sz val="12"/>
      <name val="Arial MT"/>
    </font>
    <font>
      <sz val="11"/>
      <color rgb="FF0070C0"/>
      <name val="Calibri"/>
      <family val="2"/>
      <scheme val="minor"/>
    </font>
    <font>
      <b/>
      <sz val="10"/>
      <color theme="0"/>
      <name val="Calibri"/>
      <family val="2"/>
      <scheme val="minor"/>
    </font>
    <font>
      <b/>
      <sz val="12"/>
      <color theme="1"/>
      <name val="Calibri"/>
      <family val="2"/>
      <scheme val="minor"/>
    </font>
    <font>
      <b/>
      <sz val="12"/>
      <name val="Calibri"/>
      <family val="2"/>
      <scheme val="minor"/>
    </font>
    <font>
      <b/>
      <sz val="10"/>
      <color rgb="FF0070C0"/>
      <name val="Calibri"/>
      <family val="2"/>
      <scheme val="minor"/>
    </font>
    <font>
      <u/>
      <sz val="10"/>
      <color rgb="FF0070C0"/>
      <name val="Calibri"/>
      <family val="2"/>
      <scheme val="minor"/>
    </font>
    <font>
      <sz val="10"/>
      <color rgb="FF9966FF"/>
      <name val="Calibri"/>
      <family val="2"/>
      <scheme val="minor"/>
    </font>
    <font>
      <u/>
      <sz val="10"/>
      <color rgb="FF9966FF"/>
      <name val="Calibri"/>
      <family val="2"/>
      <scheme val="minor"/>
    </font>
    <font>
      <b/>
      <i/>
      <sz val="10"/>
      <name val="Calibri"/>
      <family val="2"/>
      <scheme val="minor"/>
    </font>
    <font>
      <b/>
      <sz val="11"/>
      <color rgb="FFC00000"/>
      <name val="Calibri"/>
      <family val="2"/>
      <scheme val="minor"/>
    </font>
    <font>
      <i/>
      <sz val="11"/>
      <color rgb="FFC00000"/>
      <name val="Calibri"/>
      <family val="2"/>
      <scheme val="minor"/>
    </font>
    <font>
      <sz val="11"/>
      <color rgb="FFFF0000"/>
      <name val="Calibri"/>
      <family val="2"/>
      <scheme val="minor"/>
    </font>
    <font>
      <b/>
      <sz val="10"/>
      <color rgb="FFFF0000"/>
      <name val="Calibri"/>
      <family val="2"/>
      <scheme val="minor"/>
    </font>
    <font>
      <sz val="11"/>
      <color rgb="FF000000"/>
      <name val="Calibri"/>
      <family val="2"/>
      <scheme val="minor"/>
    </font>
    <font>
      <b/>
      <sz val="22"/>
      <color theme="3"/>
      <name val="Calibri"/>
      <family val="2"/>
      <scheme val="minor"/>
    </font>
    <font>
      <b/>
      <u/>
      <sz val="22"/>
      <color theme="3"/>
      <name val="Calibri"/>
      <family val="2"/>
      <scheme val="minor"/>
    </font>
    <font>
      <sz val="12"/>
      <name val="Calibri"/>
      <family val="2"/>
      <scheme val="minor"/>
    </font>
    <font>
      <i/>
      <sz val="12"/>
      <name val="Calibri"/>
      <family val="2"/>
      <scheme val="minor"/>
    </font>
    <font>
      <sz val="11"/>
      <color theme="4"/>
      <name val="Calibri"/>
      <family val="2"/>
      <scheme val="minor"/>
    </font>
    <font>
      <b/>
      <u/>
      <sz val="11"/>
      <name val="Calibri"/>
      <family val="2"/>
      <scheme val="minor"/>
    </font>
    <font>
      <b/>
      <sz val="11"/>
      <color rgb="FFFFFFCC"/>
      <name val="Calibri"/>
      <family val="2"/>
      <scheme val="minor"/>
    </font>
    <font>
      <b/>
      <sz val="11"/>
      <color theme="4"/>
      <name val="Calibri"/>
      <family val="2"/>
      <scheme val="minor"/>
    </font>
    <font>
      <b/>
      <i/>
      <sz val="11"/>
      <color rgb="FF0070C0"/>
      <name val="Calibri"/>
      <family val="2"/>
      <scheme val="minor"/>
    </font>
    <font>
      <b/>
      <sz val="11"/>
      <color rgb="FF0070C0"/>
      <name val="Calibri"/>
      <family val="2"/>
      <scheme val="minor"/>
    </font>
    <font>
      <b/>
      <u/>
      <sz val="14"/>
      <color theme="1"/>
      <name val="Calibri"/>
      <family val="2"/>
      <scheme val="minor"/>
    </font>
    <font>
      <b/>
      <sz val="14"/>
      <color theme="1"/>
      <name val="Calibri"/>
      <family val="2"/>
      <scheme val="minor"/>
    </font>
    <font>
      <b/>
      <sz val="14"/>
      <name val="Calibri"/>
      <family val="2"/>
      <scheme val="minor"/>
    </font>
    <font>
      <sz val="14"/>
      <color theme="1"/>
      <name val="Calibri"/>
      <family val="2"/>
      <scheme val="minor"/>
    </font>
    <font>
      <u/>
      <sz val="14"/>
      <color theme="1"/>
      <name val="Calibri"/>
      <family val="2"/>
      <scheme val="minor"/>
    </font>
    <font>
      <sz val="14"/>
      <name val="Calibri"/>
      <family val="2"/>
      <scheme val="minor"/>
    </font>
    <font>
      <b/>
      <u/>
      <sz val="11"/>
      <color rgb="FF0070C0"/>
      <name val="Calibri"/>
      <family val="2"/>
      <scheme val="minor"/>
    </font>
    <font>
      <b/>
      <sz val="12"/>
      <color rgb="FFC00000"/>
      <name val="Calibri"/>
      <family val="2"/>
      <scheme val="minor"/>
    </font>
    <font>
      <u/>
      <sz val="11"/>
      <color rgb="FFC00000"/>
      <name val="Calibri"/>
      <family val="2"/>
      <scheme val="minor"/>
    </font>
    <font>
      <b/>
      <sz val="11"/>
      <color rgb="FFFF0000"/>
      <name val="Calibri"/>
      <family val="2"/>
      <scheme val="minor"/>
    </font>
    <font>
      <u val="singleAccounting"/>
      <sz val="11"/>
      <color theme="1"/>
      <name val="Calibri"/>
      <family val="2"/>
      <scheme val="minor"/>
    </font>
    <font>
      <i/>
      <sz val="11"/>
      <color rgb="FF0070C0"/>
      <name val="Calibri"/>
      <family val="2"/>
      <scheme val="minor"/>
    </font>
    <font>
      <i/>
      <u/>
      <sz val="11"/>
      <color rgb="FF0070C0"/>
      <name val="Calibri"/>
      <family val="2"/>
      <scheme val="minor"/>
    </font>
    <font>
      <b/>
      <u/>
      <sz val="11"/>
      <color rgb="FFC00000"/>
      <name val="Calibri"/>
      <family val="2"/>
      <scheme val="minor"/>
    </font>
    <font>
      <b/>
      <sz val="20"/>
      <color rgb="FFC00000"/>
      <name val="Calibri"/>
      <family val="2"/>
      <scheme val="minor"/>
    </font>
    <font>
      <b/>
      <sz val="11"/>
      <color theme="1"/>
      <name val="Times New Roman"/>
      <family val="1"/>
    </font>
    <font>
      <b/>
      <sz val="11"/>
      <name val="Times New Roman"/>
      <family val="1"/>
    </font>
    <font>
      <sz val="11"/>
      <color theme="1"/>
      <name val="Times New Roman"/>
      <family val="1"/>
    </font>
    <font>
      <b/>
      <vertAlign val="superscript"/>
      <sz val="11"/>
      <color theme="1"/>
      <name val="Times New Roman"/>
      <family val="1"/>
    </font>
    <font>
      <b/>
      <u/>
      <sz val="11"/>
      <color theme="4"/>
      <name val="Calibri"/>
      <family val="2"/>
      <scheme val="minor"/>
    </font>
    <font>
      <u/>
      <sz val="11"/>
      <color theme="4"/>
      <name val="Calibri"/>
      <family val="2"/>
      <scheme val="minor"/>
    </font>
    <font>
      <u/>
      <sz val="11"/>
      <name val="Calibri"/>
      <family val="2"/>
      <scheme val="minor"/>
    </font>
    <font>
      <sz val="10"/>
      <color rgb="FFFF0000"/>
      <name val="Calibri"/>
      <family val="2"/>
      <scheme val="minor"/>
    </font>
    <font>
      <u/>
      <sz val="10"/>
      <color rgb="FFC00000"/>
      <name val="Calibri"/>
      <family val="2"/>
      <scheme val="minor"/>
    </font>
    <font>
      <u/>
      <sz val="10"/>
      <name val="Calibri"/>
      <family val="2"/>
      <scheme val="minor"/>
    </font>
    <font>
      <sz val="11"/>
      <color theme="1"/>
      <name val="Calibri Light"/>
      <family val="2"/>
    </font>
    <font>
      <sz val="14"/>
      <color theme="1"/>
      <name val="Calibri Light"/>
      <family val="2"/>
    </font>
    <font>
      <vertAlign val="superscript"/>
      <sz val="11"/>
      <color theme="1"/>
      <name val="Calibri Light"/>
      <family val="2"/>
    </font>
    <font>
      <b/>
      <u/>
      <sz val="12"/>
      <color rgb="FFC00000"/>
      <name val="Calibri"/>
      <family val="2"/>
      <scheme val="minor"/>
    </font>
    <font>
      <i/>
      <sz val="10"/>
      <color rgb="FFC00000"/>
      <name val="Calibri"/>
      <family val="2"/>
      <scheme val="minor"/>
    </font>
    <font>
      <b/>
      <i/>
      <u/>
      <sz val="12"/>
      <color rgb="FFC00000"/>
      <name val="Calibri"/>
      <family val="2"/>
      <scheme val="minor"/>
    </font>
    <font>
      <sz val="12"/>
      <color rgb="FF0070C0"/>
      <name val="Calibri"/>
      <family val="2"/>
      <scheme val="minor"/>
    </font>
    <font>
      <u/>
      <sz val="12"/>
      <color rgb="FF0070C0"/>
      <name val="Calibri"/>
      <family val="2"/>
      <scheme val="minor"/>
    </font>
    <font>
      <b/>
      <u/>
      <sz val="24"/>
      <color rgb="FFFF0000"/>
      <name val="Calibri"/>
      <family val="2"/>
      <scheme val="minor"/>
    </font>
    <font>
      <b/>
      <sz val="12"/>
      <color theme="0" tint="-0.14999847407452621"/>
      <name val="Calibri"/>
      <family val="2"/>
      <scheme val="minor"/>
    </font>
    <font>
      <b/>
      <u/>
      <sz val="12"/>
      <color theme="0" tint="-0.14999847407452621"/>
      <name val="Calibri"/>
      <family val="2"/>
      <scheme val="minor"/>
    </font>
    <font>
      <b/>
      <u/>
      <sz val="12"/>
      <name val="Calibri"/>
      <family val="2"/>
      <scheme val="minor"/>
    </font>
    <font>
      <b/>
      <i/>
      <sz val="11"/>
      <color theme="1"/>
      <name val="Calibri"/>
      <family val="2"/>
      <scheme val="minor"/>
    </font>
    <font>
      <b/>
      <i/>
      <u/>
      <sz val="11"/>
      <color theme="1"/>
      <name val="Calibri"/>
      <family val="2"/>
      <scheme val="minor"/>
    </font>
    <font>
      <b/>
      <u val="singleAccounting"/>
      <sz val="12"/>
      <color theme="1"/>
      <name val="Calibri"/>
      <family val="2"/>
      <scheme val="minor"/>
    </font>
    <font>
      <b/>
      <u/>
      <sz val="14"/>
      <color rgb="FFC00000"/>
      <name val="Calibri"/>
      <family val="2"/>
      <scheme val="minor"/>
    </font>
    <font>
      <b/>
      <sz val="16"/>
      <color theme="1"/>
      <name val="Calibri"/>
      <family val="2"/>
      <scheme val="minor"/>
    </font>
    <font>
      <b/>
      <sz val="26"/>
      <color theme="0" tint="-0.34998626667073579"/>
      <name val="Garamond"/>
      <family val="1"/>
    </font>
    <font>
      <sz val="11"/>
      <color rgb="FF9966FF"/>
      <name val="Calibri"/>
      <family val="2"/>
      <scheme val="minor"/>
    </font>
    <font>
      <b/>
      <sz val="11"/>
      <color rgb="FF9966FF"/>
      <name val="Calibri"/>
      <family val="2"/>
      <scheme val="minor"/>
    </font>
    <font>
      <sz val="8"/>
      <name val="Calibri"/>
      <family val="2"/>
      <scheme val="minor"/>
    </font>
    <font>
      <b/>
      <sz val="11"/>
      <color theme="0"/>
      <name val="Calibri"/>
      <family val="2"/>
      <scheme val="minor"/>
    </font>
    <font>
      <i/>
      <sz val="10"/>
      <color rgb="FF0070C0"/>
      <name val="Calibri"/>
      <family val="2"/>
      <scheme val="minor"/>
    </font>
    <font>
      <b/>
      <sz val="11"/>
      <color rgb="FF002060"/>
      <name val="Calibri"/>
      <family val="2"/>
      <scheme val="minor"/>
    </font>
    <font>
      <b/>
      <u/>
      <sz val="12"/>
      <color rgb="FF002060"/>
      <name val="Calibri"/>
      <family val="2"/>
      <scheme val="minor"/>
    </font>
    <font>
      <u/>
      <sz val="12"/>
      <color theme="1"/>
      <name val="Calibri"/>
      <family val="2"/>
      <scheme val="minor"/>
    </font>
    <font>
      <b/>
      <sz val="12"/>
      <color rgb="FF002060"/>
      <name val="Calibri"/>
      <family val="2"/>
      <scheme val="minor"/>
    </font>
    <font>
      <b/>
      <sz val="14"/>
      <color rgb="FFC00000"/>
      <name val="Calibri"/>
      <family val="2"/>
      <scheme val="minor"/>
    </font>
    <font>
      <b/>
      <sz val="18"/>
      <color theme="0"/>
      <name val="Calibri"/>
      <family val="2"/>
      <scheme val="minor"/>
    </font>
    <font>
      <b/>
      <u/>
      <sz val="13"/>
      <color theme="1"/>
      <name val="Calibri"/>
      <family val="2"/>
      <scheme val="minor"/>
    </font>
    <font>
      <b/>
      <sz val="10"/>
      <color rgb="FF2616FA"/>
      <name val="Calibri"/>
      <family val="2"/>
      <scheme val="minor"/>
    </font>
    <font>
      <i/>
      <sz val="12"/>
      <color theme="1"/>
      <name val="Calibri"/>
      <family val="2"/>
      <scheme val="minor"/>
    </font>
    <font>
      <i/>
      <u/>
      <sz val="12"/>
      <color theme="1"/>
      <name val="Calibri"/>
      <family val="2"/>
      <scheme val="minor"/>
    </font>
    <font>
      <sz val="12"/>
      <color theme="1"/>
      <name val="Calibri Light"/>
      <family val="1"/>
      <scheme val="major"/>
    </font>
    <font>
      <b/>
      <i/>
      <u/>
      <sz val="12"/>
      <color theme="1"/>
      <name val="Calibri"/>
      <family val="2"/>
      <scheme val="minor"/>
    </font>
    <font>
      <b/>
      <sz val="10"/>
      <color rgb="FF020202"/>
      <name val="Inherit"/>
    </font>
    <font>
      <sz val="12"/>
      <color rgb="FFFF0000"/>
      <name val="Calibri"/>
      <family val="2"/>
      <scheme val="minor"/>
    </font>
    <font>
      <sz val="8"/>
      <color rgb="FF000000"/>
      <name val="Segoe UI"/>
      <family val="2"/>
    </font>
    <font>
      <b/>
      <sz val="11"/>
      <color rgb="FF000000"/>
      <name val="Lato"/>
      <family val="2"/>
    </font>
    <font>
      <b/>
      <sz val="11"/>
      <color rgb="FF008000"/>
      <name val="Calibri"/>
      <family val="2"/>
    </font>
    <font>
      <sz val="10"/>
      <color rgb="FF333333"/>
      <name val="Lato"/>
      <family val="2"/>
    </font>
    <font>
      <b/>
      <sz val="20"/>
      <color theme="1"/>
      <name val="Calibri"/>
      <family val="2"/>
    </font>
  </fonts>
  <fills count="50">
    <fill>
      <patternFill patternType="none"/>
    </fill>
    <fill>
      <patternFill patternType="gray125"/>
    </fill>
    <fill>
      <patternFill patternType="solid">
        <fgColor rgb="FFCDE6FF"/>
        <bgColor indexed="64"/>
      </patternFill>
    </fill>
    <fill>
      <patternFill patternType="solid">
        <fgColor theme="5" tint="0.59999389629810485"/>
        <bgColor indexed="64"/>
      </patternFill>
    </fill>
    <fill>
      <patternFill patternType="solid">
        <fgColor rgb="FFFBD7AF"/>
        <bgColor indexed="64"/>
      </patternFill>
    </fill>
    <fill>
      <patternFill patternType="solid">
        <fgColor theme="8" tint="0.59999389629810485"/>
        <bgColor indexed="64"/>
      </patternFill>
    </fill>
    <fill>
      <patternFill patternType="solid">
        <fgColor rgb="FFC9E9FF"/>
        <bgColor indexed="64"/>
      </patternFill>
    </fill>
    <fill>
      <patternFill patternType="solid">
        <fgColor theme="0"/>
        <bgColor indexed="64"/>
      </patternFill>
    </fill>
    <fill>
      <patternFill patternType="solid">
        <fgColor rgb="FFFFFF00"/>
        <bgColor indexed="64"/>
      </patternFill>
    </fill>
    <fill>
      <patternFill patternType="solid">
        <fgColor rgb="FFCCFFCC"/>
        <bgColor indexed="64"/>
      </patternFill>
    </fill>
    <fill>
      <patternFill patternType="solid">
        <fgColor rgb="FFFFFFCC"/>
        <bgColor indexed="64"/>
      </patternFill>
    </fill>
    <fill>
      <patternFill patternType="solid">
        <fgColor rgb="FFFFCCCC"/>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DADAE6"/>
        <bgColor indexed="64"/>
      </patternFill>
    </fill>
    <fill>
      <patternFill patternType="solid">
        <fgColor theme="0" tint="-4.9989318521683403E-2"/>
        <bgColor indexed="64"/>
      </patternFill>
    </fill>
    <fill>
      <patternFill patternType="solid">
        <fgColor rgb="FF002060"/>
        <bgColor indexed="64"/>
      </patternFill>
    </fill>
    <fill>
      <patternFill patternType="solid">
        <fgColor rgb="FFC9E8FF"/>
        <bgColor indexed="64"/>
      </patternFill>
    </fill>
    <fill>
      <patternFill patternType="solid">
        <fgColor rgb="FF00B0F0"/>
        <bgColor indexed="64"/>
      </patternFill>
    </fill>
    <fill>
      <patternFill patternType="solid">
        <fgColor rgb="FFFCA342"/>
        <bgColor indexed="64"/>
      </patternFill>
    </fill>
    <fill>
      <patternFill patternType="solid">
        <fgColor rgb="FFFDB463"/>
        <bgColor indexed="64"/>
      </patternFill>
    </fill>
    <fill>
      <patternFill patternType="solid">
        <fgColor rgb="FFFFC00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CCFF33"/>
        <bgColor indexed="64"/>
      </patternFill>
    </fill>
    <fill>
      <patternFill patternType="solid">
        <fgColor theme="4" tint="0.39997558519241921"/>
        <bgColor indexed="64"/>
      </patternFill>
    </fill>
    <fill>
      <patternFill patternType="solid">
        <fgColor rgb="FFF2F2F2"/>
        <bgColor indexed="64"/>
      </patternFill>
    </fill>
    <fill>
      <patternFill patternType="solid">
        <fgColor theme="1" tint="0.34998626667073579"/>
        <bgColor indexed="64"/>
      </patternFill>
    </fill>
    <fill>
      <patternFill patternType="solid">
        <fgColor theme="8" tint="0.79998168889431442"/>
        <bgColor indexed="65"/>
      </patternFill>
    </fill>
    <fill>
      <patternFill patternType="solid">
        <fgColor rgb="FFCCECFF"/>
        <bgColor indexed="64"/>
      </patternFill>
    </fill>
    <fill>
      <patternFill patternType="solid">
        <fgColor rgb="FFCCFFFF"/>
        <bgColor indexed="64"/>
      </patternFill>
    </fill>
    <fill>
      <patternFill patternType="solid">
        <fgColor rgb="FF99FF99"/>
        <bgColor indexed="64"/>
      </patternFill>
    </fill>
    <fill>
      <patternFill patternType="solid">
        <fgColor rgb="FFFFCCFF"/>
        <bgColor indexed="64"/>
      </patternFill>
    </fill>
    <fill>
      <patternFill patternType="solid">
        <fgColor rgb="FF00FFCC"/>
        <bgColor indexed="64"/>
      </patternFill>
    </fill>
    <fill>
      <patternFill patternType="solid">
        <fgColor rgb="FFFFFFFF"/>
        <bgColor indexed="64"/>
      </patternFill>
    </fill>
    <fill>
      <patternFill patternType="solid">
        <fgColor rgb="FFFFFF99"/>
        <bgColor indexed="64"/>
      </patternFill>
    </fill>
    <fill>
      <patternFill patternType="solid">
        <fgColor rgb="FFABFFFF"/>
        <bgColor indexed="64"/>
      </patternFill>
    </fill>
    <fill>
      <patternFill patternType="solid">
        <fgColor rgb="FF9966FF"/>
        <bgColor indexed="64"/>
      </patternFill>
    </fill>
    <fill>
      <patternFill patternType="solid">
        <fgColor rgb="FF9999FF"/>
        <bgColor indexed="64"/>
      </patternFill>
    </fill>
    <fill>
      <patternFill patternType="solid">
        <fgColor theme="2"/>
        <bgColor indexed="64"/>
      </patternFill>
    </fill>
    <fill>
      <patternFill patternType="solid">
        <fgColor rgb="FF00FF00"/>
        <bgColor indexed="64"/>
      </patternFill>
    </fill>
    <fill>
      <patternFill patternType="solid">
        <fgColor rgb="FF99FFCC"/>
        <bgColor indexed="64"/>
      </patternFill>
    </fill>
    <fill>
      <patternFill patternType="solid">
        <fgColor rgb="FFCC99FF"/>
        <bgColor indexed="64"/>
      </patternFill>
    </fill>
    <fill>
      <patternFill patternType="solid">
        <fgColor rgb="FFD5F1FF"/>
        <bgColor indexed="64"/>
      </patternFill>
    </fill>
    <fill>
      <patternFill patternType="solid">
        <fgColor rgb="FFFF0000"/>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2" tint="-0.499984740745262"/>
        <bgColor indexed="64"/>
      </patternFill>
    </fill>
    <fill>
      <patternFill patternType="solid">
        <fgColor rgb="FFFF9393"/>
        <bgColor indexed="64"/>
      </patternFill>
    </fill>
    <fill>
      <patternFill patternType="solid">
        <fgColor rgb="FF00FFFF"/>
        <bgColor indexed="64"/>
      </patternFill>
    </fill>
  </fills>
  <borders count="46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theme="0" tint="-0.24994659260841701"/>
      </right>
      <top style="medium">
        <color indexed="64"/>
      </top>
      <bottom/>
      <diagonal/>
    </border>
    <border>
      <left style="thin">
        <color theme="0" tint="-0.24994659260841701"/>
      </left>
      <right style="thin">
        <color theme="0" tint="-0.24994659260841701"/>
      </right>
      <top style="medium">
        <color indexed="64"/>
      </top>
      <bottom/>
      <diagonal/>
    </border>
    <border>
      <left style="medium">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medium">
        <color indexed="64"/>
      </left>
      <right/>
      <top/>
      <bottom/>
      <diagonal/>
    </border>
    <border>
      <left/>
      <right style="medium">
        <color indexed="64"/>
      </right>
      <top/>
      <bottom/>
      <diagonal/>
    </border>
    <border>
      <left/>
      <right style="thin">
        <color theme="0" tint="-0.24994659260841701"/>
      </right>
      <top/>
      <bottom/>
      <diagonal/>
    </border>
    <border>
      <left style="thin">
        <color theme="0" tint="-0.24994659260841701"/>
      </left>
      <right style="medium">
        <color theme="1"/>
      </right>
      <top/>
      <bottom/>
      <diagonal/>
    </border>
    <border>
      <left style="medium">
        <color theme="1"/>
      </left>
      <right style="thin">
        <color theme="0" tint="-0.24994659260841701"/>
      </right>
      <top/>
      <bottom/>
      <diagonal/>
    </border>
    <border>
      <left style="thin">
        <color theme="0" tint="-0.24994659260841701"/>
      </left>
      <right/>
      <top style="thin">
        <color indexed="64"/>
      </top>
      <bottom/>
      <diagonal/>
    </border>
    <border>
      <left/>
      <right style="medium">
        <color theme="1"/>
      </right>
      <top style="thin">
        <color indexed="64"/>
      </top>
      <bottom/>
      <diagonal/>
    </border>
    <border>
      <left style="thin">
        <color theme="0" tint="-0.24994659260841701"/>
      </left>
      <right/>
      <top/>
      <bottom style="thin">
        <color theme="0" tint="-0.24994659260841701"/>
      </bottom>
      <diagonal/>
    </border>
    <border>
      <left style="medium">
        <color indexed="64"/>
      </left>
      <right/>
      <top/>
      <bottom style="thin">
        <color theme="0" tint="-0.24994659260841701"/>
      </bottom>
      <diagonal/>
    </border>
    <border>
      <left/>
      <right/>
      <top/>
      <bottom style="thin">
        <color theme="0" tint="-0.24994659260841701"/>
      </bottom>
      <diagonal/>
    </border>
    <border>
      <left/>
      <right style="medium">
        <color indexed="64"/>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medium">
        <color theme="1"/>
      </left>
      <right style="thin">
        <color theme="0" tint="-0.24994659260841701"/>
      </right>
      <top/>
      <bottom style="thin">
        <color theme="0" tint="-0.24994659260841701"/>
      </bottom>
      <diagonal/>
    </border>
    <border>
      <left/>
      <right style="medium">
        <color theme="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medium">
        <color theme="1"/>
      </left>
      <right style="thin">
        <color theme="0" tint="-0.24994659260841701"/>
      </right>
      <top style="thin">
        <color theme="0" tint="-0.24994659260841701"/>
      </top>
      <bottom style="thin">
        <color theme="0" tint="-0.24994659260841701"/>
      </bottom>
      <diagonal/>
    </border>
    <border>
      <left/>
      <right style="medium">
        <color theme="1"/>
      </right>
      <top style="thin">
        <color theme="0" tint="-0.24994659260841701"/>
      </top>
      <bottom style="thin">
        <color theme="0" tint="-0.24994659260841701"/>
      </bottom>
      <diagonal/>
    </border>
    <border>
      <left style="medium">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medium">
        <color indexed="64"/>
      </left>
      <right/>
      <top style="thin">
        <color theme="0" tint="-0.24994659260841701"/>
      </top>
      <bottom style="thin">
        <color indexed="64"/>
      </bottom>
      <diagonal/>
    </border>
    <border>
      <left/>
      <right/>
      <top style="thin">
        <color theme="0" tint="-0.24994659260841701"/>
      </top>
      <bottom style="thin">
        <color indexed="64"/>
      </bottom>
      <diagonal/>
    </border>
    <border>
      <left/>
      <right style="medium">
        <color indexed="64"/>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style="medium">
        <color theme="1"/>
      </right>
      <top style="thin">
        <color theme="0" tint="-0.24994659260841701"/>
      </top>
      <bottom style="thin">
        <color indexed="64"/>
      </bottom>
      <diagonal/>
    </border>
    <border>
      <left style="medium">
        <color theme="1"/>
      </left>
      <right style="thin">
        <color theme="0" tint="-0.24994659260841701"/>
      </right>
      <top style="thin">
        <color theme="0" tint="-0.24994659260841701"/>
      </top>
      <bottom style="thin">
        <color indexed="64"/>
      </bottom>
      <diagonal/>
    </border>
    <border>
      <left/>
      <right style="medium">
        <color theme="1"/>
      </right>
      <top style="thin">
        <color theme="0" tint="-0.24994659260841701"/>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theme="0" tint="-0.24994659260841701"/>
      </left>
      <right/>
      <top style="medium">
        <color indexed="64"/>
      </top>
      <bottom/>
      <diagonal/>
    </border>
    <border>
      <left style="thin">
        <color theme="0" tint="-0.24994659260841701"/>
      </left>
      <right style="medium">
        <color theme="1"/>
      </right>
      <top style="medium">
        <color indexed="64"/>
      </top>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thin">
        <color indexed="64"/>
      </right>
      <top style="thin">
        <color indexed="64"/>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theme="0" tint="-0.34998626667073579"/>
      </right>
      <top style="thin">
        <color indexed="64"/>
      </top>
      <bottom style="medium">
        <color indexed="64"/>
      </bottom>
      <diagonal/>
    </border>
    <border>
      <left style="thin">
        <color theme="0" tint="-0.34998626667073579"/>
      </left>
      <right style="thin">
        <color theme="0" tint="-0.34998626667073579"/>
      </right>
      <top style="thin">
        <color indexed="64"/>
      </top>
      <bottom style="medium">
        <color indexed="64"/>
      </bottom>
      <diagonal/>
    </border>
    <border>
      <left/>
      <right style="thin">
        <color theme="0" tint="-0.34998626667073579"/>
      </right>
      <top style="thin">
        <color indexed="64"/>
      </top>
      <bottom style="double">
        <color indexed="64"/>
      </bottom>
      <diagonal/>
    </border>
    <border>
      <left style="thin">
        <color theme="0" tint="-0.34998626667073579"/>
      </left>
      <right style="thin">
        <color theme="0" tint="-0.34998626667073579"/>
      </right>
      <top style="thin">
        <color indexed="64"/>
      </top>
      <bottom style="double">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theme="0" tint="-0.24994659260841701"/>
      </left>
      <right style="thin">
        <color theme="0" tint="-0.24994659260841701"/>
      </right>
      <top style="thin">
        <color theme="0" tint="-0.24994659260841701"/>
      </top>
      <bottom/>
      <diagonal/>
    </border>
    <border>
      <left/>
      <right/>
      <top style="thin">
        <color indexed="64"/>
      </top>
      <bottom style="double">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theme="0" tint="-0.499984740745262"/>
      </left>
      <right style="medium">
        <color theme="0" tint="-0.499984740745262"/>
      </right>
      <top style="medium">
        <color indexed="64"/>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style="thin">
        <color theme="0" tint="-0.499984740745262"/>
      </top>
      <bottom style="thin">
        <color theme="0" tint="-0.499984740745262"/>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style="medium">
        <color indexed="64"/>
      </top>
      <bottom style="medium">
        <color indexed="64"/>
      </bottom>
      <diagonal/>
    </border>
    <border>
      <left style="medium">
        <color indexed="64"/>
      </left>
      <right style="medium">
        <color theme="0" tint="-0.499984740745262"/>
      </right>
      <top style="medium">
        <color indexed="64"/>
      </top>
      <bottom style="medium">
        <color theme="0" tint="-0.499984740745262"/>
      </bottom>
      <diagonal/>
    </border>
    <border>
      <left style="medium">
        <color indexed="64"/>
      </left>
      <right style="medium">
        <color theme="0" tint="-0.499984740745262"/>
      </right>
      <top style="medium">
        <color theme="0" tint="-0.499984740745262"/>
      </top>
      <bottom style="medium">
        <color theme="0" tint="-0.499984740745262"/>
      </bottom>
      <diagonal/>
    </border>
    <border>
      <left style="medium">
        <color indexed="64"/>
      </left>
      <right style="medium">
        <color theme="0" tint="-0.499984740745262"/>
      </right>
      <top style="medium">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top/>
      <bottom style="thin">
        <color theme="0" tint="-0.499984740745262"/>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right style="thin">
        <color theme="0" tint="-0.499984740745262"/>
      </right>
      <top style="thin">
        <color theme="0" tint="-0.499984740745262"/>
      </top>
      <bottom style="thin">
        <color indexed="64"/>
      </bottom>
      <diagonal/>
    </border>
    <border>
      <left/>
      <right/>
      <top style="thin">
        <color theme="0" tint="-0.499984740745262"/>
      </top>
      <bottom style="thin">
        <color indexed="64"/>
      </bottom>
      <diagonal/>
    </border>
    <border>
      <left style="thin">
        <color theme="0" tint="-0.499984740745262"/>
      </left>
      <right style="medium">
        <color indexed="64"/>
      </right>
      <top style="thin">
        <color theme="0" tint="-0.499984740745262"/>
      </top>
      <bottom/>
      <diagonal/>
    </border>
    <border>
      <left style="medium">
        <color indexed="64"/>
      </left>
      <right/>
      <top style="medium">
        <color indexed="64"/>
      </top>
      <bottom style="thin">
        <color theme="0" tint="-0.499984740745262"/>
      </bottom>
      <diagonal/>
    </border>
    <border>
      <left style="medium">
        <color indexed="64"/>
      </left>
      <right/>
      <top style="thin">
        <color theme="0" tint="-0.499984740745262"/>
      </top>
      <bottom style="thin">
        <color theme="0" tint="-0.499984740745262"/>
      </bottom>
      <diagonal/>
    </border>
    <border>
      <left style="medium">
        <color indexed="64"/>
      </left>
      <right/>
      <top style="thin">
        <color theme="0" tint="-0.499984740745262"/>
      </top>
      <bottom/>
      <diagonal/>
    </border>
    <border>
      <left style="medium">
        <color indexed="64"/>
      </left>
      <right style="medium">
        <color indexed="64"/>
      </right>
      <top style="medium">
        <color indexed="64"/>
      </top>
      <bottom style="thin">
        <color theme="0" tint="-0.499984740745262"/>
      </bottom>
      <diagonal/>
    </border>
    <border>
      <left style="medium">
        <color indexed="64"/>
      </left>
      <right style="medium">
        <color indexed="64"/>
      </right>
      <top style="thin">
        <color theme="0" tint="-0.499984740745262"/>
      </top>
      <bottom style="thin">
        <color theme="0" tint="-0.499984740745262"/>
      </bottom>
      <diagonal/>
    </border>
    <border>
      <left style="medium">
        <color indexed="64"/>
      </left>
      <right style="medium">
        <color indexed="64"/>
      </right>
      <top style="thin">
        <color theme="0" tint="-0.499984740745262"/>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theme="0" tint="-0.499984740745262"/>
      </right>
      <top style="thin">
        <color indexed="64"/>
      </top>
      <bottom style="thin">
        <color indexed="64"/>
      </bottom>
      <diagonal/>
    </border>
    <border>
      <left style="thin">
        <color theme="0" tint="-0.499984740745262"/>
      </left>
      <right/>
      <top style="thin">
        <color indexed="64"/>
      </top>
      <bottom style="thin">
        <color indexed="64"/>
      </bottom>
      <diagonal/>
    </border>
    <border>
      <left/>
      <right style="thin">
        <color theme="0" tint="-0.499984740745262"/>
      </right>
      <top style="medium">
        <color indexed="64"/>
      </top>
      <bottom style="thin">
        <color theme="0" tint="-0.499984740745262"/>
      </bottom>
      <diagonal/>
    </border>
    <border>
      <left style="medium">
        <color indexed="64"/>
      </left>
      <right/>
      <top/>
      <bottom style="thin">
        <color theme="0" tint="-0.499984740745262"/>
      </bottom>
      <diagonal/>
    </border>
    <border>
      <left style="thin">
        <color theme="0" tint="-0.499984740745262"/>
      </left>
      <right style="medium">
        <color indexed="64"/>
      </right>
      <top/>
      <bottom style="thin">
        <color theme="0" tint="-0.499984740745262"/>
      </bottom>
      <diagonal/>
    </border>
    <border>
      <left/>
      <right style="thin">
        <color theme="0" tint="-0.499984740745262"/>
      </right>
      <top style="thin">
        <color indexed="64"/>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medium">
        <color theme="0" tint="-0.24994659260841701"/>
      </right>
      <top style="medium">
        <color indexed="64"/>
      </top>
      <bottom style="medium">
        <color theme="0" tint="-0.24994659260841701"/>
      </bottom>
      <diagonal/>
    </border>
    <border>
      <left style="medium">
        <color theme="0" tint="-0.24994659260841701"/>
      </left>
      <right style="medium">
        <color indexed="64"/>
      </right>
      <top style="medium">
        <color indexed="64"/>
      </top>
      <bottom style="medium">
        <color theme="0" tint="-0.24994659260841701"/>
      </bottom>
      <diagonal/>
    </border>
    <border>
      <left style="medium">
        <color indexed="64"/>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indexed="64"/>
      </right>
      <top style="medium">
        <color theme="0" tint="-0.24994659260841701"/>
      </top>
      <bottom style="medium">
        <color theme="0" tint="-0.24994659260841701"/>
      </bottom>
      <diagonal/>
    </border>
    <border>
      <left style="medium">
        <color indexed="64"/>
      </left>
      <right style="medium">
        <color theme="0" tint="-0.24994659260841701"/>
      </right>
      <top style="medium">
        <color theme="0" tint="-0.24994659260841701"/>
      </top>
      <bottom style="medium">
        <color indexed="64"/>
      </bottom>
      <diagonal/>
    </border>
    <border>
      <left style="medium">
        <color theme="0" tint="-0.24994659260841701"/>
      </left>
      <right style="medium">
        <color indexed="64"/>
      </right>
      <top style="medium">
        <color theme="0" tint="-0.24994659260841701"/>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style="thin">
        <color theme="0" tint="-0.24994659260841701"/>
      </left>
      <right style="medium">
        <color indexed="64"/>
      </right>
      <top style="medium">
        <color indexed="64"/>
      </top>
      <bottom style="thin">
        <color theme="0" tint="-0.24994659260841701"/>
      </bottom>
      <diagonal/>
    </border>
    <border>
      <left style="medium">
        <color indexed="64"/>
      </left>
      <right/>
      <top/>
      <bottom style="thin">
        <color indexed="64"/>
      </bottom>
      <diagonal/>
    </border>
    <border>
      <left style="thin">
        <color theme="0" tint="-0.24994659260841701"/>
      </left>
      <right style="thin">
        <color auto="1"/>
      </right>
      <top style="thin">
        <color theme="0" tint="-0.24994659260841701"/>
      </top>
      <bottom style="thin">
        <color theme="0" tint="-0.24994659260841701"/>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bottom/>
      <diagonal/>
    </border>
    <border>
      <left/>
      <right style="medium">
        <color rgb="FF0070C0"/>
      </right>
      <top/>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top/>
      <bottom style="thin">
        <color rgb="FF0070C0"/>
      </bottom>
      <diagonal/>
    </border>
    <border>
      <left/>
      <right style="thin">
        <color rgb="FF0070C0"/>
      </right>
      <top/>
      <bottom style="thin">
        <color rgb="FF0070C0"/>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style="medium">
        <color rgb="FF0070C0"/>
      </right>
      <top style="medium">
        <color rgb="FF0070C0"/>
      </top>
      <bottom style="medium">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medium">
        <color rgb="FF0070C0"/>
      </left>
      <right style="medium">
        <color rgb="FF0070C0"/>
      </right>
      <top style="medium">
        <color rgb="FF0070C0"/>
      </top>
      <bottom style="medium">
        <color auto="1"/>
      </bottom>
      <diagonal/>
    </border>
    <border>
      <left style="thin">
        <color theme="0" tint="-0.24994659260841701"/>
      </left>
      <right style="thin">
        <color indexed="64"/>
      </right>
      <top/>
      <bottom style="thin">
        <color theme="0" tint="-0.24994659260841701"/>
      </bottom>
      <diagonal/>
    </border>
    <border>
      <left style="medium">
        <color indexed="64"/>
      </left>
      <right style="medium">
        <color indexed="64"/>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top style="thin">
        <color indexed="64"/>
      </top>
      <bottom style="thin">
        <color indexed="64"/>
      </bottom>
      <diagonal/>
    </border>
    <border>
      <left/>
      <right/>
      <top style="double">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thin">
        <color theme="0" tint="-0.24994659260841701"/>
      </right>
      <top style="thin">
        <color theme="0" tint="-0.24994659260841701"/>
      </top>
      <bottom/>
      <diagonal/>
    </border>
    <border>
      <left style="thin">
        <color theme="0" tint="-0.24994659260841701"/>
      </left>
      <right style="medium">
        <color indexed="64"/>
      </right>
      <top style="thin">
        <color theme="0" tint="-0.24994659260841701"/>
      </top>
      <bottom/>
      <diagonal/>
    </border>
    <border>
      <left style="thin">
        <color theme="0" tint="-0.24994659260841701"/>
      </left>
      <right style="medium">
        <color indexed="64"/>
      </right>
      <top/>
      <bottom/>
      <diagonal/>
    </border>
    <border>
      <left style="medium">
        <color indexed="64"/>
      </left>
      <right style="thin">
        <color theme="0" tint="-0.24994659260841701"/>
      </right>
      <top/>
      <bottom style="medium">
        <color indexed="64"/>
      </bottom>
      <diagonal/>
    </border>
    <border>
      <left style="thin">
        <color theme="0" tint="-0.24994659260841701"/>
      </left>
      <right style="medium">
        <color indexed="64"/>
      </right>
      <top/>
      <bottom style="medium">
        <color indexed="64"/>
      </bottom>
      <diagonal/>
    </border>
    <border>
      <left/>
      <right/>
      <top style="thin">
        <color theme="0" tint="-0.14996795556505021"/>
      </top>
      <bottom style="thin">
        <color theme="0" tint="-0.14996795556505021"/>
      </bottom>
      <diagonal/>
    </border>
    <border>
      <left/>
      <right/>
      <top style="thin">
        <color theme="0" tint="-0.14996795556505021"/>
      </top>
      <bottom style="thin">
        <color indexed="64"/>
      </bottom>
      <diagonal/>
    </border>
    <border>
      <left style="thick">
        <color indexed="64"/>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right/>
      <top/>
      <bottom style="thin">
        <color theme="0" tint="-0.14996795556505021"/>
      </bottom>
      <diagonal/>
    </border>
    <border>
      <left/>
      <right style="thin">
        <color theme="0" tint="-0.499984740745262"/>
      </right>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top/>
      <bottom style="thin">
        <color indexed="64"/>
      </bottom>
      <diagonal/>
    </border>
    <border>
      <left/>
      <right/>
      <top style="thin">
        <color theme="0" tint="-0.499984740745262"/>
      </top>
      <bottom style="thin">
        <color theme="0" tint="-0.14996795556505021"/>
      </bottom>
      <diagonal/>
    </border>
    <border>
      <left style="medium">
        <color indexed="64"/>
      </left>
      <right style="medium">
        <color indexed="64"/>
      </right>
      <top style="thin">
        <color theme="0" tint="-0.14996795556505021"/>
      </top>
      <bottom style="thin">
        <color theme="0" tint="-0.14996795556505021"/>
      </bottom>
      <diagonal/>
    </border>
    <border>
      <left style="medium">
        <color indexed="64"/>
      </left>
      <right style="medium">
        <color indexed="64"/>
      </right>
      <top style="medium">
        <color indexed="64"/>
      </top>
      <bottom style="thin">
        <color theme="0" tint="-0.14996795556505021"/>
      </bottom>
      <diagonal/>
    </border>
    <border>
      <left style="medium">
        <color indexed="64"/>
      </left>
      <right style="medium">
        <color indexed="64"/>
      </right>
      <top style="thin">
        <color theme="0" tint="-0.14996795556505021"/>
      </top>
      <bottom style="thin">
        <color indexed="64"/>
      </bottom>
      <diagonal/>
    </border>
    <border>
      <left style="thin">
        <color indexed="64"/>
      </left>
      <right/>
      <top style="thin">
        <color indexed="64"/>
      </top>
      <bottom style="thin">
        <color indexed="64"/>
      </bottom>
      <diagonal/>
    </border>
    <border>
      <left/>
      <right/>
      <top/>
      <bottom style="thin">
        <color theme="0" tint="-0.249977111117893"/>
      </bottom>
      <diagonal/>
    </border>
    <border>
      <left style="medium">
        <color rgb="FFD9D9D9"/>
      </left>
      <right style="medium">
        <color rgb="FFD9D9D9"/>
      </right>
      <top style="medium">
        <color rgb="FFD9D9D9"/>
      </top>
      <bottom style="medium">
        <color rgb="FFD9D9D9"/>
      </bottom>
      <diagonal/>
    </border>
    <border>
      <left style="medium">
        <color rgb="FFD9D9D9"/>
      </left>
      <right/>
      <top style="medium">
        <color rgb="FFD9D9D9"/>
      </top>
      <bottom style="medium">
        <color rgb="FFD9D9D9"/>
      </bottom>
      <diagonal/>
    </border>
    <border>
      <left/>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right style="medium">
        <color rgb="FFD9D9D9"/>
      </right>
      <top/>
      <bottom style="medium">
        <color rgb="FFD9D9D9"/>
      </bottom>
      <diagonal/>
    </border>
    <border>
      <left style="medium">
        <color rgb="FFD9D9D9"/>
      </left>
      <right style="medium">
        <color rgb="FFD9D9D9"/>
      </right>
      <top style="medium">
        <color rgb="FFD9D9D9"/>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medium">
        <color indexed="64"/>
      </right>
      <top style="medium">
        <color indexed="64"/>
      </top>
      <bottom style="thin">
        <color indexed="64"/>
      </bottom>
      <diagonal/>
    </border>
    <border>
      <left style="thin">
        <color theme="0" tint="-0.499984740745262"/>
      </left>
      <right/>
      <top style="medium">
        <color indexed="64"/>
      </top>
      <bottom style="thin">
        <color theme="0" tint="-0.499984740745262"/>
      </bottom>
      <diagonal/>
    </border>
    <border>
      <left/>
      <right style="medium">
        <color indexed="64"/>
      </right>
      <top style="medium">
        <color indexed="64"/>
      </top>
      <bottom style="thin">
        <color theme="0" tint="-0.499984740745262"/>
      </bottom>
      <diagonal/>
    </border>
    <border>
      <left/>
      <right style="medium">
        <color indexed="64"/>
      </right>
      <top style="thin">
        <color theme="0" tint="-0.499984740745262"/>
      </top>
      <bottom style="thin">
        <color theme="0" tint="-0.499984740745262"/>
      </bottom>
      <diagonal/>
    </border>
    <border>
      <left style="thin">
        <color indexed="64"/>
      </left>
      <right/>
      <top style="thin">
        <color theme="0" tint="-0.34998626667073579"/>
      </top>
      <bottom style="thin">
        <color theme="0" tint="-0.24994659260841701"/>
      </bottom>
      <diagonal/>
    </border>
    <border>
      <left/>
      <right/>
      <top style="thin">
        <color theme="0" tint="-0.34998626667073579"/>
      </top>
      <bottom style="thin">
        <color theme="0" tint="-0.24994659260841701"/>
      </bottom>
      <diagonal/>
    </border>
    <border>
      <left/>
      <right style="thin">
        <color indexed="64"/>
      </right>
      <top style="thin">
        <color theme="0" tint="-0.34998626667073579"/>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theme="0" tint="-0.34998626667073579"/>
      </right>
      <top style="thin">
        <color theme="0" tint="-0.34998626667073579"/>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24994659260841701"/>
      </bottom>
      <diagonal/>
    </border>
    <border>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style="medium">
        <color indexed="64"/>
      </right>
      <top style="medium">
        <color indexed="64"/>
      </top>
      <bottom style="thin">
        <color theme="0" tint="-0.24994659260841701"/>
      </bottom>
      <diagonal/>
    </border>
    <border>
      <left style="medium">
        <color indexed="64"/>
      </left>
      <right/>
      <top style="medium">
        <color indexed="64"/>
      </top>
      <bottom style="thin">
        <color theme="0" tint="-0.24994659260841701"/>
      </bottom>
      <diagonal/>
    </border>
    <border>
      <left style="thin">
        <color indexed="64"/>
      </left>
      <right style="thin">
        <color indexed="64"/>
      </right>
      <top style="medium">
        <color indexed="64"/>
      </top>
      <bottom style="thin">
        <color theme="0" tint="-0.24994659260841701"/>
      </bottom>
      <diagonal/>
    </border>
    <border>
      <left style="medium">
        <color indexed="64"/>
      </left>
      <right/>
      <top style="thin">
        <color theme="0" tint="-0.24994659260841701"/>
      </top>
      <bottom/>
      <diagonal/>
    </border>
    <border>
      <left/>
      <right/>
      <top style="thin">
        <color theme="0" tint="-0.24994659260841701"/>
      </top>
      <bottom/>
      <diagonal/>
    </border>
    <border>
      <left/>
      <right style="medium">
        <color indexed="64"/>
      </right>
      <top style="thin">
        <color theme="0" tint="-0.24994659260841701"/>
      </top>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style="thin">
        <color theme="0" tint="-0.24994659260841701"/>
      </left>
      <right style="medium">
        <color indexed="64"/>
      </right>
      <top style="medium">
        <color indexed="64"/>
      </top>
      <bottom/>
      <diagonal/>
    </border>
    <border>
      <left style="thin">
        <color theme="0" tint="-0.24994659260841701"/>
      </left>
      <right style="thin">
        <color theme="0" tint="-0.24994659260841701"/>
      </right>
      <top style="medium">
        <color indexed="64"/>
      </top>
      <bottom style="thin">
        <color theme="0" tint="-0.24994659260841701"/>
      </bottom>
      <diagonal/>
    </border>
    <border>
      <left style="thin">
        <color theme="0" tint="-0.24994659260841701"/>
      </left>
      <right/>
      <top style="medium">
        <color indexed="64"/>
      </top>
      <bottom style="thin">
        <color theme="0" tint="-0.24994659260841701"/>
      </bottom>
      <diagonal/>
    </border>
    <border>
      <left style="thin">
        <color theme="0" tint="-0.24994659260841701"/>
      </left>
      <right/>
      <top style="thin">
        <color theme="0" tint="-0.24994659260841701"/>
      </top>
      <bottom style="medium">
        <color indexed="64"/>
      </bottom>
      <diagonal/>
    </border>
    <border>
      <left style="medium">
        <color theme="0" tint="-0.24994659260841701"/>
      </left>
      <right style="medium">
        <color theme="0" tint="-0.24994659260841701"/>
      </right>
      <top style="medium">
        <color indexed="64"/>
      </top>
      <bottom style="medium">
        <color theme="0" tint="-0.24994659260841701"/>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theme="0" tint="-0.24994659260841701"/>
      </right>
      <top style="medium">
        <color theme="0" tint="-0.24994659260841701"/>
      </top>
      <bottom style="medium">
        <color indexed="64"/>
      </bottom>
      <diagonal/>
    </border>
    <border>
      <left/>
      <right/>
      <top style="medium">
        <color indexed="64"/>
      </top>
      <bottom style="medium">
        <color indexed="64"/>
      </bottom>
      <diagonal/>
    </border>
    <border>
      <left style="thin">
        <color theme="0" tint="-0.34998626667073579"/>
      </left>
      <right style="thin">
        <color theme="0" tint="-0.34998626667073579"/>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thin">
        <color rgb="FFC00000"/>
      </left>
      <right/>
      <top style="thin">
        <color rgb="FFC00000"/>
      </top>
      <bottom/>
      <diagonal/>
    </border>
    <border>
      <left/>
      <right style="thin">
        <color rgb="FFC00000"/>
      </right>
      <top style="thin">
        <color rgb="FFC00000"/>
      </top>
      <bottom/>
      <diagonal/>
    </border>
    <border>
      <left/>
      <right style="thin">
        <color rgb="FFC00000"/>
      </right>
      <top/>
      <bottom style="thin">
        <color rgb="FFC00000"/>
      </bottom>
      <diagonal/>
    </border>
    <border>
      <left style="medium">
        <color rgb="FFC00000"/>
      </left>
      <right/>
      <top style="medium">
        <color rgb="FFC00000"/>
      </top>
      <bottom style="medium">
        <color rgb="FFC00000"/>
      </bottom>
      <diagonal/>
    </border>
    <border>
      <left/>
      <right/>
      <top/>
      <bottom style="thin">
        <color rgb="FFC00000"/>
      </bottom>
      <diagonal/>
    </border>
    <border>
      <left style="medium">
        <color theme="0" tint="-0.499984740745262"/>
      </left>
      <right/>
      <top style="medium">
        <color indexed="64"/>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style="medium">
        <color theme="0" tint="-0.499984740745262"/>
      </left>
      <right/>
      <top style="medium">
        <color indexed="64"/>
      </top>
      <bottom style="medium">
        <color indexed="64"/>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medium">
        <color indexed="64"/>
      </right>
      <top style="thin">
        <color theme="0" tint="-0.34998626667073579"/>
      </top>
      <bottom style="thin">
        <color indexed="64"/>
      </bottom>
      <diagonal/>
    </border>
    <border>
      <left/>
      <right style="thin">
        <color theme="0" tint="-0.34998626667073579"/>
      </right>
      <top style="medium">
        <color indexed="64"/>
      </top>
      <bottom style="thin">
        <color theme="0" tint="-0.34998626667073579"/>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medium">
        <color indexed="64"/>
      </top>
      <bottom style="thin">
        <color theme="0" tint="-0.34998626667073579"/>
      </bottom>
      <diagonal/>
    </border>
    <border>
      <left style="thin">
        <color theme="0" tint="-0.34998626667073579"/>
      </left>
      <right/>
      <top style="thin">
        <color theme="0" tint="-0.34998626667073579"/>
      </top>
      <bottom style="thin">
        <color indexed="64"/>
      </bottom>
      <diagonal/>
    </border>
    <border>
      <left/>
      <right style="hair">
        <color theme="0" tint="-0.499984740745262"/>
      </right>
      <top style="thin">
        <color theme="0" tint="-0.499984740745262"/>
      </top>
      <bottom style="thin">
        <color theme="0" tint="-0.499984740745262"/>
      </bottom>
      <diagonal/>
    </border>
    <border>
      <left style="hair">
        <color theme="0" tint="-0.499984740745262"/>
      </left>
      <right style="hair">
        <color theme="0" tint="-0.499984740745262"/>
      </right>
      <top style="thin">
        <color theme="0" tint="-0.499984740745262"/>
      </top>
      <bottom style="thin">
        <color theme="0" tint="-0.499984740745262"/>
      </bottom>
      <diagonal/>
    </border>
    <border>
      <left style="medium">
        <color rgb="FFC00000"/>
      </left>
      <right style="medium">
        <color rgb="FFC00000"/>
      </right>
      <top style="medium">
        <color rgb="FFC00000"/>
      </top>
      <bottom style="medium">
        <color rgb="FFC00000"/>
      </bottom>
      <diagonal/>
    </border>
    <border>
      <left style="thin">
        <color indexed="64"/>
      </left>
      <right style="thin">
        <color indexed="64"/>
      </right>
      <top/>
      <bottom style="thin">
        <color indexed="64"/>
      </bottom>
      <diagonal/>
    </border>
    <border>
      <left/>
      <right style="thin">
        <color indexed="64"/>
      </right>
      <top style="thin">
        <color indexed="64"/>
      </top>
      <bottom style="thin">
        <color theme="0" tint="-0.34998626667073579"/>
      </bottom>
      <diagonal/>
    </border>
    <border>
      <left style="thick">
        <color rgb="FFC00000"/>
      </left>
      <right style="thick">
        <color rgb="FFC00000"/>
      </right>
      <top style="thick">
        <color rgb="FFC00000"/>
      </top>
      <bottom/>
      <diagonal/>
    </border>
    <border>
      <left style="thick">
        <color rgb="FFC00000"/>
      </left>
      <right style="thick">
        <color rgb="FFC00000"/>
      </right>
      <top/>
      <bottom/>
      <diagonal/>
    </border>
    <border>
      <left style="thick">
        <color rgb="FFC00000"/>
      </left>
      <right style="thick">
        <color rgb="FFC00000"/>
      </right>
      <top/>
      <bottom style="thin">
        <color theme="0" tint="-0.14996795556505021"/>
      </bottom>
      <diagonal/>
    </border>
    <border>
      <left style="thick">
        <color rgb="FFC00000"/>
      </left>
      <right style="thick">
        <color rgb="FFC00000"/>
      </right>
      <top/>
      <bottom style="thick">
        <color rgb="FFC00000"/>
      </bottom>
      <diagonal/>
    </border>
    <border>
      <left/>
      <right style="medium">
        <color indexed="64"/>
      </right>
      <top style="thin">
        <color theme="0" tint="-0.14996795556505021"/>
      </top>
      <bottom style="thin">
        <color theme="0" tint="-0.14996795556505021"/>
      </bottom>
      <diagonal/>
    </border>
    <border>
      <left style="medium">
        <color indexed="64"/>
      </left>
      <right style="medium">
        <color indexed="64"/>
      </right>
      <top/>
      <bottom style="thin">
        <color indexed="64"/>
      </bottom>
      <diagonal/>
    </border>
    <border>
      <left/>
      <right style="thin">
        <color theme="0" tint="-0.24994659260841701"/>
      </right>
      <top style="medium">
        <color indexed="64"/>
      </top>
      <bottom/>
      <diagonal/>
    </border>
    <border>
      <left style="thin">
        <color theme="0" tint="-0.499984740745262"/>
      </left>
      <right style="medium">
        <color indexed="64"/>
      </right>
      <top style="thin">
        <color indexed="64"/>
      </top>
      <bottom style="thin">
        <color indexed="64"/>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indexed="64"/>
      </right>
      <top style="thin">
        <color theme="0" tint="-0.34998626667073579"/>
      </top>
      <bottom style="thin">
        <color theme="0" tint="-0.34998626667073579"/>
      </bottom>
      <diagonal/>
    </border>
    <border>
      <left style="medium">
        <color indexed="64"/>
      </left>
      <right style="medium">
        <color indexed="64"/>
      </right>
      <top style="thin">
        <color theme="0" tint="-0.34998626667073579"/>
      </top>
      <bottom style="thin">
        <color indexed="64"/>
      </bottom>
      <diagonal/>
    </border>
    <border>
      <left/>
      <right/>
      <top style="medium">
        <color theme="0" tint="-0.34998626667073579"/>
      </top>
      <bottom style="medium">
        <color theme="0" tint="-0.34998626667073579"/>
      </bottom>
      <diagonal/>
    </border>
    <border>
      <left/>
      <right style="medium">
        <color rgb="FFFF0000"/>
      </right>
      <top style="medium">
        <color theme="0" tint="-0.34998626667073579"/>
      </top>
      <bottom style="medium">
        <color theme="0" tint="-0.34998626667073579"/>
      </bottom>
      <diagonal/>
    </border>
    <border>
      <left style="thin">
        <color indexed="64"/>
      </left>
      <right/>
      <top style="thin">
        <color theme="0" tint="-0.24994659260841701"/>
      </top>
      <bottom/>
      <diagonal/>
    </border>
    <border>
      <left style="thin">
        <color indexed="64"/>
      </left>
      <right/>
      <top/>
      <bottom style="thin">
        <color theme="0" tint="-0.24994659260841701"/>
      </bottom>
      <diagonal/>
    </border>
    <border>
      <left style="thin">
        <color theme="0" tint="-0.499984740745262"/>
      </left>
      <right style="medium">
        <color rgb="FF0070C0"/>
      </right>
      <top style="thin">
        <color theme="0" tint="-0.499984740745262"/>
      </top>
      <bottom/>
      <diagonal/>
    </border>
    <border>
      <left style="medium">
        <color rgb="FFFF0000"/>
      </left>
      <right/>
      <top/>
      <bottom style="medium">
        <color theme="0" tint="-0.34998626667073579"/>
      </bottom>
      <diagonal/>
    </border>
    <border>
      <left/>
      <right/>
      <top/>
      <bottom style="medium">
        <color theme="0" tint="-0.34998626667073579"/>
      </bottom>
      <diagonal/>
    </border>
    <border>
      <left/>
      <right style="medium">
        <color rgb="FFFF0000"/>
      </right>
      <top/>
      <bottom style="medium">
        <color theme="0" tint="-0.34998626667073579"/>
      </bottom>
      <diagonal/>
    </border>
    <border>
      <left style="hair">
        <color theme="0" tint="-0.499984740745262"/>
      </left>
      <right style="medium">
        <color indexed="64"/>
      </right>
      <top style="thin">
        <color theme="0" tint="-0.499984740745262"/>
      </top>
      <bottom style="thin">
        <color theme="0" tint="-0.499984740745262"/>
      </bottom>
      <diagonal/>
    </border>
    <border>
      <left style="thin">
        <color theme="0" tint="-0.24994659260841701"/>
      </left>
      <right style="medium">
        <color indexed="64"/>
      </right>
      <top/>
      <bottom style="thin">
        <color theme="0" tint="-0.24994659260841701"/>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rgb="FFA6A6A6"/>
      </bottom>
      <diagonal/>
    </border>
    <border>
      <left style="medium">
        <color indexed="64"/>
      </left>
      <right style="medium">
        <color indexed="64"/>
      </right>
      <top/>
      <bottom style="medium">
        <color rgb="FFA6A6A6"/>
      </bottom>
      <diagonal/>
    </border>
    <border>
      <left style="medium">
        <color indexed="64"/>
      </left>
      <right style="thin">
        <color indexed="64"/>
      </right>
      <top style="medium">
        <color indexed="64"/>
      </top>
      <bottom style="thin">
        <color theme="0" tint="-0.34998626667073579"/>
      </bottom>
      <diagonal/>
    </border>
    <border>
      <left style="medium">
        <color indexed="64"/>
      </left>
      <right style="thin">
        <color indexed="64"/>
      </right>
      <top style="thin">
        <color theme="0" tint="-0.34998626667073579"/>
      </top>
      <bottom style="thin">
        <color theme="0" tint="-0.34998626667073579"/>
      </bottom>
      <diagonal/>
    </border>
    <border>
      <left style="thick">
        <color indexed="64"/>
      </left>
      <right/>
      <top style="thin">
        <color theme="0" tint="-0.24994659260841701"/>
      </top>
      <bottom/>
      <diagonal/>
    </border>
    <border>
      <left style="thin">
        <color theme="0" tint="-0.499984740745262"/>
      </left>
      <right style="medium">
        <color rgb="FF0070C0"/>
      </right>
      <top/>
      <bottom style="thin">
        <color theme="0" tint="-0.499984740745262"/>
      </bottom>
      <diagonal/>
    </border>
    <border>
      <left/>
      <right style="hair">
        <color theme="0" tint="-0.499984740745262"/>
      </right>
      <top style="thin">
        <color theme="0" tint="-0.499984740745262"/>
      </top>
      <bottom/>
      <diagonal/>
    </border>
    <border>
      <left style="hair">
        <color theme="0" tint="-0.499984740745262"/>
      </left>
      <right style="hair">
        <color theme="0" tint="-0.499984740745262"/>
      </right>
      <top style="thin">
        <color theme="0" tint="-0.499984740745262"/>
      </top>
      <bottom/>
      <diagonal/>
    </border>
    <border>
      <left/>
      <right/>
      <top style="medium">
        <color theme="0" tint="-0.34998626667073579"/>
      </top>
      <bottom/>
      <diagonal/>
    </border>
    <border>
      <left/>
      <right style="medium">
        <color rgb="FFFF0000"/>
      </right>
      <top style="medium">
        <color theme="0" tint="-0.34998626667073579"/>
      </top>
      <bottom/>
      <diagonal/>
    </border>
    <border>
      <left style="medium">
        <color indexed="64"/>
      </left>
      <right style="medium">
        <color indexed="64"/>
      </right>
      <top style="thin">
        <color theme="0" tint="-0.499984740745262"/>
      </top>
      <bottom style="medium">
        <color indexed="64"/>
      </bottom>
      <diagonal/>
    </border>
    <border>
      <left style="medium">
        <color theme="0" tint="-0.24994659260841701"/>
      </left>
      <right style="medium">
        <color theme="0" tint="-0.24994659260841701"/>
      </right>
      <top style="medium">
        <color theme="0" tint="-0.24994659260841701"/>
      </top>
      <bottom style="medium">
        <color theme="1"/>
      </bottom>
      <diagonal/>
    </border>
    <border>
      <left/>
      <right style="medium">
        <color rgb="FFD9D9D9"/>
      </right>
      <top/>
      <bottom/>
      <diagonal/>
    </border>
    <border>
      <left/>
      <right style="medium">
        <color rgb="FFC00000"/>
      </right>
      <top style="medium">
        <color rgb="FFC00000"/>
      </top>
      <bottom style="medium">
        <color rgb="FFC00000"/>
      </bottom>
      <diagonal/>
    </border>
    <border>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medium">
        <color indexed="64"/>
      </right>
      <top style="thin">
        <color indexed="64"/>
      </top>
      <bottom style="medium">
        <color indexed="64"/>
      </bottom>
      <diagonal/>
    </border>
    <border>
      <left style="thin">
        <color theme="0" tint="-0.499984740745262"/>
      </left>
      <right style="medium">
        <color indexed="64"/>
      </right>
      <top style="thin">
        <color indexed="64"/>
      </top>
      <bottom/>
      <diagonal/>
    </border>
    <border>
      <left/>
      <right/>
      <top style="medium">
        <color rgb="FF0070C0"/>
      </top>
      <bottom style="medium">
        <color indexed="64"/>
      </bottom>
      <diagonal/>
    </border>
    <border>
      <left/>
      <right style="medium">
        <color rgb="FF0070C0"/>
      </right>
      <top style="medium">
        <color rgb="FF0070C0"/>
      </top>
      <bottom style="medium">
        <color indexed="64"/>
      </bottom>
      <diagonal/>
    </border>
    <border>
      <left style="medium">
        <color indexed="64"/>
      </left>
      <right/>
      <top style="thin">
        <color indexed="64"/>
      </top>
      <bottom style="thin">
        <color theme="0" tint="-0.34998626667073579"/>
      </bottom>
      <diagonal/>
    </border>
    <border>
      <left/>
      <right/>
      <top style="thin">
        <color indexed="64"/>
      </top>
      <bottom style="thin">
        <color theme="0" tint="-0.34998626667073579"/>
      </bottom>
      <diagonal/>
    </border>
    <border>
      <left/>
      <right style="medium">
        <color rgb="FFFF0000"/>
      </right>
      <top style="thin">
        <color indexed="64"/>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medium">
        <color rgb="FFFF0000"/>
      </right>
      <top style="thin">
        <color theme="0" tint="-0.34998626667073579"/>
      </top>
      <bottom style="thin">
        <color theme="0" tint="-0.34998626667073579"/>
      </bottom>
      <diagonal/>
    </border>
    <border>
      <left style="medium">
        <color indexed="64"/>
      </left>
      <right/>
      <top style="thin">
        <color theme="0" tint="-0.34998626667073579"/>
      </top>
      <bottom style="medium">
        <color indexed="64"/>
      </bottom>
      <diagonal/>
    </border>
    <border>
      <left/>
      <right/>
      <top style="thin">
        <color theme="0" tint="-0.34998626667073579"/>
      </top>
      <bottom style="medium">
        <color indexed="64"/>
      </bottom>
      <diagonal/>
    </border>
    <border>
      <left/>
      <right style="medium">
        <color rgb="FFFF0000"/>
      </right>
      <top style="thin">
        <color theme="0" tint="-0.34998626667073579"/>
      </top>
      <bottom style="medium">
        <color indexed="64"/>
      </bottom>
      <diagonal/>
    </border>
    <border>
      <left style="medium">
        <color rgb="FF0070C0"/>
      </left>
      <right style="medium">
        <color rgb="FF0070C0"/>
      </right>
      <top style="medium">
        <color rgb="FF0070C0"/>
      </top>
      <bottom/>
      <diagonal/>
    </border>
    <border>
      <left style="medium">
        <color rgb="FFC00000"/>
      </left>
      <right style="medium">
        <color rgb="FFC00000"/>
      </right>
      <top style="medium">
        <color rgb="FFC00000"/>
      </top>
      <bottom style="medium">
        <color indexed="64"/>
      </bottom>
      <diagonal/>
    </border>
    <border>
      <left style="medium">
        <color rgb="FFC00000"/>
      </left>
      <right style="medium">
        <color rgb="FFC00000"/>
      </right>
      <top/>
      <bottom/>
      <diagonal/>
    </border>
    <border>
      <left/>
      <right style="hair">
        <color theme="0" tint="-0.499984740745262"/>
      </right>
      <top/>
      <bottom style="thin">
        <color theme="0" tint="-0.499984740745262"/>
      </bottom>
      <diagonal/>
    </border>
    <border>
      <left style="hair">
        <color theme="0" tint="-0.499984740745262"/>
      </left>
      <right style="hair">
        <color theme="0" tint="-0.499984740745262"/>
      </right>
      <top/>
      <bottom/>
      <diagonal/>
    </border>
    <border>
      <left style="hair">
        <color theme="0" tint="-0.499984740745262"/>
      </left>
      <right style="hair">
        <color theme="0" tint="-0.499984740745262"/>
      </right>
      <top/>
      <bottom style="thin">
        <color theme="0" tint="-0.499984740745262"/>
      </bottom>
      <diagonal/>
    </border>
    <border>
      <left style="hair">
        <color theme="0" tint="-0.499984740745262"/>
      </left>
      <right/>
      <top/>
      <bottom style="thin">
        <color theme="0" tint="-0.499984740745262"/>
      </bottom>
      <diagonal/>
    </border>
    <border>
      <left/>
      <right style="hair">
        <color theme="0" tint="-0.499984740745262"/>
      </right>
      <top style="thin">
        <color indexed="64"/>
      </top>
      <bottom style="thin">
        <color theme="0" tint="-0.499984740745262"/>
      </bottom>
      <diagonal/>
    </border>
    <border>
      <left/>
      <right/>
      <top style="thin">
        <color indexed="64"/>
      </top>
      <bottom style="thin">
        <color theme="0" tint="-0.499984740745262"/>
      </bottom>
      <diagonal/>
    </border>
    <border>
      <left/>
      <right style="medium">
        <color indexed="64"/>
      </right>
      <top style="medium">
        <color rgb="FF0070C0"/>
      </top>
      <bottom style="medium">
        <color rgb="FF0070C0"/>
      </bottom>
      <diagonal/>
    </border>
    <border>
      <left style="medium">
        <color indexed="64"/>
      </left>
      <right style="medium">
        <color indexed="64"/>
      </right>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medium">
        <color indexed="64"/>
      </left>
      <right style="medium">
        <color indexed="64"/>
      </right>
      <top style="thin">
        <color theme="0" tint="-0.24994659260841701"/>
      </top>
      <bottom style="thin">
        <color indexed="64"/>
      </bottom>
      <diagonal/>
    </border>
    <border>
      <left style="medium">
        <color rgb="FFC00000"/>
      </left>
      <right style="medium">
        <color rgb="FFC00000"/>
      </right>
      <top style="medium">
        <color indexed="64"/>
      </top>
      <bottom style="thin">
        <color rgb="FFC00000"/>
      </bottom>
      <diagonal/>
    </border>
    <border>
      <left style="medium">
        <color rgb="FFC00000"/>
      </left>
      <right style="medium">
        <color rgb="FFC00000"/>
      </right>
      <top style="thin">
        <color rgb="FFC00000"/>
      </top>
      <bottom style="thin">
        <color rgb="FFC00000"/>
      </bottom>
      <diagonal/>
    </border>
    <border>
      <left style="thin">
        <color theme="0" tint="-0.24994659260841701"/>
      </left>
      <right style="thin">
        <color theme="0" tint="-0.24994659260841701"/>
      </right>
      <top/>
      <bottom style="double">
        <color auto="1"/>
      </bottom>
      <diagonal/>
    </border>
    <border>
      <left style="medium">
        <color auto="1"/>
      </left>
      <right style="thin">
        <color theme="0" tint="-0.24994659260841701"/>
      </right>
      <top/>
      <bottom style="double">
        <color auto="1"/>
      </bottom>
      <diagonal/>
    </border>
    <border>
      <left/>
      <right style="thin">
        <color theme="0" tint="-0.24994659260841701"/>
      </right>
      <top/>
      <bottom style="double">
        <color auto="1"/>
      </bottom>
      <diagonal/>
    </border>
    <border>
      <left style="thin">
        <color theme="0" tint="-0.24994659260841701"/>
      </left>
      <right style="medium">
        <color auto="1"/>
      </right>
      <top/>
      <bottom style="double">
        <color auto="1"/>
      </bottom>
      <diagonal/>
    </border>
    <border>
      <left style="medium">
        <color indexed="64"/>
      </left>
      <right style="thin">
        <color theme="0" tint="-0.24994659260841701"/>
      </right>
      <top style="medium">
        <color indexed="64"/>
      </top>
      <bottom style="thin">
        <color theme="0" tint="-0.34998626667073579"/>
      </bottom>
      <diagonal/>
    </border>
    <border>
      <left style="medium">
        <color indexed="64"/>
      </left>
      <right style="thin">
        <color theme="0" tint="-0.24994659260841701"/>
      </right>
      <top style="thin">
        <color theme="0" tint="-0.34998626667073579"/>
      </top>
      <bottom style="thin">
        <color theme="0" tint="-0.34998626667073579"/>
      </bottom>
      <diagonal/>
    </border>
    <border>
      <left style="medium">
        <color indexed="64"/>
      </left>
      <right style="thin">
        <color theme="0" tint="-0.24994659260841701"/>
      </right>
      <top style="thin">
        <color theme="0" tint="-0.34998626667073579"/>
      </top>
      <bottom style="medium">
        <color indexed="64"/>
      </bottom>
      <diagonal/>
    </border>
    <border>
      <left style="thin">
        <color theme="0" tint="-0.24994659260841701"/>
      </left>
      <right style="thin">
        <color theme="0" tint="-0.24994659260841701"/>
      </right>
      <top style="thin">
        <color auto="1"/>
      </top>
      <bottom style="thin">
        <color auto="1"/>
      </bottom>
      <diagonal/>
    </border>
    <border>
      <left style="thin">
        <color indexed="64"/>
      </left>
      <right style="medium">
        <color indexed="64"/>
      </right>
      <top style="medium">
        <color indexed="64"/>
      </top>
      <bottom style="thin">
        <color theme="0" tint="-0.34998626667073579"/>
      </bottom>
      <diagonal/>
    </border>
    <border>
      <left style="thin">
        <color indexed="64"/>
      </left>
      <right style="medium">
        <color indexed="64"/>
      </right>
      <top style="thin">
        <color theme="0" tint="-0.34998626667073579"/>
      </top>
      <bottom style="thin">
        <color theme="0" tint="-0.34998626667073579"/>
      </bottom>
      <diagonal/>
    </border>
    <border>
      <left style="thin">
        <color indexed="64"/>
      </left>
      <right style="medium">
        <color indexed="64"/>
      </right>
      <top style="thin">
        <color theme="0" tint="-0.34998626667073579"/>
      </top>
      <bottom style="medium">
        <color indexed="64"/>
      </bottom>
      <diagonal/>
    </border>
    <border>
      <left/>
      <right style="medium">
        <color indexed="64"/>
      </right>
      <top style="medium">
        <color indexed="64"/>
      </top>
      <bottom style="thin">
        <color theme="0" tint="-0.34998626667073579"/>
      </bottom>
      <diagonal/>
    </border>
    <border>
      <left/>
      <right style="medium">
        <color indexed="64"/>
      </right>
      <top style="thin">
        <color theme="0" tint="-0.34998626667073579"/>
      </top>
      <bottom style="thin">
        <color theme="0" tint="-0.34998626667073579"/>
      </bottom>
      <diagonal/>
    </border>
    <border>
      <left/>
      <right style="medium">
        <color indexed="64"/>
      </right>
      <top style="thin">
        <color theme="0" tint="-0.34998626667073579"/>
      </top>
      <bottom style="medium">
        <color indexed="64"/>
      </bottom>
      <diagonal/>
    </border>
    <border>
      <left style="medium">
        <color indexed="64"/>
      </left>
      <right style="thin">
        <color theme="0" tint="-0.24994659260841701"/>
      </right>
      <top style="medium">
        <color indexed="64"/>
      </top>
      <bottom style="thin">
        <color indexed="64"/>
      </bottom>
      <diagonal/>
    </border>
    <border>
      <left style="medium">
        <color indexed="64"/>
      </left>
      <right style="thin">
        <color theme="0" tint="-0.24994659260841701"/>
      </right>
      <top/>
      <bottom style="thin">
        <color indexed="64"/>
      </bottom>
      <diagonal/>
    </border>
    <border>
      <left/>
      <right style="medium">
        <color indexed="64"/>
      </right>
      <top style="thin">
        <color indexed="64"/>
      </top>
      <bottom style="thin">
        <color theme="0" tint="-0.34998626667073579"/>
      </bottom>
      <diagonal/>
    </border>
    <border>
      <left style="thin">
        <color theme="0" tint="-0.24994659260841701"/>
      </left>
      <right/>
      <top style="medium">
        <color indexed="64"/>
      </top>
      <bottom style="medium">
        <color indexed="64"/>
      </bottom>
      <diagonal/>
    </border>
    <border>
      <left style="medium">
        <color indexed="64"/>
      </left>
      <right style="medium">
        <color indexed="64"/>
      </right>
      <top style="thin">
        <color theme="0" tint="-0.34998626667073579"/>
      </top>
      <bottom style="medium">
        <color indexed="64"/>
      </bottom>
      <diagonal/>
    </border>
    <border>
      <left style="medium">
        <color indexed="64"/>
      </left>
      <right style="medium">
        <color indexed="64"/>
      </right>
      <top style="thin">
        <color indexed="64"/>
      </top>
      <bottom style="thin">
        <color theme="0" tint="-0.34998626667073579"/>
      </bottom>
      <diagonal/>
    </border>
    <border>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medium">
        <color auto="1"/>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auto="1"/>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medium">
        <color indexed="64"/>
      </bottom>
      <diagonal/>
    </border>
    <border>
      <left style="medium">
        <color indexed="64"/>
      </left>
      <right style="medium">
        <color indexed="64"/>
      </right>
      <top/>
      <bottom style="double">
        <color auto="1"/>
      </bottom>
      <diagonal/>
    </border>
    <border>
      <left/>
      <right style="medium">
        <color indexed="64"/>
      </right>
      <top/>
      <bottom style="double">
        <color auto="1"/>
      </bottom>
      <diagonal/>
    </border>
    <border>
      <left/>
      <right/>
      <top style="medium">
        <color indexed="64"/>
      </top>
      <bottom style="thin">
        <color theme="0" tint="-0.499984740745262"/>
      </bottom>
      <diagonal/>
    </border>
    <border>
      <left style="medium">
        <color indexed="64"/>
      </left>
      <right/>
      <top style="thin">
        <color theme="0" tint="-0.499984740745262"/>
      </top>
      <bottom style="medium">
        <color indexed="64"/>
      </bottom>
      <diagonal/>
    </border>
    <border>
      <left/>
      <right/>
      <top style="thin">
        <color theme="0" tint="-0.499984740745262"/>
      </top>
      <bottom style="medium">
        <color indexed="64"/>
      </bottom>
      <diagonal/>
    </border>
    <border>
      <left/>
      <right style="medium">
        <color indexed="64"/>
      </right>
      <top style="thin">
        <color theme="0" tint="-0.499984740745262"/>
      </top>
      <bottom style="medium">
        <color indexed="64"/>
      </bottom>
      <diagonal/>
    </border>
    <border>
      <left style="thick">
        <color rgb="FF0070C0"/>
      </left>
      <right/>
      <top style="thin">
        <color theme="0" tint="-0.499984740745262"/>
      </top>
      <bottom style="thin">
        <color theme="0" tint="-0.499984740745262"/>
      </bottom>
      <diagonal/>
    </border>
    <border>
      <left/>
      <right style="thick">
        <color rgb="FF0070C0"/>
      </right>
      <top style="thin">
        <color theme="0" tint="-0.499984740745262"/>
      </top>
      <bottom style="thin">
        <color theme="0" tint="-0.499984740745262"/>
      </bottom>
      <diagonal/>
    </border>
    <border>
      <left style="thick">
        <color rgb="FF0070C0"/>
      </left>
      <right/>
      <top style="thin">
        <color theme="0" tint="-0.499984740745262"/>
      </top>
      <bottom style="thick">
        <color rgb="FF0070C0"/>
      </bottom>
      <diagonal/>
    </border>
    <border>
      <left/>
      <right/>
      <top style="thin">
        <color theme="0" tint="-0.499984740745262"/>
      </top>
      <bottom style="thick">
        <color rgb="FF0070C0"/>
      </bottom>
      <diagonal/>
    </border>
    <border>
      <left/>
      <right/>
      <top/>
      <bottom style="thick">
        <color rgb="FF0070C0"/>
      </bottom>
      <diagonal/>
    </border>
    <border>
      <left/>
      <right style="thick">
        <color rgb="FF0070C0"/>
      </right>
      <top style="thin">
        <color theme="0" tint="-0.499984740745262"/>
      </top>
      <bottom style="thick">
        <color rgb="FF0070C0"/>
      </bottom>
      <diagonal/>
    </border>
    <border>
      <left/>
      <right/>
      <top/>
      <bottom style="thick">
        <color rgb="FFC00000"/>
      </bottom>
      <diagonal/>
    </border>
    <border>
      <left style="thick">
        <color rgb="FF0070C0"/>
      </left>
      <right/>
      <top/>
      <bottom style="thin">
        <color theme="0" tint="-0.499984740745262"/>
      </bottom>
      <diagonal/>
    </border>
    <border>
      <left/>
      <right style="thick">
        <color rgb="FF0070C0"/>
      </right>
      <top/>
      <bottom style="thin">
        <color theme="0" tint="-0.499984740745262"/>
      </bottom>
      <diagonal/>
    </border>
    <border>
      <left style="thick">
        <color theme="1"/>
      </left>
      <right style="thick">
        <color theme="1"/>
      </right>
      <top style="thick">
        <color theme="1"/>
      </top>
      <bottom style="thick">
        <color theme="1"/>
      </bottom>
      <diagonal/>
    </border>
    <border>
      <left style="thick">
        <color rgb="FFC00000"/>
      </left>
      <right/>
      <top/>
      <bottom/>
      <diagonal/>
    </border>
    <border>
      <left/>
      <right style="thick">
        <color rgb="FFC00000"/>
      </right>
      <top/>
      <bottom/>
      <diagonal/>
    </border>
    <border>
      <left style="thick">
        <color rgb="FFC00000"/>
      </left>
      <right/>
      <top/>
      <bottom style="thick">
        <color rgb="FFC00000"/>
      </bottom>
      <diagonal/>
    </border>
    <border>
      <left/>
      <right style="thick">
        <color rgb="FFC00000"/>
      </right>
      <top/>
      <bottom style="thick">
        <color rgb="FFC00000"/>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medium">
        <color indexed="64"/>
      </left>
      <right style="thin">
        <color indexed="64"/>
      </right>
      <top style="thin">
        <color theme="0" tint="-0.34998626667073579"/>
      </top>
      <bottom style="thin">
        <color indexed="64"/>
      </bottom>
      <diagonal/>
    </border>
    <border>
      <left style="thin">
        <color indexed="64"/>
      </left>
      <right style="thin">
        <color indexed="64"/>
      </right>
      <top style="thin">
        <color theme="0" tint="-0.34998626667073579"/>
      </top>
      <bottom style="thin">
        <color indexed="64"/>
      </bottom>
      <diagonal/>
    </border>
    <border>
      <left style="thin">
        <color indexed="64"/>
      </left>
      <right style="medium">
        <color indexed="64"/>
      </right>
      <top style="thin">
        <color theme="0" tint="-0.34998626667073579"/>
      </top>
      <bottom style="thin">
        <color indexed="64"/>
      </bottom>
      <diagonal/>
    </border>
    <border>
      <left style="thin">
        <color indexed="64"/>
      </left>
      <right style="thin">
        <color indexed="64"/>
      </right>
      <top style="thin">
        <color indexed="64"/>
      </top>
      <bottom/>
      <diagonal/>
    </border>
    <border>
      <left style="thin">
        <color theme="0" tint="-0.34998626667073579"/>
      </left>
      <right style="thin">
        <color theme="0" tint="-0.34998626667073579"/>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24994659260841701"/>
      </left>
      <right style="medium">
        <color indexed="64"/>
      </right>
      <top style="thin">
        <color theme="0" tint="-0.24994659260841701"/>
      </top>
      <bottom style="thin">
        <color indexed="64"/>
      </bottom>
      <diagonal/>
    </border>
    <border>
      <left style="thin">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right style="thin">
        <color theme="0" tint="-0.34998626667073579"/>
      </right>
      <top style="medium">
        <color indexed="64"/>
      </top>
      <bottom/>
      <diagonal/>
    </border>
    <border>
      <left/>
      <right style="thin">
        <color theme="0" tint="-0.34998626667073579"/>
      </right>
      <top/>
      <bottom/>
      <diagonal/>
    </border>
    <border>
      <left/>
      <right style="thin">
        <color theme="0" tint="-0.34998626667073579"/>
      </right>
      <top/>
      <bottom style="double">
        <color auto="1"/>
      </bottom>
      <diagonal/>
    </border>
    <border>
      <left/>
      <right/>
      <top style="hair">
        <color theme="0" tint="-0.34998626667073579"/>
      </top>
      <bottom style="hair">
        <color theme="0" tint="-0.34998626667073579"/>
      </bottom>
      <diagonal/>
    </border>
    <border>
      <left/>
      <right/>
      <top style="hair">
        <color theme="0" tint="-0.34998626667073579"/>
      </top>
      <bottom style="thin">
        <color indexed="64"/>
      </bottom>
      <diagonal/>
    </border>
    <border>
      <left style="medium">
        <color rgb="FF0070C0"/>
      </left>
      <right/>
      <top style="medium">
        <color rgb="FF0070C0"/>
      </top>
      <bottom style="thin">
        <color indexed="64"/>
      </bottom>
      <diagonal/>
    </border>
    <border>
      <left/>
      <right/>
      <top style="medium">
        <color rgb="FF0070C0"/>
      </top>
      <bottom style="thin">
        <color indexed="64"/>
      </bottom>
      <diagonal/>
    </border>
    <border>
      <left/>
      <right style="thin">
        <color indexed="64"/>
      </right>
      <top style="medium">
        <color rgb="FF0070C0"/>
      </top>
      <bottom style="thin">
        <color indexed="64"/>
      </bottom>
      <diagonal/>
    </border>
    <border>
      <left style="thin">
        <color indexed="64"/>
      </left>
      <right style="medium">
        <color rgb="FF0070C0"/>
      </right>
      <top style="medium">
        <color rgb="FF0070C0"/>
      </top>
      <bottom style="thin">
        <color indexed="64"/>
      </bottom>
      <diagonal/>
    </border>
    <border>
      <left style="thin">
        <color indexed="64"/>
      </left>
      <right style="medium">
        <color rgb="FF0070C0"/>
      </right>
      <top/>
      <bottom/>
      <diagonal/>
    </border>
    <border>
      <left/>
      <right style="thin">
        <color indexed="64"/>
      </right>
      <top/>
      <bottom style="medium">
        <color rgb="FF0070C0"/>
      </bottom>
      <diagonal/>
    </border>
    <border>
      <left style="thin">
        <color indexed="64"/>
      </left>
      <right style="medium">
        <color theme="4"/>
      </right>
      <top/>
      <bottom style="medium">
        <color theme="4"/>
      </bottom>
      <diagonal/>
    </border>
    <border>
      <left style="medium">
        <color rgb="FFFF3737"/>
      </left>
      <right/>
      <top style="medium">
        <color rgb="FFFF3737"/>
      </top>
      <bottom/>
      <diagonal/>
    </border>
    <border>
      <left/>
      <right/>
      <top style="medium">
        <color rgb="FFFF3737"/>
      </top>
      <bottom/>
      <diagonal/>
    </border>
    <border>
      <left/>
      <right style="medium">
        <color indexed="64"/>
      </right>
      <top style="medium">
        <color rgb="FFFF3737"/>
      </top>
      <bottom/>
      <diagonal/>
    </border>
    <border>
      <left style="medium">
        <color indexed="64"/>
      </left>
      <right style="medium">
        <color indexed="64"/>
      </right>
      <top style="medium">
        <color rgb="FFFF3737"/>
      </top>
      <bottom/>
      <diagonal/>
    </border>
    <border>
      <left style="thin">
        <color indexed="64"/>
      </left>
      <right style="medium">
        <color rgb="FFFF3737"/>
      </right>
      <top style="medium">
        <color rgb="FFFF3737"/>
      </top>
      <bottom/>
      <diagonal/>
    </border>
    <border>
      <left style="medium">
        <color rgb="FFFF3737"/>
      </left>
      <right/>
      <top/>
      <bottom style="thin">
        <color indexed="64"/>
      </bottom>
      <diagonal/>
    </border>
    <border>
      <left style="thin">
        <color indexed="64"/>
      </left>
      <right style="medium">
        <color rgb="FFFF3737"/>
      </right>
      <top/>
      <bottom style="thin">
        <color indexed="64"/>
      </bottom>
      <diagonal/>
    </border>
    <border>
      <left style="medium">
        <color rgb="FFFF3737"/>
      </left>
      <right/>
      <top/>
      <bottom/>
      <diagonal/>
    </border>
    <border>
      <left style="thin">
        <color indexed="64"/>
      </left>
      <right style="medium">
        <color rgb="FFFF3737"/>
      </right>
      <top/>
      <bottom/>
      <diagonal/>
    </border>
    <border>
      <left style="medium">
        <color rgb="FFFF3737"/>
      </left>
      <right/>
      <top/>
      <bottom style="medium">
        <color rgb="FFFF3737"/>
      </bottom>
      <diagonal/>
    </border>
    <border>
      <left/>
      <right/>
      <top/>
      <bottom style="medium">
        <color rgb="FFFF3737"/>
      </bottom>
      <diagonal/>
    </border>
    <border>
      <left/>
      <right style="medium">
        <color indexed="64"/>
      </right>
      <top/>
      <bottom style="medium">
        <color rgb="FFFF3737"/>
      </bottom>
      <diagonal/>
    </border>
    <border>
      <left style="thin">
        <color indexed="64"/>
      </left>
      <right style="medium">
        <color rgb="FFFF3737"/>
      </right>
      <top/>
      <bottom style="medium">
        <color rgb="FFFF3737"/>
      </bottom>
      <diagonal/>
    </border>
    <border>
      <left/>
      <right style="thin">
        <color rgb="FFC00000"/>
      </right>
      <top/>
      <bottom/>
      <diagonal/>
    </border>
    <border>
      <left/>
      <right style="thin">
        <color theme="0" tint="-0.24994659260841701"/>
      </right>
      <top/>
      <bottom style="medium">
        <color indexed="64"/>
      </bottom>
      <diagonal/>
    </border>
    <border>
      <left style="thin">
        <color theme="0" tint="-0.24994659260841701"/>
      </left>
      <right style="thin">
        <color theme="0" tint="-0.24994659260841701"/>
      </right>
      <top/>
      <bottom style="medium">
        <color indexed="64"/>
      </bottom>
      <diagonal/>
    </border>
    <border>
      <left/>
      <right style="thin">
        <color theme="0" tint="-0.34998626667073579"/>
      </right>
      <top/>
      <bottom style="medium">
        <color indexed="64"/>
      </bottom>
      <diagonal/>
    </border>
    <border>
      <left style="medium">
        <color auto="1"/>
      </left>
      <right style="thin">
        <color theme="0" tint="-0.34998626667073579"/>
      </right>
      <top/>
      <bottom style="medium">
        <color indexed="64"/>
      </bottom>
      <diagonal/>
    </border>
    <border>
      <left/>
      <right/>
      <top style="medium">
        <color indexed="64"/>
      </top>
      <bottom style="thin">
        <color theme="0" tint="-0.34998626667073579"/>
      </bottom>
      <diagonal/>
    </border>
    <border>
      <left style="mediumDashed">
        <color rgb="FFEBEBEB"/>
      </left>
      <right/>
      <top/>
      <bottom/>
      <diagonal/>
    </border>
  </borders>
  <cellStyleXfs count="9">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38" fontId="32" fillId="0" borderId="0"/>
    <xf numFmtId="44" fontId="32" fillId="0" borderId="0" applyFont="0" applyFill="0" applyBorder="0" applyAlignment="0" applyProtection="0"/>
    <xf numFmtId="43" fontId="1" fillId="0" borderId="0" applyFont="0" applyFill="0" applyBorder="0" applyAlignment="0" applyProtection="0"/>
    <xf numFmtId="0" fontId="1" fillId="28" borderId="0" applyNumberFormat="0" applyBorder="0" applyAlignment="0" applyProtection="0"/>
    <xf numFmtId="0" fontId="1" fillId="0" borderId="0"/>
  </cellStyleXfs>
  <cellXfs count="2691">
    <xf numFmtId="0" fontId="0" fillId="0" borderId="0" xfId="0"/>
    <xf numFmtId="0" fontId="2" fillId="0" borderId="0" xfId="0" applyFont="1"/>
    <xf numFmtId="0" fontId="4" fillId="0" borderId="0" xfId="0" applyFont="1"/>
    <xf numFmtId="0" fontId="5" fillId="0" borderId="0" xfId="0" applyFont="1"/>
    <xf numFmtId="0" fontId="2" fillId="7" borderId="1" xfId="0" applyFont="1" applyFill="1" applyBorder="1" applyAlignment="1">
      <alignment wrapText="1"/>
    </xf>
    <xf numFmtId="0" fontId="3" fillId="7" borderId="2" xfId="0" applyFont="1" applyFill="1" applyBorder="1" applyAlignment="1">
      <alignment wrapText="1"/>
    </xf>
    <xf numFmtId="0" fontId="0" fillId="7" borderId="2" xfId="0" applyFill="1" applyBorder="1" applyAlignment="1">
      <alignment wrapText="1"/>
    </xf>
    <xf numFmtId="0" fontId="0" fillId="0" borderId="0" xfId="0" applyAlignment="1">
      <alignment wrapText="1"/>
    </xf>
    <xf numFmtId="0" fontId="3" fillId="7" borderId="4" xfId="0" applyFont="1" applyFill="1" applyBorder="1" applyAlignment="1">
      <alignment wrapText="1"/>
    </xf>
    <xf numFmtId="0" fontId="3" fillId="7" borderId="5" xfId="0" applyFont="1" applyFill="1" applyBorder="1" applyAlignment="1">
      <alignment wrapText="1"/>
    </xf>
    <xf numFmtId="0" fontId="2" fillId="7" borderId="5" xfId="0" applyFont="1" applyFill="1" applyBorder="1" applyAlignment="1">
      <alignment wrapText="1"/>
    </xf>
    <xf numFmtId="0" fontId="2" fillId="0" borderId="0" xfId="0" applyFont="1" applyAlignment="1">
      <alignment wrapText="1"/>
    </xf>
    <xf numFmtId="0" fontId="2" fillId="7" borderId="6" xfId="0" applyFont="1" applyFill="1" applyBorder="1" applyAlignment="1">
      <alignment horizontal="left" wrapText="1"/>
    </xf>
    <xf numFmtId="0" fontId="2" fillId="7" borderId="7" xfId="0" applyFont="1" applyFill="1" applyBorder="1" applyAlignment="1">
      <alignment horizontal="center" wrapText="1"/>
    </xf>
    <xf numFmtId="0" fontId="2" fillId="0" borderId="0" xfId="0" applyFont="1" applyAlignment="1">
      <alignment horizontal="center" wrapText="1"/>
    </xf>
    <xf numFmtId="0" fontId="0" fillId="6" borderId="8" xfId="0" applyFill="1" applyBorder="1" applyAlignment="1">
      <alignment wrapText="1"/>
    </xf>
    <xf numFmtId="0" fontId="0" fillId="6" borderId="9" xfId="0" applyFill="1" applyBorder="1" applyAlignment="1">
      <alignment wrapText="1"/>
    </xf>
    <xf numFmtId="0" fontId="0" fillId="6" borderId="9" xfId="0" applyFill="1" applyBorder="1" applyAlignment="1">
      <alignment horizontal="center" wrapText="1"/>
    </xf>
    <xf numFmtId="0" fontId="7" fillId="0" borderId="0" xfId="3" applyAlignment="1">
      <alignment wrapText="1"/>
    </xf>
    <xf numFmtId="0" fontId="0" fillId="0" borderId="0" xfId="0" applyAlignment="1">
      <alignment horizontal="left" vertical="center" indent="1"/>
    </xf>
    <xf numFmtId="0" fontId="0" fillId="7" borderId="0" xfId="0" applyFill="1"/>
    <xf numFmtId="0" fontId="3" fillId="7" borderId="20" xfId="0" applyFont="1" applyFill="1" applyBorder="1"/>
    <xf numFmtId="0" fontId="0" fillId="7" borderId="20" xfId="0" applyFill="1" applyBorder="1"/>
    <xf numFmtId="0" fontId="0" fillId="7" borderId="59" xfId="0" applyFill="1" applyBorder="1"/>
    <xf numFmtId="0" fontId="0" fillId="7" borderId="60" xfId="0" applyFill="1" applyBorder="1"/>
    <xf numFmtId="0" fontId="2" fillId="7" borderId="0" xfId="0" applyFont="1" applyFill="1"/>
    <xf numFmtId="0" fontId="2" fillId="7" borderId="0" xfId="0" applyFont="1" applyFill="1" applyAlignment="1">
      <alignment horizontal="center" wrapText="1"/>
    </xf>
    <xf numFmtId="0" fontId="12" fillId="7" borderId="0" xfId="0" applyFont="1" applyFill="1"/>
    <xf numFmtId="0" fontId="5" fillId="7" borderId="0" xfId="0" applyFont="1" applyFill="1"/>
    <xf numFmtId="44" fontId="5" fillId="7" borderId="0" xfId="1" applyFont="1" applyFill="1"/>
    <xf numFmtId="0" fontId="5" fillId="7" borderId="0" xfId="0" applyFont="1" applyFill="1" applyAlignment="1">
      <alignment horizontal="center"/>
    </xf>
    <xf numFmtId="0" fontId="13" fillId="7" borderId="0" xfId="0" applyFont="1" applyFill="1" applyAlignment="1">
      <alignment horizontal="center"/>
    </xf>
    <xf numFmtId="0" fontId="4" fillId="7" borderId="65" xfId="0" applyFont="1" applyFill="1" applyBorder="1" applyAlignment="1">
      <alignment horizontal="center" wrapText="1"/>
    </xf>
    <xf numFmtId="0" fontId="4" fillId="7" borderId="66" xfId="0" applyFont="1" applyFill="1" applyBorder="1" applyAlignment="1">
      <alignment horizontal="center" wrapText="1"/>
    </xf>
    <xf numFmtId="44" fontId="4" fillId="7" borderId="66" xfId="1" applyFont="1" applyFill="1" applyBorder="1" applyAlignment="1">
      <alignment horizontal="center" wrapText="1"/>
    </xf>
    <xf numFmtId="0" fontId="4" fillId="7" borderId="67" xfId="0" applyFont="1" applyFill="1" applyBorder="1" applyAlignment="1">
      <alignment horizontal="center" wrapText="1"/>
    </xf>
    <xf numFmtId="0" fontId="4" fillId="7" borderId="0" xfId="0" applyFont="1" applyFill="1" applyAlignment="1">
      <alignment horizontal="center" wrapText="1"/>
    </xf>
    <xf numFmtId="0" fontId="4" fillId="0" borderId="0" xfId="0" applyFont="1" applyAlignment="1">
      <alignment horizontal="center" wrapText="1"/>
    </xf>
    <xf numFmtId="0" fontId="5" fillId="7" borderId="68" xfId="0" applyFont="1" applyFill="1" applyBorder="1"/>
    <xf numFmtId="0" fontId="5" fillId="7" borderId="69" xfId="0" applyFont="1" applyFill="1" applyBorder="1"/>
    <xf numFmtId="44" fontId="5" fillId="7" borderId="69" xfId="1" applyFont="1" applyFill="1" applyBorder="1"/>
    <xf numFmtId="0" fontId="5" fillId="7" borderId="69" xfId="0" applyFont="1" applyFill="1" applyBorder="1" applyAlignment="1">
      <alignment horizontal="center"/>
    </xf>
    <xf numFmtId="0" fontId="5" fillId="7" borderId="70" xfId="0" applyFont="1" applyFill="1" applyBorder="1"/>
    <xf numFmtId="0" fontId="6" fillId="7" borderId="71" xfId="0" applyFont="1" applyFill="1" applyBorder="1"/>
    <xf numFmtId="0" fontId="5" fillId="7" borderId="72" xfId="0" applyFont="1" applyFill="1" applyBorder="1"/>
    <xf numFmtId="44" fontId="5" fillId="7" borderId="72" xfId="1" applyFont="1" applyFill="1" applyBorder="1"/>
    <xf numFmtId="0" fontId="5" fillId="7" borderId="72" xfId="0" applyFont="1" applyFill="1" applyBorder="1" applyAlignment="1">
      <alignment horizontal="center"/>
    </xf>
    <xf numFmtId="0" fontId="5" fillId="7" borderId="73" xfId="0" applyFont="1" applyFill="1" applyBorder="1"/>
    <xf numFmtId="0" fontId="5" fillId="7" borderId="71" xfId="0" applyFont="1" applyFill="1" applyBorder="1" applyAlignment="1">
      <alignment horizontal="center"/>
    </xf>
    <xf numFmtId="44" fontId="14" fillId="2" borderId="72" xfId="1" applyFont="1" applyFill="1" applyBorder="1"/>
    <xf numFmtId="44" fontId="5" fillId="7" borderId="72" xfId="1" applyFont="1" applyFill="1" applyBorder="1" applyAlignment="1">
      <alignment horizontal="center"/>
    </xf>
    <xf numFmtId="44" fontId="5" fillId="7" borderId="73" xfId="1" applyFont="1" applyFill="1" applyBorder="1"/>
    <xf numFmtId="0" fontId="5" fillId="7" borderId="74" xfId="0" applyFont="1" applyFill="1" applyBorder="1" applyAlignment="1">
      <alignment horizontal="center"/>
    </xf>
    <xf numFmtId="44" fontId="14" fillId="2" borderId="75" xfId="1" applyFont="1" applyFill="1" applyBorder="1"/>
    <xf numFmtId="0" fontId="4" fillId="7" borderId="76" xfId="0" applyFont="1" applyFill="1" applyBorder="1"/>
    <xf numFmtId="0" fontId="4" fillId="7" borderId="77" xfId="0" applyFont="1" applyFill="1" applyBorder="1"/>
    <xf numFmtId="44" fontId="4" fillId="7" borderId="77" xfId="1" applyFont="1" applyFill="1" applyBorder="1"/>
    <xf numFmtId="0" fontId="4" fillId="7" borderId="0" xfId="0" applyFont="1" applyFill="1"/>
    <xf numFmtId="0" fontId="6" fillId="7" borderId="68" xfId="0" applyFont="1" applyFill="1" applyBorder="1"/>
    <xf numFmtId="44" fontId="5" fillId="7" borderId="69" xfId="1" applyFont="1" applyFill="1" applyBorder="1" applyAlignment="1">
      <alignment horizontal="center"/>
    </xf>
    <xf numFmtId="44" fontId="5" fillId="7" borderId="70" xfId="1" applyFont="1" applyFill="1" applyBorder="1"/>
    <xf numFmtId="0" fontId="5" fillId="7" borderId="75" xfId="0" applyFont="1" applyFill="1" applyBorder="1"/>
    <xf numFmtId="0" fontId="4" fillId="7" borderId="78" xfId="0" applyFont="1" applyFill="1" applyBorder="1"/>
    <xf numFmtId="0" fontId="4" fillId="7" borderId="79" xfId="0" applyFont="1" applyFill="1" applyBorder="1"/>
    <xf numFmtId="44" fontId="4" fillId="7" borderId="79" xfId="1" applyFont="1" applyFill="1" applyBorder="1"/>
    <xf numFmtId="44" fontId="5" fillId="0" borderId="0" xfId="1" applyFont="1"/>
    <xf numFmtId="0" fontId="5" fillId="0" borderId="0" xfId="0" applyFont="1" applyAlignment="1">
      <alignment horizontal="center"/>
    </xf>
    <xf numFmtId="0" fontId="6" fillId="7" borderId="0" xfId="0" applyFont="1" applyFill="1"/>
    <xf numFmtId="44" fontId="4" fillId="7" borderId="38" xfId="1" applyFont="1" applyFill="1" applyBorder="1"/>
    <xf numFmtId="0" fontId="15" fillId="7" borderId="0" xfId="0" applyFont="1" applyFill="1"/>
    <xf numFmtId="0" fontId="18" fillId="7" borderId="83" xfId="0" applyFont="1" applyFill="1" applyBorder="1" applyAlignment="1">
      <alignment horizontal="center"/>
    </xf>
    <xf numFmtId="0" fontId="17" fillId="7" borderId="0" xfId="0" applyFont="1" applyFill="1" applyAlignment="1">
      <alignment horizontal="center"/>
    </xf>
    <xf numFmtId="0" fontId="15" fillId="7" borderId="0" xfId="0" applyFont="1" applyFill="1" applyAlignment="1">
      <alignment horizontal="center"/>
    </xf>
    <xf numFmtId="0" fontId="19" fillId="7" borderId="0" xfId="0" applyFont="1" applyFill="1"/>
    <xf numFmtId="0" fontId="5" fillId="7" borderId="0" xfId="0" applyFont="1" applyFill="1" applyAlignment="1">
      <alignment wrapText="1"/>
    </xf>
    <xf numFmtId="0" fontId="13" fillId="7" borderId="0" xfId="0" applyFont="1" applyFill="1" applyAlignment="1">
      <alignment vertical="top" wrapText="1"/>
    </xf>
    <xf numFmtId="0" fontId="16" fillId="0" borderId="0" xfId="0" applyFont="1" applyAlignment="1">
      <alignment horizontal="left"/>
    </xf>
    <xf numFmtId="0" fontId="16" fillId="0" borderId="0" xfId="0" applyFont="1" applyAlignment="1">
      <alignment horizontal="left" wrapText="1"/>
    </xf>
    <xf numFmtId="0" fontId="25" fillId="7" borderId="0" xfId="0" applyFont="1" applyFill="1"/>
    <xf numFmtId="0" fontId="18" fillId="7" borderId="0" xfId="0" applyFont="1" applyFill="1" applyAlignment="1">
      <alignment vertical="center"/>
    </xf>
    <xf numFmtId="0" fontId="4" fillId="7" borderId="0" xfId="0" applyFont="1" applyFill="1" applyAlignment="1">
      <alignment vertical="center"/>
    </xf>
    <xf numFmtId="0" fontId="5" fillId="2" borderId="9" xfId="0" applyFont="1" applyFill="1" applyBorder="1" applyAlignment="1">
      <alignment horizontal="center"/>
    </xf>
    <xf numFmtId="0" fontId="5" fillId="7" borderId="9" xfId="0" applyFont="1" applyFill="1" applyBorder="1"/>
    <xf numFmtId="0" fontId="4" fillId="7" borderId="86" xfId="0" applyFont="1" applyFill="1" applyBorder="1" applyAlignment="1">
      <alignment horizontal="center" wrapText="1"/>
    </xf>
    <xf numFmtId="0" fontId="4" fillId="0" borderId="86" xfId="0" applyFont="1" applyBorder="1" applyAlignment="1">
      <alignment horizontal="center" wrapText="1"/>
    </xf>
    <xf numFmtId="0" fontId="4" fillId="0" borderId="56" xfId="0" applyFont="1" applyBorder="1"/>
    <xf numFmtId="44" fontId="4" fillId="19" borderId="66" xfId="1" applyFont="1" applyFill="1" applyBorder="1" applyAlignment="1">
      <alignment horizontal="center" wrapText="1"/>
    </xf>
    <xf numFmtId="0" fontId="4" fillId="18" borderId="66" xfId="0" applyFont="1" applyFill="1" applyBorder="1" applyAlignment="1">
      <alignment horizontal="center" wrapText="1"/>
    </xf>
    <xf numFmtId="0" fontId="17" fillId="13" borderId="0" xfId="0" applyFont="1" applyFill="1"/>
    <xf numFmtId="0" fontId="18" fillId="13" borderId="0" xfId="0" applyFont="1" applyFill="1"/>
    <xf numFmtId="0" fontId="17" fillId="7" borderId="0" xfId="0" applyFont="1" applyFill="1"/>
    <xf numFmtId="0" fontId="3" fillId="7" borderId="0" xfId="0" applyFont="1" applyFill="1"/>
    <xf numFmtId="14" fontId="8" fillId="7" borderId="0" xfId="0" applyNumberFormat="1" applyFont="1" applyFill="1"/>
    <xf numFmtId="0" fontId="8" fillId="7" borderId="0" xfId="0" applyFont="1" applyFill="1"/>
    <xf numFmtId="0" fontId="3" fillId="7" borderId="0" xfId="0" applyFont="1" applyFill="1" applyAlignment="1">
      <alignment horizontal="center"/>
    </xf>
    <xf numFmtId="44" fontId="0" fillId="0" borderId="0" xfId="0" applyNumberFormat="1"/>
    <xf numFmtId="0" fontId="2" fillId="15" borderId="56" xfId="0" applyFont="1" applyFill="1" applyBorder="1"/>
    <xf numFmtId="0" fontId="30" fillId="7" borderId="0" xfId="0" applyFont="1" applyFill="1"/>
    <xf numFmtId="8" fontId="30" fillId="7" borderId="0" xfId="0" applyNumberFormat="1" applyFont="1" applyFill="1"/>
    <xf numFmtId="0" fontId="2" fillId="15" borderId="84" xfId="0" applyFont="1" applyFill="1" applyBorder="1"/>
    <xf numFmtId="0" fontId="0" fillId="7" borderId="0" xfId="0" applyFill="1" applyAlignment="1">
      <alignment horizontal="center"/>
    </xf>
    <xf numFmtId="0" fontId="20" fillId="7" borderId="0" xfId="0" applyFont="1" applyFill="1"/>
    <xf numFmtId="0" fontId="26" fillId="7" borderId="0" xfId="0" applyFont="1" applyFill="1"/>
    <xf numFmtId="0" fontId="5" fillId="7" borderId="60" xfId="0" applyFont="1" applyFill="1" applyBorder="1"/>
    <xf numFmtId="0" fontId="2" fillId="7" borderId="62" xfId="0" applyFont="1" applyFill="1" applyBorder="1"/>
    <xf numFmtId="0" fontId="2" fillId="7" borderId="84" xfId="0" applyFont="1" applyFill="1" applyBorder="1" applyAlignment="1">
      <alignment horizontal="center"/>
    </xf>
    <xf numFmtId="0" fontId="2" fillId="7" borderId="62" xfId="0" applyFont="1" applyFill="1" applyBorder="1" applyAlignment="1">
      <alignment horizontal="center"/>
    </xf>
    <xf numFmtId="0" fontId="2" fillId="7" borderId="20" xfId="0" applyFont="1" applyFill="1" applyBorder="1"/>
    <xf numFmtId="0" fontId="0" fillId="7" borderId="21" xfId="0" applyFill="1" applyBorder="1"/>
    <xf numFmtId="8" fontId="0" fillId="7" borderId="21" xfId="0" applyNumberFormat="1" applyFill="1" applyBorder="1"/>
    <xf numFmtId="0" fontId="0" fillId="7" borderId="61" xfId="0" applyFill="1" applyBorder="1"/>
    <xf numFmtId="0" fontId="2" fillId="7" borderId="14" xfId="0" applyFont="1" applyFill="1" applyBorder="1" applyAlignment="1">
      <alignment horizontal="center" wrapText="1"/>
    </xf>
    <xf numFmtId="0" fontId="2" fillId="7" borderId="15" xfId="0" applyFont="1" applyFill="1" applyBorder="1" applyAlignment="1">
      <alignment horizontal="center" wrapText="1"/>
    </xf>
    <xf numFmtId="0" fontId="3" fillId="7" borderId="21" xfId="0" applyFont="1" applyFill="1" applyBorder="1" applyAlignment="1">
      <alignment horizontal="center" wrapText="1"/>
    </xf>
    <xf numFmtId="0" fontId="0" fillId="7" borderId="21" xfId="0" applyFill="1" applyBorder="1" applyAlignment="1">
      <alignment wrapText="1"/>
    </xf>
    <xf numFmtId="0" fontId="2" fillId="7" borderId="16" xfId="0" applyFont="1" applyFill="1" applyBorder="1" applyAlignment="1">
      <alignment horizontal="center" wrapText="1"/>
    </xf>
    <xf numFmtId="0" fontId="2" fillId="7" borderId="60" xfId="0" applyFont="1" applyFill="1" applyBorder="1" applyAlignment="1">
      <alignment horizontal="centerContinuous"/>
    </xf>
    <xf numFmtId="0" fontId="0" fillId="7" borderId="60" xfId="0" applyFill="1" applyBorder="1" applyAlignment="1">
      <alignment horizontal="centerContinuous"/>
    </xf>
    <xf numFmtId="0" fontId="5" fillId="17" borderId="9" xfId="0" applyFont="1" applyFill="1" applyBorder="1" applyAlignment="1">
      <alignment wrapText="1"/>
    </xf>
    <xf numFmtId="0" fontId="5" fillId="17" borderId="83" xfId="0" applyFont="1" applyFill="1" applyBorder="1" applyAlignment="1">
      <alignment wrapText="1"/>
    </xf>
    <xf numFmtId="0" fontId="4" fillId="0" borderId="56" xfId="0" applyFont="1" applyBorder="1" applyAlignment="1">
      <alignment wrapText="1"/>
    </xf>
    <xf numFmtId="0" fontId="5" fillId="0" borderId="0" xfId="0" applyFont="1" applyAlignment="1">
      <alignment wrapText="1"/>
    </xf>
    <xf numFmtId="0" fontId="5" fillId="17" borderId="9" xfId="0" applyFont="1" applyFill="1" applyBorder="1" applyAlignment="1">
      <alignment horizontal="center"/>
    </xf>
    <xf numFmtId="0" fontId="27" fillId="17" borderId="9" xfId="0" applyFont="1" applyFill="1" applyBorder="1" applyAlignment="1">
      <alignment wrapText="1"/>
    </xf>
    <xf numFmtId="43" fontId="5" fillId="17" borderId="9" xfId="1" applyNumberFormat="1" applyFont="1" applyFill="1" applyBorder="1"/>
    <xf numFmtId="43" fontId="5" fillId="7" borderId="9" xfId="1" applyNumberFormat="1" applyFont="1" applyFill="1" applyBorder="1"/>
    <xf numFmtId="43" fontId="5" fillId="17" borderId="9" xfId="0" applyNumberFormat="1" applyFont="1" applyFill="1" applyBorder="1"/>
    <xf numFmtId="43" fontId="5" fillId="17" borderId="83" xfId="0" applyNumberFormat="1" applyFont="1" applyFill="1" applyBorder="1"/>
    <xf numFmtId="43" fontId="4" fillId="0" borderId="56" xfId="1" applyNumberFormat="1" applyFont="1" applyBorder="1"/>
    <xf numFmtId="0" fontId="13" fillId="7" borderId="0" xfId="0" applyFont="1" applyFill="1" applyAlignment="1">
      <alignment horizontal="left" vertical="top" wrapText="1"/>
    </xf>
    <xf numFmtId="0" fontId="4" fillId="7" borderId="86" xfId="0" applyFont="1" applyFill="1" applyBorder="1" applyAlignment="1">
      <alignment horizontal="left" wrapText="1"/>
    </xf>
    <xf numFmtId="0" fontId="5" fillId="17" borderId="9" xfId="0" applyFont="1" applyFill="1" applyBorder="1" applyAlignment="1">
      <alignment horizontal="left" wrapText="1"/>
    </xf>
    <xf numFmtId="0" fontId="5" fillId="17" borderId="83" xfId="0" applyFont="1" applyFill="1" applyBorder="1" applyAlignment="1">
      <alignment horizontal="left" wrapText="1"/>
    </xf>
    <xf numFmtId="0" fontId="4" fillId="0" borderId="56" xfId="0" applyFont="1" applyBorder="1" applyAlignment="1">
      <alignment horizontal="left" wrapText="1"/>
    </xf>
    <xf numFmtId="0" fontId="5" fillId="0" borderId="0" xfId="0" applyFont="1" applyAlignment="1">
      <alignment horizontal="left" wrapText="1"/>
    </xf>
    <xf numFmtId="0" fontId="0" fillId="0" borderId="0" xfId="0" applyAlignment="1">
      <alignment horizontal="center"/>
    </xf>
    <xf numFmtId="44" fontId="18" fillId="7" borderId="87" xfId="1" applyFont="1" applyFill="1" applyBorder="1" applyAlignment="1">
      <alignment horizontal="center" wrapText="1"/>
    </xf>
    <xf numFmtId="0" fontId="5" fillId="17" borderId="72" xfId="0" applyFont="1" applyFill="1" applyBorder="1"/>
    <xf numFmtId="0" fontId="5" fillId="17" borderId="75" xfId="0" applyFont="1" applyFill="1" applyBorder="1"/>
    <xf numFmtId="0" fontId="24" fillId="7" borderId="0" xfId="0" applyFont="1" applyFill="1" applyAlignment="1">
      <alignment vertical="center" wrapText="1"/>
    </xf>
    <xf numFmtId="0" fontId="27" fillId="0" borderId="0" xfId="0" applyFont="1"/>
    <xf numFmtId="0" fontId="0" fillId="0" borderId="20" xfId="0" applyBorder="1"/>
    <xf numFmtId="0" fontId="2" fillId="7" borderId="139" xfId="0" applyFont="1" applyFill="1" applyBorder="1"/>
    <xf numFmtId="0" fontId="2" fillId="7" borderId="140" xfId="0" applyFont="1" applyFill="1" applyBorder="1" applyAlignment="1">
      <alignment wrapText="1"/>
    </xf>
    <xf numFmtId="0" fontId="0" fillId="7" borderId="56" xfId="0" applyFill="1" applyBorder="1" applyAlignment="1">
      <alignment horizontal="center"/>
    </xf>
    <xf numFmtId="0" fontId="0" fillId="7" borderId="57" xfId="0" applyFill="1" applyBorder="1" applyAlignment="1">
      <alignment wrapText="1"/>
    </xf>
    <xf numFmtId="0" fontId="0" fillId="7" borderId="84" xfId="0" applyFill="1" applyBorder="1" applyAlignment="1">
      <alignment horizontal="center"/>
    </xf>
    <xf numFmtId="0" fontId="26" fillId="19" borderId="0" xfId="0" applyFont="1" applyFill="1" applyAlignment="1">
      <alignment horizontal="centerContinuous"/>
    </xf>
    <xf numFmtId="0" fontId="20" fillId="19" borderId="0" xfId="0" applyFont="1" applyFill="1" applyAlignment="1">
      <alignment horizontal="centerContinuous"/>
    </xf>
    <xf numFmtId="0" fontId="2" fillId="21" borderId="0" xfId="0" applyFont="1" applyFill="1" applyAlignment="1">
      <alignment horizontal="centerContinuous"/>
    </xf>
    <xf numFmtId="0" fontId="0" fillId="21" borderId="0" xfId="0" applyFill="1" applyAlignment="1">
      <alignment horizontal="centerContinuous"/>
    </xf>
    <xf numFmtId="0" fontId="2" fillId="7" borderId="0" xfId="0" applyFont="1" applyFill="1" applyAlignment="1">
      <alignment horizontal="centerContinuous"/>
    </xf>
    <xf numFmtId="0" fontId="0" fillId="7" borderId="0" xfId="0" applyFill="1" applyAlignment="1">
      <alignment horizontal="centerContinuous"/>
    </xf>
    <xf numFmtId="0" fontId="2" fillId="22" borderId="0" xfId="0" applyFont="1" applyFill="1" applyAlignment="1">
      <alignment horizontal="centerContinuous"/>
    </xf>
    <xf numFmtId="0" fontId="0" fillId="22" borderId="0" xfId="0" applyFill="1" applyAlignment="1">
      <alignment horizontal="centerContinuous"/>
    </xf>
    <xf numFmtId="0" fontId="3" fillId="7" borderId="0" xfId="0" applyFont="1" applyFill="1" applyAlignment="1">
      <alignment horizontal="left"/>
    </xf>
    <xf numFmtId="0" fontId="33" fillId="7" borderId="0" xfId="0" applyFont="1" applyFill="1" applyAlignment="1">
      <alignment horizontal="centerContinuous"/>
    </xf>
    <xf numFmtId="0" fontId="20" fillId="7" borderId="0" xfId="0" applyFont="1" applyFill="1" applyAlignment="1">
      <alignment horizontal="centerContinuous"/>
    </xf>
    <xf numFmtId="0" fontId="0" fillId="7" borderId="3" xfId="0" applyFill="1" applyBorder="1"/>
    <xf numFmtId="0" fontId="3" fillId="7" borderId="143" xfId="0" applyFont="1" applyFill="1" applyBorder="1" applyAlignment="1">
      <alignment horizontal="left"/>
    </xf>
    <xf numFmtId="0" fontId="0" fillId="7" borderId="144" xfId="0" applyFill="1" applyBorder="1"/>
    <xf numFmtId="0" fontId="3" fillId="7" borderId="141" xfId="0" applyFont="1" applyFill="1" applyBorder="1" applyAlignment="1">
      <alignment horizontal="left"/>
    </xf>
    <xf numFmtId="0" fontId="0" fillId="7" borderId="142" xfId="0" applyFill="1" applyBorder="1"/>
    <xf numFmtId="0" fontId="3" fillId="7" borderId="147" xfId="0" applyFont="1" applyFill="1" applyBorder="1"/>
    <xf numFmtId="0" fontId="0" fillId="7" borderId="148" xfId="0" applyFill="1" applyBorder="1"/>
    <xf numFmtId="0" fontId="0" fillId="7" borderId="143" xfId="0" applyFill="1" applyBorder="1" applyAlignment="1">
      <alignment horizontal="center"/>
    </xf>
    <xf numFmtId="0" fontId="0" fillId="7" borderId="8" xfId="0" applyFill="1" applyBorder="1" applyAlignment="1">
      <alignment horizontal="center"/>
    </xf>
    <xf numFmtId="0" fontId="0" fillId="7" borderId="10" xfId="0" applyFill="1" applyBorder="1"/>
    <xf numFmtId="0" fontId="0" fillId="7" borderId="11" xfId="0" applyFill="1" applyBorder="1" applyAlignment="1">
      <alignment horizontal="center"/>
    </xf>
    <xf numFmtId="0" fontId="0" fillId="7" borderId="13" xfId="0" applyFill="1" applyBorder="1"/>
    <xf numFmtId="0" fontId="3" fillId="7" borderId="8" xfId="0" applyFont="1" applyFill="1" applyBorder="1"/>
    <xf numFmtId="0" fontId="0" fillId="7" borderId="145" xfId="0" applyFill="1" applyBorder="1" applyAlignment="1">
      <alignment horizontal="center"/>
    </xf>
    <xf numFmtId="0" fontId="0" fillId="7" borderId="146" xfId="0" applyFill="1" applyBorder="1"/>
    <xf numFmtId="0" fontId="2" fillId="7" borderId="1" xfId="0" applyFont="1" applyFill="1" applyBorder="1"/>
    <xf numFmtId="0" fontId="2" fillId="7" borderId="2" xfId="0" applyFont="1" applyFill="1" applyBorder="1" applyAlignment="1">
      <alignment horizontal="center"/>
    </xf>
    <xf numFmtId="0" fontId="3" fillId="7" borderId="1" xfId="0" applyFont="1" applyFill="1" applyBorder="1"/>
    <xf numFmtId="0" fontId="0" fillId="7" borderId="2" xfId="0" applyFill="1" applyBorder="1" applyAlignment="1">
      <alignment horizontal="center"/>
    </xf>
    <xf numFmtId="0" fontId="0" fillId="7" borderId="2" xfId="0" applyFill="1" applyBorder="1"/>
    <xf numFmtId="0" fontId="2" fillId="7" borderId="149" xfId="0" applyFont="1" applyFill="1" applyBorder="1"/>
    <xf numFmtId="0" fontId="2" fillId="0" borderId="59" xfId="0" applyFont="1" applyBorder="1"/>
    <xf numFmtId="0" fontId="0" fillId="7" borderId="81" xfId="0" applyFill="1" applyBorder="1"/>
    <xf numFmtId="0" fontId="30" fillId="0" borderId="0" xfId="0" applyFont="1"/>
    <xf numFmtId="0" fontId="5" fillId="7" borderId="150" xfId="0" applyFont="1" applyFill="1" applyBorder="1" applyAlignment="1">
      <alignment horizontal="center"/>
    </xf>
    <xf numFmtId="0" fontId="15" fillId="0" borderId="0" xfId="0" applyFont="1" applyAlignment="1">
      <alignment horizontal="center"/>
    </xf>
    <xf numFmtId="170" fontId="5" fillId="0" borderId="0" xfId="0" applyNumberFormat="1" applyFont="1"/>
    <xf numFmtId="44" fontId="5" fillId="0" borderId="0" xfId="0" applyNumberFormat="1" applyFont="1"/>
    <xf numFmtId="43" fontId="5" fillId="0" borderId="0" xfId="0" applyNumberFormat="1" applyFont="1"/>
    <xf numFmtId="43" fontId="13" fillId="7" borderId="0" xfId="0" applyNumberFormat="1" applyFont="1" applyFill="1" applyAlignment="1">
      <alignment vertical="top" wrapText="1"/>
    </xf>
    <xf numFmtId="43" fontId="4" fillId="7" borderId="86" xfId="0" applyNumberFormat="1" applyFont="1" applyFill="1" applyBorder="1" applyAlignment="1">
      <alignment horizontal="center" wrapText="1"/>
    </xf>
    <xf numFmtId="43" fontId="18" fillId="10" borderId="87" xfId="1" applyNumberFormat="1" applyFont="1" applyFill="1" applyBorder="1" applyAlignment="1">
      <alignment horizontal="center" wrapText="1"/>
    </xf>
    <xf numFmtId="43" fontId="5" fillId="0" borderId="0" xfId="1" applyNumberFormat="1" applyFont="1"/>
    <xf numFmtId="0" fontId="5" fillId="17" borderId="9" xfId="1" applyNumberFormat="1" applyFont="1" applyFill="1" applyBorder="1" applyAlignment="1">
      <alignment horizontal="center"/>
    </xf>
    <xf numFmtId="0" fontId="4" fillId="0" borderId="0" xfId="0" applyFont="1" applyAlignment="1">
      <alignment wrapText="1"/>
    </xf>
    <xf numFmtId="0" fontId="4" fillId="0" borderId="0" xfId="0" applyFont="1" applyAlignment="1">
      <alignment horizontal="left" wrapText="1"/>
    </xf>
    <xf numFmtId="43" fontId="4" fillId="0" borderId="0" xfId="0" applyNumberFormat="1" applyFont="1"/>
    <xf numFmtId="44" fontId="4" fillId="0" borderId="0" xfId="0" applyNumberFormat="1" applyFont="1"/>
    <xf numFmtId="0" fontId="4" fillId="7" borderId="0" xfId="0" applyFont="1" applyFill="1" applyAlignment="1">
      <alignment vertical="center" wrapText="1"/>
    </xf>
    <xf numFmtId="0" fontId="17" fillId="7" borderId="0" xfId="0" applyFont="1" applyFill="1" applyAlignment="1">
      <alignment vertical="center"/>
    </xf>
    <xf numFmtId="0" fontId="5" fillId="7" borderId="0" xfId="0" applyFont="1" applyFill="1" applyAlignment="1">
      <alignment vertical="center" wrapText="1"/>
    </xf>
    <xf numFmtId="44" fontId="17" fillId="7" borderId="72" xfId="1" applyFont="1" applyFill="1" applyBorder="1"/>
    <xf numFmtId="44" fontId="4" fillId="23" borderId="65" xfId="1" applyFont="1" applyFill="1" applyBorder="1" applyAlignment="1">
      <alignment horizontal="center"/>
    </xf>
    <xf numFmtId="44" fontId="4" fillId="23" borderId="66" xfId="1" applyFont="1" applyFill="1" applyBorder="1" applyAlignment="1">
      <alignment horizontal="center"/>
    </xf>
    <xf numFmtId="0" fontId="4" fillId="23" borderId="67" xfId="0" applyFont="1" applyFill="1" applyBorder="1" applyAlignment="1">
      <alignment horizontal="center"/>
    </xf>
    <xf numFmtId="0" fontId="2" fillId="7" borderId="56" xfId="0" applyFont="1" applyFill="1" applyBorder="1"/>
    <xf numFmtId="0" fontId="2" fillId="7" borderId="84" xfId="0" applyFont="1" applyFill="1" applyBorder="1"/>
    <xf numFmtId="0" fontId="17" fillId="13" borderId="0" xfId="0" applyFont="1" applyFill="1" applyAlignment="1">
      <alignment horizontal="center"/>
    </xf>
    <xf numFmtId="0" fontId="5" fillId="0" borderId="0" xfId="0" applyFont="1" applyAlignment="1">
      <alignment horizontal="right"/>
    </xf>
    <xf numFmtId="0" fontId="6" fillId="7" borderId="4" xfId="0" applyFont="1" applyFill="1" applyBorder="1"/>
    <xf numFmtId="0" fontId="6" fillId="7" borderId="5" xfId="0" applyFont="1" applyFill="1" applyBorder="1"/>
    <xf numFmtId="0" fontId="6" fillId="0" borderId="0" xfId="0" applyFont="1"/>
    <xf numFmtId="0" fontId="4" fillId="7" borderId="6" xfId="0" applyFont="1" applyFill="1" applyBorder="1" applyAlignment="1">
      <alignment horizontal="center"/>
    </xf>
    <xf numFmtId="0" fontId="4" fillId="7" borderId="7" xfId="0" applyFont="1" applyFill="1" applyBorder="1" applyAlignment="1">
      <alignment horizontal="center"/>
    </xf>
    <xf numFmtId="0" fontId="4" fillId="7" borderId="27" xfId="0" applyFont="1" applyFill="1" applyBorder="1" applyAlignment="1">
      <alignment horizontal="center"/>
    </xf>
    <xf numFmtId="0" fontId="4" fillId="7" borderId="29" xfId="0" applyFont="1" applyFill="1" applyBorder="1" applyAlignment="1">
      <alignment horizontal="center"/>
    </xf>
    <xf numFmtId="0" fontId="4" fillId="7" borderId="33" xfId="0" applyFont="1" applyFill="1" applyBorder="1" applyAlignment="1">
      <alignment horizontal="center"/>
    </xf>
    <xf numFmtId="0" fontId="4" fillId="7" borderId="27" xfId="0" applyFont="1" applyFill="1" applyBorder="1" applyAlignment="1">
      <alignment horizontal="center" wrapText="1"/>
    </xf>
    <xf numFmtId="0" fontId="4" fillId="7" borderId="32" xfId="0" applyFont="1" applyFill="1" applyBorder="1" applyAlignment="1">
      <alignment horizontal="center" wrapText="1"/>
    </xf>
    <xf numFmtId="0" fontId="4" fillId="0" borderId="0" xfId="0" applyFont="1" applyAlignment="1">
      <alignment horizontal="center"/>
    </xf>
    <xf numFmtId="0" fontId="13" fillId="0" borderId="0" xfId="0" applyFont="1" applyAlignment="1">
      <alignment horizontal="left"/>
    </xf>
    <xf numFmtId="164" fontId="5" fillId="7" borderId="9" xfId="0" applyNumberFormat="1" applyFont="1" applyFill="1" applyBorder="1" applyAlignment="1">
      <alignment horizontal="center" wrapText="1"/>
    </xf>
    <xf numFmtId="44" fontId="5" fillId="7" borderId="40" xfId="1" applyFont="1" applyFill="1" applyBorder="1"/>
    <xf numFmtId="0" fontId="5" fillId="7" borderId="59" xfId="0" applyFont="1" applyFill="1" applyBorder="1"/>
    <xf numFmtId="44" fontId="5" fillId="11" borderId="60" xfId="1" applyFont="1" applyFill="1" applyBorder="1"/>
    <xf numFmtId="0" fontId="4" fillId="7" borderId="14" xfId="0" applyFont="1" applyFill="1" applyBorder="1"/>
    <xf numFmtId="0" fontId="4" fillId="0" borderId="15" xfId="0" applyFont="1" applyBorder="1" applyAlignment="1">
      <alignment horizontal="center" wrapText="1"/>
    </xf>
    <xf numFmtId="0" fontId="4" fillId="0" borderId="16" xfId="0" applyFont="1" applyBorder="1" applyAlignment="1">
      <alignment horizontal="center" wrapText="1"/>
    </xf>
    <xf numFmtId="0" fontId="4" fillId="7" borderId="20" xfId="0" applyFont="1" applyFill="1" applyBorder="1" applyAlignment="1">
      <alignment horizontal="center" wrapText="1"/>
    </xf>
    <xf numFmtId="165" fontId="5" fillId="0" borderId="20" xfId="0" applyNumberFormat="1" applyFont="1" applyBorder="1" applyAlignment="1">
      <alignment horizontal="center"/>
    </xf>
    <xf numFmtId="44" fontId="5" fillId="0" borderId="21" xfId="1" applyFont="1" applyBorder="1"/>
    <xf numFmtId="44" fontId="5" fillId="7" borderId="20" xfId="1" applyFont="1" applyFill="1" applyBorder="1"/>
    <xf numFmtId="166" fontId="5" fillId="0" borderId="20" xfId="0" applyNumberFormat="1" applyFont="1" applyBorder="1" applyAlignment="1">
      <alignment horizontal="center"/>
    </xf>
    <xf numFmtId="165" fontId="5" fillId="0" borderId="0" xfId="0" applyNumberFormat="1" applyFont="1" applyAlignment="1">
      <alignment horizontal="center"/>
    </xf>
    <xf numFmtId="166" fontId="5" fillId="0" borderId="59" xfId="0" applyNumberFormat="1" applyFont="1" applyBorder="1" applyAlignment="1">
      <alignment horizontal="center"/>
    </xf>
    <xf numFmtId="165" fontId="5" fillId="0" borderId="60" xfId="0" applyNumberFormat="1" applyFont="1" applyBorder="1" applyAlignment="1">
      <alignment horizontal="center"/>
    </xf>
    <xf numFmtId="44" fontId="5" fillId="0" borderId="60" xfId="1" applyFont="1" applyBorder="1"/>
    <xf numFmtId="44" fontId="5" fillId="0" borderId="61" xfId="1" applyFont="1" applyBorder="1"/>
    <xf numFmtId="166" fontId="5" fillId="7" borderId="0" xfId="0" applyNumberFormat="1" applyFont="1" applyFill="1" applyAlignment="1">
      <alignment horizontal="center"/>
    </xf>
    <xf numFmtId="165" fontId="5" fillId="7" borderId="0" xfId="0" applyNumberFormat="1" applyFont="1" applyFill="1" applyAlignment="1">
      <alignment horizontal="center"/>
    </xf>
    <xf numFmtId="44" fontId="5" fillId="7" borderId="0" xfId="0" applyNumberFormat="1" applyFont="1" applyFill="1"/>
    <xf numFmtId="166" fontId="17" fillId="11" borderId="62" xfId="0" applyNumberFormat="1" applyFont="1" applyFill="1" applyBorder="1" applyAlignment="1">
      <alignment horizontal="left"/>
    </xf>
    <xf numFmtId="0" fontId="16" fillId="11" borderId="62" xfId="0" applyFont="1" applyFill="1" applyBorder="1" applyAlignment="1">
      <alignment horizontal="centerContinuous"/>
    </xf>
    <xf numFmtId="0" fontId="16" fillId="7" borderId="0" xfId="0" applyFont="1" applyFill="1" applyAlignment="1">
      <alignment horizontal="centerContinuous"/>
    </xf>
    <xf numFmtId="166" fontId="5" fillId="0" borderId="0" xfId="0" applyNumberFormat="1" applyFont="1" applyAlignment="1">
      <alignment horizontal="center"/>
    </xf>
    <xf numFmtId="0" fontId="5" fillId="7" borderId="15" xfId="0" applyFont="1" applyFill="1" applyBorder="1"/>
    <xf numFmtId="0" fontId="4" fillId="7" borderId="28" xfId="0" applyFont="1" applyFill="1" applyBorder="1" applyAlignment="1">
      <alignment horizontal="center" wrapText="1"/>
    </xf>
    <xf numFmtId="0" fontId="4" fillId="7" borderId="30" xfId="0" applyFont="1" applyFill="1" applyBorder="1" applyAlignment="1">
      <alignment horizontal="center"/>
    </xf>
    <xf numFmtId="0" fontId="4" fillId="7" borderId="31" xfId="0" applyFont="1" applyFill="1" applyBorder="1" applyAlignment="1">
      <alignment horizontal="center"/>
    </xf>
    <xf numFmtId="0" fontId="4" fillId="7" borderId="32" xfId="0" applyFont="1" applyFill="1" applyBorder="1" applyAlignment="1">
      <alignment horizontal="center"/>
    </xf>
    <xf numFmtId="0" fontId="4" fillId="7" borderId="34" xfId="0" applyFont="1" applyFill="1" applyBorder="1" applyAlignment="1">
      <alignment horizontal="center"/>
    </xf>
    <xf numFmtId="0" fontId="5" fillId="2" borderId="44" xfId="0" applyFont="1" applyFill="1" applyBorder="1" applyAlignment="1">
      <alignment horizontal="center"/>
    </xf>
    <xf numFmtId="0" fontId="5" fillId="7" borderId="53" xfId="0" applyFont="1" applyFill="1" applyBorder="1"/>
    <xf numFmtId="0" fontId="5" fillId="7" borderId="54" xfId="0" applyFont="1" applyFill="1" applyBorder="1"/>
    <xf numFmtId="0" fontId="5" fillId="7" borderId="55" xfId="0" applyFont="1" applyFill="1" applyBorder="1"/>
    <xf numFmtId="0" fontId="5" fillId="7" borderId="56" xfId="0" applyFont="1" applyFill="1" applyBorder="1"/>
    <xf numFmtId="44" fontId="4" fillId="7" borderId="58" xfId="1" applyFont="1" applyFill="1" applyBorder="1"/>
    <xf numFmtId="0" fontId="5" fillId="7" borderId="20" xfId="0" applyFont="1" applyFill="1" applyBorder="1"/>
    <xf numFmtId="0" fontId="16" fillId="0" borderId="0" xfId="0" applyFont="1"/>
    <xf numFmtId="44" fontId="4" fillId="9" borderId="61" xfId="1" applyFont="1" applyFill="1" applyBorder="1"/>
    <xf numFmtId="166" fontId="5" fillId="9" borderId="62" xfId="0" applyNumberFormat="1" applyFont="1" applyFill="1" applyBorder="1" applyAlignment="1">
      <alignment horizontal="left"/>
    </xf>
    <xf numFmtId="0" fontId="5" fillId="9" borderId="62" xfId="0" applyFont="1" applyFill="1" applyBorder="1" applyAlignment="1">
      <alignment horizontal="centerContinuous"/>
    </xf>
    <xf numFmtId="0" fontId="13" fillId="7" borderId="0" xfId="0" applyFont="1" applyFill="1" applyAlignment="1">
      <alignment vertical="center"/>
    </xf>
    <xf numFmtId="0" fontId="26" fillId="15" borderId="56" xfId="0" applyFont="1" applyFill="1" applyBorder="1"/>
    <xf numFmtId="0" fontId="37" fillId="7" borderId="0" xfId="0" applyFont="1" applyFill="1" applyAlignment="1">
      <alignment vertical="center"/>
    </xf>
    <xf numFmtId="44" fontId="4" fillId="7" borderId="170" xfId="0" applyNumberFormat="1" applyFont="1" applyFill="1" applyBorder="1" applyAlignment="1">
      <alignment vertical="center"/>
    </xf>
    <xf numFmtId="0" fontId="18" fillId="7" borderId="175" xfId="1" applyNumberFormat="1" applyFont="1" applyFill="1" applyBorder="1" applyAlignment="1">
      <alignment horizontal="center" wrapText="1"/>
    </xf>
    <xf numFmtId="0" fontId="37" fillId="7" borderId="135" xfId="0" applyFont="1" applyFill="1" applyBorder="1" applyAlignment="1">
      <alignment horizontal="center" vertical="top" wrapText="1"/>
    </xf>
    <xf numFmtId="43" fontId="15" fillId="0" borderId="0" xfId="0" applyNumberFormat="1" applyFont="1" applyAlignment="1">
      <alignment horizontal="center"/>
    </xf>
    <xf numFmtId="170" fontId="4" fillId="0" borderId="0" xfId="0" applyNumberFormat="1" applyFont="1"/>
    <xf numFmtId="0" fontId="5" fillId="17" borderId="35" xfId="1" applyNumberFormat="1" applyFont="1" applyFill="1" applyBorder="1" applyAlignment="1">
      <alignment horizontal="center"/>
    </xf>
    <xf numFmtId="8" fontId="5" fillId="0" borderId="0" xfId="0" applyNumberFormat="1" applyFont="1"/>
    <xf numFmtId="0" fontId="27" fillId="0" borderId="0" xfId="0" applyFont="1" applyAlignment="1">
      <alignment horizontal="center" wrapText="1"/>
    </xf>
    <xf numFmtId="8" fontId="5" fillId="0" borderId="0" xfId="0" applyNumberFormat="1" applyFont="1" applyAlignment="1">
      <alignment wrapText="1"/>
    </xf>
    <xf numFmtId="8" fontId="4" fillId="0" borderId="0" xfId="0" applyNumberFormat="1" applyFont="1" applyAlignment="1">
      <alignment wrapText="1"/>
    </xf>
    <xf numFmtId="170" fontId="5" fillId="0" borderId="0" xfId="0" applyNumberFormat="1" applyFont="1" applyAlignment="1">
      <alignment horizontal="right" wrapText="1"/>
    </xf>
    <xf numFmtId="170" fontId="4" fillId="0" borderId="0" xfId="0" applyNumberFormat="1" applyFont="1" applyAlignment="1">
      <alignment horizontal="right" wrapText="1"/>
    </xf>
    <xf numFmtId="0" fontId="27" fillId="0" borderId="0" xfId="0" applyFont="1" applyAlignment="1">
      <alignment horizontal="left" wrapText="1"/>
    </xf>
    <xf numFmtId="0" fontId="39" fillId="0" borderId="0" xfId="0" applyFont="1"/>
    <xf numFmtId="0" fontId="40" fillId="0" borderId="0" xfId="0" applyFont="1"/>
    <xf numFmtId="0" fontId="17" fillId="7" borderId="0" xfId="0" applyFont="1" applyFill="1" applyAlignment="1">
      <alignment horizontal="centerContinuous"/>
    </xf>
    <xf numFmtId="44" fontId="4" fillId="2" borderId="66" xfId="1" applyFont="1" applyFill="1" applyBorder="1" applyAlignment="1">
      <alignment horizontal="center" wrapText="1"/>
    </xf>
    <xf numFmtId="0" fontId="4" fillId="23" borderId="178" xfId="0" applyFont="1" applyFill="1" applyBorder="1" applyAlignment="1">
      <alignment horizontal="center"/>
    </xf>
    <xf numFmtId="0" fontId="4" fillId="2" borderId="66" xfId="0" applyFont="1" applyFill="1" applyBorder="1" applyAlignment="1">
      <alignment horizontal="center" wrapText="1"/>
    </xf>
    <xf numFmtId="44" fontId="4" fillId="7" borderId="69" xfId="1" applyFont="1" applyFill="1" applyBorder="1" applyAlignment="1">
      <alignment horizontal="center" wrapText="1"/>
    </xf>
    <xf numFmtId="0" fontId="5" fillId="7" borderId="179" xfId="0" applyFont="1" applyFill="1" applyBorder="1"/>
    <xf numFmtId="44" fontId="5" fillId="7" borderId="179" xfId="1" applyFont="1" applyFill="1" applyBorder="1"/>
    <xf numFmtId="44" fontId="5" fillId="7" borderId="179" xfId="1" applyFont="1" applyFill="1" applyBorder="1" applyAlignment="1">
      <alignment horizontal="center"/>
    </xf>
    <xf numFmtId="44" fontId="5" fillId="7" borderId="15" xfId="1" applyFont="1" applyFill="1" applyBorder="1"/>
    <xf numFmtId="44" fontId="5" fillId="7" borderId="15" xfId="1" applyFont="1" applyFill="1" applyBorder="1" applyAlignment="1">
      <alignment horizontal="center"/>
    </xf>
    <xf numFmtId="49" fontId="6" fillId="7" borderId="0" xfId="0" applyNumberFormat="1" applyFont="1" applyFill="1"/>
    <xf numFmtId="0" fontId="21" fillId="7" borderId="0" xfId="0" applyFont="1" applyFill="1"/>
    <xf numFmtId="0" fontId="18" fillId="7" borderId="0" xfId="0" applyFont="1" applyFill="1" applyAlignment="1">
      <alignment horizontal="centerContinuous"/>
    </xf>
    <xf numFmtId="0" fontId="17" fillId="7" borderId="0" xfId="0" applyFont="1" applyFill="1" applyAlignment="1">
      <alignment horizontal="left"/>
    </xf>
    <xf numFmtId="14" fontId="17" fillId="7" borderId="0" xfId="0" applyNumberFormat="1" applyFont="1" applyFill="1" applyAlignment="1">
      <alignment horizontal="left"/>
    </xf>
    <xf numFmtId="14" fontId="17" fillId="7" borderId="0" xfId="0" applyNumberFormat="1" applyFont="1" applyFill="1" applyAlignment="1">
      <alignment horizontal="centerContinuous"/>
    </xf>
    <xf numFmtId="0" fontId="41" fillId="7" borderId="0" xfId="0" applyFont="1" applyFill="1"/>
    <xf numFmtId="0" fontId="18" fillId="0" borderId="88" xfId="0" applyFont="1" applyBorder="1" applyAlignment="1">
      <alignment horizontal="left" wrapText="1"/>
    </xf>
    <xf numFmtId="0" fontId="18" fillId="0" borderId="88" xfId="0" applyFont="1" applyBorder="1" applyAlignment="1">
      <alignment horizontal="center" wrapText="1"/>
    </xf>
    <xf numFmtId="0" fontId="18" fillId="19" borderId="88" xfId="0" applyFont="1" applyFill="1" applyBorder="1" applyAlignment="1">
      <alignment horizontal="center" wrapText="1"/>
    </xf>
    <xf numFmtId="0" fontId="18" fillId="18" borderId="88" xfId="0" applyFont="1" applyFill="1" applyBorder="1" applyAlignment="1">
      <alignment horizontal="center" wrapText="1"/>
    </xf>
    <xf numFmtId="0" fontId="18" fillId="2" borderId="88" xfId="0" applyFont="1" applyFill="1" applyBorder="1" applyAlignment="1">
      <alignment horizontal="center" wrapText="1"/>
    </xf>
    <xf numFmtId="0" fontId="18" fillId="12" borderId="88" xfId="0" applyFont="1" applyFill="1" applyBorder="1" applyAlignment="1">
      <alignment horizontal="center" wrapText="1"/>
    </xf>
    <xf numFmtId="0" fontId="17" fillId="0" borderId="0" xfId="0" applyFont="1" applyAlignment="1">
      <alignment horizontal="left"/>
    </xf>
    <xf numFmtId="44" fontId="17" fillId="0" borderId="0" xfId="1" applyFont="1"/>
    <xf numFmtId="0" fontId="17" fillId="13" borderId="56" xfId="0" applyFont="1" applyFill="1" applyBorder="1" applyAlignment="1">
      <alignment horizontal="center"/>
    </xf>
    <xf numFmtId="0" fontId="17" fillId="13" borderId="56" xfId="0" applyFont="1" applyFill="1" applyBorder="1"/>
    <xf numFmtId="44" fontId="18" fillId="13" borderId="56" xfId="1" applyFont="1" applyFill="1" applyBorder="1"/>
    <xf numFmtId="44" fontId="17" fillId="7" borderId="0" xfId="1" applyFont="1" applyFill="1"/>
    <xf numFmtId="0" fontId="18" fillId="13" borderId="56" xfId="0" applyFont="1" applyFill="1" applyBorder="1" applyAlignment="1">
      <alignment horizontal="center"/>
    </xf>
    <xf numFmtId="0" fontId="18" fillId="13" borderId="56" xfId="0" applyFont="1" applyFill="1" applyBorder="1"/>
    <xf numFmtId="0" fontId="18" fillId="7" borderId="56" xfId="0" applyFont="1" applyFill="1" applyBorder="1" applyAlignment="1">
      <alignment horizontal="center"/>
    </xf>
    <xf numFmtId="0" fontId="18" fillId="7" borderId="56" xfId="0" applyFont="1" applyFill="1" applyBorder="1"/>
    <xf numFmtId="44" fontId="18" fillId="7" borderId="56" xfId="1" applyFont="1" applyFill="1" applyBorder="1"/>
    <xf numFmtId="0" fontId="17" fillId="0" borderId="9" xfId="0" applyFont="1" applyBorder="1"/>
    <xf numFmtId="0" fontId="18" fillId="14" borderId="84" xfId="0" applyFont="1" applyFill="1" applyBorder="1" applyAlignment="1">
      <alignment horizontal="center"/>
    </xf>
    <xf numFmtId="0" fontId="18" fillId="14" borderId="84" xfId="0" applyFont="1" applyFill="1" applyBorder="1"/>
    <xf numFmtId="44" fontId="18" fillId="14" borderId="84" xfId="1" applyFont="1" applyFill="1" applyBorder="1"/>
    <xf numFmtId="0" fontId="17" fillId="0" borderId="0" xfId="0" applyFont="1" applyAlignment="1">
      <alignment horizontal="center"/>
    </xf>
    <xf numFmtId="0" fontId="17" fillId="0" borderId="0" xfId="0" applyFont="1"/>
    <xf numFmtId="0" fontId="29" fillId="13" borderId="180" xfId="0" applyFont="1" applyFill="1" applyBorder="1" applyAlignment="1">
      <alignment horizontal="left"/>
    </xf>
    <xf numFmtId="0" fontId="18" fillId="13" borderId="80" xfId="0" applyFont="1" applyFill="1" applyBorder="1"/>
    <xf numFmtId="0" fontId="18" fillId="13" borderId="181" xfId="0" applyFont="1" applyFill="1" applyBorder="1"/>
    <xf numFmtId="0" fontId="17" fillId="0" borderId="134" xfId="0" applyFont="1" applyBorder="1" applyAlignment="1">
      <alignment horizontal="left"/>
    </xf>
    <xf numFmtId="0" fontId="17" fillId="2" borderId="0" xfId="0" applyFont="1" applyFill="1" applyAlignment="1">
      <alignment horizontal="center"/>
    </xf>
    <xf numFmtId="44" fontId="17" fillId="2" borderId="0" xfId="1" applyFont="1" applyFill="1"/>
    <xf numFmtId="44" fontId="17" fillId="0" borderId="136" xfId="1" applyFont="1" applyBorder="1"/>
    <xf numFmtId="0" fontId="17" fillId="2" borderId="0" xfId="0" applyFont="1" applyFill="1"/>
    <xf numFmtId="0" fontId="18" fillId="13" borderId="182" xfId="0" applyFont="1" applyFill="1" applyBorder="1" applyAlignment="1">
      <alignment horizontal="left"/>
    </xf>
    <xf numFmtId="44" fontId="18" fillId="13" borderId="183" xfId="1" applyFont="1" applyFill="1" applyBorder="1"/>
    <xf numFmtId="0" fontId="17" fillId="7" borderId="134" xfId="0" applyFont="1" applyFill="1" applyBorder="1" applyAlignment="1">
      <alignment horizontal="left"/>
    </xf>
    <xf numFmtId="0" fontId="21" fillId="7" borderId="136" xfId="0" applyFont="1" applyFill="1" applyBorder="1"/>
    <xf numFmtId="0" fontId="29" fillId="13" borderId="134" xfId="0" applyFont="1" applyFill="1" applyBorder="1" applyAlignment="1">
      <alignment horizontal="left"/>
    </xf>
    <xf numFmtId="44" fontId="17" fillId="13" borderId="0" xfId="1" applyFont="1" applyFill="1"/>
    <xf numFmtId="44" fontId="17" fillId="13" borderId="136" xfId="1" applyFont="1" applyFill="1" applyBorder="1"/>
    <xf numFmtId="0" fontId="29" fillId="13" borderId="0" xfId="0" applyFont="1" applyFill="1" applyAlignment="1">
      <alignment horizontal="center"/>
    </xf>
    <xf numFmtId="0" fontId="29" fillId="13" borderId="0" xfId="0" applyFont="1" applyFill="1"/>
    <xf numFmtId="44" fontId="29" fillId="13" borderId="0" xfId="1" applyFont="1" applyFill="1"/>
    <xf numFmtId="44" fontId="29" fillId="13" borderId="136" xfId="1" applyFont="1" applyFill="1" applyBorder="1"/>
    <xf numFmtId="0" fontId="18" fillId="13" borderId="0" xfId="0" applyFont="1" applyFill="1" applyAlignment="1">
      <alignment horizontal="center"/>
    </xf>
    <xf numFmtId="44" fontId="18" fillId="13" borderId="0" xfId="1" applyFont="1" applyFill="1"/>
    <xf numFmtId="44" fontId="18" fillId="13" borderId="136" xfId="1" applyFont="1" applyFill="1" applyBorder="1"/>
    <xf numFmtId="0" fontId="18" fillId="7" borderId="182" xfId="0" applyFont="1" applyFill="1" applyBorder="1" applyAlignment="1">
      <alignment horizontal="left"/>
    </xf>
    <xf numFmtId="44" fontId="18" fillId="7" borderId="183" xfId="1" applyFont="1" applyFill="1" applyBorder="1"/>
    <xf numFmtId="0" fontId="17" fillId="0" borderId="184" xfId="0" applyFont="1" applyBorder="1" applyAlignment="1">
      <alignment horizontal="left"/>
    </xf>
    <xf numFmtId="0" fontId="18" fillId="7" borderId="134" xfId="0" applyFont="1" applyFill="1" applyBorder="1" applyAlignment="1">
      <alignment horizontal="left"/>
    </xf>
    <xf numFmtId="0" fontId="18" fillId="7" borderId="0" xfId="0" applyFont="1" applyFill="1" applyAlignment="1">
      <alignment horizontal="center"/>
    </xf>
    <xf numFmtId="0" fontId="18" fillId="7" borderId="0" xfId="0" applyFont="1" applyFill="1"/>
    <xf numFmtId="44" fontId="18" fillId="7" borderId="0" xfId="1" applyFont="1" applyFill="1"/>
    <xf numFmtId="0" fontId="18" fillId="14" borderId="185" xfId="0" applyFont="1" applyFill="1" applyBorder="1" applyAlignment="1">
      <alignment horizontal="left"/>
    </xf>
    <xf numFmtId="44" fontId="18" fillId="14" borderId="186" xfId="1" applyFont="1" applyFill="1" applyBorder="1"/>
    <xf numFmtId="0" fontId="42" fillId="7" borderId="0" xfId="0" applyFont="1" applyFill="1"/>
    <xf numFmtId="0" fontId="9" fillId="7" borderId="0" xfId="0" applyFont="1" applyFill="1" applyAlignment="1">
      <alignment horizontal="centerContinuous"/>
    </xf>
    <xf numFmtId="0" fontId="9" fillId="7" borderId="0" xfId="0" applyFont="1" applyFill="1"/>
    <xf numFmtId="0" fontId="42" fillId="7" borderId="0" xfId="0" applyFont="1" applyFill="1" applyAlignment="1">
      <alignment horizontal="centerContinuous"/>
    </xf>
    <xf numFmtId="0" fontId="9" fillId="0" borderId="0" xfId="0" applyFont="1"/>
    <xf numFmtId="44" fontId="4" fillId="7" borderId="69" xfId="1" applyFont="1" applyFill="1" applyBorder="1" applyAlignment="1">
      <alignment horizontal="center"/>
    </xf>
    <xf numFmtId="0" fontId="0" fillId="7" borderId="187" xfId="0" applyFill="1" applyBorder="1" applyAlignment="1">
      <alignment horizontal="center"/>
    </xf>
    <xf numFmtId="0" fontId="0" fillId="7" borderId="188" xfId="0" applyFill="1" applyBorder="1"/>
    <xf numFmtId="0" fontId="0" fillId="7" borderId="17" xfId="0" applyFill="1" applyBorder="1" applyAlignment="1">
      <alignment horizontal="center"/>
    </xf>
    <xf numFmtId="0" fontId="0" fillId="7" borderId="189" xfId="0" applyFill="1" applyBorder="1"/>
    <xf numFmtId="0" fontId="0" fillId="7" borderId="190" xfId="0" applyFill="1" applyBorder="1" applyAlignment="1">
      <alignment horizontal="center"/>
    </xf>
    <xf numFmtId="0" fontId="0" fillId="7" borderId="191" xfId="0" applyFill="1" applyBorder="1"/>
    <xf numFmtId="0" fontId="0" fillId="7" borderId="21" xfId="0" applyFill="1" applyBorder="1" applyAlignment="1">
      <alignment horizontal="center"/>
    </xf>
    <xf numFmtId="0" fontId="3" fillId="0" borderId="0" xfId="0" applyFont="1" applyAlignment="1">
      <alignment horizontal="left"/>
    </xf>
    <xf numFmtId="0" fontId="42" fillId="0" borderId="0" xfId="0" applyFont="1" applyAlignment="1">
      <alignment horizontal="left"/>
    </xf>
    <xf numFmtId="0" fontId="0" fillId="0" borderId="16" xfId="0" applyBorder="1"/>
    <xf numFmtId="0" fontId="9" fillId="7" borderId="195" xfId="0" applyFont="1" applyFill="1" applyBorder="1" applyAlignment="1">
      <alignment horizontal="center"/>
    </xf>
    <xf numFmtId="0" fontId="9" fillId="7" borderId="194" xfId="0" applyFont="1" applyFill="1" applyBorder="1" applyAlignment="1">
      <alignment horizontal="center"/>
    </xf>
    <xf numFmtId="0" fontId="13" fillId="0" borderId="0" xfId="0" applyFont="1"/>
    <xf numFmtId="0" fontId="34" fillId="0" borderId="0" xfId="0" applyFont="1"/>
    <xf numFmtId="0" fontId="9" fillId="7" borderId="135" xfId="0" applyFont="1" applyFill="1" applyBorder="1" applyAlignment="1">
      <alignment horizontal="center"/>
    </xf>
    <xf numFmtId="0" fontId="42" fillId="0" borderId="0" xfId="0" applyFont="1"/>
    <xf numFmtId="0" fontId="0" fillId="7" borderId="193" xfId="0" applyFill="1" applyBorder="1"/>
    <xf numFmtId="0" fontId="20" fillId="7" borderId="0" xfId="0" applyFont="1" applyFill="1" applyAlignment="1">
      <alignment horizontal="center"/>
    </xf>
    <xf numFmtId="0" fontId="2" fillId="7" borderId="204" xfId="0" applyFont="1" applyFill="1" applyBorder="1"/>
    <xf numFmtId="0" fontId="2" fillId="7" borderId="54" xfId="0" applyFont="1" applyFill="1" applyBorder="1" applyAlignment="1">
      <alignment horizontal="center"/>
    </xf>
    <xf numFmtId="171" fontId="2" fillId="7" borderId="55" xfId="0" applyNumberFormat="1" applyFont="1" applyFill="1" applyBorder="1"/>
    <xf numFmtId="171" fontId="2" fillId="7" borderId="57" xfId="0" applyNumberFormat="1" applyFont="1" applyFill="1" applyBorder="1"/>
    <xf numFmtId="171" fontId="0" fillId="7" borderId="0" xfId="0" applyNumberFormat="1" applyFill="1"/>
    <xf numFmtId="171" fontId="0" fillId="7" borderId="21" xfId="0" applyNumberFormat="1" applyFill="1" applyBorder="1"/>
    <xf numFmtId="171" fontId="0" fillId="7" borderId="20" xfId="0" applyNumberFormat="1" applyFill="1" applyBorder="1"/>
    <xf numFmtId="171" fontId="2" fillId="7" borderId="84" xfId="0" applyNumberFormat="1" applyFont="1" applyFill="1" applyBorder="1"/>
    <xf numFmtId="171" fontId="2" fillId="7" borderId="140" xfId="0" applyNumberFormat="1" applyFont="1" applyFill="1" applyBorder="1"/>
    <xf numFmtId="171" fontId="2" fillId="7" borderId="0" xfId="0" applyNumberFormat="1" applyFont="1" applyFill="1"/>
    <xf numFmtId="171" fontId="8" fillId="7" borderId="0" xfId="0" applyNumberFormat="1" applyFont="1" applyFill="1"/>
    <xf numFmtId="171" fontId="0" fillId="0" borderId="0" xfId="0" applyNumberFormat="1"/>
    <xf numFmtId="171" fontId="2" fillId="7" borderId="2" xfId="0" applyNumberFormat="1" applyFont="1" applyFill="1" applyBorder="1"/>
    <xf numFmtId="171" fontId="2" fillId="7" borderId="3" xfId="0" applyNumberFormat="1" applyFont="1" applyFill="1" applyBorder="1"/>
    <xf numFmtId="171" fontId="0" fillId="7" borderId="0" xfId="1" applyNumberFormat="1" applyFont="1" applyFill="1"/>
    <xf numFmtId="171" fontId="0" fillId="7" borderId="21" xfId="1" applyNumberFormat="1" applyFont="1" applyFill="1" applyBorder="1"/>
    <xf numFmtId="171" fontId="2" fillId="7" borderId="54" xfId="0" applyNumberFormat="1" applyFont="1" applyFill="1" applyBorder="1"/>
    <xf numFmtId="171" fontId="2" fillId="7" borderId="0" xfId="1" applyNumberFormat="1" applyFont="1" applyFill="1"/>
    <xf numFmtId="171" fontId="2" fillId="7" borderId="21" xfId="1" applyNumberFormat="1" applyFont="1" applyFill="1" applyBorder="1"/>
    <xf numFmtId="0" fontId="20" fillId="7" borderId="2" xfId="0" applyFont="1" applyFill="1" applyBorder="1"/>
    <xf numFmtId="171" fontId="2" fillId="0" borderId="60" xfId="0" applyNumberFormat="1" applyFont="1" applyBorder="1"/>
    <xf numFmtId="43" fontId="0" fillId="7" borderId="0" xfId="0" applyNumberFormat="1" applyFill="1"/>
    <xf numFmtId="0" fontId="44" fillId="7" borderId="135" xfId="0" applyFont="1" applyFill="1" applyBorder="1" applyAlignment="1">
      <alignment horizontal="center"/>
    </xf>
    <xf numFmtId="0" fontId="45" fillId="0" borderId="0" xfId="0" applyFont="1"/>
    <xf numFmtId="171" fontId="2" fillId="7" borderId="58" xfId="0" applyNumberFormat="1" applyFont="1" applyFill="1" applyBorder="1"/>
    <xf numFmtId="171" fontId="0" fillId="7" borderId="60" xfId="0" applyNumberFormat="1" applyFill="1" applyBorder="1"/>
    <xf numFmtId="0" fontId="0" fillId="7" borderId="14" xfId="0" applyFill="1" applyBorder="1" applyAlignment="1">
      <alignment horizontal="center"/>
    </xf>
    <xf numFmtId="0" fontId="30" fillId="7" borderId="0" xfId="0" applyFont="1" applyFill="1" applyAlignment="1">
      <alignment horizontal="right"/>
    </xf>
    <xf numFmtId="0" fontId="30" fillId="15" borderId="0" xfId="0" applyFont="1" applyFill="1" applyAlignment="1">
      <alignment horizontal="right"/>
    </xf>
    <xf numFmtId="44" fontId="2" fillId="7" borderId="0" xfId="1" applyFont="1" applyFill="1" applyAlignment="1">
      <alignment horizontal="left"/>
    </xf>
    <xf numFmtId="0" fontId="0" fillId="7" borderId="0" xfId="0" applyFill="1" applyAlignment="1">
      <alignment horizontal="right"/>
    </xf>
    <xf numFmtId="0" fontId="0" fillId="7" borderId="62" xfId="0" applyFill="1" applyBorder="1"/>
    <xf numFmtId="0" fontId="0" fillId="7" borderId="54" xfId="0" applyFill="1" applyBorder="1"/>
    <xf numFmtId="168" fontId="0" fillId="7" borderId="0" xfId="0" applyNumberFormat="1" applyFill="1"/>
    <xf numFmtId="0" fontId="0" fillId="15" borderId="0" xfId="0" applyFill="1"/>
    <xf numFmtId="44" fontId="0" fillId="7" borderId="0" xfId="0" applyNumberFormat="1" applyFill="1"/>
    <xf numFmtId="0" fontId="0" fillId="15" borderId="0" xfId="0" applyFill="1" applyAlignment="1">
      <alignment horizontal="left"/>
    </xf>
    <xf numFmtId="0" fontId="0" fillId="7" borderId="0" xfId="0" applyFill="1" applyAlignment="1">
      <alignment horizontal="left"/>
    </xf>
    <xf numFmtId="0" fontId="28" fillId="7" borderId="0" xfId="0" applyFont="1" applyFill="1"/>
    <xf numFmtId="0" fontId="36" fillId="7" borderId="0" xfId="0" applyFont="1" applyFill="1"/>
    <xf numFmtId="0" fontId="48" fillId="7" borderId="205" xfId="0" applyFont="1" applyFill="1" applyBorder="1"/>
    <xf numFmtId="0" fontId="47" fillId="7" borderId="205" xfId="0" applyFont="1" applyFill="1" applyBorder="1"/>
    <xf numFmtId="0" fontId="47" fillId="7" borderId="205" xfId="0" applyFont="1" applyFill="1" applyBorder="1" applyAlignment="1">
      <alignment horizontal="right" vertical="center"/>
    </xf>
    <xf numFmtId="10" fontId="0" fillId="0" borderId="0" xfId="0" applyNumberFormat="1"/>
    <xf numFmtId="9" fontId="0" fillId="0" borderId="0" xfId="0" applyNumberFormat="1"/>
    <xf numFmtId="9" fontId="0" fillId="0" borderId="0" xfId="2" applyFont="1"/>
    <xf numFmtId="0" fontId="26" fillId="7" borderId="0" xfId="0" applyFont="1" applyFill="1" applyAlignment="1">
      <alignment horizontal="right"/>
    </xf>
    <xf numFmtId="0" fontId="3" fillId="0" borderId="0" xfId="0" applyFont="1"/>
    <xf numFmtId="0" fontId="49" fillId="7" borderId="0" xfId="0" applyFont="1" applyFill="1"/>
    <xf numFmtId="44" fontId="49" fillId="7" borderId="0" xfId="0" applyNumberFormat="1" applyFont="1" applyFill="1" applyAlignment="1">
      <alignment horizontal="right" vertical="center" wrapText="1"/>
    </xf>
    <xf numFmtId="14" fontId="49" fillId="7" borderId="0" xfId="0" applyNumberFormat="1" applyFont="1" applyFill="1" applyAlignment="1">
      <alignment vertical="center" wrapText="1"/>
    </xf>
    <xf numFmtId="0" fontId="49" fillId="7" borderId="0" xfId="0" quotePrefix="1" applyFont="1" applyFill="1" applyAlignment="1">
      <alignment horizontal="right" vertical="center" wrapText="1"/>
    </xf>
    <xf numFmtId="0" fontId="36" fillId="7" borderId="206" xfId="0" applyFont="1" applyFill="1" applyBorder="1" applyAlignment="1">
      <alignment horizontal="center" vertical="center" wrapText="1"/>
    </xf>
    <xf numFmtId="0" fontId="49" fillId="7" borderId="210" xfId="0" applyFont="1" applyFill="1" applyBorder="1" applyAlignment="1">
      <alignment vertical="center" wrapText="1"/>
    </xf>
    <xf numFmtId="0" fontId="49" fillId="7" borderId="209" xfId="0" applyFont="1" applyFill="1" applyBorder="1" applyAlignment="1">
      <alignment horizontal="left" vertical="center"/>
    </xf>
    <xf numFmtId="0" fontId="49" fillId="7" borderId="208" xfId="0" applyFont="1" applyFill="1" applyBorder="1" applyAlignment="1">
      <alignment horizontal="left" vertical="center"/>
    </xf>
    <xf numFmtId="8" fontId="49" fillId="7" borderId="207" xfId="6" applyNumberFormat="1" applyFont="1" applyFill="1" applyBorder="1" applyAlignment="1">
      <alignment horizontal="left" vertical="center" wrapText="1"/>
    </xf>
    <xf numFmtId="43" fontId="49" fillId="7" borderId="208" xfId="6" applyFont="1" applyFill="1" applyBorder="1" applyAlignment="1">
      <alignment horizontal="left" vertical="center" wrapText="1"/>
    </xf>
    <xf numFmtId="43" fontId="49" fillId="7" borderId="209" xfId="6" applyFont="1" applyFill="1" applyBorder="1" applyAlignment="1">
      <alignment horizontal="left" vertical="center" wrapText="1"/>
    </xf>
    <xf numFmtId="8" fontId="49" fillId="7" borderId="211" xfId="0" applyNumberFormat="1" applyFont="1" applyFill="1" applyBorder="1" applyAlignment="1">
      <alignment horizontal="right" vertical="center" wrapText="1"/>
    </xf>
    <xf numFmtId="0" fontId="49" fillId="7" borderId="212" xfId="0" applyFont="1" applyFill="1" applyBorder="1" applyAlignment="1">
      <alignment vertical="center" wrapText="1"/>
    </xf>
    <xf numFmtId="0" fontId="49" fillId="7" borderId="206" xfId="0" applyFont="1" applyFill="1" applyBorder="1" applyAlignment="1">
      <alignment vertical="center" wrapText="1"/>
    </xf>
    <xf numFmtId="9" fontId="50" fillId="7" borderId="208" xfId="2" applyFont="1" applyFill="1" applyBorder="1" applyAlignment="1">
      <alignment horizontal="left" vertical="center" wrapText="1"/>
    </xf>
    <xf numFmtId="10" fontId="49" fillId="7" borderId="209" xfId="0" applyNumberFormat="1" applyFont="1" applyFill="1" applyBorder="1" applyAlignment="1">
      <alignment horizontal="center" vertical="center" wrapText="1"/>
    </xf>
    <xf numFmtId="8" fontId="49" fillId="7" borderId="207" xfId="0" applyNumberFormat="1" applyFont="1" applyFill="1" applyBorder="1" applyAlignment="1">
      <alignment horizontal="center" vertical="center" wrapText="1"/>
    </xf>
    <xf numFmtId="167" fontId="49" fillId="7" borderId="207" xfId="2" applyNumberFormat="1" applyFont="1" applyFill="1" applyBorder="1" applyAlignment="1">
      <alignment horizontal="center" vertical="center" wrapText="1"/>
    </xf>
    <xf numFmtId="9" fontId="49" fillId="7" borderId="209" xfId="2" applyFont="1" applyFill="1" applyBorder="1" applyAlignment="1">
      <alignment horizontal="center" vertical="center" wrapText="1"/>
    </xf>
    <xf numFmtId="0" fontId="35" fillId="7" borderId="0" xfId="0" applyFont="1" applyFill="1"/>
    <xf numFmtId="0" fontId="36" fillId="7" borderId="210" xfId="0" applyFont="1" applyFill="1" applyBorder="1" applyAlignment="1">
      <alignment vertical="center" wrapText="1"/>
    </xf>
    <xf numFmtId="8" fontId="36" fillId="7" borderId="211" xfId="0" applyNumberFormat="1" applyFont="1" applyFill="1" applyBorder="1" applyAlignment="1">
      <alignment horizontal="right" vertical="center" wrapText="1"/>
    </xf>
    <xf numFmtId="8" fontId="35" fillId="7" borderId="0" xfId="0" applyNumberFormat="1" applyFont="1" applyFill="1" applyAlignment="1">
      <alignment horizontal="left"/>
    </xf>
    <xf numFmtId="0" fontId="25" fillId="15" borderId="0" xfId="0" applyFont="1" applyFill="1"/>
    <xf numFmtId="0" fontId="28" fillId="15" borderId="0" xfId="0" applyFont="1" applyFill="1"/>
    <xf numFmtId="8" fontId="35" fillId="15" borderId="0" xfId="0" applyNumberFormat="1" applyFont="1" applyFill="1" applyAlignment="1">
      <alignment horizontal="left"/>
    </xf>
    <xf numFmtId="0" fontId="28" fillId="7" borderId="62" xfId="0" applyFont="1" applyFill="1" applyBorder="1"/>
    <xf numFmtId="0" fontId="35" fillId="7" borderId="88" xfId="0" applyFont="1" applyFill="1" applyBorder="1" applyAlignment="1">
      <alignment horizontal="center"/>
    </xf>
    <xf numFmtId="0" fontId="28" fillId="7" borderId="88" xfId="0" applyFont="1" applyFill="1" applyBorder="1"/>
    <xf numFmtId="0" fontId="28" fillId="10" borderId="0" xfId="0" applyFont="1" applyFill="1"/>
    <xf numFmtId="0" fontId="2" fillId="7" borderId="215" xfId="0" applyFont="1" applyFill="1" applyBorder="1" applyAlignment="1">
      <alignment horizontal="center" wrapText="1"/>
    </xf>
    <xf numFmtId="0" fontId="0" fillId="7" borderId="216" xfId="0" applyFill="1" applyBorder="1"/>
    <xf numFmtId="171" fontId="2" fillId="7" borderId="217" xfId="0" applyNumberFormat="1" applyFont="1" applyFill="1" applyBorder="1"/>
    <xf numFmtId="171" fontId="0" fillId="7" borderId="216" xfId="0" applyNumberFormat="1" applyFill="1" applyBorder="1"/>
    <xf numFmtId="171" fontId="2" fillId="7" borderId="218" xfId="0" applyNumberFormat="1" applyFont="1" applyFill="1" applyBorder="1"/>
    <xf numFmtId="171" fontId="2" fillId="7" borderId="219" xfId="0" applyNumberFormat="1" applyFont="1" applyFill="1" applyBorder="1"/>
    <xf numFmtId="171" fontId="0" fillId="7" borderId="216" xfId="1" applyNumberFormat="1" applyFont="1" applyFill="1" applyBorder="1"/>
    <xf numFmtId="171" fontId="2" fillId="7" borderId="88" xfId="0" applyNumberFormat="1" applyFont="1" applyFill="1" applyBorder="1"/>
    <xf numFmtId="171" fontId="2" fillId="7" borderId="216" xfId="1" applyNumberFormat="1" applyFont="1" applyFill="1" applyBorder="1"/>
    <xf numFmtId="0" fontId="2" fillId="7" borderId="3" xfId="0" applyFont="1" applyFill="1" applyBorder="1" applyAlignment="1">
      <alignment horizontal="center" wrapText="1"/>
    </xf>
    <xf numFmtId="171" fontId="0" fillId="7" borderId="3" xfId="0" applyNumberFormat="1" applyFill="1" applyBorder="1"/>
    <xf numFmtId="0" fontId="2" fillId="7" borderId="220" xfId="0" applyFont="1" applyFill="1" applyBorder="1" applyAlignment="1">
      <alignment horizontal="center" wrapText="1"/>
    </xf>
    <xf numFmtId="171" fontId="0" fillId="7" borderId="220" xfId="0" applyNumberFormat="1" applyFill="1" applyBorder="1"/>
    <xf numFmtId="171" fontId="0" fillId="7" borderId="221" xfId="0" applyNumberFormat="1" applyFill="1" applyBorder="1"/>
    <xf numFmtId="171" fontId="2" fillId="7" borderId="222" xfId="0" applyNumberFormat="1" applyFont="1" applyFill="1" applyBorder="1"/>
    <xf numFmtId="0" fontId="0" fillId="7" borderId="140" xfId="0" applyFill="1" applyBorder="1" applyAlignment="1">
      <alignment wrapText="1"/>
    </xf>
    <xf numFmtId="171" fontId="2" fillId="7" borderId="223" xfId="0" applyNumberFormat="1" applyFont="1" applyFill="1" applyBorder="1"/>
    <xf numFmtId="0" fontId="0" fillId="13" borderId="0" xfId="0" applyFill="1"/>
    <xf numFmtId="0" fontId="20" fillId="13" borderId="0" xfId="0" applyFont="1" applyFill="1" applyAlignment="1">
      <alignment horizontal="centerContinuous"/>
    </xf>
    <xf numFmtId="0" fontId="20" fillId="13" borderId="0" xfId="0" applyFont="1" applyFill="1"/>
    <xf numFmtId="0" fontId="20" fillId="0" borderId="0" xfId="0" applyFont="1"/>
    <xf numFmtId="0" fontId="20" fillId="13" borderId="0" xfId="0" applyFont="1" applyFill="1" applyAlignment="1">
      <alignment vertical="center" wrapText="1"/>
    </xf>
    <xf numFmtId="0" fontId="0" fillId="13" borderId="0" xfId="0" applyFill="1" applyAlignment="1">
      <alignment vertical="center" wrapText="1"/>
    </xf>
    <xf numFmtId="0" fontId="42" fillId="15" borderId="167" xfId="0" applyFont="1" applyFill="1" applyBorder="1"/>
    <xf numFmtId="0" fontId="20" fillId="15" borderId="168" xfId="0" applyFont="1" applyFill="1" applyBorder="1"/>
    <xf numFmtId="0" fontId="20" fillId="15" borderId="169" xfId="0" applyFont="1" applyFill="1" applyBorder="1"/>
    <xf numFmtId="0" fontId="3" fillId="13" borderId="0" xfId="0" applyFont="1" applyFill="1"/>
    <xf numFmtId="0" fontId="0" fillId="13" borderId="91" xfId="0" applyFill="1" applyBorder="1"/>
    <xf numFmtId="0" fontId="33" fillId="15" borderId="167" xfId="0" applyFont="1" applyFill="1" applyBorder="1"/>
    <xf numFmtId="0" fontId="0" fillId="15" borderId="169" xfId="0" applyFill="1" applyBorder="1"/>
    <xf numFmtId="0" fontId="23" fillId="13" borderId="0" xfId="0" applyFont="1" applyFill="1"/>
    <xf numFmtId="0" fontId="26" fillId="13" borderId="0" xfId="0" applyFont="1" applyFill="1"/>
    <xf numFmtId="0" fontId="0" fillId="13" borderId="0" xfId="0" applyFill="1" applyAlignment="1">
      <alignment wrapText="1"/>
    </xf>
    <xf numFmtId="0" fontId="3" fillId="13" borderId="0" xfId="0" applyFont="1" applyFill="1" applyAlignment="1">
      <alignment wrapText="1"/>
    </xf>
    <xf numFmtId="0" fontId="26" fillId="13" borderId="0" xfId="0" applyFont="1" applyFill="1" applyAlignment="1">
      <alignment horizontal="center" wrapText="1"/>
    </xf>
    <xf numFmtId="0" fontId="33" fillId="15" borderId="174" xfId="0" applyFont="1" applyFill="1" applyBorder="1" applyAlignment="1">
      <alignment horizontal="center" wrapText="1"/>
    </xf>
    <xf numFmtId="0" fontId="2" fillId="13" borderId="0" xfId="0" applyFont="1" applyFill="1" applyAlignment="1">
      <alignment wrapText="1"/>
    </xf>
    <xf numFmtId="0" fontId="0" fillId="7" borderId="90" xfId="0" applyFill="1" applyBorder="1"/>
    <xf numFmtId="43" fontId="0" fillId="0" borderId="90" xfId="0" applyNumberFormat="1" applyBorder="1"/>
    <xf numFmtId="167" fontId="0" fillId="0" borderId="90" xfId="2" applyNumberFormat="1" applyFont="1" applyBorder="1"/>
    <xf numFmtId="0" fontId="0" fillId="0" borderId="90" xfId="0" applyBorder="1" applyAlignment="1">
      <alignment horizontal="center"/>
    </xf>
    <xf numFmtId="169" fontId="0" fillId="0" borderId="90" xfId="2" applyNumberFormat="1" applyFont="1" applyBorder="1"/>
    <xf numFmtId="0" fontId="0" fillId="7" borderId="90" xfId="0" applyFill="1" applyBorder="1" applyAlignment="1">
      <alignment horizontal="center"/>
    </xf>
    <xf numFmtId="43" fontId="0" fillId="0" borderId="92" xfId="0" applyNumberFormat="1" applyBorder="1"/>
    <xf numFmtId="0" fontId="2" fillId="0" borderId="96" xfId="0" applyFont="1" applyBorder="1"/>
    <xf numFmtId="0" fontId="2" fillId="0" borderId="93" xfId="0" applyFont="1" applyBorder="1"/>
    <xf numFmtId="43" fontId="2" fillId="0" borderId="93" xfId="0" applyNumberFormat="1" applyFont="1" applyBorder="1"/>
    <xf numFmtId="167" fontId="2" fillId="0" borderId="93" xfId="2" applyNumberFormat="1" applyFont="1" applyBorder="1"/>
    <xf numFmtId="169" fontId="2" fillId="0" borderId="93" xfId="2" applyNumberFormat="1" applyFont="1" applyBorder="1"/>
    <xf numFmtId="0" fontId="2" fillId="0" borderId="93" xfId="0" applyFont="1" applyBorder="1" applyAlignment="1">
      <alignment horizontal="center"/>
    </xf>
    <xf numFmtId="43" fontId="2" fillId="0" borderId="0" xfId="0" applyNumberFormat="1" applyFont="1"/>
    <xf numFmtId="168" fontId="2" fillId="0" borderId="0" xfId="2" applyNumberFormat="1" applyFont="1"/>
    <xf numFmtId="169" fontId="2" fillId="0" borderId="0" xfId="2" applyNumberFormat="1" applyFont="1"/>
    <xf numFmtId="43" fontId="0" fillId="0" borderId="0" xfId="0" applyNumberFormat="1"/>
    <xf numFmtId="167" fontId="0" fillId="13" borderId="0" xfId="0" applyNumberFormat="1" applyFill="1"/>
    <xf numFmtId="0" fontId="55" fillId="13" borderId="0" xfId="0" applyFont="1" applyFill="1" applyAlignment="1">
      <alignment horizontal="left"/>
    </xf>
    <xf numFmtId="43" fontId="0" fillId="13" borderId="0" xfId="0" applyNumberFormat="1" applyFill="1"/>
    <xf numFmtId="0" fontId="0" fillId="7" borderId="200" xfId="0" applyFill="1" applyBorder="1"/>
    <xf numFmtId="43" fontId="0" fillId="7" borderId="202" xfId="0" applyNumberFormat="1" applyFill="1" applyBorder="1"/>
    <xf numFmtId="43" fontId="20" fillId="7" borderId="196" xfId="0" applyNumberFormat="1" applyFont="1" applyFill="1" applyBorder="1" applyAlignment="1">
      <alignment horizontal="left"/>
    </xf>
    <xf numFmtId="43" fontId="20" fillId="7" borderId="196" xfId="0" applyNumberFormat="1" applyFont="1" applyFill="1" applyBorder="1"/>
    <xf numFmtId="0" fontId="20" fillId="7" borderId="196" xfId="0" applyFont="1" applyFill="1" applyBorder="1"/>
    <xf numFmtId="43" fontId="0" fillId="7" borderId="201" xfId="0" applyNumberFormat="1" applyFill="1" applyBorder="1"/>
    <xf numFmtId="43" fontId="20" fillId="7" borderId="192" xfId="0" applyNumberFormat="1" applyFont="1" applyFill="1" applyBorder="1" applyAlignment="1">
      <alignment horizontal="left"/>
    </xf>
    <xf numFmtId="0" fontId="20" fillId="7" borderId="192" xfId="0" applyFont="1" applyFill="1" applyBorder="1"/>
    <xf numFmtId="43" fontId="20" fillId="7" borderId="192" xfId="0" applyNumberFormat="1" applyFont="1" applyFill="1" applyBorder="1"/>
    <xf numFmtId="43" fontId="0" fillId="7" borderId="203" xfId="0" applyNumberFormat="1" applyFill="1" applyBorder="1"/>
    <xf numFmtId="43" fontId="20" fillId="7" borderId="193" xfId="0" applyNumberFormat="1" applyFont="1" applyFill="1" applyBorder="1" applyAlignment="1">
      <alignment horizontal="left"/>
    </xf>
    <xf numFmtId="0" fontId="20" fillId="7" borderId="193" xfId="0" applyFont="1" applyFill="1" applyBorder="1"/>
    <xf numFmtId="43" fontId="0" fillId="7" borderId="138" xfId="0" applyNumberFormat="1" applyFill="1" applyBorder="1"/>
    <xf numFmtId="43" fontId="33" fillId="15" borderId="0" xfId="0" applyNumberFormat="1" applyFont="1" applyFill="1" applyAlignment="1">
      <alignment horizontal="left"/>
    </xf>
    <xf numFmtId="43" fontId="26" fillId="15" borderId="0" xfId="0" applyNumberFormat="1" applyFont="1" applyFill="1"/>
    <xf numFmtId="43" fontId="20" fillId="13" borderId="0" xfId="0" applyNumberFormat="1" applyFont="1" applyFill="1" applyAlignment="1">
      <alignment horizontal="left"/>
    </xf>
    <xf numFmtId="43" fontId="20" fillId="13" borderId="0" xfId="0" applyNumberFormat="1" applyFont="1" applyFill="1"/>
    <xf numFmtId="0" fontId="20" fillId="13" borderId="0" xfId="0" applyFont="1" applyFill="1" applyAlignment="1">
      <alignment wrapText="1"/>
    </xf>
    <xf numFmtId="43" fontId="20" fillId="13" borderId="0" xfId="0" applyNumberFormat="1" applyFont="1" applyFill="1" applyAlignment="1">
      <alignment wrapText="1"/>
    </xf>
    <xf numFmtId="43" fontId="0" fillId="7" borderId="106" xfId="0" applyNumberFormat="1" applyFill="1" applyBorder="1"/>
    <xf numFmtId="43" fontId="20" fillId="7" borderId="106" xfId="0" applyNumberFormat="1" applyFont="1" applyFill="1" applyBorder="1" applyAlignment="1">
      <alignment horizontal="left"/>
    </xf>
    <xf numFmtId="43" fontId="20" fillId="7" borderId="91" xfId="0" applyNumberFormat="1" applyFont="1" applyFill="1" applyBorder="1"/>
    <xf numFmtId="43" fontId="0" fillId="7" borderId="119" xfId="0" applyNumberFormat="1" applyFill="1" applyBorder="1"/>
    <xf numFmtId="43" fontId="0" fillId="7" borderId="121" xfId="0" applyNumberFormat="1" applyFill="1" applyBorder="1"/>
    <xf numFmtId="0" fontId="26" fillId="7" borderId="54" xfId="0" applyFont="1" applyFill="1" applyBorder="1"/>
    <xf numFmtId="43" fontId="26" fillId="7" borderId="54" xfId="0" applyNumberFormat="1" applyFont="1" applyFill="1" applyBorder="1"/>
    <xf numFmtId="43" fontId="26" fillId="7" borderId="125" xfId="0" applyNumberFormat="1" applyFont="1" applyFill="1" applyBorder="1" applyAlignment="1">
      <alignment horizontal="left"/>
    </xf>
    <xf numFmtId="43" fontId="20" fillId="7" borderId="110" xfId="0" applyNumberFormat="1" applyFont="1" applyFill="1" applyBorder="1"/>
    <xf numFmtId="0" fontId="20" fillId="7" borderId="101" xfId="0" applyFont="1" applyFill="1" applyBorder="1" applyAlignment="1">
      <alignment horizontal="center"/>
    </xf>
    <xf numFmtId="43" fontId="20" fillId="7" borderId="115" xfId="0" applyNumberFormat="1" applyFont="1" applyFill="1" applyBorder="1"/>
    <xf numFmtId="0" fontId="20" fillId="13" borderId="106" xfId="0" applyFont="1" applyFill="1" applyBorder="1"/>
    <xf numFmtId="0" fontId="20" fillId="13" borderId="106" xfId="0" applyFont="1" applyFill="1" applyBorder="1" applyAlignment="1">
      <alignment wrapText="1"/>
    </xf>
    <xf numFmtId="43" fontId="20" fillId="13" borderId="106" xfId="0" applyNumberFormat="1" applyFont="1" applyFill="1" applyBorder="1" applyAlignment="1">
      <alignment wrapText="1"/>
    </xf>
    <xf numFmtId="0" fontId="8" fillId="20" borderId="110" xfId="0" applyFont="1" applyFill="1" applyBorder="1" applyAlignment="1">
      <alignment horizontal="center"/>
    </xf>
    <xf numFmtId="43" fontId="0" fillId="7" borderId="120" xfId="0" applyNumberFormat="1" applyFill="1" applyBorder="1"/>
    <xf numFmtId="0" fontId="2" fillId="7" borderId="106" xfId="0" applyFont="1" applyFill="1" applyBorder="1"/>
    <xf numFmtId="43" fontId="2" fillId="7" borderId="106" xfId="0" applyNumberFormat="1" applyFont="1" applyFill="1" applyBorder="1"/>
    <xf numFmtId="0" fontId="2" fillId="7" borderId="117" xfId="0" applyFont="1" applyFill="1" applyBorder="1"/>
    <xf numFmtId="43" fontId="2" fillId="7" borderId="121" xfId="0" applyNumberFormat="1" applyFont="1" applyFill="1" applyBorder="1"/>
    <xf numFmtId="43" fontId="20" fillId="7" borderId="124" xfId="0" applyNumberFormat="1" applyFont="1" applyFill="1" applyBorder="1" applyAlignment="1">
      <alignment horizontal="left"/>
    </xf>
    <xf numFmtId="0" fontId="20" fillId="7" borderId="106" xfId="0" applyFont="1" applyFill="1" applyBorder="1"/>
    <xf numFmtId="0" fontId="20" fillId="7" borderId="106" xfId="0" applyFont="1" applyFill="1" applyBorder="1" applyAlignment="1">
      <alignment horizontal="center"/>
    </xf>
    <xf numFmtId="0" fontId="2" fillId="7" borderId="54" xfId="0" applyFont="1" applyFill="1" applyBorder="1"/>
    <xf numFmtId="43" fontId="2" fillId="7" borderId="54" xfId="0" applyNumberFormat="1" applyFont="1" applyFill="1" applyBorder="1"/>
    <xf numFmtId="43" fontId="2" fillId="7" borderId="53" xfId="0" applyNumberFormat="1" applyFont="1" applyFill="1" applyBorder="1"/>
    <xf numFmtId="43" fontId="26" fillId="7" borderId="127" xfId="0" applyNumberFormat="1" applyFont="1" applyFill="1" applyBorder="1"/>
    <xf numFmtId="0" fontId="20" fillId="7" borderId="54" xfId="0" applyFont="1" applyFill="1" applyBorder="1"/>
    <xf numFmtId="0" fontId="20" fillId="7" borderId="54" xfId="0" applyFont="1" applyFill="1" applyBorder="1" applyAlignment="1">
      <alignment horizontal="center"/>
    </xf>
    <xf numFmtId="0" fontId="2" fillId="13" borderId="0" xfId="0" applyFont="1" applyFill="1"/>
    <xf numFmtId="43" fontId="2" fillId="13" borderId="0" xfId="0" applyNumberFormat="1" applyFont="1" applyFill="1"/>
    <xf numFmtId="0" fontId="20" fillId="13" borderId="0" xfId="0" applyFont="1" applyFill="1" applyAlignment="1">
      <alignment horizontal="center"/>
    </xf>
    <xf numFmtId="43" fontId="0" fillId="7" borderId="91" xfId="0" applyNumberFormat="1" applyFill="1" applyBorder="1"/>
    <xf numFmtId="43" fontId="20" fillId="7" borderId="91" xfId="0" applyNumberFormat="1" applyFont="1" applyFill="1" applyBorder="1" applyAlignment="1">
      <alignment horizontal="center"/>
    </xf>
    <xf numFmtId="0" fontId="20" fillId="7" borderId="91" xfId="0" applyFont="1" applyFill="1" applyBorder="1" applyAlignment="1">
      <alignment horizontal="center"/>
    </xf>
    <xf numFmtId="43" fontId="20" fillId="7" borderId="122" xfId="0" applyNumberFormat="1" applyFont="1" applyFill="1" applyBorder="1" applyAlignment="1">
      <alignment horizontal="left"/>
    </xf>
    <xf numFmtId="0" fontId="0" fillId="15" borderId="168" xfId="0" applyFill="1" applyBorder="1"/>
    <xf numFmtId="0" fontId="9" fillId="15" borderId="168" xfId="0" applyFont="1" applyFill="1" applyBorder="1"/>
    <xf numFmtId="0" fontId="9" fillId="15" borderId="169" xfId="0" applyFont="1" applyFill="1" applyBorder="1"/>
    <xf numFmtId="43" fontId="20" fillId="7" borderId="123" xfId="0" applyNumberFormat="1" applyFont="1" applyFill="1" applyBorder="1" applyAlignment="1">
      <alignment horizontal="left"/>
    </xf>
    <xf numFmtId="0" fontId="0" fillId="7" borderId="106" xfId="0" applyFill="1" applyBorder="1"/>
    <xf numFmtId="43" fontId="26" fillId="7" borderId="127" xfId="0" applyNumberFormat="1" applyFont="1" applyFill="1" applyBorder="1" applyAlignment="1">
      <alignment horizontal="left"/>
    </xf>
    <xf numFmtId="0" fontId="26" fillId="7" borderId="54" xfId="0" applyFont="1" applyFill="1" applyBorder="1" applyAlignment="1">
      <alignment horizontal="center"/>
    </xf>
    <xf numFmtId="0" fontId="2" fillId="7" borderId="128" xfId="0" applyFont="1" applyFill="1" applyBorder="1"/>
    <xf numFmtId="0" fontId="0" fillId="13" borderId="80" xfId="0" applyFill="1" applyBorder="1"/>
    <xf numFmtId="43" fontId="20" fillId="13" borderId="0" xfId="0" applyNumberFormat="1" applyFont="1" applyFill="1" applyAlignment="1">
      <alignment horizontal="center"/>
    </xf>
    <xf numFmtId="0" fontId="0" fillId="20" borderId="0" xfId="0" applyFill="1"/>
    <xf numFmtId="43" fontId="26" fillId="7" borderId="106" xfId="0" applyNumberFormat="1" applyFont="1" applyFill="1" applyBorder="1" applyAlignment="1">
      <alignment horizontal="left"/>
    </xf>
    <xf numFmtId="0" fontId="26" fillId="7" borderId="106" xfId="0" applyFont="1" applyFill="1" applyBorder="1" applyAlignment="1">
      <alignment horizontal="center"/>
    </xf>
    <xf numFmtId="0" fontId="26" fillId="7" borderId="106" xfId="0" applyFont="1" applyFill="1" applyBorder="1"/>
    <xf numFmtId="43" fontId="26" fillId="7" borderId="106" xfId="0" applyNumberFormat="1" applyFont="1" applyFill="1" applyBorder="1"/>
    <xf numFmtId="0" fontId="0" fillId="13" borderId="106" xfId="0" applyFill="1" applyBorder="1"/>
    <xf numFmtId="43" fontId="0" fillId="13" borderId="106" xfId="0" applyNumberFormat="1" applyFill="1" applyBorder="1"/>
    <xf numFmtId="0" fontId="20" fillId="13" borderId="106" xfId="0" applyFont="1" applyFill="1" applyBorder="1" applyAlignment="1">
      <alignment horizontal="center"/>
    </xf>
    <xf numFmtId="43" fontId="20" fillId="13" borderId="106" xfId="0" applyNumberFormat="1" applyFont="1" applyFill="1" applyBorder="1"/>
    <xf numFmtId="0" fontId="2" fillId="20" borderId="91" xfId="0" applyFont="1" applyFill="1" applyBorder="1"/>
    <xf numFmtId="0" fontId="0" fillId="20" borderId="106" xfId="0" applyFill="1" applyBorder="1"/>
    <xf numFmtId="0" fontId="0" fillId="20" borderId="106" xfId="0" applyFill="1" applyBorder="1" applyAlignment="1">
      <alignment horizontal="center"/>
    </xf>
    <xf numFmtId="43" fontId="0" fillId="20" borderId="0" xfId="0" applyNumberFormat="1" applyFill="1" applyAlignment="1">
      <alignment horizontal="center"/>
    </xf>
    <xf numFmtId="43" fontId="20" fillId="20" borderId="0" xfId="0" applyNumberFormat="1" applyFont="1" applyFill="1" applyAlignment="1">
      <alignment horizontal="center"/>
    </xf>
    <xf numFmtId="0" fontId="20" fillId="20" borderId="0" xfId="0" applyFont="1" applyFill="1" applyAlignment="1">
      <alignment horizontal="center"/>
    </xf>
    <xf numFmtId="0" fontId="20" fillId="20" borderId="0" xfId="0" applyFont="1" applyFill="1"/>
    <xf numFmtId="0" fontId="20" fillId="20" borderId="106" xfId="0" applyFont="1" applyFill="1" applyBorder="1"/>
    <xf numFmtId="0" fontId="20" fillId="20" borderId="106" xfId="0" applyFont="1" applyFill="1" applyBorder="1" applyAlignment="1">
      <alignment horizontal="center"/>
    </xf>
    <xf numFmtId="43" fontId="20" fillId="20" borderId="106" xfId="0" applyNumberFormat="1" applyFont="1" applyFill="1" applyBorder="1"/>
    <xf numFmtId="43" fontId="20" fillId="7" borderId="0" xfId="0" applyNumberFormat="1" applyFont="1" applyFill="1" applyAlignment="1">
      <alignment horizontal="left"/>
    </xf>
    <xf numFmtId="0" fontId="20" fillId="7" borderId="98" xfId="0" applyFont="1" applyFill="1" applyBorder="1" applyAlignment="1">
      <alignment horizontal="center"/>
    </xf>
    <xf numFmtId="43" fontId="2" fillId="7" borderId="125" xfId="0" applyNumberFormat="1" applyFont="1" applyFill="1" applyBorder="1"/>
    <xf numFmtId="43" fontId="20" fillId="7" borderId="120" xfId="0" applyNumberFormat="1" applyFont="1" applyFill="1" applyBorder="1"/>
    <xf numFmtId="0" fontId="56" fillId="15" borderId="91" xfId="0" applyFont="1" applyFill="1" applyBorder="1"/>
    <xf numFmtId="0" fontId="0" fillId="15" borderId="91" xfId="0" applyFill="1" applyBorder="1"/>
    <xf numFmtId="43" fontId="0" fillId="15" borderId="91" xfId="0" applyNumberFormat="1" applyFill="1" applyBorder="1"/>
    <xf numFmtId="43" fontId="20" fillId="7" borderId="0" xfId="0" applyNumberFormat="1" applyFont="1" applyFill="1"/>
    <xf numFmtId="43" fontId="20" fillId="7" borderId="125" xfId="0" applyNumberFormat="1" applyFont="1" applyFill="1" applyBorder="1"/>
    <xf numFmtId="0" fontId="20" fillId="7" borderId="117" xfId="0" applyFont="1" applyFill="1" applyBorder="1"/>
    <xf numFmtId="0" fontId="20" fillId="7" borderId="117" xfId="0" applyFont="1" applyFill="1" applyBorder="1" applyAlignment="1">
      <alignment horizontal="center"/>
    </xf>
    <xf numFmtId="0" fontId="0" fillId="7" borderId="101" xfId="0" applyFill="1" applyBorder="1"/>
    <xf numFmtId="0" fontId="0" fillId="7" borderId="103" xfId="0" applyFill="1" applyBorder="1"/>
    <xf numFmtId="0" fontId="20" fillId="7" borderId="103" xfId="0" applyFont="1" applyFill="1" applyBorder="1" applyAlignment="1">
      <alignment horizontal="center"/>
    </xf>
    <xf numFmtId="43" fontId="26" fillId="7" borderId="125" xfId="0" applyNumberFormat="1" applyFont="1" applyFill="1" applyBorder="1"/>
    <xf numFmtId="0" fontId="26" fillId="7" borderId="117" xfId="0" applyFont="1" applyFill="1" applyBorder="1" applyAlignment="1">
      <alignment horizontal="center"/>
    </xf>
    <xf numFmtId="0" fontId="0" fillId="7" borderId="107" xfId="0" applyFill="1" applyBorder="1"/>
    <xf numFmtId="0" fontId="20" fillId="7" borderId="107" xfId="0" applyFont="1" applyFill="1" applyBorder="1" applyAlignment="1">
      <alignment horizontal="center"/>
    </xf>
    <xf numFmtId="43" fontId="20" fillId="7" borderId="107" xfId="0" applyNumberFormat="1" applyFont="1" applyFill="1" applyBorder="1"/>
    <xf numFmtId="43" fontId="20" fillId="7" borderId="176" xfId="0" applyNumberFormat="1" applyFont="1" applyFill="1" applyBorder="1"/>
    <xf numFmtId="0" fontId="0" fillId="13" borderId="107" xfId="0" applyFill="1" applyBorder="1"/>
    <xf numFmtId="43" fontId="0" fillId="13" borderId="107" xfId="0" applyNumberFormat="1" applyFill="1" applyBorder="1"/>
    <xf numFmtId="43" fontId="20" fillId="13" borderId="107" xfId="0" applyNumberFormat="1" applyFont="1" applyFill="1" applyBorder="1"/>
    <xf numFmtId="0" fontId="20" fillId="13" borderId="107" xfId="0" applyFont="1" applyFill="1" applyBorder="1"/>
    <xf numFmtId="0" fontId="20" fillId="7" borderId="119" xfId="0" applyFont="1" applyFill="1" applyBorder="1"/>
    <xf numFmtId="0" fontId="20" fillId="7" borderId="130" xfId="0" applyFont="1" applyFill="1" applyBorder="1"/>
    <xf numFmtId="0" fontId="52" fillId="20" borderId="109" xfId="0" applyFont="1" applyFill="1" applyBorder="1" applyAlignment="1">
      <alignment horizontal="center"/>
    </xf>
    <xf numFmtId="0" fontId="52" fillId="20" borderId="110" xfId="0" applyFont="1" applyFill="1" applyBorder="1" applyAlignment="1">
      <alignment horizontal="center"/>
    </xf>
    <xf numFmtId="0" fontId="20" fillId="7" borderId="120" xfId="0" applyFont="1" applyFill="1" applyBorder="1"/>
    <xf numFmtId="0" fontId="20" fillId="7" borderId="101" xfId="0" applyFont="1" applyFill="1" applyBorder="1"/>
    <xf numFmtId="43" fontId="20" fillId="7" borderId="98" xfId="0" applyNumberFormat="1" applyFont="1" applyFill="1" applyBorder="1"/>
    <xf numFmtId="0" fontId="20" fillId="7" borderId="98" xfId="0" applyFont="1" applyFill="1" applyBorder="1"/>
    <xf numFmtId="43" fontId="20" fillId="7" borderId="112" xfId="0" applyNumberFormat="1" applyFont="1" applyFill="1" applyBorder="1"/>
    <xf numFmtId="0" fontId="20" fillId="7" borderId="131" xfId="0" applyFont="1" applyFill="1" applyBorder="1"/>
    <xf numFmtId="0" fontId="20" fillId="7" borderId="99" xfId="0" applyFont="1" applyFill="1" applyBorder="1"/>
    <xf numFmtId="0" fontId="20" fillId="7" borderId="100" xfId="0" applyFont="1" applyFill="1" applyBorder="1"/>
    <xf numFmtId="0" fontId="20" fillId="7" borderId="121" xfId="0" applyFont="1" applyFill="1" applyBorder="1"/>
    <xf numFmtId="0" fontId="20" fillId="7" borderId="103" xfId="0" applyFont="1" applyFill="1" applyBorder="1"/>
    <xf numFmtId="43" fontId="20" fillId="7" borderId="104" xfId="0" applyNumberFormat="1" applyFont="1" applyFill="1" applyBorder="1"/>
    <xf numFmtId="43" fontId="20" fillId="7" borderId="118" xfId="0" applyNumberFormat="1" applyFont="1" applyFill="1" applyBorder="1"/>
    <xf numFmtId="0" fontId="26" fillId="7" borderId="55" xfId="0" applyFont="1" applyFill="1" applyBorder="1"/>
    <xf numFmtId="0" fontId="26" fillId="7" borderId="133" xfId="0" applyFont="1" applyFill="1" applyBorder="1"/>
    <xf numFmtId="0" fontId="33" fillId="15" borderId="168" xfId="0" applyFont="1" applyFill="1" applyBorder="1"/>
    <xf numFmtId="43" fontId="20" fillId="15" borderId="168" xfId="0" applyNumberFormat="1" applyFont="1" applyFill="1" applyBorder="1"/>
    <xf numFmtId="0" fontId="53" fillId="7" borderId="0" xfId="0" applyFont="1" applyFill="1"/>
    <xf numFmtId="0" fontId="23" fillId="7" borderId="0" xfId="0" applyFont="1" applyFill="1"/>
    <xf numFmtId="0" fontId="2" fillId="20" borderId="108" xfId="0" applyFont="1" applyFill="1" applyBorder="1"/>
    <xf numFmtId="0" fontId="0" fillId="20" borderId="130" xfId="0" applyFill="1" applyBorder="1" applyAlignment="1">
      <alignment horizontal="center"/>
    </xf>
    <xf numFmtId="0" fontId="2" fillId="20" borderId="109" xfId="0" applyFont="1" applyFill="1" applyBorder="1" applyAlignment="1">
      <alignment horizontal="center"/>
    </xf>
    <xf numFmtId="0" fontId="2" fillId="20" borderId="109" xfId="0" applyFont="1" applyFill="1" applyBorder="1" applyAlignment="1">
      <alignment horizontal="center" wrapText="1"/>
    </xf>
    <xf numFmtId="0" fontId="2" fillId="20" borderId="226" xfId="0" applyFont="1" applyFill="1" applyBorder="1" applyAlignment="1">
      <alignment horizontal="center" wrapText="1"/>
    </xf>
    <xf numFmtId="0" fontId="0" fillId="0" borderId="111" xfId="0" applyBorder="1"/>
    <xf numFmtId="0" fontId="0" fillId="0" borderId="113" xfId="0" applyBorder="1"/>
    <xf numFmtId="0" fontId="2" fillId="20" borderId="62" xfId="0" applyFont="1" applyFill="1" applyBorder="1"/>
    <xf numFmtId="0" fontId="0" fillId="20" borderId="62" xfId="0" applyFill="1" applyBorder="1"/>
    <xf numFmtId="0" fontId="0" fillId="7" borderId="97" xfId="0" applyFill="1" applyBorder="1"/>
    <xf numFmtId="0" fontId="0" fillId="7" borderId="88" xfId="0" applyFill="1" applyBorder="1" applyAlignment="1">
      <alignment horizontal="center" wrapText="1"/>
    </xf>
    <xf numFmtId="0" fontId="57" fillId="7" borderId="0" xfId="0" applyFont="1" applyFill="1" applyAlignment="1">
      <alignment horizontal="left"/>
    </xf>
    <xf numFmtId="0" fontId="58" fillId="7" borderId="200" xfId="0" applyFont="1" applyFill="1" applyBorder="1"/>
    <xf numFmtId="0" fontId="58" fillId="19" borderId="94" xfId="0" applyFont="1" applyFill="1" applyBorder="1" applyAlignment="1">
      <alignment horizontal="center" wrapText="1"/>
    </xf>
    <xf numFmtId="0" fontId="58" fillId="19" borderId="89" xfId="0" applyFont="1" applyFill="1" applyBorder="1" applyAlignment="1">
      <alignment horizontal="center" wrapText="1"/>
    </xf>
    <xf numFmtId="0" fontId="58" fillId="7" borderId="91" xfId="0" applyFont="1" applyFill="1" applyBorder="1"/>
    <xf numFmtId="0" fontId="63" fillId="7" borderId="0" xfId="0" applyFont="1" applyFill="1"/>
    <xf numFmtId="0" fontId="0" fillId="13" borderId="0" xfId="0" applyFill="1" applyAlignment="1">
      <alignment horizontal="center"/>
    </xf>
    <xf numFmtId="0" fontId="2" fillId="13" borderId="136" xfId="0" applyFont="1" applyFill="1" applyBorder="1"/>
    <xf numFmtId="0" fontId="0" fillId="13" borderId="136" xfId="0" applyFill="1" applyBorder="1"/>
    <xf numFmtId="0" fontId="57" fillId="7" borderId="0" xfId="0" applyFont="1" applyFill="1"/>
    <xf numFmtId="0" fontId="2" fillId="20" borderId="225" xfId="0" applyFont="1" applyFill="1" applyBorder="1" applyAlignment="1">
      <alignment horizontal="left"/>
    </xf>
    <xf numFmtId="0" fontId="4" fillId="7" borderId="213" xfId="0" applyFont="1" applyFill="1" applyBorder="1"/>
    <xf numFmtId="0" fontId="4" fillId="7" borderId="62" xfId="0" applyFont="1" applyFill="1" applyBorder="1"/>
    <xf numFmtId="44" fontId="4" fillId="7" borderId="214" xfId="0" applyNumberFormat="1" applyFont="1" applyFill="1" applyBorder="1"/>
    <xf numFmtId="0" fontId="5" fillId="7" borderId="228" xfId="0" applyFont="1" applyFill="1" applyBorder="1" applyAlignment="1">
      <alignment horizontal="center"/>
    </xf>
    <xf numFmtId="0" fontId="5" fillId="7" borderId="229" xfId="0" applyFont="1" applyFill="1" applyBorder="1"/>
    <xf numFmtId="44" fontId="5" fillId="7" borderId="230" xfId="1" applyFont="1" applyFill="1" applyBorder="1"/>
    <xf numFmtId="0" fontId="5" fillId="7" borderId="231" xfId="0" applyFont="1" applyFill="1" applyBorder="1" applyAlignment="1">
      <alignment horizontal="center"/>
    </xf>
    <xf numFmtId="0" fontId="5" fillId="7" borderId="37" xfId="0" applyFont="1" applyFill="1" applyBorder="1"/>
    <xf numFmtId="44" fontId="5" fillId="7" borderId="232" xfId="1" applyFont="1" applyFill="1" applyBorder="1"/>
    <xf numFmtId="44" fontId="5" fillId="7" borderId="232" xfId="0" applyNumberFormat="1" applyFont="1" applyFill="1" applyBorder="1"/>
    <xf numFmtId="44" fontId="5" fillId="7" borderId="233" xfId="1" applyFont="1" applyFill="1" applyBorder="1"/>
    <xf numFmtId="44" fontId="5" fillId="7" borderId="234" xfId="1" applyFont="1" applyFill="1" applyBorder="1"/>
    <xf numFmtId="44" fontId="5" fillId="7" borderId="234" xfId="1" applyFont="1" applyFill="1" applyBorder="1" applyAlignment="1">
      <alignment horizontal="center"/>
    </xf>
    <xf numFmtId="44" fontId="5" fillId="7" borderId="235" xfId="1" applyFont="1" applyFill="1" applyBorder="1"/>
    <xf numFmtId="44" fontId="5" fillId="7" borderId="236" xfId="1" applyFont="1" applyFill="1" applyBorder="1"/>
    <xf numFmtId="44" fontId="5" fillId="7" borderId="236" xfId="1" applyFont="1" applyFill="1" applyBorder="1" applyAlignment="1">
      <alignment horizontal="center"/>
    </xf>
    <xf numFmtId="44" fontId="5" fillId="2" borderId="235" xfId="1" applyFont="1" applyFill="1" applyBorder="1"/>
    <xf numFmtId="44" fontId="5" fillId="2" borderId="236" xfId="1" applyFont="1" applyFill="1" applyBorder="1"/>
    <xf numFmtId="171" fontId="5" fillId="7" borderId="236" xfId="1" applyNumberFormat="1" applyFont="1" applyFill="1" applyBorder="1" applyAlignment="1">
      <alignment horizontal="center"/>
    </xf>
    <xf numFmtId="44" fontId="4" fillId="7" borderId="237" xfId="1" applyFont="1" applyFill="1" applyBorder="1"/>
    <xf numFmtId="44" fontId="4" fillId="7" borderId="238" xfId="1" applyFont="1" applyFill="1" applyBorder="1"/>
    <xf numFmtId="43" fontId="5" fillId="24" borderId="57" xfId="1" applyNumberFormat="1" applyFont="1" applyFill="1" applyBorder="1"/>
    <xf numFmtId="171" fontId="0" fillId="7" borderId="38" xfId="0" applyNumberFormat="1" applyFill="1" applyBorder="1"/>
    <xf numFmtId="171" fontId="0" fillId="7" borderId="36" xfId="0" applyNumberFormat="1" applyFill="1" applyBorder="1"/>
    <xf numFmtId="0" fontId="0" fillId="7" borderId="46" xfId="0" applyFill="1" applyBorder="1"/>
    <xf numFmtId="0" fontId="0" fillId="7" borderId="47" xfId="0" applyFill="1" applyBorder="1" applyAlignment="1">
      <alignment horizontal="center"/>
    </xf>
    <xf numFmtId="171" fontId="0" fillId="7" borderId="48" xfId="0" applyNumberFormat="1" applyFill="1" applyBorder="1"/>
    <xf numFmtId="171" fontId="0" fillId="7" borderId="46" xfId="0" applyNumberFormat="1" applyFill="1" applyBorder="1"/>
    <xf numFmtId="171" fontId="0" fillId="7" borderId="240" xfId="0" applyNumberFormat="1" applyFill="1" applyBorder="1"/>
    <xf numFmtId="0" fontId="0" fillId="0" borderId="242" xfId="0" applyBorder="1"/>
    <xf numFmtId="171" fontId="0" fillId="7" borderId="241" xfId="0" applyNumberFormat="1" applyFill="1" applyBorder="1"/>
    <xf numFmtId="171" fontId="0" fillId="7" borderId="242" xfId="0" applyNumberFormat="1" applyFill="1" applyBorder="1"/>
    <xf numFmtId="171" fontId="0" fillId="7" borderId="243" xfId="0" applyNumberFormat="1" applyFill="1" applyBorder="1"/>
    <xf numFmtId="0" fontId="0" fillId="0" borderId="36" xfId="0" applyBorder="1"/>
    <xf numFmtId="171" fontId="0" fillId="7" borderId="239" xfId="0" applyNumberFormat="1" applyFill="1" applyBorder="1"/>
    <xf numFmtId="0" fontId="0" fillId="7" borderId="37" xfId="0" applyFill="1" applyBorder="1"/>
    <xf numFmtId="0" fontId="0" fillId="0" borderId="28" xfId="0" applyBorder="1"/>
    <xf numFmtId="0" fontId="0" fillId="7" borderId="29" xfId="0" applyFill="1" applyBorder="1"/>
    <xf numFmtId="0" fontId="0" fillId="7" borderId="30" xfId="0" applyFill="1" applyBorder="1"/>
    <xf numFmtId="0" fontId="0" fillId="7" borderId="38" xfId="0" applyFill="1" applyBorder="1"/>
    <xf numFmtId="0" fontId="0" fillId="0" borderId="244" xfId="0" applyBorder="1"/>
    <xf numFmtId="0" fontId="0" fillId="7" borderId="245" xfId="0" applyFill="1" applyBorder="1"/>
    <xf numFmtId="0" fontId="0" fillId="7" borderId="246" xfId="0" applyFill="1" applyBorder="1"/>
    <xf numFmtId="0" fontId="2" fillId="0" borderId="53" xfId="0" applyFont="1" applyBorder="1"/>
    <xf numFmtId="171" fontId="26" fillId="7" borderId="54" xfId="0" applyNumberFormat="1" applyFont="1" applyFill="1" applyBorder="1" applyAlignment="1">
      <alignment horizontal="center"/>
    </xf>
    <xf numFmtId="0" fontId="2" fillId="7" borderId="58" xfId="0" applyFont="1" applyFill="1" applyBorder="1"/>
    <xf numFmtId="0" fontId="4" fillId="20" borderId="85" xfId="0" applyFont="1" applyFill="1" applyBorder="1" applyAlignment="1">
      <alignment horizontal="center" wrapText="1"/>
    </xf>
    <xf numFmtId="0" fontId="4" fillId="20" borderId="0" xfId="0" applyFont="1" applyFill="1" applyAlignment="1">
      <alignment horizontal="center"/>
    </xf>
    <xf numFmtId="0" fontId="58" fillId="0" borderId="0" xfId="0" applyFont="1"/>
    <xf numFmtId="0" fontId="58" fillId="20" borderId="247" xfId="0" applyFont="1" applyFill="1" applyBorder="1" applyAlignment="1">
      <alignment horizontal="center" wrapText="1"/>
    </xf>
    <xf numFmtId="0" fontId="58" fillId="20" borderId="248" xfId="0" applyFont="1" applyFill="1" applyBorder="1" applyAlignment="1">
      <alignment horizontal="center" wrapText="1"/>
    </xf>
    <xf numFmtId="0" fontId="58" fillId="20" borderId="126" xfId="0" applyFont="1" applyFill="1" applyBorder="1" applyAlignment="1">
      <alignment horizontal="center" wrapText="1"/>
    </xf>
    <xf numFmtId="0" fontId="42" fillId="0" borderId="0" xfId="0" applyFont="1" applyAlignment="1">
      <alignment wrapText="1"/>
    </xf>
    <xf numFmtId="43" fontId="2" fillId="15" borderId="20" xfId="0" applyNumberFormat="1" applyFont="1" applyFill="1" applyBorder="1"/>
    <xf numFmtId="43" fontId="9" fillId="0" borderId="0" xfId="0" applyNumberFormat="1" applyFont="1" applyAlignment="1">
      <alignment horizontal="center" wrapText="1"/>
    </xf>
    <xf numFmtId="43" fontId="0" fillId="0" borderId="251" xfId="0" applyNumberFormat="1" applyBorder="1"/>
    <xf numFmtId="43" fontId="0" fillId="0" borderId="9" xfId="0" applyNumberFormat="1" applyBorder="1"/>
    <xf numFmtId="43" fontId="0" fillId="0" borderId="12" xfId="0" applyNumberFormat="1" applyBorder="1"/>
    <xf numFmtId="43" fontId="0" fillId="0" borderId="252" xfId="0" applyNumberFormat="1" applyBorder="1"/>
    <xf numFmtId="43" fontId="0" fillId="0" borderId="35" xfId="0" applyNumberFormat="1" applyBorder="1"/>
    <xf numFmtId="43" fontId="0" fillId="0" borderId="253" xfId="0" applyNumberFormat="1" applyBorder="1"/>
    <xf numFmtId="43" fontId="2" fillId="0" borderId="247" xfId="0" applyNumberFormat="1" applyFont="1" applyBorder="1"/>
    <xf numFmtId="43" fontId="2" fillId="0" borderId="248" xfId="0" applyNumberFormat="1" applyFont="1" applyBorder="1"/>
    <xf numFmtId="43" fontId="2" fillId="0" borderId="249" xfId="0" applyNumberFormat="1" applyFont="1" applyBorder="1"/>
    <xf numFmtId="0" fontId="65" fillId="7" borderId="1" xfId="0" applyFont="1" applyFill="1" applyBorder="1"/>
    <xf numFmtId="44" fontId="0" fillId="7" borderId="20" xfId="0" applyNumberFormat="1" applyFill="1" applyBorder="1"/>
    <xf numFmtId="0" fontId="65" fillId="7" borderId="20" xfId="0" applyFont="1" applyFill="1" applyBorder="1" applyAlignment="1">
      <alignment horizontal="center"/>
    </xf>
    <xf numFmtId="44" fontId="0" fillId="7" borderId="59" xfId="0" applyNumberFormat="1" applyFill="1" applyBorder="1"/>
    <xf numFmtId="8" fontId="0" fillId="0" borderId="0" xfId="0" applyNumberFormat="1"/>
    <xf numFmtId="0" fontId="57" fillId="0" borderId="0" xfId="0" applyFont="1"/>
    <xf numFmtId="0" fontId="2" fillId="0" borderId="141" xfId="0" applyFont="1" applyBorder="1" applyAlignment="1">
      <alignment horizontal="center" wrapText="1"/>
    </xf>
    <xf numFmtId="0" fontId="2" fillId="0" borderId="254" xfId="0" applyFont="1" applyBorder="1" applyAlignment="1">
      <alignment horizontal="center" wrapText="1"/>
    </xf>
    <xf numFmtId="8" fontId="2" fillId="0" borderId="254" xfId="0" applyNumberFormat="1" applyFont="1" applyBorder="1" applyAlignment="1">
      <alignment horizontal="center" wrapText="1"/>
    </xf>
    <xf numFmtId="0" fontId="2" fillId="0" borderId="142" xfId="0" applyFont="1" applyBorder="1" applyAlignment="1">
      <alignment horizontal="center" wrapText="1"/>
    </xf>
    <xf numFmtId="0" fontId="0" fillId="0" borderId="143" xfId="0" applyBorder="1"/>
    <xf numFmtId="0" fontId="0" fillId="0" borderId="255" xfId="0" applyBorder="1"/>
    <xf numFmtId="0" fontId="0" fillId="0" borderId="255" xfId="0" applyBorder="1" applyAlignment="1">
      <alignment horizontal="center"/>
    </xf>
    <xf numFmtId="8" fontId="0" fillId="10" borderId="255" xfId="0" applyNumberFormat="1" applyFill="1" applyBorder="1"/>
    <xf numFmtId="0" fontId="0" fillId="0" borderId="145" xfId="0" applyBorder="1"/>
    <xf numFmtId="0" fontId="0" fillId="0" borderId="256" xfId="0" applyBorder="1"/>
    <xf numFmtId="0" fontId="0" fillId="0" borderId="256" xfId="0" applyBorder="1" applyAlignment="1">
      <alignment horizontal="center"/>
    </xf>
    <xf numFmtId="8" fontId="0" fillId="10" borderId="256" xfId="0" applyNumberFormat="1" applyFill="1" applyBorder="1"/>
    <xf numFmtId="44" fontId="0" fillId="0" borderId="0" xfId="1" applyFont="1"/>
    <xf numFmtId="0" fontId="0" fillId="0" borderId="62" xfId="0" applyBorder="1" applyAlignment="1">
      <alignment horizontal="center"/>
    </xf>
    <xf numFmtId="0" fontId="0" fillId="0" borderId="1" xfId="0" applyBorder="1"/>
    <xf numFmtId="0" fontId="0" fillId="0" borderId="2" xfId="0" applyBorder="1"/>
    <xf numFmtId="0" fontId="0" fillId="0" borderId="2" xfId="0" applyBorder="1" applyAlignment="1">
      <alignment horizontal="center" wrapText="1"/>
    </xf>
    <xf numFmtId="0" fontId="66" fillId="0" borderId="3" xfId="0" applyFont="1" applyBorder="1" applyAlignment="1">
      <alignment horizontal="center" wrapText="1"/>
    </xf>
    <xf numFmtId="43" fontId="2" fillId="0" borderId="60" xfId="0" applyNumberFormat="1" applyFont="1" applyBorder="1"/>
    <xf numFmtId="0" fontId="17" fillId="2" borderId="75" xfId="0" applyFont="1" applyFill="1" applyBorder="1"/>
    <xf numFmtId="0" fontId="5" fillId="0" borderId="72" xfId="0" applyFont="1" applyBorder="1"/>
    <xf numFmtId="0" fontId="17" fillId="17" borderId="39" xfId="0" applyFont="1" applyFill="1" applyBorder="1" applyAlignment="1">
      <alignment horizontal="center"/>
    </xf>
    <xf numFmtId="0" fontId="5" fillId="17" borderId="39" xfId="0" applyFont="1" applyFill="1" applyBorder="1"/>
    <xf numFmtId="0" fontId="5" fillId="2" borderId="9" xfId="0" applyFont="1" applyFill="1" applyBorder="1"/>
    <xf numFmtId="43" fontId="5" fillId="2" borderId="9" xfId="0" applyNumberFormat="1" applyFont="1" applyFill="1" applyBorder="1"/>
    <xf numFmtId="44" fontId="4" fillId="7" borderId="0" xfId="1" applyFont="1" applyFill="1"/>
    <xf numFmtId="44" fontId="5" fillId="7" borderId="258" xfId="1" applyFont="1" applyFill="1" applyBorder="1" applyAlignment="1">
      <alignment horizontal="center"/>
    </xf>
    <xf numFmtId="44" fontId="5" fillId="7" borderId="258" xfId="1" applyFont="1" applyFill="1" applyBorder="1"/>
    <xf numFmtId="0" fontId="5" fillId="7" borderId="257" xfId="0" applyFont="1" applyFill="1" applyBorder="1"/>
    <xf numFmtId="44" fontId="5" fillId="7" borderId="257" xfId="1" applyFont="1" applyFill="1" applyBorder="1"/>
    <xf numFmtId="0" fontId="5" fillId="7" borderId="259" xfId="0" applyFont="1" applyFill="1" applyBorder="1" applyAlignment="1">
      <alignment horizontal="center"/>
    </xf>
    <xf numFmtId="44" fontId="5" fillId="7" borderId="261" xfId="1" applyFont="1" applyFill="1" applyBorder="1"/>
    <xf numFmtId="0" fontId="0" fillId="7" borderId="259" xfId="0" applyFill="1" applyBorder="1" applyAlignment="1">
      <alignment horizontal="center"/>
    </xf>
    <xf numFmtId="0" fontId="0" fillId="7" borderId="260" xfId="0" applyFill="1" applyBorder="1"/>
    <xf numFmtId="0" fontId="20" fillId="0" borderId="101" xfId="0" applyFont="1" applyBorder="1" applyAlignment="1">
      <alignment horizontal="center"/>
    </xf>
    <xf numFmtId="0" fontId="52" fillId="7" borderId="0" xfId="0" applyFont="1" applyFill="1"/>
    <xf numFmtId="0" fontId="0" fillId="0" borderId="262" xfId="0" applyBorder="1"/>
    <xf numFmtId="0" fontId="0" fillId="0" borderId="263" xfId="0" applyBorder="1"/>
    <xf numFmtId="8" fontId="0" fillId="0" borderId="264" xfId="0" applyNumberFormat="1" applyBorder="1"/>
    <xf numFmtId="0" fontId="0" fillId="7" borderId="259" xfId="0" applyFill="1" applyBorder="1"/>
    <xf numFmtId="0" fontId="0" fillId="0" borderId="260" xfId="0" applyBorder="1"/>
    <xf numFmtId="8" fontId="0" fillId="0" borderId="266" xfId="0" applyNumberFormat="1" applyBorder="1"/>
    <xf numFmtId="0" fontId="0" fillId="0" borderId="3" xfId="0" applyBorder="1"/>
    <xf numFmtId="171" fontId="0" fillId="7" borderId="61" xfId="0" applyNumberFormat="1" applyFill="1" applyBorder="1"/>
    <xf numFmtId="0" fontId="58" fillId="19" borderId="267" xfId="0" applyFont="1" applyFill="1" applyBorder="1" applyAlignment="1">
      <alignment horizontal="center" wrapText="1"/>
    </xf>
    <xf numFmtId="43" fontId="2" fillId="0" borderId="269" xfId="0" applyNumberFormat="1" applyFont="1" applyBorder="1"/>
    <xf numFmtId="0" fontId="0" fillId="7" borderId="270" xfId="0" applyFill="1" applyBorder="1"/>
    <xf numFmtId="171" fontId="0" fillId="7" borderId="271" xfId="0" applyNumberFormat="1" applyFill="1" applyBorder="1"/>
    <xf numFmtId="0" fontId="0" fillId="7" borderId="272" xfId="0" applyFill="1" applyBorder="1" applyAlignment="1">
      <alignment wrapText="1"/>
    </xf>
    <xf numFmtId="0" fontId="0" fillId="7" borderId="273" xfId="0" applyFill="1" applyBorder="1"/>
    <xf numFmtId="171" fontId="0" fillId="7" borderId="274" xfId="0" applyNumberFormat="1" applyFill="1" applyBorder="1"/>
    <xf numFmtId="171" fontId="0" fillId="7" borderId="276" xfId="0" applyNumberFormat="1" applyFill="1" applyBorder="1"/>
    <xf numFmtId="171" fontId="0" fillId="7" borderId="277" xfId="0" applyNumberFormat="1" applyFill="1" applyBorder="1"/>
    <xf numFmtId="171" fontId="0" fillId="7" borderId="278" xfId="0" applyNumberFormat="1" applyFill="1" applyBorder="1"/>
    <xf numFmtId="171" fontId="0" fillId="7" borderId="279" xfId="0" applyNumberFormat="1" applyFill="1" applyBorder="1"/>
    <xf numFmtId="0" fontId="33" fillId="26" borderId="167" xfId="0" applyFont="1" applyFill="1" applyBorder="1"/>
    <xf numFmtId="0" fontId="33" fillId="0" borderId="137" xfId="0" applyFont="1" applyBorder="1" applyAlignment="1">
      <alignment horizontal="left" vertical="center" indent="1"/>
    </xf>
    <xf numFmtId="10" fontId="0" fillId="0" borderId="0" xfId="2" applyNumberFormat="1" applyFont="1"/>
    <xf numFmtId="167" fontId="0" fillId="0" borderId="0" xfId="2" applyNumberFormat="1" applyFont="1"/>
    <xf numFmtId="169" fontId="0" fillId="0" borderId="0" xfId="0" applyNumberFormat="1"/>
    <xf numFmtId="0" fontId="68" fillId="0" borderId="0" xfId="0" applyFont="1"/>
    <xf numFmtId="6" fontId="68" fillId="0" borderId="0" xfId="0" applyNumberFormat="1" applyFont="1" applyAlignment="1">
      <alignment horizontal="center"/>
    </xf>
    <xf numFmtId="0" fontId="68" fillId="0" borderId="0" xfId="0" applyFont="1" applyAlignment="1">
      <alignment horizontal="center"/>
    </xf>
    <xf numFmtId="0" fontId="30" fillId="0" borderId="0" xfId="0" applyFont="1" applyAlignment="1">
      <alignment horizontal="center"/>
    </xf>
    <xf numFmtId="8" fontId="68" fillId="0" borderId="0" xfId="0" applyNumberFormat="1" applyFont="1" applyAlignment="1">
      <alignment horizontal="center"/>
    </xf>
    <xf numFmtId="169" fontId="68" fillId="0" borderId="0" xfId="2" applyNumberFormat="1" applyFont="1" applyAlignment="1">
      <alignment horizontal="center"/>
    </xf>
    <xf numFmtId="0" fontId="69" fillId="0" borderId="0" xfId="0" applyFont="1"/>
    <xf numFmtId="8" fontId="68" fillId="0" borderId="0" xfId="0" applyNumberFormat="1" applyFont="1"/>
    <xf numFmtId="0" fontId="0" fillId="0" borderId="14" xfId="0" applyBorder="1"/>
    <xf numFmtId="0" fontId="0" fillId="0" borderId="15" xfId="0" applyBorder="1" applyAlignment="1">
      <alignment horizontal="center"/>
    </xf>
    <xf numFmtId="0" fontId="0" fillId="0" borderId="16" xfId="0" applyBorder="1" applyAlignment="1">
      <alignment horizontal="center"/>
    </xf>
    <xf numFmtId="169" fontId="0" fillId="0" borderId="21" xfId="2" applyNumberFormat="1" applyFont="1" applyBorder="1"/>
    <xf numFmtId="0" fontId="2" fillId="0" borderId="55" xfId="0" applyFont="1" applyBorder="1"/>
    <xf numFmtId="0" fontId="2" fillId="0" borderId="56" xfId="0" applyFont="1" applyBorder="1"/>
    <xf numFmtId="44" fontId="2" fillId="0" borderId="56" xfId="0" applyNumberFormat="1" applyFont="1" applyBorder="1"/>
    <xf numFmtId="8" fontId="2" fillId="0" borderId="56" xfId="0" applyNumberFormat="1" applyFont="1" applyBorder="1"/>
    <xf numFmtId="167" fontId="2" fillId="0" borderId="56" xfId="2" applyNumberFormat="1" applyFont="1" applyBorder="1"/>
    <xf numFmtId="169" fontId="2" fillId="0" borderId="57" xfId="0" applyNumberFormat="1" applyFont="1" applyBorder="1"/>
    <xf numFmtId="0" fontId="68" fillId="0" borderId="1" xfId="0" applyFont="1" applyBorder="1"/>
    <xf numFmtId="44" fontId="68" fillId="0" borderId="2" xfId="0" applyNumberFormat="1" applyFont="1" applyBorder="1"/>
    <xf numFmtId="0" fontId="68" fillId="0" borderId="2" xfId="0" applyFont="1" applyBorder="1"/>
    <xf numFmtId="8" fontId="68" fillId="0" borderId="3" xfId="0" applyNumberFormat="1" applyFont="1" applyBorder="1"/>
    <xf numFmtId="0" fontId="68" fillId="0" borderId="20" xfId="0" applyFont="1" applyBorder="1"/>
    <xf numFmtId="44" fontId="68" fillId="0" borderId="0" xfId="0" applyNumberFormat="1" applyFont="1"/>
    <xf numFmtId="8" fontId="68" fillId="0" borderId="21" xfId="0" applyNumberFormat="1" applyFont="1" applyBorder="1"/>
    <xf numFmtId="0" fontId="68" fillId="0" borderId="59" xfId="0" applyFont="1" applyBorder="1"/>
    <xf numFmtId="44" fontId="68" fillId="0" borderId="60" xfId="0" applyNumberFormat="1" applyFont="1" applyBorder="1"/>
    <xf numFmtId="0" fontId="68" fillId="0" borderId="60" xfId="0" applyFont="1" applyBorder="1"/>
    <xf numFmtId="8" fontId="68" fillId="0" borderId="61" xfId="0" applyNumberFormat="1" applyFont="1" applyBorder="1"/>
    <xf numFmtId="0" fontId="0" fillId="27" borderId="0" xfId="0" applyFill="1"/>
    <xf numFmtId="169" fontId="2" fillId="0" borderId="56" xfId="2" applyNumberFormat="1" applyFont="1" applyBorder="1"/>
    <xf numFmtId="10" fontId="0" fillId="0" borderId="0" xfId="1" applyNumberFormat="1" applyFont="1" applyAlignment="1">
      <alignment horizontal="center"/>
    </xf>
    <xf numFmtId="0" fontId="70" fillId="0" borderId="0" xfId="0" applyFont="1"/>
    <xf numFmtId="0" fontId="33" fillId="26" borderId="168" xfId="0" applyFont="1" applyFill="1" applyBorder="1"/>
    <xf numFmtId="0" fontId="33" fillId="26" borderId="169" xfId="0" applyFont="1" applyFill="1" applyBorder="1"/>
    <xf numFmtId="0" fontId="51" fillId="26" borderId="168" xfId="0" applyFont="1" applyFill="1" applyBorder="1"/>
    <xf numFmtId="0" fontId="0" fillId="26" borderId="169" xfId="0" applyFill="1" applyBorder="1"/>
    <xf numFmtId="0" fontId="20" fillId="26" borderId="168" xfId="0" applyFont="1" applyFill="1" applyBorder="1"/>
    <xf numFmtId="0" fontId="23" fillId="26" borderId="168" xfId="0" applyFont="1" applyFill="1" applyBorder="1"/>
    <xf numFmtId="0" fontId="52" fillId="15" borderId="168" xfId="0" applyFont="1" applyFill="1" applyBorder="1"/>
    <xf numFmtId="0" fontId="26" fillId="15" borderId="168" xfId="0" applyFont="1" applyFill="1" applyBorder="1"/>
    <xf numFmtId="0" fontId="0" fillId="26" borderId="168" xfId="0" applyFill="1" applyBorder="1"/>
    <xf numFmtId="0" fontId="54" fillId="26" borderId="168" xfId="0" applyFont="1" applyFill="1" applyBorder="1"/>
    <xf numFmtId="8" fontId="68" fillId="0" borderId="2" xfId="0" applyNumberFormat="1" applyFont="1" applyBorder="1"/>
    <xf numFmtId="8" fontId="68" fillId="0" borderId="60" xfId="0" applyNumberFormat="1" applyFont="1" applyBorder="1"/>
    <xf numFmtId="167" fontId="2" fillId="0" borderId="56" xfId="2" applyNumberFormat="1" applyFont="1" applyBorder="1" applyAlignment="1">
      <alignment horizontal="right"/>
    </xf>
    <xf numFmtId="44" fontId="2" fillId="0" borderId="56" xfId="1" applyFont="1" applyBorder="1"/>
    <xf numFmtId="0" fontId="68" fillId="0" borderId="0" xfId="0" applyFont="1" applyAlignment="1">
      <alignment horizontal="left"/>
    </xf>
    <xf numFmtId="0" fontId="55" fillId="0" borderId="0" xfId="0" applyFont="1"/>
    <xf numFmtId="0" fontId="2" fillId="0" borderId="15" xfId="0" applyFont="1" applyBorder="1" applyAlignment="1">
      <alignment horizontal="center"/>
    </xf>
    <xf numFmtId="0" fontId="2" fillId="0" borderId="16" xfId="0" applyFont="1" applyBorder="1" applyAlignment="1">
      <alignment horizontal="center"/>
    </xf>
    <xf numFmtId="44" fontId="0" fillId="5" borderId="0" xfId="0" applyNumberFormat="1" applyFill="1"/>
    <xf numFmtId="168" fontId="0" fillId="5" borderId="0" xfId="2" applyNumberFormat="1" applyFont="1" applyFill="1"/>
    <xf numFmtId="0" fontId="0" fillId="5" borderId="0" xfId="0" applyFill="1" applyAlignment="1">
      <alignment horizontal="right"/>
    </xf>
    <xf numFmtId="44" fontId="0" fillId="5" borderId="0" xfId="1" applyFont="1" applyFill="1"/>
    <xf numFmtId="10" fontId="0" fillId="5" borderId="0" xfId="1" applyNumberFormat="1" applyFont="1" applyFill="1" applyAlignment="1">
      <alignment horizontal="center"/>
    </xf>
    <xf numFmtId="169" fontId="0" fillId="5" borderId="0" xfId="0" applyNumberFormat="1" applyFill="1"/>
    <xf numFmtId="0" fontId="33" fillId="0" borderId="0" xfId="0" applyFont="1"/>
    <xf numFmtId="0" fontId="33" fillId="0" borderId="0" xfId="0" applyFont="1" applyAlignment="1">
      <alignment horizontal="center"/>
    </xf>
    <xf numFmtId="44" fontId="33" fillId="0" borderId="0" xfId="1" applyFont="1"/>
    <xf numFmtId="168" fontId="0" fillId="0" borderId="0" xfId="0" applyNumberFormat="1"/>
    <xf numFmtId="10" fontId="2" fillId="0" borderId="56" xfId="2" applyNumberFormat="1" applyFont="1" applyBorder="1"/>
    <xf numFmtId="168" fontId="2" fillId="0" borderId="56" xfId="2" applyNumberFormat="1" applyFont="1" applyBorder="1"/>
    <xf numFmtId="168" fontId="68" fillId="0" borderId="0" xfId="2" applyNumberFormat="1" applyFont="1"/>
    <xf numFmtId="44" fontId="20" fillId="0" borderId="0" xfId="1" applyFont="1"/>
    <xf numFmtId="0" fontId="0" fillId="0" borderId="0" xfId="0" applyAlignment="1">
      <alignment horizontal="right"/>
    </xf>
    <xf numFmtId="167" fontId="0" fillId="5" borderId="0" xfId="2" applyNumberFormat="1" applyFont="1" applyFill="1"/>
    <xf numFmtId="168" fontId="0" fillId="0" borderId="0" xfId="2" applyNumberFormat="1" applyFont="1"/>
    <xf numFmtId="167" fontId="0" fillId="0" borderId="0" xfId="2" applyNumberFormat="1" applyFont="1" applyAlignment="1">
      <alignment horizontal="right"/>
    </xf>
    <xf numFmtId="167" fontId="1" fillId="0" borderId="0" xfId="2" applyNumberFormat="1" applyAlignment="1">
      <alignment horizontal="right"/>
    </xf>
    <xf numFmtId="10" fontId="0" fillId="5" borderId="0" xfId="2" applyNumberFormat="1" applyFont="1" applyFill="1" applyAlignment="1">
      <alignment horizontal="right"/>
    </xf>
    <xf numFmtId="10" fontId="2" fillId="0" borderId="56" xfId="2" applyNumberFormat="1" applyFont="1" applyBorder="1" applyAlignment="1">
      <alignment horizontal="right"/>
    </xf>
    <xf numFmtId="10" fontId="0" fillId="0" borderId="0" xfId="2" applyNumberFormat="1" applyFont="1" applyAlignment="1">
      <alignment horizontal="center"/>
    </xf>
    <xf numFmtId="10" fontId="2" fillId="0" borderId="56" xfId="0" applyNumberFormat="1" applyFont="1" applyBorder="1" applyAlignment="1">
      <alignment horizontal="center"/>
    </xf>
    <xf numFmtId="168" fontId="68" fillId="0" borderId="0" xfId="0" applyNumberFormat="1" applyFont="1" applyAlignment="1">
      <alignment horizontal="center"/>
    </xf>
    <xf numFmtId="174" fontId="0" fillId="0" borderId="0" xfId="0" applyNumberFormat="1"/>
    <xf numFmtId="174" fontId="33" fillId="0" borderId="0" xfId="0" applyNumberFormat="1" applyFont="1"/>
    <xf numFmtId="174" fontId="56" fillId="0" borderId="0" xfId="0" applyNumberFormat="1" applyFont="1"/>
    <xf numFmtId="174" fontId="68" fillId="0" borderId="0" xfId="0" applyNumberFormat="1" applyFont="1"/>
    <xf numFmtId="44" fontId="68" fillId="0" borderId="0" xfId="0" applyNumberFormat="1" applyFont="1" applyAlignment="1">
      <alignment horizontal="center"/>
    </xf>
    <xf numFmtId="167" fontId="2" fillId="0" borderId="56" xfId="0" applyNumberFormat="1" applyFont="1" applyBorder="1"/>
    <xf numFmtId="0" fontId="71" fillId="13" borderId="0" xfId="0" applyFont="1" applyFill="1" applyAlignment="1">
      <alignment vertical="center"/>
    </xf>
    <xf numFmtId="0" fontId="30" fillId="15" borderId="0" xfId="0" applyFont="1" applyFill="1"/>
    <xf numFmtId="0" fontId="46" fillId="7" borderId="0" xfId="0" applyFont="1" applyFill="1" applyAlignment="1">
      <alignment horizontal="left"/>
    </xf>
    <xf numFmtId="168" fontId="0" fillId="5" borderId="0" xfId="1" applyNumberFormat="1" applyFont="1" applyFill="1"/>
    <xf numFmtId="0" fontId="46" fillId="0" borderId="0" xfId="0" applyFont="1" applyAlignment="1">
      <alignment horizontal="left"/>
    </xf>
    <xf numFmtId="0" fontId="72" fillId="0" borderId="60" xfId="0" applyFont="1" applyBorder="1" applyAlignment="1">
      <alignment horizontal="justify" vertical="center"/>
    </xf>
    <xf numFmtId="0" fontId="2" fillId="0" borderId="60" xfId="0" applyFont="1" applyBorder="1"/>
    <xf numFmtId="0" fontId="72" fillId="0" borderId="283" xfId="0" applyFont="1" applyBorder="1" applyAlignment="1">
      <alignment horizontal="justify" vertical="center"/>
    </xf>
    <xf numFmtId="0" fontId="0" fillId="0" borderId="283" xfId="0" applyBorder="1" applyAlignment="1">
      <alignment wrapText="1"/>
    </xf>
    <xf numFmtId="0" fontId="72" fillId="0" borderId="88" xfId="0" applyFont="1" applyBorder="1" applyAlignment="1">
      <alignment horizontal="justify" vertical="center"/>
    </xf>
    <xf numFmtId="0" fontId="0" fillId="0" borderId="88" xfId="0" applyBorder="1" applyAlignment="1">
      <alignment wrapText="1"/>
    </xf>
    <xf numFmtId="0" fontId="66" fillId="0" borderId="0" xfId="0" applyFont="1"/>
    <xf numFmtId="0" fontId="73" fillId="0" borderId="283" xfId="0" applyFont="1" applyBorder="1" applyAlignment="1">
      <alignment horizontal="justify" vertical="center"/>
    </xf>
    <xf numFmtId="0" fontId="20" fillId="0" borderId="283" xfId="0" applyFont="1" applyBorder="1" applyAlignment="1">
      <alignment wrapText="1"/>
    </xf>
    <xf numFmtId="0" fontId="74" fillId="0" borderId="88" xfId="0" applyFont="1" applyBorder="1" applyAlignment="1">
      <alignment horizontal="justify" vertical="center"/>
    </xf>
    <xf numFmtId="0" fontId="73" fillId="0" borderId="0" xfId="0" applyFont="1" applyAlignment="1">
      <alignment horizontal="justify" vertical="center"/>
    </xf>
    <xf numFmtId="0" fontId="20" fillId="0" borderId="0" xfId="0" applyFont="1" applyAlignment="1">
      <alignment wrapText="1"/>
    </xf>
    <xf numFmtId="0" fontId="72" fillId="0" borderId="0" xfId="0" applyFont="1" applyAlignment="1">
      <alignment horizontal="justify" vertical="center"/>
    </xf>
    <xf numFmtId="0" fontId="5" fillId="17" borderId="0" xfId="0" applyFont="1" applyFill="1" applyAlignment="1">
      <alignment horizontal="center"/>
    </xf>
    <xf numFmtId="0" fontId="4" fillId="8" borderId="0" xfId="0" applyFont="1" applyFill="1" applyAlignment="1">
      <alignment horizontal="center" wrapText="1"/>
    </xf>
    <xf numFmtId="0" fontId="6" fillId="7" borderId="0" xfId="0" applyFont="1" applyFill="1" applyAlignment="1">
      <alignment horizontal="left"/>
    </xf>
    <xf numFmtId="44" fontId="4" fillId="7" borderId="284" xfId="1" applyFont="1" applyFill="1" applyBorder="1" applyAlignment="1">
      <alignment horizontal="center" wrapText="1"/>
    </xf>
    <xf numFmtId="0" fontId="54" fillId="0" borderId="0" xfId="0" applyFont="1"/>
    <xf numFmtId="0" fontId="51" fillId="0" borderId="0" xfId="0" applyFont="1"/>
    <xf numFmtId="0" fontId="51" fillId="0" borderId="0" xfId="0" applyFont="1" applyAlignment="1">
      <alignment wrapText="1"/>
    </xf>
    <xf numFmtId="0" fontId="51" fillId="0" borderId="0" xfId="0" applyFont="1" applyAlignment="1">
      <alignment horizontal="center"/>
    </xf>
    <xf numFmtId="0" fontId="76" fillId="0" borderId="126" xfId="0" applyFont="1" applyBorder="1"/>
    <xf numFmtId="0" fontId="76" fillId="0" borderId="0" xfId="0" applyFont="1"/>
    <xf numFmtId="0" fontId="76" fillId="0" borderId="1" xfId="0" applyFont="1" applyBorder="1"/>
    <xf numFmtId="0" fontId="51" fillId="0" borderId="135" xfId="0" applyFont="1" applyBorder="1"/>
    <xf numFmtId="0" fontId="51" fillId="0" borderId="3" xfId="0" applyFont="1" applyBorder="1"/>
    <xf numFmtId="0" fontId="26" fillId="0" borderId="126" xfId="0" applyFont="1" applyBorder="1" applyAlignment="1">
      <alignment horizontal="center" wrapText="1"/>
    </xf>
    <xf numFmtId="0" fontId="76" fillId="0" borderId="3" xfId="0" applyFont="1" applyBorder="1" applyAlignment="1">
      <alignment horizontal="center"/>
    </xf>
    <xf numFmtId="0" fontId="51" fillId="0" borderId="137" xfId="0" applyFont="1" applyBorder="1"/>
    <xf numFmtId="0" fontId="51" fillId="0" borderId="20" xfId="0" applyFont="1" applyBorder="1"/>
    <xf numFmtId="0" fontId="51" fillId="0" borderId="21" xfId="0" applyFont="1" applyBorder="1"/>
    <xf numFmtId="0" fontId="76" fillId="0" borderId="137" xfId="0" applyFont="1" applyBorder="1"/>
    <xf numFmtId="0" fontId="33" fillId="0" borderId="0" xfId="0" applyFont="1" applyAlignment="1">
      <alignment wrapText="1"/>
    </xf>
    <xf numFmtId="0" fontId="20" fillId="0" borderId="137" xfId="0" applyFont="1" applyBorder="1" applyAlignment="1">
      <alignment horizontal="center"/>
    </xf>
    <xf numFmtId="0" fontId="51" fillId="0" borderId="20" xfId="0" applyFont="1" applyBorder="1" applyAlignment="1">
      <alignment wrapText="1"/>
    </xf>
    <xf numFmtId="0" fontId="51" fillId="0" borderId="21" xfId="0" applyFont="1" applyBorder="1" applyAlignment="1">
      <alignment wrapText="1"/>
    </xf>
    <xf numFmtId="0" fontId="33" fillId="0" borderId="137" xfId="0" applyFont="1" applyBorder="1" applyAlignment="1">
      <alignment vertical="center"/>
    </xf>
    <xf numFmtId="0" fontId="51" fillId="0" borderId="21" xfId="0" applyFont="1" applyBorder="1" applyAlignment="1">
      <alignment vertical="center"/>
    </xf>
    <xf numFmtId="0" fontId="51" fillId="0" borderId="138" xfId="0" applyFont="1" applyBorder="1"/>
    <xf numFmtId="0" fontId="51" fillId="0" borderId="59" xfId="0" applyFont="1" applyBorder="1"/>
    <xf numFmtId="0" fontId="51" fillId="0" borderId="61" xfId="0" applyFont="1" applyBorder="1"/>
    <xf numFmtId="0" fontId="33" fillId="0" borderId="138" xfId="0" applyFont="1" applyBorder="1" applyAlignment="1">
      <alignment vertical="center"/>
    </xf>
    <xf numFmtId="0" fontId="51" fillId="2" borderId="137" xfId="0" applyFont="1" applyFill="1" applyBorder="1"/>
    <xf numFmtId="0" fontId="77" fillId="0" borderId="137" xfId="0" applyFont="1" applyBorder="1"/>
    <xf numFmtId="0" fontId="51" fillId="2" borderId="20" xfId="0" applyFont="1" applyFill="1" applyBorder="1"/>
    <xf numFmtId="0" fontId="51" fillId="2" borderId="138" xfId="0" applyFont="1" applyFill="1" applyBorder="1"/>
    <xf numFmtId="0" fontId="51" fillId="2" borderId="59" xfId="0" applyFont="1" applyFill="1" applyBorder="1"/>
    <xf numFmtId="0" fontId="51" fillId="17" borderId="20" xfId="0" applyFont="1" applyFill="1" applyBorder="1" applyAlignment="1">
      <alignment wrapText="1"/>
    </xf>
    <xf numFmtId="0" fontId="20" fillId="7" borderId="137" xfId="0" applyFont="1" applyFill="1" applyBorder="1" applyAlignment="1">
      <alignment horizontal="center"/>
    </xf>
    <xf numFmtId="0" fontId="51" fillId="6" borderId="137" xfId="0" applyFont="1" applyFill="1" applyBorder="1"/>
    <xf numFmtId="0" fontId="51" fillId="0" borderId="137" xfId="0" applyFont="1" applyBorder="1" applyAlignment="1">
      <alignment vertical="center"/>
    </xf>
    <xf numFmtId="0" fontId="51" fillId="6" borderId="138" xfId="0" applyFont="1" applyFill="1" applyBorder="1"/>
    <xf numFmtId="0" fontId="51" fillId="2" borderId="61" xfId="0" applyFont="1" applyFill="1" applyBorder="1" applyAlignment="1">
      <alignment vertical="center"/>
    </xf>
    <xf numFmtId="0" fontId="51" fillId="17" borderId="137" xfId="0" applyFont="1" applyFill="1" applyBorder="1"/>
    <xf numFmtId="0" fontId="54" fillId="3" borderId="20" xfId="0" applyFont="1" applyFill="1" applyBorder="1"/>
    <xf numFmtId="0" fontId="51" fillId="4" borderId="21" xfId="0" applyFont="1" applyFill="1" applyBorder="1"/>
    <xf numFmtId="0" fontId="51" fillId="0" borderId="0" xfId="0" applyFont="1" applyAlignment="1">
      <alignment vertical="center"/>
    </xf>
    <xf numFmtId="0" fontId="51" fillId="17" borderId="138" xfId="0" applyFont="1" applyFill="1" applyBorder="1"/>
    <xf numFmtId="0" fontId="77" fillId="0" borderId="126" xfId="0" applyFont="1" applyBorder="1"/>
    <xf numFmtId="0" fontId="20" fillId="0" borderId="21" xfId="0" applyFont="1" applyBorder="1"/>
    <xf numFmtId="0" fontId="33" fillId="8" borderId="137" xfId="0" applyFont="1" applyFill="1" applyBorder="1" applyAlignment="1">
      <alignment horizontal="left" vertical="center"/>
    </xf>
    <xf numFmtId="0" fontId="33" fillId="0" borderId="137" xfId="0" applyFont="1" applyBorder="1" applyAlignment="1">
      <alignment horizontal="left" vertical="center"/>
    </xf>
    <xf numFmtId="0" fontId="51" fillId="0" borderId="0" xfId="0" applyFont="1" applyAlignment="1">
      <alignment horizontal="left"/>
    </xf>
    <xf numFmtId="0" fontId="76" fillId="3" borderId="20" xfId="0" applyFont="1" applyFill="1" applyBorder="1"/>
    <xf numFmtId="0" fontId="51" fillId="17" borderId="20" xfId="0" applyFont="1" applyFill="1" applyBorder="1"/>
    <xf numFmtId="0" fontId="51" fillId="17" borderId="137" xfId="0" applyFont="1" applyFill="1" applyBorder="1" applyAlignment="1">
      <alignment vertical="center"/>
    </xf>
    <xf numFmtId="0" fontId="33" fillId="2" borderId="138" xfId="0" applyFont="1" applyFill="1" applyBorder="1" applyAlignment="1">
      <alignment horizontal="left" vertical="center"/>
    </xf>
    <xf numFmtId="0" fontId="20" fillId="0" borderId="138" xfId="0" applyFont="1" applyBorder="1" applyAlignment="1">
      <alignment horizontal="center"/>
    </xf>
    <xf numFmtId="0" fontId="33" fillId="2" borderId="137" xfId="0" applyFont="1" applyFill="1" applyBorder="1" applyAlignment="1">
      <alignment horizontal="left" vertical="center"/>
    </xf>
    <xf numFmtId="0" fontId="33" fillId="0" borderId="0" xfId="0" applyFont="1" applyAlignment="1">
      <alignment vertical="center"/>
    </xf>
    <xf numFmtId="0" fontId="20" fillId="0" borderId="0" xfId="0" applyFont="1" applyAlignment="1">
      <alignment vertical="center"/>
    </xf>
    <xf numFmtId="0" fontId="51" fillId="0" borderId="3" xfId="0" applyFont="1" applyBorder="1" applyAlignment="1">
      <alignment horizontal="center" wrapText="1"/>
    </xf>
    <xf numFmtId="0" fontId="20" fillId="0" borderId="135" xfId="0" applyFont="1" applyBorder="1" applyAlignment="1">
      <alignment horizontal="center"/>
    </xf>
    <xf numFmtId="0" fontId="20" fillId="0" borderId="260" xfId="0" applyFont="1" applyBorder="1" applyAlignment="1">
      <alignment horizontal="center"/>
    </xf>
    <xf numFmtId="0" fontId="52" fillId="0" borderId="126" xfId="0" applyFont="1" applyBorder="1"/>
    <xf numFmtId="0" fontId="52" fillId="0" borderId="126" xfId="0" applyFont="1" applyBorder="1" applyAlignment="1">
      <alignment horizontal="center"/>
    </xf>
    <xf numFmtId="0" fontId="52" fillId="0" borderId="21" xfId="0" applyFont="1" applyBorder="1"/>
    <xf numFmtId="0" fontId="20" fillId="0" borderId="137" xfId="0" applyFont="1" applyBorder="1"/>
    <xf numFmtId="0" fontId="20" fillId="6" borderId="137" xfId="0" applyFont="1" applyFill="1" applyBorder="1"/>
    <xf numFmtId="0" fontId="20" fillId="6" borderId="137" xfId="0" applyFont="1" applyFill="1" applyBorder="1" applyAlignment="1">
      <alignment horizontal="center"/>
    </xf>
    <xf numFmtId="0" fontId="20" fillId="6" borderId="21" xfId="0" applyFont="1" applyFill="1" applyBorder="1"/>
    <xf numFmtId="0" fontId="20" fillId="6" borderId="138" xfId="0" applyFont="1" applyFill="1" applyBorder="1"/>
    <xf numFmtId="0" fontId="20" fillId="6" borderId="138" xfId="0" applyFont="1" applyFill="1" applyBorder="1" applyAlignment="1">
      <alignment horizontal="center"/>
    </xf>
    <xf numFmtId="0" fontId="20" fillId="6" borderId="61" xfId="0" applyFont="1" applyFill="1" applyBorder="1"/>
    <xf numFmtId="0" fontId="33" fillId="0" borderId="20" xfId="0" applyFont="1" applyBorder="1" applyAlignment="1">
      <alignment wrapText="1"/>
    </xf>
    <xf numFmtId="0" fontId="33" fillId="0" borderId="21" xfId="0" applyFont="1" applyBorder="1" applyAlignment="1">
      <alignment wrapText="1"/>
    </xf>
    <xf numFmtId="0" fontId="33" fillId="0" borderId="20" xfId="0" applyFont="1" applyBorder="1" applyAlignment="1">
      <alignment horizontal="left" wrapText="1"/>
    </xf>
    <xf numFmtId="0" fontId="33" fillId="0" borderId="61" xfId="0" applyFont="1" applyBorder="1" applyAlignment="1">
      <alignment wrapText="1"/>
    </xf>
    <xf numFmtId="0" fontId="52" fillId="0" borderId="2" xfId="0" applyFont="1" applyBorder="1" applyAlignment="1">
      <alignment wrapText="1"/>
    </xf>
    <xf numFmtId="0" fontId="52" fillId="0" borderId="3" xfId="0" applyFont="1" applyBorder="1" applyAlignment="1">
      <alignment wrapText="1"/>
    </xf>
    <xf numFmtId="0" fontId="20" fillId="0" borderId="21" xfId="0" applyFont="1" applyBorder="1" applyAlignment="1">
      <alignment wrapText="1"/>
    </xf>
    <xf numFmtId="0" fontId="20" fillId="0" borderId="21" xfId="0" applyFont="1" applyBorder="1" applyAlignment="1">
      <alignment horizontal="left" wrapText="1"/>
    </xf>
    <xf numFmtId="0" fontId="76" fillId="0" borderId="1" xfId="0" applyFont="1" applyBorder="1" applyAlignment="1">
      <alignment wrapText="1"/>
    </xf>
    <xf numFmtId="0" fontId="20" fillId="17" borderId="21" xfId="0" applyFont="1" applyFill="1" applyBorder="1" applyAlignment="1">
      <alignment wrapText="1"/>
    </xf>
    <xf numFmtId="0" fontId="52" fillId="0" borderId="1" xfId="0" applyFont="1" applyBorder="1" applyAlignment="1">
      <alignment wrapText="1"/>
    </xf>
    <xf numFmtId="0" fontId="52" fillId="0" borderId="20" xfId="0" applyFont="1" applyBorder="1" applyAlignment="1">
      <alignment wrapText="1"/>
    </xf>
    <xf numFmtId="0" fontId="20" fillId="0" borderId="20" xfId="0" applyFont="1" applyBorder="1" applyAlignment="1">
      <alignment wrapText="1"/>
    </xf>
    <xf numFmtId="0" fontId="20" fillId="17" borderId="20" xfId="0" applyFont="1" applyFill="1" applyBorder="1" applyAlignment="1">
      <alignment wrapText="1"/>
    </xf>
    <xf numFmtId="0" fontId="52" fillId="0" borderId="21" xfId="0" applyFont="1" applyBorder="1" applyAlignment="1">
      <alignment wrapText="1"/>
    </xf>
    <xf numFmtId="0" fontId="56" fillId="15" borderId="174" xfId="0" applyFont="1" applyFill="1" applyBorder="1" applyAlignment="1">
      <alignment horizontal="center" wrapText="1"/>
    </xf>
    <xf numFmtId="0" fontId="19" fillId="0" borderId="0" xfId="0" applyFont="1" applyAlignment="1">
      <alignment horizontal="center"/>
    </xf>
    <xf numFmtId="44" fontId="5" fillId="0" borderId="0" xfId="1" applyFont="1" applyAlignment="1">
      <alignment wrapText="1"/>
    </xf>
    <xf numFmtId="0" fontId="5" fillId="0" borderId="0" xfId="0" applyFont="1" applyAlignment="1">
      <alignment horizontal="center" wrapText="1"/>
    </xf>
    <xf numFmtId="44" fontId="5" fillId="0" borderId="0" xfId="1" applyFont="1" applyAlignment="1">
      <alignment horizontal="center" wrapText="1"/>
    </xf>
    <xf numFmtId="10" fontId="5" fillId="17" borderId="0" xfId="2" applyNumberFormat="1" applyFont="1" applyFill="1" applyAlignment="1">
      <alignment horizontal="center"/>
    </xf>
    <xf numFmtId="44" fontId="4" fillId="0" borderId="0" xfId="1" applyFont="1"/>
    <xf numFmtId="0" fontId="4" fillId="0" borderId="54" xfId="0" applyFont="1" applyBorder="1"/>
    <xf numFmtId="44" fontId="4" fillId="0" borderId="54" xfId="1" applyFont="1" applyBorder="1"/>
    <xf numFmtId="0" fontId="4" fillId="0" borderId="54" xfId="0" applyFont="1" applyBorder="1" applyAlignment="1">
      <alignment horizontal="center"/>
    </xf>
    <xf numFmtId="0" fontId="5" fillId="0" borderId="54" xfId="0" applyFont="1" applyBorder="1"/>
    <xf numFmtId="44" fontId="4" fillId="0" borderId="54" xfId="1" applyFont="1" applyBorder="1" applyAlignment="1">
      <alignment horizontal="center"/>
    </xf>
    <xf numFmtId="44" fontId="5" fillId="0" borderId="0" xfId="1" applyFont="1" applyAlignment="1">
      <alignment horizontal="center"/>
    </xf>
    <xf numFmtId="44" fontId="5" fillId="0" borderId="0" xfId="1" applyFont="1" applyAlignment="1">
      <alignment horizontal="centerContinuous"/>
    </xf>
    <xf numFmtId="10" fontId="5" fillId="0" borderId="0" xfId="0" applyNumberFormat="1" applyFont="1" applyAlignment="1">
      <alignment horizontal="center"/>
    </xf>
    <xf numFmtId="43" fontId="26" fillId="7" borderId="0" xfId="0" applyNumberFormat="1" applyFont="1" applyFill="1"/>
    <xf numFmtId="43" fontId="26" fillId="7" borderId="0" xfId="0" applyNumberFormat="1" applyFont="1" applyFill="1" applyAlignment="1">
      <alignment horizontal="left"/>
    </xf>
    <xf numFmtId="175" fontId="5" fillId="17" borderId="9" xfId="0" applyNumberFormat="1" applyFont="1" applyFill="1" applyBorder="1" applyAlignment="1">
      <alignment horizontal="center"/>
    </xf>
    <xf numFmtId="0" fontId="5" fillId="17" borderId="9" xfId="0" applyFont="1" applyFill="1" applyBorder="1"/>
    <xf numFmtId="0" fontId="5" fillId="17" borderId="83" xfId="0" applyFont="1" applyFill="1" applyBorder="1"/>
    <xf numFmtId="0" fontId="5" fillId="0" borderId="75" xfId="0" applyFont="1" applyBorder="1"/>
    <xf numFmtId="43" fontId="20" fillId="7" borderId="224" xfId="0" applyNumberFormat="1" applyFont="1" applyFill="1" applyBorder="1" applyAlignment="1">
      <alignment horizontal="left"/>
    </xf>
    <xf numFmtId="44" fontId="79" fillId="7" borderId="0" xfId="1" applyFont="1" applyFill="1"/>
    <xf numFmtId="44" fontId="4" fillId="7" borderId="0" xfId="0" applyNumberFormat="1" applyFont="1" applyFill="1"/>
    <xf numFmtId="0" fontId="51" fillId="2" borderId="21" xfId="0" applyFont="1" applyFill="1" applyBorder="1" applyAlignment="1">
      <alignment vertical="center"/>
    </xf>
    <xf numFmtId="171" fontId="0" fillId="0" borderId="271" xfId="0" applyNumberFormat="1" applyBorder="1"/>
    <xf numFmtId="171" fontId="0" fillId="0" borderId="219" xfId="1" applyNumberFormat="1" applyFont="1" applyBorder="1"/>
    <xf numFmtId="171" fontId="0" fillId="0" borderId="216" xfId="1" applyNumberFormat="1" applyFont="1" applyBorder="1"/>
    <xf numFmtId="171" fontId="0" fillId="0" borderId="239" xfId="0" applyNumberFormat="1" applyBorder="1"/>
    <xf numFmtId="176" fontId="5" fillId="7" borderId="0" xfId="1" applyNumberFormat="1" applyFont="1" applyFill="1"/>
    <xf numFmtId="0" fontId="4" fillId="7" borderId="55" xfId="0" applyFont="1" applyFill="1" applyBorder="1"/>
    <xf numFmtId="0" fontId="4" fillId="7" borderId="56" xfId="0" applyFont="1" applyFill="1" applyBorder="1"/>
    <xf numFmtId="44" fontId="4" fillId="24" borderId="57" xfId="1" applyFont="1" applyFill="1" applyBorder="1"/>
    <xf numFmtId="0" fontId="0" fillId="0" borderId="112" xfId="0" applyBorder="1"/>
    <xf numFmtId="43" fontId="2" fillId="7" borderId="292" xfId="0" applyNumberFormat="1" applyFont="1" applyFill="1" applyBorder="1"/>
    <xf numFmtId="43" fontId="20" fillId="7" borderId="292" xfId="0" applyNumberFormat="1" applyFont="1" applyFill="1" applyBorder="1"/>
    <xf numFmtId="43" fontId="0" fillId="7" borderId="102" xfId="0" applyNumberFormat="1" applyFill="1" applyBorder="1"/>
    <xf numFmtId="43" fontId="0" fillId="7" borderId="105" xfId="0" applyNumberFormat="1" applyFill="1" applyBorder="1"/>
    <xf numFmtId="43" fontId="2" fillId="7" borderId="129" xfId="0" applyNumberFormat="1" applyFont="1" applyFill="1" applyBorder="1"/>
    <xf numFmtId="43" fontId="0" fillId="7" borderId="177" xfId="0" applyNumberFormat="1" applyFill="1" applyBorder="1"/>
    <xf numFmtId="0" fontId="0" fillId="7" borderId="177" xfId="0" applyFill="1" applyBorder="1" applyAlignment="1">
      <alignment wrapText="1"/>
    </xf>
    <xf numFmtId="0" fontId="0" fillId="7" borderId="99" xfId="0" applyFill="1" applyBorder="1" applyAlignment="1">
      <alignment wrapText="1"/>
    </xf>
    <xf numFmtId="8" fontId="49" fillId="22" borderId="211" xfId="0" applyNumberFormat="1" applyFont="1" applyFill="1" applyBorder="1" applyAlignment="1">
      <alignment horizontal="right" vertical="center" wrapText="1"/>
    </xf>
    <xf numFmtId="8" fontId="49" fillId="7" borderId="209" xfId="0" applyNumberFormat="1" applyFont="1" applyFill="1" applyBorder="1" applyAlignment="1">
      <alignment horizontal="left" vertical="center"/>
    </xf>
    <xf numFmtId="8" fontId="49" fillId="7" borderId="211" xfId="0" applyNumberFormat="1" applyFont="1" applyFill="1" applyBorder="1" applyAlignment="1">
      <alignment horizontal="left" vertical="center"/>
    </xf>
    <xf numFmtId="8" fontId="49" fillId="7" borderId="206" xfId="1" applyNumberFormat="1" applyFont="1" applyFill="1" applyBorder="1" applyAlignment="1">
      <alignment horizontal="right" vertical="center" wrapText="1"/>
    </xf>
    <xf numFmtId="8" fontId="49" fillId="7" borderId="210" xfId="1" applyNumberFormat="1" applyFont="1" applyFill="1" applyBorder="1" applyAlignment="1">
      <alignment horizontal="right" vertical="center" wrapText="1"/>
    </xf>
    <xf numFmtId="8" fontId="49" fillId="7" borderId="211" xfId="1" applyNumberFormat="1" applyFont="1" applyFill="1" applyBorder="1" applyAlignment="1">
      <alignment horizontal="right" vertical="center" wrapText="1"/>
    </xf>
    <xf numFmtId="8" fontId="0" fillId="0" borderId="0" xfId="1" applyNumberFormat="1" applyFont="1"/>
    <xf numFmtId="8" fontId="66" fillId="0" borderId="21" xfId="1" applyNumberFormat="1" applyFont="1" applyBorder="1"/>
    <xf numFmtId="8" fontId="67" fillId="0" borderId="0" xfId="1" applyNumberFormat="1" applyFont="1"/>
    <xf numFmtId="8" fontId="2" fillId="0" borderId="60" xfId="1" applyNumberFormat="1" applyFont="1" applyBorder="1"/>
    <xf numFmtId="8" fontId="66" fillId="0" borderId="61" xfId="1" applyNumberFormat="1" applyFont="1" applyBorder="1"/>
    <xf numFmtId="0" fontId="42" fillId="13" borderId="0" xfId="0" applyFont="1" applyFill="1"/>
    <xf numFmtId="0" fontId="56" fillId="0" borderId="0" xfId="0" applyFont="1"/>
    <xf numFmtId="0" fontId="8" fillId="15" borderId="0" xfId="0" applyFont="1" applyFill="1" applyAlignment="1">
      <alignment horizontal="left"/>
    </xf>
    <xf numFmtId="14" fontId="8" fillId="15" borderId="0" xfId="0" applyNumberFormat="1" applyFont="1" applyFill="1" applyAlignment="1">
      <alignment horizontal="left"/>
    </xf>
    <xf numFmtId="0" fontId="0" fillId="0" borderId="37" xfId="0" applyBorder="1" applyAlignment="1">
      <alignment horizontal="center"/>
    </xf>
    <xf numFmtId="0" fontId="6" fillId="7" borderId="63" xfId="0" applyFont="1" applyFill="1" applyBorder="1" applyAlignment="1">
      <alignment horizontal="center"/>
    </xf>
    <xf numFmtId="44" fontId="15" fillId="0" borderId="0" xfId="0" applyNumberFormat="1" applyFont="1" applyAlignment="1">
      <alignment horizontal="center"/>
    </xf>
    <xf numFmtId="0" fontId="5" fillId="17" borderId="9" xfId="0" quotePrefix="1" applyFont="1" applyFill="1" applyBorder="1" applyAlignment="1">
      <alignment horizontal="left" wrapText="1"/>
    </xf>
    <xf numFmtId="9" fontId="5" fillId="0" borderId="0" xfId="0" applyNumberFormat="1" applyFont="1"/>
    <xf numFmtId="10" fontId="5" fillId="0" borderId="0" xfId="0" applyNumberFormat="1" applyFont="1"/>
    <xf numFmtId="10" fontId="5" fillId="0" borderId="0" xfId="2" applyNumberFormat="1" applyFont="1"/>
    <xf numFmtId="0" fontId="43" fillId="0" borderId="0" xfId="0" applyFont="1"/>
    <xf numFmtId="0" fontId="31" fillId="0" borderId="0" xfId="0" applyFont="1"/>
    <xf numFmtId="0" fontId="5" fillId="17" borderId="0" xfId="0" applyFont="1" applyFill="1"/>
    <xf numFmtId="43" fontId="5" fillId="17" borderId="0" xfId="0" applyNumberFormat="1" applyFont="1" applyFill="1"/>
    <xf numFmtId="0" fontId="45" fillId="7" borderId="0" xfId="0" applyFont="1" applyFill="1"/>
    <xf numFmtId="171" fontId="2" fillId="0" borderId="0" xfId="0" applyNumberFormat="1" applyFont="1" applyAlignment="1">
      <alignment wrapText="1"/>
    </xf>
    <xf numFmtId="171" fontId="2" fillId="0" borderId="259" xfId="0" applyNumberFormat="1" applyFont="1" applyBorder="1" applyAlignment="1">
      <alignment wrapText="1"/>
    </xf>
    <xf numFmtId="0" fontId="2" fillId="0" borderId="257" xfId="0" applyFont="1" applyBorder="1"/>
    <xf numFmtId="0" fontId="2" fillId="0" borderId="260" xfId="0" applyFont="1" applyBorder="1" applyAlignment="1">
      <alignment wrapText="1"/>
    </xf>
    <xf numFmtId="0" fontId="5" fillId="7" borderId="306" xfId="0" applyFont="1" applyFill="1" applyBorder="1" applyAlignment="1">
      <alignment horizontal="center"/>
    </xf>
    <xf numFmtId="0" fontId="5" fillId="7" borderId="307" xfId="0" applyFont="1" applyFill="1" applyBorder="1" applyAlignment="1">
      <alignment horizontal="center"/>
    </xf>
    <xf numFmtId="0" fontId="26" fillId="0" borderId="101" xfId="0" applyFont="1" applyBorder="1" applyAlignment="1">
      <alignment horizontal="left"/>
    </xf>
    <xf numFmtId="0" fontId="27" fillId="7" borderId="0" xfId="0" applyFont="1" applyFill="1"/>
    <xf numFmtId="0" fontId="4" fillId="7" borderId="84" xfId="0" applyFont="1" applyFill="1" applyBorder="1"/>
    <xf numFmtId="44" fontId="4" fillId="7" borderId="84" xfId="1" applyFont="1" applyFill="1" applyBorder="1"/>
    <xf numFmtId="44" fontId="5" fillId="0" borderId="235" xfId="1" applyFont="1" applyBorder="1"/>
    <xf numFmtId="44" fontId="5" fillId="0" borderId="236" xfId="1" applyFont="1" applyBorder="1"/>
    <xf numFmtId="0" fontId="0" fillId="13" borderId="62" xfId="0" applyFill="1" applyBorder="1"/>
    <xf numFmtId="0" fontId="2" fillId="7" borderId="120" xfId="0" applyFont="1" applyFill="1" applyBorder="1"/>
    <xf numFmtId="0" fontId="0" fillId="7" borderId="120" xfId="0" applyFill="1" applyBorder="1"/>
    <xf numFmtId="0" fontId="76" fillId="0" borderId="126" xfId="0" applyFont="1" applyBorder="1" applyAlignment="1">
      <alignment horizontal="center"/>
    </xf>
    <xf numFmtId="0" fontId="51" fillId="7" borderId="137" xfId="0" applyFont="1" applyFill="1" applyBorder="1"/>
    <xf numFmtId="0" fontId="5" fillId="2" borderId="37" xfId="0" applyFont="1" applyFill="1" applyBorder="1"/>
    <xf numFmtId="44" fontId="4" fillId="7" borderId="56" xfId="1" applyFont="1" applyFill="1" applyBorder="1"/>
    <xf numFmtId="44" fontId="4" fillId="7" borderId="56" xfId="0" applyNumberFormat="1" applyFont="1" applyFill="1" applyBorder="1"/>
    <xf numFmtId="44" fontId="2" fillId="7" borderId="0" xfId="0" applyNumberFormat="1" applyFont="1" applyFill="1"/>
    <xf numFmtId="0" fontId="2" fillId="7" borderId="250" xfId="0" applyFont="1" applyFill="1" applyBorder="1" applyAlignment="1">
      <alignment wrapText="1"/>
    </xf>
    <xf numFmtId="0" fontId="2" fillId="7" borderId="313" xfId="0" applyFont="1" applyFill="1" applyBorder="1" applyAlignment="1">
      <alignment horizontal="center" wrapText="1"/>
    </xf>
    <xf numFmtId="0" fontId="0" fillId="6" borderId="10" xfId="0" applyFill="1" applyBorder="1" applyAlignment="1">
      <alignment horizontal="center" wrapText="1"/>
    </xf>
    <xf numFmtId="0" fontId="28" fillId="15" borderId="0" xfId="0" applyFont="1" applyFill="1" applyAlignment="1">
      <alignment horizontal="left"/>
    </xf>
    <xf numFmtId="0" fontId="28" fillId="7" borderId="0" xfId="0" applyFont="1" applyFill="1" applyAlignment="1">
      <alignment horizontal="left"/>
    </xf>
    <xf numFmtId="164" fontId="81" fillId="2" borderId="0" xfId="0" applyNumberFormat="1" applyFont="1" applyFill="1" applyAlignment="1">
      <alignment horizontal="right"/>
    </xf>
    <xf numFmtId="44" fontId="5" fillId="7" borderId="0" xfId="0" applyNumberFormat="1" applyFont="1" applyFill="1" applyAlignment="1">
      <alignment horizontal="center"/>
    </xf>
    <xf numFmtId="44" fontId="5" fillId="7" borderId="56" xfId="1" applyFont="1" applyFill="1" applyBorder="1"/>
    <xf numFmtId="44" fontId="5" fillId="7" borderId="60" xfId="1" applyFont="1" applyFill="1" applyBorder="1"/>
    <xf numFmtId="167" fontId="5" fillId="7" borderId="60" xfId="2" applyNumberFormat="1" applyFont="1" applyFill="1" applyBorder="1"/>
    <xf numFmtId="38" fontId="17" fillId="17" borderId="39" xfId="4" applyFont="1" applyFill="1" applyBorder="1" applyAlignment="1">
      <alignment horizontal="center" vertical="center" wrapText="1"/>
    </xf>
    <xf numFmtId="0" fontId="5" fillId="7" borderId="0" xfId="0" applyFont="1" applyFill="1" applyAlignment="1">
      <alignment horizontal="right"/>
    </xf>
    <xf numFmtId="0" fontId="2" fillId="20" borderId="0" xfId="0" applyFont="1" applyFill="1"/>
    <xf numFmtId="0" fontId="0" fillId="7" borderId="101" xfId="0" applyFill="1" applyBorder="1" applyAlignment="1">
      <alignment wrapText="1"/>
    </xf>
    <xf numFmtId="177" fontId="20" fillId="7" borderId="98" xfId="0" applyNumberFormat="1" applyFont="1" applyFill="1" applyBorder="1"/>
    <xf numFmtId="167" fontId="4" fillId="2" borderId="0" xfId="0" applyNumberFormat="1" applyFont="1" applyFill="1" applyAlignment="1">
      <alignment vertical="center"/>
    </xf>
    <xf numFmtId="167" fontId="4" fillId="7" borderId="0" xfId="0" applyNumberFormat="1" applyFont="1" applyFill="1" applyAlignment="1">
      <alignment vertical="center"/>
    </xf>
    <xf numFmtId="43" fontId="0" fillId="0" borderId="0" xfId="6" applyFont="1"/>
    <xf numFmtId="0" fontId="82" fillId="26" borderId="315" xfId="0" applyFont="1" applyFill="1" applyBorder="1" applyAlignment="1">
      <alignment vertical="center" wrapText="1"/>
    </xf>
    <xf numFmtId="0" fontId="82" fillId="26" borderId="316" xfId="0" applyFont="1" applyFill="1" applyBorder="1" applyAlignment="1">
      <alignment vertical="center" wrapText="1"/>
    </xf>
    <xf numFmtId="0" fontId="0" fillId="29" borderId="0" xfId="0" applyFill="1"/>
    <xf numFmtId="0" fontId="83" fillId="29" borderId="0" xfId="0" applyFont="1" applyFill="1"/>
    <xf numFmtId="0" fontId="82" fillId="26" borderId="137" xfId="0" applyFont="1" applyFill="1" applyBorder="1" applyAlignment="1">
      <alignment vertical="center" wrapText="1"/>
    </xf>
    <xf numFmtId="0" fontId="82" fillId="29" borderId="137" xfId="0" applyFont="1" applyFill="1" applyBorder="1" applyAlignment="1">
      <alignment vertical="center" wrapText="1"/>
    </xf>
    <xf numFmtId="14" fontId="0" fillId="29" borderId="0" xfId="0" applyNumberFormat="1" applyFill="1"/>
    <xf numFmtId="43" fontId="0" fillId="29" borderId="0" xfId="6" applyFont="1" applyFill="1"/>
    <xf numFmtId="14" fontId="0" fillId="17" borderId="0" xfId="0" applyNumberFormat="1" applyFill="1"/>
    <xf numFmtId="43" fontId="0" fillId="17" borderId="0" xfId="6" applyFont="1" applyFill="1"/>
    <xf numFmtId="14" fontId="0" fillId="0" borderId="0" xfId="0" applyNumberFormat="1"/>
    <xf numFmtId="0" fontId="82" fillId="29" borderId="135" xfId="0" applyFont="1" applyFill="1" applyBorder="1" applyAlignment="1">
      <alignment vertical="center" wrapText="1"/>
    </xf>
    <xf numFmtId="0" fontId="82" fillId="26" borderId="138" xfId="0" applyFont="1" applyFill="1" applyBorder="1" applyAlignment="1">
      <alignment vertical="center" wrapText="1"/>
    </xf>
    <xf numFmtId="0" fontId="17" fillId="15" borderId="60" xfId="0" applyFont="1" applyFill="1" applyBorder="1"/>
    <xf numFmtId="0" fontId="4" fillId="15" borderId="1" xfId="0" applyFont="1" applyFill="1" applyBorder="1"/>
    <xf numFmtId="0" fontId="4" fillId="15" borderId="2" xfId="0" applyFont="1" applyFill="1" applyBorder="1"/>
    <xf numFmtId="0" fontId="5" fillId="15" borderId="2" xfId="0" applyFont="1" applyFill="1" applyBorder="1"/>
    <xf numFmtId="0" fontId="5" fillId="15" borderId="3" xfId="0" applyFont="1" applyFill="1" applyBorder="1"/>
    <xf numFmtId="0" fontId="4" fillId="15" borderId="20" xfId="0" applyFont="1" applyFill="1" applyBorder="1"/>
    <xf numFmtId="0" fontId="4" fillId="15" borderId="0" xfId="0" applyFont="1" applyFill="1"/>
    <xf numFmtId="0" fontId="5" fillId="15" borderId="0" xfId="0" applyFont="1" applyFill="1"/>
    <xf numFmtId="0" fontId="5" fillId="15" borderId="21" xfId="0" applyFont="1" applyFill="1" applyBorder="1"/>
    <xf numFmtId="0" fontId="5" fillId="15" borderId="59" xfId="0" applyFont="1" applyFill="1" applyBorder="1"/>
    <xf numFmtId="0" fontId="5" fillId="15" borderId="60" xfId="0" applyFont="1" applyFill="1" applyBorder="1"/>
    <xf numFmtId="0" fontId="4" fillId="15" borderId="60" xfId="0" applyFont="1" applyFill="1" applyBorder="1"/>
    <xf numFmtId="0" fontId="5" fillId="15" borderId="61" xfId="0" applyFont="1" applyFill="1" applyBorder="1"/>
    <xf numFmtId="0" fontId="4" fillId="7" borderId="0" xfId="0" applyFont="1" applyFill="1" applyAlignment="1">
      <alignment horizontal="right"/>
    </xf>
    <xf numFmtId="0" fontId="4" fillId="7" borderId="7" xfId="0" applyFont="1" applyFill="1" applyBorder="1" applyAlignment="1">
      <alignment horizontal="center" wrapText="1"/>
    </xf>
    <xf numFmtId="168" fontId="1" fillId="7" borderId="54" xfId="2" applyNumberFormat="1" applyFill="1" applyBorder="1"/>
    <xf numFmtId="168" fontId="1" fillId="7" borderId="62" xfId="2" applyNumberFormat="1" applyFill="1" applyBorder="1"/>
    <xf numFmtId="0" fontId="12" fillId="7" borderId="0" xfId="0" applyFont="1" applyFill="1" applyAlignment="1">
      <alignment vertical="center"/>
    </xf>
    <xf numFmtId="0" fontId="85" fillId="7" borderId="0" xfId="0" applyFont="1" applyFill="1"/>
    <xf numFmtId="171" fontId="0" fillId="7" borderId="317" xfId="0" applyNumberFormat="1" applyFill="1" applyBorder="1"/>
    <xf numFmtId="171" fontId="0" fillId="7" borderId="318" xfId="0" applyNumberFormat="1" applyFill="1" applyBorder="1"/>
    <xf numFmtId="0" fontId="0" fillId="7" borderId="319" xfId="0" applyFill="1" applyBorder="1"/>
    <xf numFmtId="171" fontId="0" fillId="7" borderId="244" xfId="0" applyNumberFormat="1" applyFill="1" applyBorder="1"/>
    <xf numFmtId="171" fontId="0" fillId="7" borderId="246" xfId="0" applyNumberFormat="1" applyFill="1" applyBorder="1"/>
    <xf numFmtId="0" fontId="2" fillId="7" borderId="55" xfId="0" applyFont="1" applyFill="1" applyBorder="1"/>
    <xf numFmtId="0" fontId="2" fillId="7" borderId="56" xfId="0" applyFont="1" applyFill="1" applyBorder="1" applyAlignment="1">
      <alignment horizontal="center"/>
    </xf>
    <xf numFmtId="171" fontId="2" fillId="7" borderId="57" xfId="0" applyNumberFormat="1" applyFont="1" applyFill="1" applyBorder="1" applyAlignment="1">
      <alignment wrapText="1"/>
    </xf>
    <xf numFmtId="49" fontId="0" fillId="29" borderId="0" xfId="0" applyNumberFormat="1" applyFill="1"/>
    <xf numFmtId="0" fontId="13" fillId="0" borderId="0" xfId="0" applyFont="1" applyAlignment="1">
      <alignment vertical="center"/>
    </xf>
    <xf numFmtId="0" fontId="5" fillId="0" borderId="0" xfId="0" applyFont="1" applyAlignment="1">
      <alignment vertical="center"/>
    </xf>
    <xf numFmtId="0" fontId="18" fillId="0" borderId="0" xfId="0" applyFont="1" applyAlignment="1">
      <alignment vertical="center"/>
    </xf>
    <xf numFmtId="0" fontId="16" fillId="15" borderId="0" xfId="0" applyFont="1" applyFill="1" applyAlignment="1">
      <alignment vertical="center"/>
    </xf>
    <xf numFmtId="44" fontId="5" fillId="0" borderId="0" xfId="0" applyNumberFormat="1" applyFont="1" applyAlignment="1">
      <alignment vertical="center"/>
    </xf>
    <xf numFmtId="0" fontId="16" fillId="0" borderId="0" xfId="0" applyFont="1" applyAlignment="1">
      <alignment vertical="center"/>
    </xf>
    <xf numFmtId="0" fontId="5" fillId="7" borderId="0" xfId="0" applyFont="1" applyFill="1" applyAlignment="1">
      <alignment vertical="center"/>
    </xf>
    <xf numFmtId="0" fontId="12" fillId="0" borderId="0" xfId="0" applyFont="1" applyAlignment="1">
      <alignment vertical="center"/>
    </xf>
    <xf numFmtId="0" fontId="4" fillId="7" borderId="75" xfId="0" applyFont="1" applyFill="1" applyBorder="1"/>
    <xf numFmtId="0" fontId="86" fillId="0" borderId="0" xfId="0" applyFont="1" applyAlignment="1">
      <alignment horizontal="left"/>
    </xf>
    <xf numFmtId="0" fontId="87" fillId="0" borderId="0" xfId="0" applyFont="1" applyAlignment="1">
      <alignment horizontal="left"/>
    </xf>
    <xf numFmtId="0" fontId="29" fillId="7" borderId="0" xfId="0" applyFont="1" applyFill="1" applyAlignment="1">
      <alignment horizontal="left"/>
    </xf>
    <xf numFmtId="0" fontId="0" fillId="31" borderId="257" xfId="0" applyFill="1" applyBorder="1"/>
    <xf numFmtId="0" fontId="0" fillId="31" borderId="260" xfId="0" applyFill="1" applyBorder="1"/>
    <xf numFmtId="0" fontId="58" fillId="31" borderId="259" xfId="0" applyFont="1" applyFill="1" applyBorder="1"/>
    <xf numFmtId="49" fontId="0" fillId="7" borderId="99" xfId="0" applyNumberFormat="1" applyFill="1" applyBorder="1" applyAlignment="1">
      <alignment horizontal="center" wrapText="1"/>
    </xf>
    <xf numFmtId="49" fontId="0" fillId="7" borderId="100" xfId="0" applyNumberFormat="1" applyFill="1" applyBorder="1" applyAlignment="1">
      <alignment horizontal="center" wrapText="1"/>
    </xf>
    <xf numFmtId="49" fontId="0" fillId="7" borderId="320" xfId="0" applyNumberFormat="1" applyFill="1" applyBorder="1" applyAlignment="1">
      <alignment horizontal="center" wrapText="1"/>
    </xf>
    <xf numFmtId="0" fontId="0" fillId="7" borderId="121" xfId="0" applyFill="1" applyBorder="1"/>
    <xf numFmtId="0" fontId="0" fillId="7" borderId="314" xfId="0" applyFill="1" applyBorder="1"/>
    <xf numFmtId="0" fontId="51" fillId="17" borderId="54" xfId="0" applyFont="1" applyFill="1" applyBorder="1"/>
    <xf numFmtId="0" fontId="51" fillId="0" borderId="21" xfId="0" applyFont="1" applyBorder="1" applyAlignment="1">
      <alignment horizontal="center"/>
    </xf>
    <xf numFmtId="0" fontId="51" fillId="17" borderId="53" xfId="0" applyFont="1" applyFill="1" applyBorder="1"/>
    <xf numFmtId="0" fontId="51" fillId="17" borderId="58" xfId="0" applyFont="1" applyFill="1" applyBorder="1" applyAlignment="1">
      <alignment horizontal="center" wrapText="1"/>
    </xf>
    <xf numFmtId="8" fontId="2" fillId="15" borderId="0" xfId="0" applyNumberFormat="1" applyFont="1" applyFill="1" applyAlignment="1">
      <alignment horizontal="left"/>
    </xf>
    <xf numFmtId="0" fontId="20" fillId="13" borderId="0" xfId="0" applyFont="1" applyFill="1" applyAlignment="1">
      <alignment horizontal="left"/>
    </xf>
    <xf numFmtId="0" fontId="20" fillId="7" borderId="0" xfId="0" applyFont="1" applyFill="1" applyAlignment="1">
      <alignment horizontal="left"/>
    </xf>
    <xf numFmtId="167" fontId="0" fillId="7" borderId="0" xfId="2" applyNumberFormat="1" applyFont="1" applyFill="1"/>
    <xf numFmtId="0" fontId="57" fillId="31" borderId="0" xfId="0" applyFont="1" applyFill="1"/>
    <xf numFmtId="0" fontId="0" fillId="31" borderId="0" xfId="0" applyFill="1"/>
    <xf numFmtId="0" fontId="58" fillId="31" borderId="0" xfId="0" applyFont="1" applyFill="1"/>
    <xf numFmtId="0" fontId="55" fillId="31" borderId="0" xfId="0" applyFont="1" applyFill="1" applyAlignment="1">
      <alignment horizontal="left"/>
    </xf>
    <xf numFmtId="0" fontId="58" fillId="31" borderId="91" xfId="0" applyFont="1" applyFill="1" applyBorder="1"/>
    <xf numFmtId="0" fontId="0" fillId="31" borderId="91" xfId="0" applyFill="1" applyBorder="1"/>
    <xf numFmtId="43" fontId="0" fillId="31" borderId="106" xfId="0" applyNumberFormat="1" applyFill="1" applyBorder="1"/>
    <xf numFmtId="43" fontId="20" fillId="31" borderId="106" xfId="0" applyNumberFormat="1" applyFont="1" applyFill="1" applyBorder="1" applyAlignment="1">
      <alignment horizontal="left"/>
    </xf>
    <xf numFmtId="43" fontId="20" fillId="31" borderId="91" xfId="0" applyNumberFormat="1" applyFont="1" applyFill="1" applyBorder="1"/>
    <xf numFmtId="0" fontId="20" fillId="31" borderId="91" xfId="0" applyFont="1" applyFill="1" applyBorder="1"/>
    <xf numFmtId="43" fontId="0" fillId="31" borderId="106" xfId="0" applyNumberFormat="1" applyFill="1" applyBorder="1" applyAlignment="1">
      <alignment horizontal="center" wrapText="1"/>
    </xf>
    <xf numFmtId="43" fontId="20" fillId="31" borderId="106" xfId="0" applyNumberFormat="1" applyFont="1" applyFill="1" applyBorder="1" applyAlignment="1">
      <alignment horizontal="center" wrapText="1"/>
    </xf>
    <xf numFmtId="0" fontId="20" fillId="31" borderId="91" xfId="0" applyFont="1" applyFill="1" applyBorder="1" applyAlignment="1">
      <alignment horizontal="center" wrapText="1"/>
    </xf>
    <xf numFmtId="0" fontId="61" fillId="31" borderId="0" xfId="0" applyFont="1" applyFill="1"/>
    <xf numFmtId="43" fontId="62" fillId="31" borderId="0" xfId="0" applyNumberFormat="1" applyFont="1" applyFill="1" applyAlignment="1">
      <alignment horizontal="center" wrapText="1"/>
    </xf>
    <xf numFmtId="0" fontId="62" fillId="31" borderId="0" xfId="0" applyFont="1" applyFill="1" applyAlignment="1">
      <alignment horizontal="center" wrapText="1"/>
    </xf>
    <xf numFmtId="43" fontId="62" fillId="31" borderId="0" xfId="0" applyNumberFormat="1" applyFont="1" applyFill="1" applyAlignment="1">
      <alignment wrapText="1"/>
    </xf>
    <xf numFmtId="0" fontId="62" fillId="31" borderId="0" xfId="0" applyFont="1" applyFill="1" applyAlignment="1">
      <alignment wrapText="1"/>
    </xf>
    <xf numFmtId="0" fontId="57" fillId="20" borderId="0" xfId="0" applyFont="1" applyFill="1"/>
    <xf numFmtId="43" fontId="59" fillId="20" borderId="0" xfId="0" applyNumberFormat="1" applyFont="1" applyFill="1" applyAlignment="1">
      <alignment horizontal="center" wrapText="1"/>
    </xf>
    <xf numFmtId="0" fontId="2" fillId="31" borderId="106" xfId="0" applyFont="1" applyFill="1" applyBorder="1"/>
    <xf numFmtId="0" fontId="0" fillId="31" borderId="106" xfId="0" applyFill="1" applyBorder="1"/>
    <xf numFmtId="0" fontId="20" fillId="31" borderId="106" xfId="0" applyFont="1" applyFill="1" applyBorder="1" applyAlignment="1">
      <alignment horizontal="center"/>
    </xf>
    <xf numFmtId="0" fontId="20" fillId="31" borderId="106" xfId="0" applyFont="1" applyFill="1" applyBorder="1"/>
    <xf numFmtId="43" fontId="20" fillId="31" borderId="106" xfId="0" applyNumberFormat="1" applyFont="1" applyFill="1" applyBorder="1"/>
    <xf numFmtId="0" fontId="58" fillId="20" borderId="0" xfId="0" applyFont="1" applyFill="1"/>
    <xf numFmtId="0" fontId="58" fillId="20" borderId="91" xfId="0" applyFont="1" applyFill="1" applyBorder="1"/>
    <xf numFmtId="0" fontId="58" fillId="20" borderId="106" xfId="0" applyFont="1" applyFill="1" applyBorder="1"/>
    <xf numFmtId="0" fontId="58" fillId="20" borderId="106" xfId="0" applyFont="1" applyFill="1" applyBorder="1" applyAlignment="1">
      <alignment horizontal="center"/>
    </xf>
    <xf numFmtId="43" fontId="58" fillId="20" borderId="0" xfId="0" applyNumberFormat="1" applyFont="1" applyFill="1" applyAlignment="1">
      <alignment horizontal="center"/>
    </xf>
    <xf numFmtId="43" fontId="59" fillId="20" borderId="0" xfId="0" applyNumberFormat="1" applyFont="1" applyFill="1" applyAlignment="1">
      <alignment horizontal="center"/>
    </xf>
    <xf numFmtId="0" fontId="59" fillId="20" borderId="0" xfId="0" applyFont="1" applyFill="1" applyAlignment="1">
      <alignment horizontal="center"/>
    </xf>
    <xf numFmtId="0" fontId="59" fillId="20" borderId="0" xfId="0" applyFont="1" applyFill="1"/>
    <xf numFmtId="0" fontId="59" fillId="20" borderId="106" xfId="0" applyFont="1" applyFill="1" applyBorder="1"/>
    <xf numFmtId="0" fontId="59" fillId="20" borderId="106" xfId="0" applyFont="1" applyFill="1" applyBorder="1" applyAlignment="1">
      <alignment horizontal="center"/>
    </xf>
    <xf numFmtId="43" fontId="59" fillId="20" borderId="106" xfId="0" applyNumberFormat="1" applyFont="1" applyFill="1" applyBorder="1"/>
    <xf numFmtId="0" fontId="20" fillId="31" borderId="91" xfId="0" applyFont="1" applyFill="1" applyBorder="1" applyAlignment="1">
      <alignment horizontal="center"/>
    </xf>
    <xf numFmtId="0" fontId="35" fillId="31" borderId="91" xfId="0" applyFont="1" applyFill="1" applyBorder="1"/>
    <xf numFmtId="0" fontId="8" fillId="31" borderId="106" xfId="0" applyFont="1" applyFill="1" applyBorder="1"/>
    <xf numFmtId="0" fontId="0" fillId="31" borderId="106" xfId="0" applyFill="1" applyBorder="1" applyAlignment="1">
      <alignment horizontal="center"/>
    </xf>
    <xf numFmtId="43" fontId="0" fillId="31" borderId="0" xfId="0" applyNumberFormat="1" applyFill="1" applyAlignment="1">
      <alignment horizontal="center"/>
    </xf>
    <xf numFmtId="43" fontId="20" fillId="31" borderId="0" xfId="0" applyNumberFormat="1" applyFont="1" applyFill="1" applyAlignment="1">
      <alignment horizontal="center"/>
    </xf>
    <xf numFmtId="0" fontId="20" fillId="31" borderId="0" xfId="0" applyFont="1" applyFill="1" applyAlignment="1">
      <alignment horizontal="center"/>
    </xf>
    <xf numFmtId="0" fontId="20" fillId="31" borderId="0" xfId="0" applyFont="1" applyFill="1"/>
    <xf numFmtId="0" fontId="8" fillId="31" borderId="91" xfId="0" applyFont="1" applyFill="1" applyBorder="1"/>
    <xf numFmtId="43" fontId="0" fillId="31" borderId="91" xfId="0" applyNumberFormat="1" applyFill="1" applyBorder="1"/>
    <xf numFmtId="43" fontId="20" fillId="31" borderId="0" xfId="0" applyNumberFormat="1" applyFont="1" applyFill="1" applyAlignment="1">
      <alignment horizontal="left"/>
    </xf>
    <xf numFmtId="0" fontId="0" fillId="9" borderId="91" xfId="0" applyFill="1" applyBorder="1"/>
    <xf numFmtId="43" fontId="0" fillId="9" borderId="91" xfId="0" applyNumberFormat="1" applyFill="1" applyBorder="1"/>
    <xf numFmtId="43" fontId="0" fillId="9" borderId="106" xfId="0" applyNumberFormat="1" applyFill="1" applyBorder="1"/>
    <xf numFmtId="43" fontId="0" fillId="9" borderId="102" xfId="0" applyNumberFormat="1" applyFill="1" applyBorder="1"/>
    <xf numFmtId="43" fontId="20" fillId="9" borderId="126" xfId="0" applyNumberFormat="1" applyFont="1" applyFill="1" applyBorder="1"/>
    <xf numFmtId="0" fontId="20" fillId="9" borderId="91" xfId="0" applyFont="1" applyFill="1" applyBorder="1" applyAlignment="1">
      <alignment horizontal="center"/>
    </xf>
    <xf numFmtId="0" fontId="26" fillId="9" borderId="91" xfId="0" applyFont="1" applyFill="1" applyBorder="1"/>
    <xf numFmtId="0" fontId="20" fillId="9" borderId="91" xfId="0" applyFont="1" applyFill="1" applyBorder="1"/>
    <xf numFmtId="43" fontId="20" fillId="9" borderId="106" xfId="0" applyNumberFormat="1" applyFont="1" applyFill="1" applyBorder="1"/>
    <xf numFmtId="0" fontId="26" fillId="9" borderId="91" xfId="0" applyFont="1" applyFill="1" applyBorder="1" applyAlignment="1">
      <alignment horizontal="center"/>
    </xf>
    <xf numFmtId="0" fontId="25" fillId="9" borderId="91" xfId="0" applyFont="1" applyFill="1" applyBorder="1"/>
    <xf numFmtId="0" fontId="0" fillId="33" borderId="310" xfId="0" applyFill="1" applyBorder="1"/>
    <xf numFmtId="0" fontId="0" fillId="33" borderId="311" xfId="0" applyFill="1" applyBorder="1"/>
    <xf numFmtId="0" fontId="0" fillId="33" borderId="304" xfId="0" applyFill="1" applyBorder="1"/>
    <xf numFmtId="0" fontId="0" fillId="33" borderId="305" xfId="0" applyFill="1" applyBorder="1"/>
    <xf numFmtId="0" fontId="0" fillId="33" borderId="323" xfId="0" applyFill="1" applyBorder="1"/>
    <xf numFmtId="0" fontId="0" fillId="33" borderId="324" xfId="0" applyFill="1" applyBorder="1"/>
    <xf numFmtId="0" fontId="90" fillId="7" borderId="0" xfId="0" applyFont="1" applyFill="1" applyAlignment="1">
      <alignment horizontal="center"/>
    </xf>
    <xf numFmtId="0" fontId="0" fillId="0" borderId="326" xfId="0" applyBorder="1"/>
    <xf numFmtId="44" fontId="0" fillId="7" borderId="0" xfId="1" applyFont="1" applyFill="1"/>
    <xf numFmtId="44" fontId="2" fillId="15" borderId="56" xfId="1" applyFont="1" applyFill="1" applyBorder="1"/>
    <xf numFmtId="44" fontId="2" fillId="15" borderId="84" xfId="1" applyFont="1" applyFill="1" applyBorder="1"/>
    <xf numFmtId="44" fontId="3" fillId="7" borderId="0" xfId="1" applyFont="1" applyFill="1" applyAlignment="1">
      <alignment horizontal="center"/>
    </xf>
    <xf numFmtId="49" fontId="0" fillId="13" borderId="0" xfId="0" applyNumberFormat="1" applyFill="1"/>
    <xf numFmtId="43" fontId="0" fillId="7" borderId="131" xfId="0" applyNumberFormat="1" applyFill="1" applyBorder="1"/>
    <xf numFmtId="44" fontId="36" fillId="7" borderId="0" xfId="0" applyNumberFormat="1" applyFont="1" applyFill="1" applyAlignment="1">
      <alignment horizontal="right" vertical="center" wrapText="1"/>
    </xf>
    <xf numFmtId="14" fontId="36" fillId="7" borderId="0" xfId="0" applyNumberFormat="1" applyFont="1" applyFill="1" applyAlignment="1">
      <alignment vertical="center" wrapText="1"/>
    </xf>
    <xf numFmtId="14" fontId="36" fillId="7" borderId="0" xfId="0" quotePrefix="1" applyNumberFormat="1" applyFont="1" applyFill="1" applyAlignment="1">
      <alignment horizontal="right" vertical="center" wrapText="1"/>
    </xf>
    <xf numFmtId="0" fontId="59" fillId="7" borderId="0" xfId="0" applyFont="1" applyFill="1" applyAlignment="1">
      <alignment horizontal="right" vertical="top" wrapText="1"/>
    </xf>
    <xf numFmtId="0" fontId="36" fillId="7" borderId="0" xfId="0" applyFont="1" applyFill="1" applyAlignment="1">
      <alignment horizontal="center" vertical="center" wrapText="1"/>
    </xf>
    <xf numFmtId="0" fontId="36" fillId="7" borderId="0" xfId="0" applyFont="1" applyFill="1" applyAlignment="1">
      <alignment vertical="center"/>
    </xf>
    <xf numFmtId="0" fontId="36" fillId="7" borderId="211" xfId="0" applyFont="1" applyFill="1" applyBorder="1" applyAlignment="1">
      <alignment horizontal="right" vertical="center" wrapText="1"/>
    </xf>
    <xf numFmtId="0" fontId="36" fillId="7" borderId="327" xfId="0" applyFont="1" applyFill="1" applyBorder="1" applyAlignment="1">
      <alignment horizontal="right" vertical="center" wrapText="1"/>
    </xf>
    <xf numFmtId="172" fontId="36" fillId="7" borderId="207" xfId="2" applyNumberFormat="1" applyFont="1" applyFill="1" applyBorder="1" applyAlignment="1">
      <alignment horizontal="right" vertical="center" wrapText="1"/>
    </xf>
    <xf numFmtId="172" fontId="36" fillId="7" borderId="208" xfId="2" applyNumberFormat="1" applyFont="1" applyFill="1" applyBorder="1" applyAlignment="1">
      <alignment horizontal="right" vertical="center" wrapText="1"/>
    </xf>
    <xf numFmtId="172" fontId="36" fillId="7" borderId="209" xfId="2" applyNumberFormat="1" applyFont="1" applyFill="1" applyBorder="1" applyAlignment="1">
      <alignment horizontal="right" vertical="center" wrapText="1"/>
    </xf>
    <xf numFmtId="8" fontId="36" fillId="7" borderId="211" xfId="1" applyNumberFormat="1" applyFont="1" applyFill="1" applyBorder="1" applyAlignment="1">
      <alignment horizontal="right" vertical="center" wrapText="1"/>
    </xf>
    <xf numFmtId="44" fontId="35" fillId="7" borderId="0" xfId="0" applyNumberFormat="1" applyFont="1" applyFill="1"/>
    <xf numFmtId="8" fontId="36" fillId="7" borderId="0" xfId="0" applyNumberFormat="1" applyFont="1" applyFill="1"/>
    <xf numFmtId="0" fontId="93" fillId="7" borderId="0" xfId="0" applyFont="1" applyFill="1"/>
    <xf numFmtId="0" fontId="35" fillId="7" borderId="0" xfId="0" applyFont="1" applyFill="1" applyAlignment="1">
      <alignment vertical="center"/>
    </xf>
    <xf numFmtId="8" fontId="36" fillId="7" borderId="0" xfId="0" applyNumberFormat="1" applyFont="1" applyFill="1" applyAlignment="1">
      <alignment horizontal="left"/>
    </xf>
    <xf numFmtId="0" fontId="28" fillId="7" borderId="0" xfId="0" applyFont="1" applyFill="1" applyAlignment="1">
      <alignment vertical="center"/>
    </xf>
    <xf numFmtId="0" fontId="36" fillId="7" borderId="60" xfId="0" applyFont="1" applyFill="1" applyBorder="1"/>
    <xf numFmtId="0" fontId="4" fillId="35" borderId="88" xfId="0" applyFont="1" applyFill="1" applyBorder="1" applyAlignment="1">
      <alignment horizontal="center"/>
    </xf>
    <xf numFmtId="0" fontId="36" fillId="7" borderId="207" xfId="0" applyFont="1" applyFill="1" applyBorder="1" applyAlignment="1">
      <alignment horizontal="left" vertical="center"/>
    </xf>
    <xf numFmtId="0" fontId="36" fillId="7" borderId="208" xfId="0" applyFont="1" applyFill="1" applyBorder="1" applyAlignment="1">
      <alignment horizontal="left" vertical="center"/>
    </xf>
    <xf numFmtId="0" fontId="36" fillId="7" borderId="209" xfId="0" applyFont="1" applyFill="1" applyBorder="1" applyAlignment="1">
      <alignment horizontal="left" vertical="center"/>
    </xf>
    <xf numFmtId="8" fontId="36" fillId="29" borderId="211" xfId="0" applyNumberFormat="1" applyFont="1" applyFill="1" applyBorder="1" applyAlignment="1">
      <alignment horizontal="right" vertical="center" wrapText="1"/>
    </xf>
    <xf numFmtId="0" fontId="28" fillId="0" borderId="0" xfId="0" applyFont="1"/>
    <xf numFmtId="0" fontId="35" fillId="0" borderId="0" xfId="0" applyFont="1"/>
    <xf numFmtId="44" fontId="35" fillId="0" borderId="0" xfId="0" applyNumberFormat="1" applyFont="1"/>
    <xf numFmtId="0" fontId="35" fillId="0" borderId="0" xfId="0" applyFont="1" applyAlignment="1">
      <alignment vertical="center"/>
    </xf>
    <xf numFmtId="0" fontId="36" fillId="0" borderId="0" xfId="0" applyFont="1"/>
    <xf numFmtId="0" fontId="64" fillId="0" borderId="0" xfId="0" applyFont="1"/>
    <xf numFmtId="8" fontId="35" fillId="0" borderId="0" xfId="0" applyNumberFormat="1" applyFont="1"/>
    <xf numFmtId="0" fontId="42" fillId="15" borderId="171" xfId="0" applyFont="1" applyFill="1" applyBorder="1" applyAlignment="1">
      <alignment horizontal="left"/>
    </xf>
    <xf numFmtId="0" fontId="9" fillId="7" borderId="172" xfId="0" applyFont="1" applyFill="1" applyBorder="1" applyAlignment="1">
      <alignment horizontal="center"/>
    </xf>
    <xf numFmtId="0" fontId="9" fillId="7" borderId="173" xfId="0" applyFont="1" applyFill="1" applyBorder="1" applyAlignment="1">
      <alignment horizontal="center"/>
    </xf>
    <xf numFmtId="0" fontId="0" fillId="29" borderId="138" xfId="0" applyFill="1" applyBorder="1" applyAlignment="1">
      <alignment horizontal="center"/>
    </xf>
    <xf numFmtId="0" fontId="3" fillId="15" borderId="0" xfId="0" applyFont="1" applyFill="1"/>
    <xf numFmtId="0" fontId="35" fillId="0" borderId="265" xfId="0" applyFont="1" applyBorder="1"/>
    <xf numFmtId="0" fontId="2" fillId="0" borderId="328" xfId="0" applyFont="1" applyBorder="1"/>
    <xf numFmtId="0" fontId="0" fillId="0" borderId="265" xfId="0" applyBorder="1"/>
    <xf numFmtId="0" fontId="0" fillId="0" borderId="328" xfId="0" applyBorder="1"/>
    <xf numFmtId="0" fontId="59" fillId="31" borderId="106" xfId="0" applyFont="1" applyFill="1" applyBorder="1"/>
    <xf numFmtId="10" fontId="49" fillId="7" borderId="207" xfId="0" applyNumberFormat="1" applyFont="1" applyFill="1" applyBorder="1" applyAlignment="1">
      <alignment horizontal="right" vertical="center" wrapText="1"/>
    </xf>
    <xf numFmtId="172" fontId="49" fillId="7" borderId="208" xfId="2" applyNumberFormat="1" applyFont="1" applyFill="1" applyBorder="1" applyAlignment="1">
      <alignment horizontal="left" vertical="center"/>
    </xf>
    <xf numFmtId="172" fontId="49" fillId="7" borderId="209" xfId="2" applyNumberFormat="1" applyFont="1" applyFill="1" applyBorder="1" applyAlignment="1">
      <alignment horizontal="left" vertical="center"/>
    </xf>
    <xf numFmtId="14" fontId="49" fillId="7" borderId="207" xfId="0" applyNumberFormat="1" applyFont="1" applyFill="1" applyBorder="1" applyAlignment="1">
      <alignment horizontal="right" vertical="center" wrapText="1"/>
    </xf>
    <xf numFmtId="0" fontId="49" fillId="7" borderId="208" xfId="0" applyFont="1" applyFill="1" applyBorder="1" applyAlignment="1">
      <alignment horizontal="right" vertical="center" wrapText="1"/>
    </xf>
    <xf numFmtId="0" fontId="49" fillId="7" borderId="209" xfId="0" applyFont="1" applyFill="1" applyBorder="1" applyAlignment="1">
      <alignment horizontal="right" vertical="center" wrapText="1"/>
    </xf>
    <xf numFmtId="0" fontId="50" fillId="7" borderId="208" xfId="0" applyFont="1" applyFill="1" applyBorder="1" applyAlignment="1">
      <alignment horizontal="center" vertical="center" wrapText="1"/>
    </xf>
    <xf numFmtId="14" fontId="49" fillId="7" borderId="209" xfId="0" applyNumberFormat="1" applyFont="1" applyFill="1" applyBorder="1" applyAlignment="1">
      <alignment horizontal="center" vertical="center" wrapText="1"/>
    </xf>
    <xf numFmtId="0" fontId="28" fillId="10" borderId="88" xfId="0" applyFont="1" applyFill="1" applyBorder="1" applyAlignment="1">
      <alignment horizontal="center"/>
    </xf>
    <xf numFmtId="0" fontId="51" fillId="0" borderId="53" xfId="0" applyFont="1" applyBorder="1"/>
    <xf numFmtId="0" fontId="51" fillId="0" borderId="54" xfId="0" applyFont="1" applyBorder="1"/>
    <xf numFmtId="0" fontId="51" fillId="0" borderId="58" xfId="0" applyFont="1" applyBorder="1" applyAlignment="1">
      <alignment horizontal="center" wrapText="1"/>
    </xf>
    <xf numFmtId="0" fontId="95" fillId="7" borderId="0" xfId="0" applyFont="1" applyFill="1" applyAlignment="1">
      <alignment horizontal="centerContinuous"/>
    </xf>
    <xf numFmtId="0" fontId="3" fillId="7" borderId="0" xfId="0" applyFont="1" applyFill="1" applyAlignment="1">
      <alignment horizontal="centerContinuous"/>
    </xf>
    <xf numFmtId="0" fontId="2" fillId="7" borderId="21" xfId="0" applyFont="1" applyFill="1" applyBorder="1"/>
    <xf numFmtId="0" fontId="30" fillId="7" borderId="20" xfId="0" applyFont="1" applyFill="1" applyBorder="1"/>
    <xf numFmtId="43" fontId="3" fillId="7" borderId="0" xfId="0" applyNumberFormat="1" applyFont="1" applyFill="1" applyAlignment="1">
      <alignment horizontal="center"/>
    </xf>
    <xf numFmtId="0" fontId="0" fillId="7" borderId="2" xfId="0" applyFill="1" applyBorder="1" applyAlignment="1">
      <alignment horizontal="centerContinuous"/>
    </xf>
    <xf numFmtId="0" fontId="94" fillId="7" borderId="149" xfId="0" applyFont="1" applyFill="1" applyBorder="1"/>
    <xf numFmtId="0" fontId="94" fillId="7" borderId="62" xfId="0" applyFont="1" applyFill="1" applyBorder="1" applyAlignment="1">
      <alignment horizontal="center" wrapText="1"/>
    </xf>
    <xf numFmtId="0" fontId="94" fillId="7" borderId="62" xfId="0" applyFont="1" applyFill="1" applyBorder="1" applyAlignment="1">
      <alignment horizontal="center"/>
    </xf>
    <xf numFmtId="0" fontId="94" fillId="7" borderId="314" xfId="0" applyFont="1" applyFill="1" applyBorder="1" applyAlignment="1">
      <alignment horizontal="center"/>
    </xf>
    <xf numFmtId="44" fontId="96" fillId="7" borderId="0" xfId="1" applyFont="1" applyFill="1" applyAlignment="1">
      <alignment horizontal="center"/>
    </xf>
    <xf numFmtId="44" fontId="2" fillId="7" borderId="56" xfId="1" applyFont="1" applyFill="1" applyBorder="1"/>
    <xf numFmtId="14" fontId="30" fillId="15" borderId="0" xfId="0" applyNumberFormat="1" applyFont="1" applyFill="1" applyAlignment="1">
      <alignment horizontal="right" indent="1"/>
    </xf>
    <xf numFmtId="164" fontId="30" fillId="7" borderId="0" xfId="0" applyNumberFormat="1" applyFont="1" applyFill="1" applyAlignment="1">
      <alignment horizontal="center"/>
    </xf>
    <xf numFmtId="167" fontId="0" fillId="15" borderId="0" xfId="2" applyNumberFormat="1" applyFont="1" applyFill="1"/>
    <xf numFmtId="164" fontId="0" fillId="15" borderId="0" xfId="0" applyNumberFormat="1" applyFill="1"/>
    <xf numFmtId="0" fontId="13" fillId="32" borderId="265" xfId="0" applyFont="1" applyFill="1" applyBorder="1"/>
    <xf numFmtId="0" fontId="26" fillId="7" borderId="81" xfId="0" applyFont="1" applyFill="1" applyBorder="1"/>
    <xf numFmtId="0" fontId="26" fillId="7" borderId="329" xfId="0" applyFont="1" applyFill="1" applyBorder="1"/>
    <xf numFmtId="43" fontId="26" fillId="7" borderId="330" xfId="0" applyNumberFormat="1" applyFont="1" applyFill="1" applyBorder="1"/>
    <xf numFmtId="0" fontId="0" fillId="0" borderId="56" xfId="0" applyBorder="1"/>
    <xf numFmtId="0" fontId="30" fillId="15" borderId="20" xfId="0" applyFont="1" applyFill="1" applyBorder="1"/>
    <xf numFmtId="8" fontId="30" fillId="15" borderId="0" xfId="0" applyNumberFormat="1" applyFont="1" applyFill="1"/>
    <xf numFmtId="8" fontId="30" fillId="15" borderId="21" xfId="0" applyNumberFormat="1" applyFont="1" applyFill="1" applyBorder="1"/>
    <xf numFmtId="0" fontId="0" fillId="15" borderId="155" xfId="0" applyFill="1" applyBorder="1"/>
    <xf numFmtId="0" fontId="0" fillId="15" borderId="333" xfId="0" applyFill="1" applyBorder="1" applyAlignment="1">
      <alignment wrapText="1"/>
    </xf>
    <xf numFmtId="0" fontId="0" fillId="15" borderId="334" xfId="0" applyFill="1" applyBorder="1" applyAlignment="1">
      <alignment wrapText="1"/>
    </xf>
    <xf numFmtId="0" fontId="0" fillId="13" borderId="336" xfId="0" applyFill="1" applyBorder="1"/>
    <xf numFmtId="0" fontId="0" fillId="13" borderId="337" xfId="0" applyFill="1" applyBorder="1"/>
    <xf numFmtId="0" fontId="0" fillId="13" borderId="339" xfId="0" applyFill="1" applyBorder="1"/>
    <xf numFmtId="0" fontId="0" fillId="13" borderId="340" xfId="0" applyFill="1" applyBorder="1"/>
    <xf numFmtId="0" fontId="0" fillId="13" borderId="342" xfId="0" applyFill="1" applyBorder="1"/>
    <xf numFmtId="0" fontId="0" fillId="13" borderId="343" xfId="0" applyFill="1" applyBorder="1"/>
    <xf numFmtId="0" fontId="0" fillId="0" borderId="268" xfId="0" applyBorder="1" applyAlignment="1">
      <alignment horizontal="center"/>
    </xf>
    <xf numFmtId="0" fontId="2" fillId="0" borderId="269" xfId="0" applyFont="1" applyBorder="1"/>
    <xf numFmtId="0" fontId="56" fillId="15" borderId="344" xfId="0" applyFont="1" applyFill="1" applyBorder="1" applyAlignment="1">
      <alignment horizontal="center" wrapText="1"/>
    </xf>
    <xf numFmtId="0" fontId="8" fillId="32" borderId="285" xfId="0" applyFont="1" applyFill="1" applyBorder="1" applyAlignment="1">
      <alignment horizontal="center"/>
    </xf>
    <xf numFmtId="0" fontId="0" fillId="32" borderId="286" xfId="0" applyFill="1" applyBorder="1"/>
    <xf numFmtId="8" fontId="0" fillId="32" borderId="287" xfId="0" applyNumberFormat="1" applyFill="1" applyBorder="1"/>
    <xf numFmtId="8" fontId="2" fillId="32" borderId="288" xfId="0" applyNumberFormat="1" applyFont="1" applyFill="1" applyBorder="1" applyAlignment="1">
      <alignment horizontal="right"/>
    </xf>
    <xf numFmtId="171" fontId="2" fillId="8" borderId="139" xfId="0" applyNumberFormat="1" applyFont="1" applyFill="1" applyBorder="1"/>
    <xf numFmtId="171" fontId="2" fillId="8" borderId="218" xfId="0" applyNumberFormat="1" applyFont="1" applyFill="1" applyBorder="1"/>
    <xf numFmtId="171" fontId="2" fillId="8" borderId="140" xfId="0" applyNumberFormat="1" applyFont="1" applyFill="1" applyBorder="1"/>
    <xf numFmtId="171" fontId="2" fillId="31" borderId="139" xfId="0" applyNumberFormat="1" applyFont="1" applyFill="1" applyBorder="1"/>
    <xf numFmtId="171" fontId="2" fillId="31" borderId="218" xfId="0" applyNumberFormat="1" applyFont="1" applyFill="1" applyBorder="1"/>
    <xf numFmtId="171" fontId="2" fillId="31" borderId="84" xfId="0" applyNumberFormat="1" applyFont="1" applyFill="1" applyBorder="1"/>
    <xf numFmtId="171" fontId="2" fillId="31" borderId="140" xfId="0" applyNumberFormat="1" applyFont="1" applyFill="1" applyBorder="1"/>
    <xf numFmtId="0" fontId="0" fillId="7" borderId="0" xfId="0" applyFill="1" applyAlignment="1">
      <alignment wrapText="1"/>
    </xf>
    <xf numFmtId="0" fontId="25" fillId="7" borderId="1" xfId="0" applyFont="1" applyFill="1" applyBorder="1"/>
    <xf numFmtId="14" fontId="0" fillId="7" borderId="62" xfId="0" applyNumberFormat="1" applyFill="1" applyBorder="1" applyAlignment="1">
      <alignment horizontal="left"/>
    </xf>
    <xf numFmtId="1" fontId="0" fillId="7" borderId="122" xfId="0" applyNumberFormat="1" applyFill="1" applyBorder="1" applyAlignment="1">
      <alignment horizontal="center"/>
    </xf>
    <xf numFmtId="0" fontId="0" fillId="13" borderId="299" xfId="0" applyFill="1" applyBorder="1"/>
    <xf numFmtId="0" fontId="2" fillId="0" borderId="348" xfId="0" applyFont="1" applyBorder="1" applyAlignment="1">
      <alignment horizontal="center" wrapText="1"/>
    </xf>
    <xf numFmtId="0" fontId="2" fillId="7" borderId="349" xfId="0" applyFont="1" applyFill="1" applyBorder="1" applyAlignment="1">
      <alignment horizontal="center" wrapText="1"/>
    </xf>
    <xf numFmtId="0" fontId="2" fillId="7" borderId="350" xfId="0" applyFont="1" applyFill="1" applyBorder="1" applyAlignment="1">
      <alignment horizontal="center" wrapText="1"/>
    </xf>
    <xf numFmtId="0" fontId="33" fillId="13" borderId="106" xfId="0" applyFont="1" applyFill="1" applyBorder="1" applyAlignment="1">
      <alignment horizontal="center"/>
    </xf>
    <xf numFmtId="0" fontId="0" fillId="7" borderId="0" xfId="0" applyFill="1" applyAlignment="1">
      <alignment horizontal="left" wrapText="1"/>
    </xf>
    <xf numFmtId="0" fontId="28" fillId="15" borderId="0" xfId="0" applyFont="1" applyFill="1" applyAlignment="1">
      <alignment vertical="center"/>
    </xf>
    <xf numFmtId="0" fontId="28" fillId="15" borderId="0" xfId="0" applyFont="1" applyFill="1" applyAlignment="1">
      <alignment horizontal="left" vertical="center"/>
    </xf>
    <xf numFmtId="8" fontId="35" fillId="15" borderId="0" xfId="0" applyNumberFormat="1" applyFont="1" applyFill="1" applyAlignment="1">
      <alignment horizontal="left" vertical="center"/>
    </xf>
    <xf numFmtId="0" fontId="35" fillId="15" borderId="0" xfId="0" applyFont="1" applyFill="1"/>
    <xf numFmtId="0" fontId="2" fillId="20" borderId="62" xfId="0" applyFont="1" applyFill="1" applyBorder="1" applyAlignment="1">
      <alignment horizontal="center" wrapText="1"/>
    </xf>
    <xf numFmtId="0" fontId="2" fillId="7" borderId="352" xfId="0" applyFont="1" applyFill="1" applyBorder="1" applyAlignment="1">
      <alignment wrapText="1"/>
    </xf>
    <xf numFmtId="0" fontId="44" fillId="13" borderId="0" xfId="0" applyFont="1" applyFill="1"/>
    <xf numFmtId="171" fontId="2" fillId="20" borderId="139" xfId="0" applyNumberFormat="1" applyFont="1" applyFill="1" applyBorder="1"/>
    <xf numFmtId="171" fontId="2" fillId="20" borderId="84" xfId="0" applyNumberFormat="1" applyFont="1" applyFill="1" applyBorder="1"/>
    <xf numFmtId="171" fontId="2" fillId="20" borderId="140" xfId="0" applyNumberFormat="1" applyFont="1" applyFill="1" applyBorder="1"/>
    <xf numFmtId="0" fontId="0" fillId="0" borderId="3" xfId="0" applyBorder="1" applyAlignment="1">
      <alignment horizontal="center" wrapText="1"/>
    </xf>
    <xf numFmtId="0" fontId="0" fillId="0" borderId="21" xfId="0" applyBorder="1" applyAlignment="1">
      <alignment horizontal="center" wrapText="1"/>
    </xf>
    <xf numFmtId="0" fontId="0" fillId="7" borderId="271" xfId="0" applyFill="1" applyBorder="1" applyAlignment="1">
      <alignment horizontal="center"/>
    </xf>
    <xf numFmtId="0" fontId="0" fillId="7" borderId="274" xfId="0" applyFill="1" applyBorder="1" applyAlignment="1">
      <alignment horizontal="center"/>
    </xf>
    <xf numFmtId="0" fontId="0" fillId="15" borderId="0" xfId="0" applyFill="1" applyAlignment="1">
      <alignment horizontal="right"/>
    </xf>
    <xf numFmtId="0" fontId="2" fillId="15" borderId="0" xfId="0" applyFont="1" applyFill="1"/>
    <xf numFmtId="169" fontId="0" fillId="13" borderId="91" xfId="0" applyNumberFormat="1" applyFill="1" applyBorder="1"/>
    <xf numFmtId="0" fontId="0" fillId="13" borderId="0" xfId="0" applyFill="1" applyAlignment="1">
      <alignment horizontal="center" vertical="center" wrapText="1"/>
    </xf>
    <xf numFmtId="0" fontId="20" fillId="15" borderId="169" xfId="0" applyFont="1" applyFill="1" applyBorder="1" applyAlignment="1">
      <alignment horizontal="center"/>
    </xf>
    <xf numFmtId="0" fontId="0" fillId="31" borderId="257" xfId="0" applyFill="1" applyBorder="1" applyAlignment="1">
      <alignment horizontal="center"/>
    </xf>
    <xf numFmtId="0" fontId="0" fillId="7" borderId="91" xfId="0" applyFill="1" applyBorder="1" applyAlignment="1">
      <alignment horizontal="center"/>
    </xf>
    <xf numFmtId="0" fontId="2" fillId="7" borderId="351" xfId="0" applyFont="1" applyFill="1" applyBorder="1" applyAlignment="1">
      <alignment horizontal="center" wrapText="1"/>
    </xf>
    <xf numFmtId="0" fontId="2" fillId="7" borderId="347" xfId="0" applyFont="1" applyFill="1" applyBorder="1" applyAlignment="1">
      <alignment horizontal="center" wrapText="1"/>
    </xf>
    <xf numFmtId="0" fontId="0" fillId="7" borderId="106" xfId="0" applyFill="1" applyBorder="1" applyAlignment="1">
      <alignment horizontal="center"/>
    </xf>
    <xf numFmtId="0" fontId="0" fillId="7" borderId="107" xfId="0" applyFill="1" applyBorder="1" applyAlignment="1">
      <alignment horizontal="center"/>
    </xf>
    <xf numFmtId="1" fontId="0" fillId="7" borderId="106" xfId="0" applyNumberFormat="1" applyFill="1" applyBorder="1" applyAlignment="1">
      <alignment horizontal="center"/>
    </xf>
    <xf numFmtId="0" fontId="0" fillId="31" borderId="0" xfId="0" applyFill="1" applyAlignment="1">
      <alignment horizontal="center"/>
    </xf>
    <xf numFmtId="0" fontId="0" fillId="13" borderId="0" xfId="0" applyFill="1" applyAlignment="1">
      <alignment horizontal="center" wrapText="1"/>
    </xf>
    <xf numFmtId="0" fontId="2" fillId="13" borderId="0" xfId="0" applyFont="1" applyFill="1" applyAlignment="1">
      <alignment horizontal="center" wrapText="1"/>
    </xf>
    <xf numFmtId="167" fontId="0" fillId="0" borderId="90" xfId="2" applyNumberFormat="1" applyFont="1" applyBorder="1" applyAlignment="1">
      <alignment horizontal="center"/>
    </xf>
    <xf numFmtId="43" fontId="2" fillId="0" borderId="93" xfId="0" applyNumberFormat="1" applyFont="1" applyBorder="1" applyAlignment="1">
      <alignment horizontal="center"/>
    </xf>
    <xf numFmtId="167" fontId="2" fillId="0" borderId="93" xfId="2" applyNumberFormat="1" applyFont="1" applyBorder="1" applyAlignment="1">
      <alignment horizontal="center"/>
    </xf>
    <xf numFmtId="167" fontId="2" fillId="0" borderId="0" xfId="2" applyNumberFormat="1" applyFont="1" applyAlignment="1">
      <alignment horizontal="center"/>
    </xf>
    <xf numFmtId="168" fontId="2" fillId="0" borderId="0" xfId="2" applyNumberFormat="1" applyFont="1" applyAlignment="1">
      <alignment horizontal="center"/>
    </xf>
    <xf numFmtId="0" fontId="0" fillId="7" borderId="200" xfId="0" applyFill="1" applyBorder="1" applyAlignment="1">
      <alignment horizontal="center"/>
    </xf>
    <xf numFmtId="0" fontId="0" fillId="7" borderId="193" xfId="0" applyFill="1" applyBorder="1" applyAlignment="1">
      <alignment horizontal="center"/>
    </xf>
    <xf numFmtId="0" fontId="0" fillId="31" borderId="91" xfId="0" applyFill="1" applyBorder="1" applyAlignment="1">
      <alignment horizontal="center"/>
    </xf>
    <xf numFmtId="0" fontId="26" fillId="7" borderId="0" xfId="0" applyFont="1" applyFill="1" applyAlignment="1">
      <alignment horizontal="center"/>
    </xf>
    <xf numFmtId="0" fontId="8" fillId="31" borderId="91" xfId="0" applyFont="1" applyFill="1" applyBorder="1" applyAlignment="1">
      <alignment horizontal="center"/>
    </xf>
    <xf numFmtId="43" fontId="0" fillId="7" borderId="115" xfId="0" applyNumberFormat="1" applyFill="1" applyBorder="1" applyAlignment="1">
      <alignment horizontal="center"/>
    </xf>
    <xf numFmtId="0" fontId="57" fillId="20" borderId="0" xfId="0" applyFont="1" applyFill="1" applyAlignment="1">
      <alignment horizontal="center"/>
    </xf>
    <xf numFmtId="43" fontId="2" fillId="7" borderId="106" xfId="0" applyNumberFormat="1" applyFont="1" applyFill="1" applyBorder="1" applyAlignment="1">
      <alignment horizontal="center"/>
    </xf>
    <xf numFmtId="0" fontId="2" fillId="7" borderId="117" xfId="0" applyFont="1" applyFill="1" applyBorder="1" applyAlignment="1">
      <alignment horizontal="center"/>
    </xf>
    <xf numFmtId="43" fontId="2" fillId="7" borderId="54" xfId="0" applyNumberFormat="1" applyFont="1" applyFill="1" applyBorder="1" applyAlignment="1">
      <alignment horizontal="center"/>
    </xf>
    <xf numFmtId="43" fontId="2" fillId="13" borderId="0" xfId="0" applyNumberFormat="1" applyFont="1" applyFill="1" applyAlignment="1">
      <alignment horizontal="center"/>
    </xf>
    <xf numFmtId="0" fontId="2" fillId="13" borderId="0" xfId="0" applyFont="1" applyFill="1" applyAlignment="1">
      <alignment horizontal="center"/>
    </xf>
    <xf numFmtId="0" fontId="61" fillId="31" borderId="0" xfId="0" applyFont="1" applyFill="1" applyAlignment="1">
      <alignment horizontal="center"/>
    </xf>
    <xf numFmtId="0" fontId="2" fillId="7" borderId="129" xfId="0" applyFont="1" applyFill="1" applyBorder="1" applyAlignment="1">
      <alignment horizontal="center"/>
    </xf>
    <xf numFmtId="0" fontId="0" fillId="13" borderId="80" xfId="0" applyFill="1" applyBorder="1" applyAlignment="1">
      <alignment horizontal="center"/>
    </xf>
    <xf numFmtId="0" fontId="58" fillId="20" borderId="0" xfId="0" applyFont="1" applyFill="1" applyAlignment="1">
      <alignment horizontal="center"/>
    </xf>
    <xf numFmtId="0" fontId="0" fillId="13" borderId="106" xfId="0" applyFill="1" applyBorder="1" applyAlignment="1">
      <alignment horizontal="center"/>
    </xf>
    <xf numFmtId="0" fontId="0" fillId="15" borderId="91" xfId="0" applyFill="1" applyBorder="1" applyAlignment="1">
      <alignment horizontal="center"/>
    </xf>
    <xf numFmtId="0" fontId="0" fillId="9" borderId="91" xfId="0" applyFill="1" applyBorder="1" applyAlignment="1">
      <alignment horizontal="center"/>
    </xf>
    <xf numFmtId="0" fontId="20" fillId="0" borderId="91" xfId="0" applyFont="1" applyBorder="1" applyAlignment="1">
      <alignment horizontal="center"/>
    </xf>
    <xf numFmtId="0" fontId="0" fillId="7" borderId="102" xfId="0" applyFill="1" applyBorder="1" applyAlignment="1">
      <alignment horizontal="center"/>
    </xf>
    <xf numFmtId="0" fontId="0" fillId="13" borderId="107" xfId="0" applyFill="1" applyBorder="1" applyAlignment="1">
      <alignment horizontal="center"/>
    </xf>
    <xf numFmtId="0" fontId="20" fillId="7" borderId="112" xfId="0" applyFont="1" applyFill="1" applyBorder="1" applyAlignment="1">
      <alignment horizontal="center"/>
    </xf>
    <xf numFmtId="43" fontId="20" fillId="7" borderId="112" xfId="0" applyNumberFormat="1" applyFont="1" applyFill="1" applyBorder="1" applyAlignment="1">
      <alignment horizontal="center"/>
    </xf>
    <xf numFmtId="43" fontId="20" fillId="7" borderId="132" xfId="0" applyNumberFormat="1" applyFont="1" applyFill="1" applyBorder="1" applyAlignment="1">
      <alignment horizontal="center"/>
    </xf>
    <xf numFmtId="43" fontId="20" fillId="7" borderId="118" xfId="0" applyNumberFormat="1" applyFont="1" applyFill="1" applyBorder="1" applyAlignment="1">
      <alignment horizontal="center"/>
    </xf>
    <xf numFmtId="43" fontId="26" fillId="7" borderId="332" xfId="0" applyNumberFormat="1" applyFont="1" applyFill="1" applyBorder="1" applyAlignment="1">
      <alignment horizontal="center"/>
    </xf>
    <xf numFmtId="43" fontId="26" fillId="7" borderId="331" xfId="0" applyNumberFormat="1" applyFont="1" applyFill="1" applyBorder="1" applyAlignment="1">
      <alignment horizontal="center"/>
    </xf>
    <xf numFmtId="43" fontId="0" fillId="7" borderId="135" xfId="0" applyNumberFormat="1" applyFill="1" applyBorder="1" applyAlignment="1">
      <alignment horizontal="center"/>
    </xf>
    <xf numFmtId="0" fontId="53" fillId="7" borderId="0" xfId="0" applyFont="1" applyFill="1" applyAlignment="1">
      <alignment horizontal="center"/>
    </xf>
    <xf numFmtId="0" fontId="23" fillId="7" borderId="0" xfId="0" applyFont="1" applyFill="1" applyAlignment="1">
      <alignment horizontal="center"/>
    </xf>
    <xf numFmtId="0" fontId="2" fillId="20" borderId="62" xfId="0" applyFont="1" applyFill="1" applyBorder="1" applyAlignment="1">
      <alignment horizontal="center"/>
    </xf>
    <xf numFmtId="179" fontId="0" fillId="13" borderId="0" xfId="0" applyNumberFormat="1" applyFill="1"/>
    <xf numFmtId="180" fontId="0" fillId="13" borderId="0" xfId="0" applyNumberFormat="1" applyFill="1"/>
    <xf numFmtId="178" fontId="0" fillId="13" borderId="0" xfId="0" applyNumberFormat="1" applyFill="1"/>
    <xf numFmtId="168" fontId="0" fillId="7" borderId="91" xfId="0" applyNumberFormat="1" applyFill="1" applyBorder="1"/>
    <xf numFmtId="0" fontId="53" fillId="15" borderId="157" xfId="0" applyFont="1" applyFill="1" applyBorder="1"/>
    <xf numFmtId="0" fontId="0" fillId="15" borderId="157" xfId="0" applyFill="1" applyBorder="1"/>
    <xf numFmtId="0" fontId="0" fillId="26" borderId="158" xfId="0" applyFill="1" applyBorder="1"/>
    <xf numFmtId="0" fontId="0" fillId="33" borderId="309" xfId="0" applyFill="1" applyBorder="1" applyAlignment="1">
      <alignment horizontal="left"/>
    </xf>
    <xf numFmtId="0" fontId="5" fillId="8" borderId="3" xfId="0" applyFont="1" applyFill="1" applyBorder="1" applyAlignment="1">
      <alignment horizontal="center"/>
    </xf>
    <xf numFmtId="0" fontId="6" fillId="8" borderId="2" xfId="0" applyFont="1" applyFill="1" applyBorder="1" applyAlignment="1">
      <alignment horizontal="left"/>
    </xf>
    <xf numFmtId="0" fontId="4" fillId="7" borderId="354" xfId="0" applyFont="1" applyFill="1" applyBorder="1" applyAlignment="1">
      <alignment horizontal="center"/>
    </xf>
    <xf numFmtId="0" fontId="6" fillId="7" borderId="126" xfId="0" applyFont="1" applyFill="1" applyBorder="1" applyAlignment="1">
      <alignment horizontal="center"/>
    </xf>
    <xf numFmtId="0" fontId="42" fillId="13" borderId="0" xfId="0" applyFont="1" applyFill="1" applyAlignment="1">
      <alignment horizontal="left"/>
    </xf>
    <xf numFmtId="0" fontId="0" fillId="15" borderId="149" xfId="0" applyFill="1" applyBorder="1"/>
    <xf numFmtId="8" fontId="0" fillId="15" borderId="62" xfId="0" applyNumberFormat="1" applyFill="1" applyBorder="1"/>
    <xf numFmtId="8" fontId="0" fillId="15" borderId="314" xfId="0" applyNumberFormat="1" applyFill="1" applyBorder="1"/>
    <xf numFmtId="8" fontId="2" fillId="7" borderId="56" xfId="0" applyNumberFormat="1" applyFont="1" applyFill="1" applyBorder="1"/>
    <xf numFmtId="8" fontId="2" fillId="7" borderId="57" xfId="0" applyNumberFormat="1" applyFont="1" applyFill="1" applyBorder="1"/>
    <xf numFmtId="0" fontId="42" fillId="0" borderId="0" xfId="0" applyFont="1" applyAlignment="1">
      <alignment horizontal="left" wrapText="1"/>
    </xf>
    <xf numFmtId="49" fontId="0" fillId="0" borderId="0" xfId="0" applyNumberFormat="1"/>
    <xf numFmtId="0" fontId="2" fillId="15" borderId="360" xfId="0" applyFont="1" applyFill="1" applyBorder="1"/>
    <xf numFmtId="8" fontId="2" fillId="15" borderId="359" xfId="0" applyNumberFormat="1" applyFont="1" applyFill="1" applyBorder="1"/>
    <xf numFmtId="8" fontId="2" fillId="15" borderId="361" xfId="0" applyNumberFormat="1" applyFont="1" applyFill="1" applyBorder="1"/>
    <xf numFmtId="8" fontId="2" fillId="15" borderId="362" xfId="0" applyNumberFormat="1" applyFont="1" applyFill="1" applyBorder="1"/>
    <xf numFmtId="0" fontId="0" fillId="7" borderId="3" xfId="0" applyFill="1" applyBorder="1" applyAlignment="1">
      <alignment horizontal="centerContinuous"/>
    </xf>
    <xf numFmtId="0" fontId="3" fillId="7" borderId="126" xfId="0" applyFont="1" applyFill="1" applyBorder="1"/>
    <xf numFmtId="170" fontId="0" fillId="0" borderId="60" xfId="0" applyNumberFormat="1" applyBorder="1"/>
    <xf numFmtId="170" fontId="2" fillId="7" borderId="56" xfId="0" applyNumberFormat="1" applyFont="1" applyFill="1" applyBorder="1"/>
    <xf numFmtId="8" fontId="0" fillId="7" borderId="0" xfId="0" applyNumberFormat="1" applyFill="1"/>
    <xf numFmtId="8" fontId="0" fillId="15" borderId="0" xfId="0" applyNumberFormat="1" applyFill="1"/>
    <xf numFmtId="8" fontId="30" fillId="7" borderId="21" xfId="0" applyNumberFormat="1" applyFont="1" applyFill="1" applyBorder="1"/>
    <xf numFmtId="0" fontId="42" fillId="13" borderId="91" xfId="0" applyFont="1" applyFill="1" applyBorder="1"/>
    <xf numFmtId="0" fontId="0" fillId="13" borderId="91" xfId="0" applyFill="1" applyBorder="1" applyAlignment="1">
      <alignment horizontal="center"/>
    </xf>
    <xf numFmtId="8" fontId="0" fillId="13" borderId="91" xfId="0" applyNumberFormat="1" applyFill="1" applyBorder="1" applyAlignment="1">
      <alignment horizontal="center"/>
    </xf>
    <xf numFmtId="0" fontId="33" fillId="13" borderId="152" xfId="0" applyFont="1" applyFill="1" applyBorder="1"/>
    <xf numFmtId="0" fontId="51" fillId="13" borderId="152" xfId="0" applyFont="1" applyFill="1" applyBorder="1"/>
    <xf numFmtId="0" fontId="0" fillId="13" borderId="152" xfId="0" applyFill="1" applyBorder="1"/>
    <xf numFmtId="10" fontId="0" fillId="15" borderId="0" xfId="2" applyNumberFormat="1" applyFont="1" applyFill="1" applyAlignment="1">
      <alignment horizontal="center"/>
    </xf>
    <xf numFmtId="10" fontId="1" fillId="15" borderId="62" xfId="2" applyNumberFormat="1" applyFill="1" applyBorder="1" applyAlignment="1">
      <alignment horizontal="center"/>
    </xf>
    <xf numFmtId="10" fontId="2" fillId="7" borderId="56" xfId="2" applyNumberFormat="1" applyFont="1" applyFill="1" applyBorder="1" applyAlignment="1">
      <alignment horizontal="center"/>
    </xf>
    <xf numFmtId="10" fontId="0" fillId="15" borderId="0" xfId="2" applyNumberFormat="1" applyFont="1" applyFill="1"/>
    <xf numFmtId="0" fontId="97" fillId="0" borderId="0" xfId="0" applyFont="1" applyAlignment="1">
      <alignment horizontal="left" vertical="center"/>
    </xf>
    <xf numFmtId="167" fontId="49" fillId="15" borderId="207" xfId="2" applyNumberFormat="1" applyFont="1" applyFill="1" applyBorder="1" applyAlignment="1">
      <alignment horizontal="right" vertical="center" wrapText="1"/>
    </xf>
    <xf numFmtId="0" fontId="49" fillId="15" borderId="0" xfId="0" applyFont="1" applyFill="1" applyAlignment="1">
      <alignment horizontal="left"/>
    </xf>
    <xf numFmtId="0" fontId="98" fillId="0" borderId="2" xfId="0" applyFont="1" applyBorder="1"/>
    <xf numFmtId="0" fontId="0" fillId="0" borderId="21" xfId="0" applyBorder="1"/>
    <xf numFmtId="1" fontId="0" fillId="0" borderId="0" xfId="0" applyNumberFormat="1"/>
    <xf numFmtId="173" fontId="0" fillId="0" borderId="0" xfId="2" applyNumberFormat="1" applyFont="1" applyAlignment="1">
      <alignment horizontal="right"/>
    </xf>
    <xf numFmtId="170" fontId="0" fillId="0" borderId="0" xfId="1" applyNumberFormat="1" applyFont="1" applyAlignment="1">
      <alignment horizontal="right"/>
    </xf>
    <xf numFmtId="1" fontId="0" fillId="0" borderId="0" xfId="0" applyNumberFormat="1" applyAlignment="1">
      <alignment horizontal="right"/>
    </xf>
    <xf numFmtId="0" fontId="66" fillId="0" borderId="21" xfId="0" applyFont="1" applyBorder="1" applyAlignment="1">
      <alignment horizontal="center" wrapText="1"/>
    </xf>
    <xf numFmtId="170" fontId="0" fillId="25" borderId="0" xfId="0" applyNumberFormat="1" applyFill="1" applyAlignment="1">
      <alignment horizontal="right"/>
    </xf>
    <xf numFmtId="0" fontId="0" fillId="0" borderId="149" xfId="0" applyBorder="1" applyAlignment="1">
      <alignment horizontal="center"/>
    </xf>
    <xf numFmtId="0" fontId="0" fillId="0" borderId="20" xfId="0" applyBorder="1" applyAlignment="1">
      <alignment horizontal="center"/>
    </xf>
    <xf numFmtId="170" fontId="0" fillId="0" borderId="0" xfId="0" applyNumberFormat="1"/>
    <xf numFmtId="0" fontId="0" fillId="0" borderId="59" xfId="0" applyBorder="1"/>
    <xf numFmtId="0" fontId="0" fillId="0" borderId="61" xfId="0" applyBorder="1"/>
    <xf numFmtId="2" fontId="0" fillId="0" borderId="0" xfId="0" applyNumberFormat="1"/>
    <xf numFmtId="0" fontId="0" fillId="7" borderId="117" xfId="0" applyFill="1" applyBorder="1"/>
    <xf numFmtId="0" fontId="0" fillId="7" borderId="117" xfId="0" applyFill="1" applyBorder="1" applyAlignment="1">
      <alignment horizontal="center"/>
    </xf>
    <xf numFmtId="10" fontId="5" fillId="8" borderId="0" xfId="0" applyNumberFormat="1" applyFont="1" applyFill="1"/>
    <xf numFmtId="169" fontId="0" fillId="0" borderId="0" xfId="2" applyNumberFormat="1" applyFont="1"/>
    <xf numFmtId="169" fontId="2" fillId="0" borderId="0" xfId="0" applyNumberFormat="1" applyFont="1"/>
    <xf numFmtId="0" fontId="0" fillId="0" borderId="0" xfId="0" applyAlignment="1">
      <alignment horizontal="center" wrapText="1"/>
    </xf>
    <xf numFmtId="10" fontId="2" fillId="0" borderId="0" xfId="2" applyNumberFormat="1" applyFont="1"/>
    <xf numFmtId="0" fontId="42" fillId="15" borderId="174" xfId="0" applyFont="1" applyFill="1" applyBorder="1" applyAlignment="1">
      <alignment horizontal="center" wrapText="1"/>
    </xf>
    <xf numFmtId="168" fontId="0" fillId="7" borderId="54" xfId="2" applyNumberFormat="1" applyFont="1" applyFill="1" applyBorder="1"/>
    <xf numFmtId="164" fontId="0" fillId="7" borderId="0" xfId="2" applyNumberFormat="1" applyFont="1" applyFill="1"/>
    <xf numFmtId="43" fontId="0" fillId="0" borderId="363" xfId="0" applyNumberFormat="1" applyBorder="1"/>
    <xf numFmtId="43" fontId="0" fillId="0" borderId="364" xfId="0" applyNumberFormat="1" applyBorder="1"/>
    <xf numFmtId="43" fontId="0" fillId="0" borderId="365" xfId="0" applyNumberFormat="1" applyBorder="1"/>
    <xf numFmtId="0" fontId="0" fillId="36" borderId="91" xfId="0" applyFill="1" applyBorder="1" applyAlignment="1">
      <alignment horizontal="center"/>
    </xf>
    <xf numFmtId="44" fontId="0" fillId="0" borderId="0" xfId="1" applyFont="1" applyAlignment="1">
      <alignment horizontal="right"/>
    </xf>
    <xf numFmtId="168" fontId="0" fillId="36" borderId="0" xfId="0" applyNumberFormat="1" applyFill="1"/>
    <xf numFmtId="0" fontId="58" fillId="7" borderId="0" xfId="0" applyFont="1" applyFill="1" applyAlignment="1">
      <alignment horizontal="right" wrapText="1"/>
    </xf>
    <xf numFmtId="0" fontId="66" fillId="7" borderId="0" xfId="0" applyFont="1" applyFill="1"/>
    <xf numFmtId="43" fontId="2" fillId="0" borderId="367" xfId="0" applyNumberFormat="1" applyFont="1" applyBorder="1"/>
    <xf numFmtId="43" fontId="2" fillId="0" borderId="368" xfId="0" applyNumberFormat="1" applyFont="1" applyBorder="1"/>
    <xf numFmtId="43" fontId="2" fillId="0" borderId="369" xfId="0" applyNumberFormat="1" applyFont="1" applyBorder="1"/>
    <xf numFmtId="0" fontId="0" fillId="36" borderId="0" xfId="0" applyFill="1"/>
    <xf numFmtId="0" fontId="0" fillId="0" borderId="0" xfId="0" applyAlignment="1">
      <alignment horizontal="left"/>
    </xf>
    <xf numFmtId="49" fontId="0" fillId="0" borderId="0" xfId="0" applyNumberFormat="1" applyAlignment="1">
      <alignment horizontal="left"/>
    </xf>
    <xf numFmtId="0" fontId="20" fillId="0" borderId="0" xfId="0" applyFont="1" applyAlignment="1">
      <alignment horizontal="left"/>
    </xf>
    <xf numFmtId="0" fontId="58" fillId="20" borderId="247" xfId="0" applyFont="1" applyFill="1" applyBorder="1" applyAlignment="1">
      <alignment horizontal="centerContinuous" wrapText="1"/>
    </xf>
    <xf numFmtId="0" fontId="58" fillId="20" borderId="259" xfId="0" applyFont="1" applyFill="1" applyBorder="1" applyAlignment="1">
      <alignment horizontal="centerContinuous" wrapText="1"/>
    </xf>
    <xf numFmtId="0" fontId="58" fillId="20" borderId="260" xfId="0" applyFont="1" applyFill="1" applyBorder="1" applyAlignment="1">
      <alignment horizontal="centerContinuous" wrapText="1"/>
    </xf>
    <xf numFmtId="44" fontId="0" fillId="0" borderId="371" xfId="1" applyFont="1" applyFill="1" applyBorder="1"/>
    <xf numFmtId="44" fontId="0" fillId="0" borderId="372" xfId="1" applyFont="1" applyFill="1" applyBorder="1"/>
    <xf numFmtId="10" fontId="0" fillId="7" borderId="373" xfId="2" applyNumberFormat="1" applyFont="1" applyFill="1" applyBorder="1" applyAlignment="1">
      <alignment horizontal="center"/>
    </xf>
    <xf numFmtId="10" fontId="0" fillId="7" borderId="16" xfId="2" applyNumberFormat="1" applyFont="1" applyFill="1" applyBorder="1" applyAlignment="1">
      <alignment horizontal="center"/>
    </xf>
    <xf numFmtId="10" fontId="0" fillId="7" borderId="374" xfId="2" applyNumberFormat="1" applyFont="1" applyFill="1" applyBorder="1" applyAlignment="1">
      <alignment horizontal="center"/>
    </xf>
    <xf numFmtId="10" fontId="0" fillId="7" borderId="314" xfId="2" applyNumberFormat="1" applyFont="1" applyFill="1" applyBorder="1" applyAlignment="1">
      <alignment horizontal="center"/>
    </xf>
    <xf numFmtId="44" fontId="0" fillId="0" borderId="375" xfId="1" applyFont="1" applyFill="1" applyBorder="1"/>
    <xf numFmtId="10" fontId="0" fillId="7" borderId="363" xfId="2" applyNumberFormat="1" applyFont="1" applyFill="1" applyBorder="1" applyAlignment="1">
      <alignment horizontal="center"/>
    </xf>
    <xf numFmtId="10" fontId="0" fillId="7" borderId="370" xfId="2" applyNumberFormat="1" applyFont="1" applyFill="1" applyBorder="1" applyAlignment="1">
      <alignment horizontal="center"/>
    </xf>
    <xf numFmtId="10" fontId="0" fillId="7" borderId="62" xfId="2" applyNumberFormat="1" applyFont="1" applyFill="1" applyBorder="1" applyAlignment="1">
      <alignment horizontal="center"/>
    </xf>
    <xf numFmtId="0" fontId="58" fillId="29" borderId="259" xfId="0" applyFont="1" applyFill="1" applyBorder="1" applyAlignment="1">
      <alignment horizontal="centerContinuous" wrapText="1"/>
    </xf>
    <xf numFmtId="0" fontId="58" fillId="29" borderId="260" xfId="0" applyFont="1" applyFill="1" applyBorder="1" applyAlignment="1">
      <alignment horizontal="centerContinuous" wrapText="1"/>
    </xf>
    <xf numFmtId="0" fontId="58" fillId="20" borderId="249" xfId="0" applyFont="1" applyFill="1" applyBorder="1" applyAlignment="1">
      <alignment horizontal="centerContinuous" wrapText="1"/>
    </xf>
    <xf numFmtId="0" fontId="58" fillId="20" borderId="376" xfId="0" applyFont="1" applyFill="1" applyBorder="1" applyAlignment="1">
      <alignment horizontal="centerContinuous" wrapText="1"/>
    </xf>
    <xf numFmtId="0" fontId="58" fillId="29" borderId="247" xfId="0" applyFont="1" applyFill="1" applyBorder="1" applyAlignment="1">
      <alignment horizontal="centerContinuous" wrapText="1"/>
    </xf>
    <xf numFmtId="0" fontId="58" fillId="29" borderId="249" xfId="0" applyFont="1" applyFill="1" applyBorder="1" applyAlignment="1">
      <alignment horizontal="centerContinuous" wrapText="1"/>
    </xf>
    <xf numFmtId="0" fontId="60" fillId="20" borderId="260" xfId="0" applyFont="1" applyFill="1" applyBorder="1" applyAlignment="1">
      <alignment horizontal="center" wrapText="1"/>
    </xf>
    <xf numFmtId="44" fontId="2" fillId="0" borderId="378" xfId="1" applyFont="1" applyFill="1" applyBorder="1"/>
    <xf numFmtId="44" fontId="2" fillId="0" borderId="302" xfId="1" applyFont="1" applyFill="1" applyBorder="1"/>
    <xf numFmtId="44" fontId="2" fillId="0" borderId="377" xfId="1" applyFont="1" applyFill="1" applyBorder="1"/>
    <xf numFmtId="0" fontId="4" fillId="35" borderId="88" xfId="0" applyFont="1" applyFill="1" applyBorder="1" applyAlignment="1">
      <alignment horizontal="left"/>
    </xf>
    <xf numFmtId="0" fontId="4" fillId="35" borderId="88" xfId="0" applyFont="1" applyFill="1" applyBorder="1" applyAlignment="1">
      <alignment horizontal="left" wrapText="1"/>
    </xf>
    <xf numFmtId="0" fontId="91" fillId="0" borderId="205" xfId="8" applyFont="1" applyBorder="1"/>
    <xf numFmtId="0" fontId="92" fillId="7" borderId="205" xfId="8" applyFont="1" applyFill="1" applyBorder="1"/>
    <xf numFmtId="0" fontId="99" fillId="34" borderId="205" xfId="8" applyFont="1" applyFill="1" applyBorder="1" applyAlignment="1">
      <alignment horizontal="right" vertical="center"/>
    </xf>
    <xf numFmtId="0" fontId="4" fillId="7" borderId="381" xfId="0" applyFont="1" applyFill="1" applyBorder="1" applyAlignment="1">
      <alignment horizontal="center"/>
    </xf>
    <xf numFmtId="0" fontId="4" fillId="7" borderId="380" xfId="0" applyFont="1" applyFill="1" applyBorder="1" applyAlignment="1">
      <alignment horizontal="right"/>
    </xf>
    <xf numFmtId="0" fontId="4" fillId="7" borderId="366" xfId="0" applyFont="1" applyFill="1" applyBorder="1" applyAlignment="1">
      <alignment horizontal="right"/>
    </xf>
    <xf numFmtId="166" fontId="4" fillId="0" borderId="0" xfId="0" applyNumberFormat="1" applyFont="1" applyAlignment="1">
      <alignment horizontal="center"/>
    </xf>
    <xf numFmtId="166" fontId="6" fillId="0" borderId="0" xfId="0" applyNumberFormat="1" applyFont="1" applyAlignment="1">
      <alignment horizontal="center"/>
    </xf>
    <xf numFmtId="0" fontId="4" fillId="7" borderId="17" xfId="0" applyFont="1" applyFill="1" applyBorder="1"/>
    <xf numFmtId="0" fontId="4" fillId="7" borderId="18" xfId="0" applyFont="1" applyFill="1" applyBorder="1"/>
    <xf numFmtId="0" fontId="4" fillId="7" borderId="19" xfId="0" applyFont="1" applyFill="1" applyBorder="1" applyAlignment="1">
      <alignment horizontal="center"/>
    </xf>
    <xf numFmtId="0" fontId="4" fillId="7" borderId="20" xfId="0" applyFont="1" applyFill="1" applyBorder="1" applyAlignment="1">
      <alignment horizontal="center"/>
    </xf>
    <xf numFmtId="0" fontId="4" fillId="7" borderId="21" xfId="0" applyFont="1" applyFill="1" applyBorder="1"/>
    <xf numFmtId="0" fontId="4" fillId="7" borderId="22" xfId="0" applyFont="1" applyFill="1" applyBorder="1" applyAlignment="1">
      <alignment horizontal="left"/>
    </xf>
    <xf numFmtId="0" fontId="4" fillId="7" borderId="18" xfId="0" applyFont="1" applyFill="1" applyBorder="1" applyAlignment="1">
      <alignment horizontal="right"/>
    </xf>
    <xf numFmtId="0" fontId="4" fillId="7" borderId="24" xfId="0" applyFont="1" applyFill="1" applyBorder="1" applyAlignment="1">
      <alignment horizontal="center"/>
    </xf>
    <xf numFmtId="0" fontId="4" fillId="7" borderId="379" xfId="0" applyFont="1" applyFill="1" applyBorder="1" applyAlignment="1">
      <alignment horizontal="left"/>
    </xf>
    <xf numFmtId="0" fontId="5" fillId="0" borderId="259" xfId="0" applyFont="1" applyBorder="1"/>
    <xf numFmtId="6" fontId="5" fillId="15" borderId="0" xfId="0" applyNumberFormat="1" applyFont="1" applyFill="1"/>
    <xf numFmtId="167" fontId="5" fillId="0" borderId="0" xfId="2" applyNumberFormat="1" applyFont="1"/>
    <xf numFmtId="6" fontId="4" fillId="0" borderId="0" xfId="0" applyNumberFormat="1" applyFont="1"/>
    <xf numFmtId="167" fontId="4" fillId="0" borderId="0" xfId="2" applyNumberFormat="1" applyFont="1"/>
    <xf numFmtId="8" fontId="4" fillId="0" borderId="0" xfId="0" applyNumberFormat="1" applyFont="1"/>
    <xf numFmtId="6" fontId="5" fillId="0" borderId="0" xfId="0" applyNumberFormat="1" applyFont="1"/>
    <xf numFmtId="172" fontId="4" fillId="0" borderId="0" xfId="2" applyNumberFormat="1" applyFont="1"/>
    <xf numFmtId="182" fontId="5" fillId="0" borderId="0" xfId="0" applyNumberFormat="1" applyFont="1"/>
    <xf numFmtId="0" fontId="5" fillId="0" borderId="204" xfId="0" applyFont="1" applyBorder="1" applyAlignment="1">
      <alignment horizontal="center"/>
    </xf>
    <xf numFmtId="0" fontId="5" fillId="0" borderId="204" xfId="0" applyFont="1" applyBorder="1" applyAlignment="1">
      <alignment horizontal="center" wrapText="1"/>
    </xf>
    <xf numFmtId="0" fontId="5" fillId="0" borderId="97" xfId="0" applyFont="1" applyBorder="1" applyAlignment="1">
      <alignment horizontal="center"/>
    </xf>
    <xf numFmtId="49" fontId="0" fillId="36" borderId="91" xfId="0" applyNumberFormat="1" applyFill="1" applyBorder="1" applyAlignment="1">
      <alignment horizontal="center"/>
    </xf>
    <xf numFmtId="49" fontId="0" fillId="36" borderId="117" xfId="0" applyNumberFormat="1" applyFill="1" applyBorder="1" applyAlignment="1">
      <alignment horizontal="left"/>
    </xf>
    <xf numFmtId="49" fontId="0" fillId="36" borderId="0" xfId="7" applyNumberFormat="1" applyFont="1" applyFill="1" applyAlignment="1" applyProtection="1">
      <alignment horizontal="left"/>
      <protection locked="0"/>
    </xf>
    <xf numFmtId="49" fontId="0" fillId="36" borderId="103" xfId="0" applyNumberFormat="1" applyFill="1" applyBorder="1" applyAlignment="1">
      <alignment horizontal="left" wrapText="1"/>
    </xf>
    <xf numFmtId="49" fontId="0" fillId="36" borderId="104" xfId="0" applyNumberFormat="1" applyFill="1" applyBorder="1" applyAlignment="1">
      <alignment horizontal="left" wrapText="1"/>
    </xf>
    <xf numFmtId="49" fontId="0" fillId="36" borderId="308" xfId="0" applyNumberFormat="1" applyFill="1" applyBorder="1" applyAlignment="1">
      <alignment horizontal="left" wrapText="1"/>
    </xf>
    <xf numFmtId="49" fontId="7" fillId="36" borderId="308" xfId="3" applyNumberFormat="1" applyFill="1" applyBorder="1" applyAlignment="1">
      <alignment horizontal="left" wrapText="1"/>
    </xf>
    <xf numFmtId="49" fontId="0" fillId="36" borderId="280" xfId="0" applyNumberFormat="1" applyFill="1" applyBorder="1" applyAlignment="1">
      <alignment horizontal="left" wrapText="1"/>
    </xf>
    <xf numFmtId="49" fontId="0" fillId="36" borderId="281" xfId="0" applyNumberFormat="1" applyFill="1" applyBorder="1" applyAlignment="1">
      <alignment horizontal="left" wrapText="1"/>
    </xf>
    <xf numFmtId="49" fontId="0" fillId="36" borderId="312" xfId="0" applyNumberFormat="1" applyFill="1" applyBorder="1" applyAlignment="1">
      <alignment horizontal="left" wrapText="1"/>
    </xf>
    <xf numFmtId="0" fontId="0" fillId="36" borderId="335" xfId="0" applyFill="1" applyBorder="1" applyAlignment="1">
      <alignment horizontal="left"/>
    </xf>
    <xf numFmtId="0" fontId="0" fillId="36" borderId="338" xfId="0" applyFill="1" applyBorder="1" applyAlignment="1">
      <alignment horizontal="left"/>
    </xf>
    <xf numFmtId="49" fontId="0" fillId="36" borderId="321" xfId="0" applyNumberFormat="1" applyFill="1" applyBorder="1" applyAlignment="1">
      <alignment horizontal="left" wrapText="1"/>
    </xf>
    <xf numFmtId="49" fontId="0" fillId="36" borderId="322" xfId="0" applyNumberFormat="1" applyFill="1" applyBorder="1" applyAlignment="1">
      <alignment horizontal="left" wrapText="1"/>
    </xf>
    <xf numFmtId="0" fontId="0" fillId="36" borderId="341" xfId="0" applyFill="1" applyBorder="1" applyAlignment="1">
      <alignment horizontal="left"/>
    </xf>
    <xf numFmtId="49" fontId="0" fillId="36" borderId="107" xfId="0" applyNumberFormat="1" applyFill="1" applyBorder="1" applyAlignment="1">
      <alignment horizontal="center"/>
    </xf>
    <xf numFmtId="14" fontId="0" fillId="36" borderId="91" xfId="0" applyNumberFormat="1" applyFill="1" applyBorder="1" applyAlignment="1">
      <alignment horizontal="center"/>
    </xf>
    <xf numFmtId="14" fontId="0" fillId="36" borderId="106" xfId="0" applyNumberFormat="1" applyFill="1" applyBorder="1" applyAlignment="1">
      <alignment horizontal="center"/>
    </xf>
    <xf numFmtId="14" fontId="0" fillId="36" borderId="107" xfId="0" applyNumberFormat="1" applyFill="1" applyBorder="1" applyAlignment="1">
      <alignment horizontal="center"/>
    </xf>
    <xf numFmtId="169" fontId="0" fillId="13" borderId="0" xfId="0" applyNumberFormat="1" applyFill="1"/>
    <xf numFmtId="10" fontId="0" fillId="36" borderId="91" xfId="0" applyNumberFormat="1" applyFill="1" applyBorder="1" applyAlignment="1">
      <alignment horizontal="center"/>
    </xf>
    <xf numFmtId="1" fontId="0" fillId="36" borderId="91" xfId="0" applyNumberFormat="1" applyFill="1" applyBorder="1" applyAlignment="1">
      <alignment horizontal="center"/>
    </xf>
    <xf numFmtId="1" fontId="0" fillId="36" borderId="325" xfId="0" applyNumberFormat="1" applyFill="1" applyBorder="1" applyAlignment="1">
      <alignment horizontal="center"/>
    </xf>
    <xf numFmtId="10" fontId="0" fillId="36" borderId="117" xfId="0" applyNumberFormat="1" applyFill="1" applyBorder="1" applyAlignment="1">
      <alignment horizontal="center"/>
    </xf>
    <xf numFmtId="0" fontId="20" fillId="36" borderId="95" xfId="0" applyFont="1" applyFill="1" applyBorder="1"/>
    <xf numFmtId="0" fontId="0" fillId="36" borderId="90" xfId="0" applyFill="1" applyBorder="1" applyAlignment="1">
      <alignment wrapText="1"/>
    </xf>
    <xf numFmtId="0" fontId="0" fillId="36" borderId="90" xfId="0" applyFill="1" applyBorder="1"/>
    <xf numFmtId="0" fontId="0" fillId="36" borderId="92" xfId="0" applyFill="1" applyBorder="1"/>
    <xf numFmtId="43" fontId="0" fillId="36" borderId="90" xfId="0" applyNumberFormat="1" applyFill="1" applyBorder="1"/>
    <xf numFmtId="43" fontId="0" fillId="36" borderId="90" xfId="0" applyNumberFormat="1" applyFill="1" applyBorder="1" applyAlignment="1">
      <alignment horizontal="center"/>
    </xf>
    <xf numFmtId="43" fontId="0" fillId="36" borderId="92" xfId="0" applyNumberFormat="1" applyFill="1" applyBorder="1" applyAlignment="1">
      <alignment horizontal="center"/>
    </xf>
    <xf numFmtId="169" fontId="0" fillId="36" borderId="90" xfId="2" applyNumberFormat="1" applyFont="1" applyFill="1" applyBorder="1"/>
    <xf numFmtId="169" fontId="0" fillId="36" borderId="92" xfId="2" applyNumberFormat="1" applyFont="1" applyFill="1" applyBorder="1"/>
    <xf numFmtId="10" fontId="0" fillId="36" borderId="90" xfId="2" applyNumberFormat="1" applyFont="1" applyFill="1" applyBorder="1" applyAlignment="1">
      <alignment horizontal="center"/>
    </xf>
    <xf numFmtId="43" fontId="0" fillId="36" borderId="268" xfId="0" applyNumberFormat="1" applyFill="1" applyBorder="1"/>
    <xf numFmtId="0" fontId="0" fillId="36" borderId="90" xfId="0" applyFill="1" applyBorder="1" applyAlignment="1">
      <alignment horizontal="center"/>
    </xf>
    <xf numFmtId="0" fontId="20" fillId="37" borderId="357" xfId="0" applyFont="1" applyFill="1" applyBorder="1" applyAlignment="1">
      <alignment horizontal="centerContinuous"/>
    </xf>
    <xf numFmtId="0" fontId="20" fillId="37" borderId="358" xfId="0" applyFont="1" applyFill="1" applyBorder="1" applyAlignment="1">
      <alignment horizontal="centerContinuous"/>
    </xf>
    <xf numFmtId="0" fontId="20" fillId="37" borderId="346" xfId="0" applyFont="1" applyFill="1" applyBorder="1" applyAlignment="1">
      <alignment horizontal="centerContinuous"/>
    </xf>
    <xf numFmtId="0" fontId="58" fillId="36" borderId="248" xfId="0" applyFont="1" applyFill="1" applyBorder="1" applyAlignment="1">
      <alignment horizontal="center" wrapText="1"/>
    </xf>
    <xf numFmtId="0" fontId="58" fillId="36" borderId="249" xfId="0" applyFont="1" applyFill="1" applyBorder="1" applyAlignment="1">
      <alignment horizontal="center" wrapText="1"/>
    </xf>
    <xf numFmtId="169" fontId="0" fillId="36" borderId="247" xfId="2" applyNumberFormat="1" applyFont="1" applyFill="1" applyBorder="1"/>
    <xf numFmtId="169" fontId="0" fillId="36" borderId="248" xfId="2" applyNumberFormat="1" applyFont="1" applyFill="1" applyBorder="1"/>
    <xf numFmtId="169" fontId="0" fillId="36" borderId="249" xfId="2" applyNumberFormat="1" applyFont="1" applyFill="1" applyBorder="1"/>
    <xf numFmtId="169" fontId="0" fillId="0" borderId="138" xfId="0" applyNumberFormat="1" applyBorder="1"/>
    <xf numFmtId="172" fontId="0" fillId="36" borderId="335" xfId="2" applyNumberFormat="1" applyFont="1" applyFill="1" applyBorder="1"/>
    <xf numFmtId="172" fontId="0" fillId="36" borderId="338" xfId="2" applyNumberFormat="1" applyFont="1" applyFill="1" applyBorder="1"/>
    <xf numFmtId="172" fontId="0" fillId="36" borderId="341" xfId="2" applyNumberFormat="1" applyFont="1" applyFill="1" applyBorder="1"/>
    <xf numFmtId="169" fontId="0" fillId="36" borderId="335" xfId="2" applyNumberFormat="1" applyFont="1" applyFill="1" applyBorder="1"/>
    <xf numFmtId="169" fontId="0" fillId="36" borderId="338" xfId="2" applyNumberFormat="1" applyFont="1" applyFill="1" applyBorder="1"/>
    <xf numFmtId="169" fontId="0" fillId="36" borderId="341" xfId="2" applyNumberFormat="1" applyFont="1" applyFill="1" applyBorder="1"/>
    <xf numFmtId="169" fontId="2" fillId="0" borderId="59" xfId="2" applyNumberFormat="1" applyFont="1" applyFill="1" applyBorder="1"/>
    <xf numFmtId="169" fontId="2" fillId="0" borderId="60" xfId="2" applyNumberFormat="1" applyFont="1" applyFill="1" applyBorder="1"/>
    <xf numFmtId="169" fontId="0" fillId="31" borderId="0" xfId="0" applyNumberFormat="1" applyFill="1"/>
    <xf numFmtId="169" fontId="58" fillId="20" borderId="247" xfId="0" applyNumberFormat="1" applyFont="1" applyFill="1" applyBorder="1" applyAlignment="1">
      <alignment horizontal="centerContinuous" wrapText="1"/>
    </xf>
    <xf numFmtId="169" fontId="0" fillId="7" borderId="374" xfId="2" applyNumberFormat="1" applyFont="1" applyFill="1" applyBorder="1" applyAlignment="1">
      <alignment horizontal="center"/>
    </xf>
    <xf numFmtId="169" fontId="0" fillId="7" borderId="0" xfId="0" applyNumberFormat="1" applyFill="1"/>
    <xf numFmtId="0" fontId="2" fillId="38" borderId="62" xfId="0" applyFont="1" applyFill="1" applyBorder="1" applyAlignment="1">
      <alignment horizontal="right" wrapText="1"/>
    </xf>
    <xf numFmtId="8" fontId="0" fillId="38" borderId="0" xfId="0" applyNumberFormat="1" applyFill="1"/>
    <xf numFmtId="8" fontId="0" fillId="38" borderId="62" xfId="0" applyNumberFormat="1" applyFill="1" applyBorder="1"/>
    <xf numFmtId="169" fontId="0" fillId="38" borderId="62" xfId="0" applyNumberFormat="1" applyFill="1" applyBorder="1"/>
    <xf numFmtId="0" fontId="20" fillId="38" borderId="282" xfId="0" applyFont="1" applyFill="1" applyBorder="1"/>
    <xf numFmtId="0" fontId="2" fillId="15" borderId="17" xfId="0" applyFont="1" applyFill="1" applyBorder="1" applyAlignment="1">
      <alignment horizontal="center" wrapText="1"/>
    </xf>
    <xf numFmtId="0" fontId="2" fillId="15" borderId="22" xfId="0" applyFont="1" applyFill="1" applyBorder="1" applyAlignment="1">
      <alignment horizontal="center" wrapText="1"/>
    </xf>
    <xf numFmtId="0" fontId="2" fillId="15" borderId="18" xfId="0" applyFont="1" applyFill="1" applyBorder="1" applyAlignment="1">
      <alignment horizontal="center" wrapText="1"/>
    </xf>
    <xf numFmtId="0" fontId="2" fillId="15" borderId="189" xfId="0" applyFont="1" applyFill="1" applyBorder="1" applyAlignment="1">
      <alignment horizontal="center" wrapText="1"/>
    </xf>
    <xf numFmtId="8" fontId="0" fillId="7" borderId="72" xfId="0" applyNumberFormat="1" applyFill="1" applyBorder="1"/>
    <xf numFmtId="8" fontId="0" fillId="7" borderId="384" xfId="0" applyNumberFormat="1" applyFill="1" applyBorder="1"/>
    <xf numFmtId="8" fontId="0" fillId="7" borderId="386" xfId="0" applyNumberFormat="1" applyFill="1" applyBorder="1"/>
    <xf numFmtId="8" fontId="0" fillId="7" borderId="387" xfId="0" applyNumberFormat="1" applyFill="1" applyBorder="1"/>
    <xf numFmtId="0" fontId="2" fillId="15" borderId="137" xfId="0" applyFont="1" applyFill="1" applyBorder="1" applyAlignment="1">
      <alignment horizontal="center" wrapText="1"/>
    </xf>
    <xf numFmtId="0" fontId="0" fillId="7" borderId="302" xfId="0" applyFill="1" applyBorder="1" applyAlignment="1">
      <alignment wrapText="1"/>
    </xf>
    <xf numFmtId="0" fontId="0" fillId="7" borderId="377" xfId="0" applyFill="1" applyBorder="1" applyAlignment="1">
      <alignment wrapText="1"/>
    </xf>
    <xf numFmtId="0" fontId="2" fillId="15" borderId="390" xfId="0" applyFont="1" applyFill="1" applyBorder="1"/>
    <xf numFmtId="8" fontId="0" fillId="7" borderId="388" xfId="0" applyNumberFormat="1" applyFill="1" applyBorder="1"/>
    <xf numFmtId="8" fontId="0" fillId="7" borderId="389" xfId="0" applyNumberFormat="1" applyFill="1" applyBorder="1"/>
    <xf numFmtId="0" fontId="0" fillId="7" borderId="1" xfId="0" applyFill="1" applyBorder="1"/>
    <xf numFmtId="0" fontId="2" fillId="15" borderId="21" xfId="0" applyFont="1" applyFill="1" applyBorder="1" applyAlignment="1">
      <alignment horizontal="center" wrapText="1"/>
    </xf>
    <xf numFmtId="0" fontId="0" fillId="7" borderId="383" xfId="0" applyFill="1" applyBorder="1"/>
    <xf numFmtId="0" fontId="0" fillId="7" borderId="384" xfId="0" applyFill="1" applyBorder="1" applyAlignment="1">
      <alignment horizontal="center"/>
    </xf>
    <xf numFmtId="0" fontId="0" fillId="7" borderId="385" xfId="0" applyFill="1" applyBorder="1"/>
    <xf numFmtId="0" fontId="0" fillId="7" borderId="387" xfId="0" applyFill="1" applyBorder="1" applyAlignment="1">
      <alignment horizontal="center"/>
    </xf>
    <xf numFmtId="0" fontId="2" fillId="15" borderId="391" xfId="0" applyFont="1" applyFill="1" applyBorder="1"/>
    <xf numFmtId="169" fontId="0" fillId="7" borderId="388" xfId="0" applyNumberFormat="1" applyFill="1" applyBorder="1"/>
    <xf numFmtId="169" fontId="0" fillId="7" borderId="389" xfId="0" applyNumberFormat="1" applyFill="1" applyBorder="1"/>
    <xf numFmtId="169" fontId="2" fillId="15" borderId="361" xfId="2" applyNumberFormat="1" applyFont="1" applyFill="1" applyBorder="1"/>
    <xf numFmtId="0" fontId="20" fillId="36" borderId="201" xfId="0" applyFont="1" applyFill="1" applyBorder="1" applyAlignment="1">
      <alignment horizontal="center"/>
    </xf>
    <xf numFmtId="0" fontId="20" fillId="36" borderId="203" xfId="0" applyFont="1" applyFill="1" applyBorder="1" applyAlignment="1">
      <alignment horizontal="center"/>
    </xf>
    <xf numFmtId="0" fontId="20" fillId="36" borderId="101" xfId="0" applyFont="1" applyFill="1" applyBorder="1" applyAlignment="1">
      <alignment horizontal="center"/>
    </xf>
    <xf numFmtId="0" fontId="20" fillId="36" borderId="103" xfId="0" applyFont="1" applyFill="1" applyBorder="1" applyAlignment="1">
      <alignment horizontal="center"/>
    </xf>
    <xf numFmtId="0" fontId="20" fillId="36" borderId="98" xfId="0" applyFont="1" applyFill="1" applyBorder="1" applyAlignment="1">
      <alignment horizontal="center"/>
    </xf>
    <xf numFmtId="0" fontId="20" fillId="36" borderId="104" xfId="0" applyFont="1" applyFill="1" applyBorder="1" applyAlignment="1">
      <alignment horizontal="center"/>
    </xf>
    <xf numFmtId="43" fontId="0" fillId="36" borderId="108" xfId="0" applyNumberFormat="1" applyFill="1" applyBorder="1"/>
    <xf numFmtId="43" fontId="20" fillId="36" borderId="112" xfId="0" applyNumberFormat="1" applyFont="1" applyFill="1" applyBorder="1"/>
    <xf numFmtId="43" fontId="0" fillId="36" borderId="112" xfId="0" applyNumberFormat="1" applyFill="1" applyBorder="1" applyAlignment="1">
      <alignment horizontal="center"/>
    </xf>
    <xf numFmtId="43" fontId="20" fillId="36" borderId="122" xfId="0" applyNumberFormat="1" applyFont="1" applyFill="1" applyBorder="1" applyAlignment="1">
      <alignment horizontal="left"/>
    </xf>
    <xf numFmtId="43" fontId="20" fillId="36" borderId="176" xfId="0" applyNumberFormat="1" applyFont="1" applyFill="1" applyBorder="1" applyAlignment="1">
      <alignment horizontal="left"/>
    </xf>
    <xf numFmtId="43" fontId="20" fillId="36" borderId="123" xfId="0" applyNumberFormat="1" applyFont="1" applyFill="1" applyBorder="1" applyAlignment="1">
      <alignment horizontal="left"/>
    </xf>
    <xf numFmtId="43" fontId="20" fillId="36" borderId="124" xfId="0" applyNumberFormat="1" applyFont="1" applyFill="1" applyBorder="1" applyAlignment="1">
      <alignment horizontal="left"/>
    </xf>
    <xf numFmtId="0" fontId="0" fillId="36" borderId="107" xfId="0" applyFill="1" applyBorder="1"/>
    <xf numFmtId="0" fontId="0" fillId="36" borderId="106" xfId="0" applyFill="1" applyBorder="1"/>
    <xf numFmtId="0" fontId="0" fillId="36" borderId="101" xfId="0" applyFill="1" applyBorder="1" applyAlignment="1">
      <alignment wrapText="1"/>
    </xf>
    <xf numFmtId="43" fontId="0" fillId="36" borderId="122" xfId="0" applyNumberFormat="1" applyFill="1" applyBorder="1"/>
    <xf numFmtId="43" fontId="0" fillId="36" borderId="176" xfId="0" applyNumberFormat="1" applyFill="1" applyBorder="1"/>
    <xf numFmtId="43" fontId="0" fillId="36" borderId="123" xfId="0" applyNumberFormat="1" applyFill="1" applyBorder="1"/>
    <xf numFmtId="43" fontId="0" fillId="36" borderId="124" xfId="0" applyNumberFormat="1" applyFill="1" applyBorder="1"/>
    <xf numFmtId="0" fontId="20" fillId="36" borderId="91" xfId="0" applyFont="1" applyFill="1" applyBorder="1"/>
    <xf numFmtId="43" fontId="20" fillId="36" borderId="122" xfId="0" applyNumberFormat="1" applyFont="1" applyFill="1" applyBorder="1"/>
    <xf numFmtId="0" fontId="20" fillId="36" borderId="91" xfId="0" applyFont="1" applyFill="1" applyBorder="1" applyAlignment="1">
      <alignment horizontal="center"/>
    </xf>
    <xf numFmtId="43" fontId="20" fillId="36" borderId="123" xfId="0" applyNumberFormat="1" applyFont="1" applyFill="1" applyBorder="1"/>
    <xf numFmtId="43" fontId="20" fillId="36" borderId="137" xfId="0" applyNumberFormat="1" applyFont="1" applyFill="1" applyBorder="1"/>
    <xf numFmtId="0" fontId="20" fillId="36" borderId="106" xfId="0" applyFont="1" applyFill="1" applyBorder="1" applyAlignment="1">
      <alignment horizontal="center"/>
    </xf>
    <xf numFmtId="43" fontId="20" fillId="36" borderId="301" xfId="0" applyNumberFormat="1" applyFont="1" applyFill="1" applyBorder="1"/>
    <xf numFmtId="43" fontId="20" fillId="36" borderId="302" xfId="0" applyNumberFormat="1" applyFont="1" applyFill="1" applyBorder="1"/>
    <xf numFmtId="43" fontId="20" fillId="36" borderId="303" xfId="0" applyNumberFormat="1" applyFont="1" applyFill="1" applyBorder="1"/>
    <xf numFmtId="43" fontId="20" fillId="36" borderId="176" xfId="0" applyNumberFormat="1" applyFont="1" applyFill="1" applyBorder="1"/>
    <xf numFmtId="0" fontId="0" fillId="38" borderId="293" xfId="0" applyFill="1" applyBorder="1"/>
    <xf numFmtId="0" fontId="0" fillId="38" borderId="294" xfId="0" applyFill="1" applyBorder="1"/>
    <xf numFmtId="0" fontId="0" fillId="38" borderId="295" xfId="0" applyFill="1" applyBorder="1"/>
    <xf numFmtId="0" fontId="3" fillId="38" borderId="296" xfId="0" applyFont="1" applyFill="1" applyBorder="1" applyAlignment="1">
      <alignment horizontal="center"/>
    </xf>
    <xf numFmtId="0" fontId="3" fillId="38" borderId="0" xfId="0" applyFont="1" applyFill="1" applyAlignment="1">
      <alignment horizontal="center"/>
    </xf>
    <xf numFmtId="0" fontId="0" fillId="38" borderId="297" xfId="0" applyFill="1" applyBorder="1"/>
    <xf numFmtId="8" fontId="0" fillId="38" borderId="296" xfId="0" applyNumberFormat="1" applyFill="1" applyBorder="1"/>
    <xf numFmtId="0" fontId="0" fillId="38" borderId="0" xfId="0" applyFill="1"/>
    <xf numFmtId="0" fontId="20" fillId="36" borderId="88" xfId="0" quotePrefix="1" applyFont="1" applyFill="1" applyBorder="1" applyAlignment="1">
      <alignment horizontal="left"/>
    </xf>
    <xf numFmtId="0" fontId="20" fillId="36" borderId="88" xfId="0" applyFont="1" applyFill="1" applyBorder="1" applyAlignment="1">
      <alignment horizontal="left"/>
    </xf>
    <xf numFmtId="0" fontId="13" fillId="38" borderId="265" xfId="0" applyFont="1" applyFill="1" applyBorder="1"/>
    <xf numFmtId="168" fontId="0" fillId="0" borderId="0" xfId="2" applyNumberFormat="1" applyFont="1" applyFill="1" applyAlignment="1">
      <alignment horizontal="right"/>
    </xf>
    <xf numFmtId="173" fontId="0" fillId="0" borderId="0" xfId="2" applyNumberFormat="1" applyFont="1" applyFill="1"/>
    <xf numFmtId="10" fontId="0" fillId="0" borderId="0" xfId="2" applyNumberFormat="1" applyFont="1" applyFill="1"/>
    <xf numFmtId="164" fontId="5" fillId="0" borderId="0" xfId="0" applyNumberFormat="1" applyFont="1" applyAlignment="1">
      <alignment horizontal="center"/>
    </xf>
    <xf numFmtId="44" fontId="0" fillId="0" borderId="0" xfId="1" applyFont="1" applyFill="1" applyAlignment="1">
      <alignment horizontal="right"/>
    </xf>
    <xf numFmtId="169" fontId="0" fillId="0" borderId="0" xfId="2" applyNumberFormat="1" applyFont="1" applyFill="1" applyAlignment="1">
      <alignment horizontal="right"/>
    </xf>
    <xf numFmtId="6" fontId="0" fillId="0" borderId="0" xfId="0" applyNumberFormat="1"/>
    <xf numFmtId="44" fontId="0" fillId="0" borderId="0" xfId="1" applyFont="1" applyFill="1"/>
    <xf numFmtId="0" fontId="0" fillId="0" borderId="62" xfId="0" applyBorder="1"/>
    <xf numFmtId="44" fontId="0" fillId="0" borderId="62" xfId="1" applyFont="1" applyFill="1" applyBorder="1"/>
    <xf numFmtId="10" fontId="0" fillId="0" borderId="62" xfId="2" applyNumberFormat="1" applyFont="1" applyBorder="1"/>
    <xf numFmtId="44" fontId="0" fillId="0" borderId="62" xfId="1" applyFont="1" applyBorder="1"/>
    <xf numFmtId="44" fontId="2" fillId="0" borderId="0" xfId="0" applyNumberFormat="1" applyFont="1"/>
    <xf numFmtId="44" fontId="2" fillId="0" borderId="0" xfId="0" applyNumberFormat="1" applyFont="1" applyAlignment="1">
      <alignment horizontal="right"/>
    </xf>
    <xf numFmtId="44" fontId="0" fillId="36" borderId="0" xfId="1" applyFont="1" applyFill="1"/>
    <xf numFmtId="10" fontId="0" fillId="36" borderId="0" xfId="0" applyNumberFormat="1" applyFill="1"/>
    <xf numFmtId="10" fontId="0" fillId="36" borderId="0" xfId="0" applyNumberFormat="1" applyFill="1" applyAlignment="1">
      <alignment horizontal="center"/>
    </xf>
    <xf numFmtId="44" fontId="0" fillId="0" borderId="0" xfId="1" applyFont="1" applyAlignment="1">
      <alignment horizontal="center"/>
    </xf>
    <xf numFmtId="43" fontId="0" fillId="0" borderId="0" xfId="0" applyNumberFormat="1" applyAlignment="1">
      <alignment horizontal="center"/>
    </xf>
    <xf numFmtId="8" fontId="0" fillId="0" borderId="0" xfId="0" applyNumberFormat="1" applyAlignment="1">
      <alignment horizontal="center"/>
    </xf>
    <xf numFmtId="44" fontId="0" fillId="0" borderId="0" xfId="0" applyNumberFormat="1" applyAlignment="1">
      <alignment horizontal="center"/>
    </xf>
    <xf numFmtId="2" fontId="0" fillId="36" borderId="0" xfId="0" applyNumberFormat="1" applyFill="1" applyAlignment="1">
      <alignment horizontal="center"/>
    </xf>
    <xf numFmtId="1" fontId="0" fillId="36" borderId="0" xfId="0" applyNumberFormat="1" applyFill="1" applyAlignment="1">
      <alignment horizontal="center"/>
    </xf>
    <xf numFmtId="10" fontId="0" fillId="36" borderId="0" xfId="1" applyNumberFormat="1" applyFont="1" applyFill="1" applyAlignment="1">
      <alignment horizontal="center"/>
    </xf>
    <xf numFmtId="2" fontId="0" fillId="0" borderId="0" xfId="0" applyNumberFormat="1" applyAlignment="1">
      <alignment horizontal="center"/>
    </xf>
    <xf numFmtId="44" fontId="0" fillId="0" borderId="0" xfId="1" applyFont="1" applyFill="1" applyAlignment="1">
      <alignment horizontal="center"/>
    </xf>
    <xf numFmtId="10" fontId="0" fillId="0" borderId="0" xfId="2" applyNumberFormat="1" applyFont="1" applyFill="1" applyAlignment="1">
      <alignment horizontal="center"/>
    </xf>
    <xf numFmtId="183" fontId="0" fillId="0" borderId="0" xfId="6" applyNumberFormat="1" applyFont="1" applyFill="1" applyAlignment="1">
      <alignment horizontal="center"/>
    </xf>
    <xf numFmtId="183" fontId="0" fillId="36" borderId="0" xfId="6" applyNumberFormat="1" applyFont="1" applyFill="1" applyAlignment="1">
      <alignment horizontal="center"/>
    </xf>
    <xf numFmtId="2" fontId="0" fillId="0" borderId="0" xfId="0" applyNumberFormat="1" applyAlignment="1">
      <alignment horizontal="center" wrapText="1"/>
    </xf>
    <xf numFmtId="14" fontId="0" fillId="0" borderId="0" xfId="0" applyNumberFormat="1" applyAlignment="1">
      <alignment horizontal="center"/>
    </xf>
    <xf numFmtId="44" fontId="0" fillId="0" borderId="0" xfId="1" applyFont="1" applyFill="1" applyAlignment="1">
      <alignment horizontal="center" wrapText="1"/>
    </xf>
    <xf numFmtId="0" fontId="3" fillId="31" borderId="0" xfId="0" applyFont="1" applyFill="1"/>
    <xf numFmtId="8" fontId="3" fillId="31" borderId="0" xfId="0" applyNumberFormat="1" applyFont="1" applyFill="1"/>
    <xf numFmtId="0" fontId="94" fillId="36" borderId="0" xfId="0" applyFont="1" applyFill="1"/>
    <xf numFmtId="0" fontId="30" fillId="36" borderId="0" xfId="0" applyFont="1" applyFill="1"/>
    <xf numFmtId="8" fontId="30" fillId="36" borderId="0" xfId="0" applyNumberFormat="1" applyFont="1" applyFill="1"/>
    <xf numFmtId="168" fontId="0" fillId="7" borderId="107" xfId="0" applyNumberFormat="1" applyFill="1" applyBorder="1"/>
    <xf numFmtId="0" fontId="0" fillId="7" borderId="119" xfId="0" applyFill="1" applyBorder="1" applyAlignment="1">
      <alignment horizontal="left"/>
    </xf>
    <xf numFmtId="168" fontId="0" fillId="7" borderId="392" xfId="0" applyNumberFormat="1" applyFill="1" applyBorder="1"/>
    <xf numFmtId="0" fontId="0" fillId="7" borderId="394" xfId="0" applyFill="1" applyBorder="1"/>
    <xf numFmtId="0" fontId="0" fillId="7" borderId="396" xfId="0" applyFill="1" applyBorder="1" applyAlignment="1">
      <alignment horizontal="left"/>
    </xf>
    <xf numFmtId="169" fontId="0" fillId="7" borderId="397" xfId="0" applyNumberFormat="1" applyFill="1" applyBorder="1" applyAlignment="1">
      <alignment horizontal="center"/>
    </xf>
    <xf numFmtId="0" fontId="0" fillId="7" borderId="399" xfId="0" applyFill="1" applyBorder="1"/>
    <xf numFmtId="168" fontId="0" fillId="7" borderId="399" xfId="0" applyNumberFormat="1" applyFill="1" applyBorder="1"/>
    <xf numFmtId="0" fontId="0" fillId="0" borderId="400" xfId="0" applyBorder="1" applyAlignment="1">
      <alignment horizontal="center"/>
    </xf>
    <xf numFmtId="169" fontId="0" fillId="8" borderId="401" xfId="2" applyNumberFormat="1" applyFont="1" applyFill="1" applyBorder="1" applyAlignment="1">
      <alignment horizontal="center"/>
    </xf>
    <xf numFmtId="169" fontId="0" fillId="13" borderId="0" xfId="2" applyNumberFormat="1" applyFont="1" applyFill="1" applyBorder="1" applyAlignment="1">
      <alignment horizontal="center"/>
    </xf>
    <xf numFmtId="168" fontId="0" fillId="7" borderId="106" xfId="0" applyNumberFormat="1" applyFill="1" applyBorder="1"/>
    <xf numFmtId="0" fontId="0" fillId="36" borderId="106" xfId="0" applyFill="1" applyBorder="1" applyAlignment="1">
      <alignment horizontal="center"/>
    </xf>
    <xf numFmtId="0" fontId="42" fillId="7" borderId="259" xfId="0" applyFont="1" applyFill="1" applyBorder="1"/>
    <xf numFmtId="0" fontId="0" fillId="0" borderId="257" xfId="0" applyBorder="1"/>
    <xf numFmtId="168" fontId="0" fillId="7" borderId="257" xfId="0" applyNumberFormat="1" applyFill="1" applyBorder="1"/>
    <xf numFmtId="0" fontId="0" fillId="7" borderId="257" xfId="0" applyFill="1" applyBorder="1" applyAlignment="1">
      <alignment horizontal="center"/>
    </xf>
    <xf numFmtId="0" fontId="0" fillId="36" borderId="260" xfId="0" applyFill="1" applyBorder="1" applyAlignment="1">
      <alignment horizontal="center"/>
    </xf>
    <xf numFmtId="0" fontId="0" fillId="7" borderId="403" xfId="0" applyFill="1" applyBorder="1" applyAlignment="1">
      <alignment horizontal="left"/>
    </xf>
    <xf numFmtId="169" fontId="0" fillId="8" borderId="404" xfId="0" applyNumberFormat="1" applyFill="1" applyBorder="1" applyAlignment="1">
      <alignment horizontal="center"/>
    </xf>
    <xf numFmtId="0" fontId="0" fillId="7" borderId="392" xfId="0" applyFill="1" applyBorder="1" applyAlignment="1">
      <alignment horizontal="center"/>
    </xf>
    <xf numFmtId="0" fontId="0" fillId="36" borderId="226" xfId="0" applyFill="1" applyBorder="1" applyAlignment="1">
      <alignment horizontal="center"/>
    </xf>
    <xf numFmtId="168" fontId="0" fillId="36" borderId="227" xfId="2" applyNumberFormat="1" applyFont="1" applyFill="1" applyBorder="1" applyAlignment="1">
      <alignment horizontal="center"/>
    </xf>
    <xf numFmtId="0" fontId="0" fillId="7" borderId="393" xfId="0" applyFill="1" applyBorder="1"/>
    <xf numFmtId="0" fontId="0" fillId="7" borderId="394" xfId="0" applyFill="1" applyBorder="1" applyAlignment="1">
      <alignment horizontal="center"/>
    </xf>
    <xf numFmtId="14" fontId="0" fillId="36" borderId="395" xfId="0" applyNumberFormat="1" applyFill="1" applyBorder="1" applyAlignment="1">
      <alignment horizontal="center"/>
    </xf>
    <xf numFmtId="0" fontId="33" fillId="26" borderId="156" xfId="0" applyFont="1" applyFill="1" applyBorder="1"/>
    <xf numFmtId="0" fontId="51" fillId="26" borderId="157" xfId="0" applyFont="1" applyFill="1" applyBorder="1"/>
    <xf numFmtId="0" fontId="20" fillId="26" borderId="157" xfId="0" applyFont="1" applyFill="1" applyBorder="1"/>
    <xf numFmtId="0" fontId="23" fillId="26" borderId="157" xfId="0" applyFont="1" applyFill="1" applyBorder="1"/>
    <xf numFmtId="0" fontId="0" fillId="26" borderId="157" xfId="0" applyFill="1" applyBorder="1"/>
    <xf numFmtId="14" fontId="66" fillId="36" borderId="405" xfId="0" applyNumberFormat="1" applyFont="1" applyFill="1" applyBorder="1" applyAlignment="1">
      <alignment horizontal="center"/>
    </xf>
    <xf numFmtId="0" fontId="56" fillId="15" borderId="174" xfId="0" applyFont="1" applyFill="1" applyBorder="1" applyAlignment="1">
      <alignment horizontal="left" wrapText="1"/>
    </xf>
    <xf numFmtId="0" fontId="30" fillId="22" borderId="0" xfId="0" applyFont="1" applyFill="1"/>
    <xf numFmtId="164" fontId="30" fillId="22" borderId="0" xfId="0" applyNumberFormat="1" applyFont="1" applyFill="1"/>
    <xf numFmtId="173" fontId="8" fillId="0" borderId="0" xfId="2" applyNumberFormat="1" applyFont="1" applyFill="1"/>
    <xf numFmtId="0" fontId="8" fillId="22" borderId="0" xfId="0" applyFont="1" applyFill="1"/>
    <xf numFmtId="0" fontId="0" fillId="7" borderId="406" xfId="0" applyFill="1" applyBorder="1"/>
    <xf numFmtId="169" fontId="0" fillId="32" borderId="407" xfId="2" applyNumberFormat="1" applyFont="1" applyFill="1" applyBorder="1" applyAlignment="1">
      <alignment horizontal="center"/>
    </xf>
    <xf numFmtId="169" fontId="0" fillId="7" borderId="407" xfId="2" applyNumberFormat="1" applyFont="1" applyFill="1" applyBorder="1" applyAlignment="1">
      <alignment horizontal="center"/>
    </xf>
    <xf numFmtId="0" fontId="42" fillId="7" borderId="406" xfId="0" applyFont="1" applyFill="1" applyBorder="1"/>
    <xf numFmtId="0" fontId="20" fillId="7" borderId="406" xfId="0" applyFont="1" applyFill="1" applyBorder="1"/>
    <xf numFmtId="0" fontId="20" fillId="7" borderId="406" xfId="0" applyFont="1" applyFill="1" applyBorder="1" applyAlignment="1">
      <alignment horizontal="left"/>
    </xf>
    <xf numFmtId="169" fontId="0" fillId="32" borderId="407" xfId="0" applyNumberFormat="1" applyFill="1" applyBorder="1" applyAlignment="1">
      <alignment horizontal="center"/>
    </xf>
    <xf numFmtId="0" fontId="2" fillId="7" borderId="408" xfId="0" applyFont="1" applyFill="1" applyBorder="1"/>
    <xf numFmtId="0" fontId="42" fillId="7" borderId="402" xfId="0" applyFont="1" applyFill="1" applyBorder="1"/>
    <xf numFmtId="0" fontId="0" fillId="7" borderId="402" xfId="0" applyFill="1" applyBorder="1" applyAlignment="1">
      <alignment horizontal="center"/>
    </xf>
    <xf numFmtId="8" fontId="0" fillId="32" borderId="409" xfId="0" applyNumberFormat="1" applyFill="1" applyBorder="1" applyAlignment="1">
      <alignment horizontal="center"/>
    </xf>
    <xf numFmtId="0" fontId="0" fillId="7" borderId="410" xfId="0" applyFill="1" applyBorder="1"/>
    <xf numFmtId="0" fontId="0" fillId="7" borderId="411" xfId="0" applyFill="1" applyBorder="1"/>
    <xf numFmtId="168" fontId="0" fillId="7" borderId="411" xfId="0" applyNumberFormat="1" applyFill="1" applyBorder="1"/>
    <xf numFmtId="0" fontId="42" fillId="7" borderId="411" xfId="0" applyFont="1" applyFill="1" applyBorder="1" applyAlignment="1">
      <alignment horizontal="center"/>
    </xf>
    <xf numFmtId="169" fontId="0" fillId="32" borderId="412" xfId="2" applyNumberFormat="1" applyFont="1" applyFill="1" applyBorder="1" applyAlignment="1">
      <alignment horizontal="center"/>
    </xf>
    <xf numFmtId="14" fontId="0" fillId="32" borderId="407" xfId="0" applyNumberFormat="1" applyFill="1" applyBorder="1" applyAlignment="1">
      <alignment horizontal="center"/>
    </xf>
    <xf numFmtId="8" fontId="0" fillId="32" borderId="407" xfId="0" applyNumberFormat="1" applyFill="1" applyBorder="1" applyAlignment="1">
      <alignment horizontal="center"/>
    </xf>
    <xf numFmtId="0" fontId="0" fillId="0" borderId="91" xfId="2" applyNumberFormat="1" applyFont="1" applyFill="1" applyBorder="1" applyAlignment="1">
      <alignment horizontal="center"/>
    </xf>
    <xf numFmtId="178" fontId="0" fillId="0" borderId="0" xfId="0" applyNumberFormat="1"/>
    <xf numFmtId="0" fontId="0" fillId="36" borderId="36" xfId="0" applyFill="1" applyBorder="1"/>
    <xf numFmtId="171" fontId="0" fillId="36" borderId="242" xfId="1" applyNumberFormat="1" applyFont="1" applyFill="1" applyBorder="1"/>
    <xf numFmtId="171" fontId="0" fillId="36" borderId="36" xfId="1" applyNumberFormat="1" applyFont="1" applyFill="1" applyBorder="1"/>
    <xf numFmtId="171" fontId="0" fillId="36" borderId="244" xfId="1" applyNumberFormat="1" applyFont="1" applyFill="1" applyBorder="1"/>
    <xf numFmtId="171" fontId="0" fillId="36" borderId="241" xfId="0" applyNumberFormat="1" applyFill="1" applyBorder="1"/>
    <xf numFmtId="171" fontId="0" fillId="36" borderId="38" xfId="0" applyNumberFormat="1" applyFill="1" applyBorder="1"/>
    <xf numFmtId="171" fontId="0" fillId="36" borderId="246" xfId="0" applyNumberFormat="1" applyFill="1" applyBorder="1"/>
    <xf numFmtId="171" fontId="0" fillId="36" borderId="271" xfId="0" applyNumberFormat="1" applyFill="1" applyBorder="1"/>
    <xf numFmtId="171" fontId="0" fillId="36" borderId="274" xfId="0" applyNumberFormat="1" applyFill="1" applyBorder="1"/>
    <xf numFmtId="0" fontId="0" fillId="36" borderId="37" xfId="0" applyFill="1" applyBorder="1" applyAlignment="1">
      <alignment horizontal="center"/>
    </xf>
    <xf numFmtId="171" fontId="0" fillId="36" borderId="36" xfId="0" applyNumberFormat="1" applyFill="1" applyBorder="1"/>
    <xf numFmtId="171" fontId="0" fillId="36" borderId="46" xfId="0" applyNumberFormat="1" applyFill="1" applyBorder="1"/>
    <xf numFmtId="171" fontId="0" fillId="36" borderId="48" xfId="0" applyNumberFormat="1" applyFill="1" applyBorder="1"/>
    <xf numFmtId="171" fontId="0" fillId="36" borderId="20" xfId="0" applyNumberFormat="1" applyFill="1" applyBorder="1"/>
    <xf numFmtId="171" fontId="0" fillId="36" borderId="29" xfId="0" applyNumberFormat="1" applyFill="1" applyBorder="1" applyAlignment="1">
      <alignment horizontal="center"/>
    </xf>
    <xf numFmtId="0" fontId="0" fillId="36" borderId="29" xfId="0" applyFill="1" applyBorder="1"/>
    <xf numFmtId="171" fontId="0" fillId="36" borderId="37" xfId="0" applyNumberFormat="1" applyFill="1" applyBorder="1" applyAlignment="1">
      <alignment horizontal="center"/>
    </xf>
    <xf numFmtId="0" fontId="0" fillId="36" borderId="37" xfId="0" applyFill="1" applyBorder="1"/>
    <xf numFmtId="171" fontId="0" fillId="36" borderId="245" xfId="0" applyNumberFormat="1" applyFill="1" applyBorder="1" applyAlignment="1">
      <alignment horizontal="center"/>
    </xf>
    <xf numFmtId="0" fontId="0" fillId="36" borderId="245" xfId="0" applyFill="1" applyBorder="1"/>
    <xf numFmtId="0" fontId="0" fillId="36" borderId="224" xfId="0" applyFill="1" applyBorder="1" applyAlignment="1">
      <alignment wrapText="1"/>
    </xf>
    <xf numFmtId="0" fontId="0" fillId="36" borderId="127" xfId="0" applyFill="1" applyBorder="1" applyAlignment="1">
      <alignment wrapText="1"/>
    </xf>
    <xf numFmtId="44" fontId="0" fillId="36" borderId="125" xfId="0" applyNumberFormat="1" applyFill="1" applyBorder="1" applyAlignment="1">
      <alignment wrapText="1"/>
    </xf>
    <xf numFmtId="0" fontId="0" fillId="36" borderId="21" xfId="0" applyFill="1" applyBorder="1" applyAlignment="1">
      <alignment wrapText="1"/>
    </xf>
    <xf numFmtId="0" fontId="0" fillId="36" borderId="38" xfId="0" applyFill="1" applyBorder="1" applyAlignment="1">
      <alignment wrapText="1"/>
    </xf>
    <xf numFmtId="171" fontId="0" fillId="36" borderId="38" xfId="0" applyNumberFormat="1" applyFill="1" applyBorder="1" applyAlignment="1">
      <alignment wrapText="1"/>
    </xf>
    <xf numFmtId="0" fontId="0" fillId="36" borderId="48" xfId="0" applyFill="1" applyBorder="1" applyAlignment="1">
      <alignment wrapText="1"/>
    </xf>
    <xf numFmtId="0" fontId="0" fillId="36" borderId="275" xfId="0" applyFill="1" applyBorder="1" applyAlignment="1">
      <alignment wrapText="1"/>
    </xf>
    <xf numFmtId="0" fontId="0" fillId="36" borderId="241" xfId="0" applyFill="1" applyBorder="1" applyAlignment="1">
      <alignment wrapText="1"/>
    </xf>
    <xf numFmtId="0" fontId="0" fillId="36" borderId="246" xfId="0" applyFill="1" applyBorder="1" applyAlignment="1">
      <alignment wrapText="1"/>
    </xf>
    <xf numFmtId="171" fontId="0" fillId="36" borderId="239" xfId="0" applyNumberFormat="1" applyFill="1" applyBorder="1"/>
    <xf numFmtId="171" fontId="0" fillId="7" borderId="413" xfId="0" applyNumberFormat="1" applyFill="1" applyBorder="1"/>
    <xf numFmtId="171" fontId="0" fillId="7" borderId="414" xfId="0" applyNumberFormat="1" applyFill="1" applyBorder="1"/>
    <xf numFmtId="171" fontId="0" fillId="7" borderId="415" xfId="0" applyNumberFormat="1" applyFill="1" applyBorder="1"/>
    <xf numFmtId="0" fontId="5" fillId="36" borderId="8" xfId="0" applyFont="1" applyFill="1" applyBorder="1" applyAlignment="1">
      <alignment wrapText="1"/>
    </xf>
    <xf numFmtId="0" fontId="5" fillId="36" borderId="9" xfId="0" applyFont="1" applyFill="1" applyBorder="1"/>
    <xf numFmtId="0" fontId="5" fillId="36" borderId="9" xfId="0" applyFont="1" applyFill="1" applyBorder="1" applyAlignment="1">
      <alignment horizontal="center"/>
    </xf>
    <xf numFmtId="0" fontId="5" fillId="36" borderId="35" xfId="0" applyFont="1" applyFill="1" applyBorder="1" applyAlignment="1">
      <alignment horizontal="center" wrapText="1"/>
    </xf>
    <xf numFmtId="49" fontId="5" fillId="36" borderId="37" xfId="0" applyNumberFormat="1" applyFont="1" applyFill="1" applyBorder="1" applyAlignment="1">
      <alignment horizontal="center"/>
    </xf>
    <xf numFmtId="164" fontId="5" fillId="36" borderId="37" xfId="0" applyNumberFormat="1" applyFont="1" applyFill="1" applyBorder="1" applyAlignment="1">
      <alignment horizontal="center"/>
    </xf>
    <xf numFmtId="14" fontId="5" fillId="36" borderId="39" xfId="0" applyNumberFormat="1" applyFont="1" applyFill="1" applyBorder="1" applyAlignment="1">
      <alignment horizontal="center"/>
    </xf>
    <xf numFmtId="0" fontId="5" fillId="36" borderId="43" xfId="0" applyFont="1" applyFill="1" applyBorder="1" applyAlignment="1">
      <alignment wrapText="1"/>
    </xf>
    <xf numFmtId="0" fontId="5" fillId="36" borderId="44" xfId="0" applyFont="1" applyFill="1" applyBorder="1"/>
    <xf numFmtId="0" fontId="5" fillId="36" borderId="44" xfId="0" applyFont="1" applyFill="1" applyBorder="1" applyAlignment="1">
      <alignment horizontal="center"/>
    </xf>
    <xf numFmtId="0" fontId="5" fillId="36" borderId="45" xfId="0" applyFont="1" applyFill="1" applyBorder="1" applyAlignment="1">
      <alignment horizontal="center" wrapText="1"/>
    </xf>
    <xf numFmtId="14" fontId="5" fillId="36" borderId="49" xfId="0" applyNumberFormat="1" applyFont="1" applyFill="1" applyBorder="1" applyAlignment="1">
      <alignment horizontal="center"/>
    </xf>
    <xf numFmtId="3" fontId="4" fillId="36" borderId="23" xfId="0" applyNumberFormat="1" applyFont="1" applyFill="1" applyBorder="1" applyAlignment="1">
      <alignment horizontal="center"/>
    </xf>
    <xf numFmtId="0" fontId="4" fillId="36" borderId="88" xfId="0" applyFont="1" applyFill="1" applyBorder="1" applyAlignment="1">
      <alignment horizontal="center"/>
    </xf>
    <xf numFmtId="3" fontId="4" fillId="36" borderId="25" xfId="0" applyNumberFormat="1" applyFont="1" applyFill="1" applyBorder="1" applyAlignment="1">
      <alignment horizontal="center"/>
    </xf>
    <xf numFmtId="0" fontId="4" fillId="36" borderId="204" xfId="0" applyFont="1" applyFill="1" applyBorder="1" applyAlignment="1">
      <alignment horizontal="center"/>
    </xf>
    <xf numFmtId="0" fontId="4" fillId="0" borderId="26" xfId="0" applyFont="1" applyBorder="1" applyAlignment="1">
      <alignment horizontal="center"/>
    </xf>
    <xf numFmtId="0" fontId="4" fillId="0" borderId="97" xfId="0" applyFont="1" applyBorder="1" applyAlignment="1">
      <alignment horizontal="center"/>
    </xf>
    <xf numFmtId="0" fontId="4" fillId="36" borderId="382" xfId="0" applyFont="1" applyFill="1" applyBorder="1" applyAlignment="1">
      <alignment horizontal="center"/>
    </xf>
    <xf numFmtId="44" fontId="5" fillId="36" borderId="40" xfId="1" applyFont="1" applyFill="1" applyBorder="1"/>
    <xf numFmtId="44" fontId="5" fillId="36" borderId="50" xfId="1" applyFont="1" applyFill="1" applyBorder="1"/>
    <xf numFmtId="164" fontId="5" fillId="36" borderId="41" xfId="0" applyNumberFormat="1" applyFont="1" applyFill="1" applyBorder="1"/>
    <xf numFmtId="164" fontId="5" fillId="36" borderId="51" xfId="0" applyNumberFormat="1" applyFont="1" applyFill="1" applyBorder="1"/>
    <xf numFmtId="44" fontId="5" fillId="36" borderId="35" xfId="1" applyFont="1" applyFill="1" applyBorder="1"/>
    <xf numFmtId="44" fontId="5" fillId="36" borderId="42" xfId="1" applyFont="1" applyFill="1" applyBorder="1"/>
    <xf numFmtId="44" fontId="5" fillId="36" borderId="45" xfId="1" applyFont="1" applyFill="1" applyBorder="1"/>
    <xf numFmtId="44" fontId="5" fillId="36" borderId="52" xfId="1" applyFont="1" applyFill="1" applyBorder="1"/>
    <xf numFmtId="44" fontId="4" fillId="36" borderId="21" xfId="1" applyFont="1" applyFill="1" applyBorder="1"/>
    <xf numFmtId="0" fontId="5" fillId="36" borderId="0" xfId="0" applyFont="1" applyFill="1" applyAlignment="1">
      <alignment horizontal="center"/>
    </xf>
    <xf numFmtId="165" fontId="5" fillId="36" borderId="0" xfId="0" applyNumberFormat="1" applyFont="1" applyFill="1" applyAlignment="1">
      <alignment horizontal="center"/>
    </xf>
    <xf numFmtId="0" fontId="4" fillId="0" borderId="2" xfId="0" applyFont="1" applyBorder="1" applyAlignment="1">
      <alignment horizontal="center" wrapText="1"/>
    </xf>
    <xf numFmtId="44" fontId="5" fillId="39" borderId="135" xfId="1" applyFont="1" applyFill="1" applyBorder="1"/>
    <xf numFmtId="0" fontId="5" fillId="36" borderId="260" xfId="0" applyFont="1" applyFill="1" applyBorder="1"/>
    <xf numFmtId="175" fontId="5" fillId="36" borderId="97" xfId="0" applyNumberFormat="1" applyFont="1" applyFill="1" applyBorder="1" applyAlignment="1">
      <alignment horizontal="center"/>
    </xf>
    <xf numFmtId="182" fontId="5" fillId="36" borderId="97" xfId="0" applyNumberFormat="1" applyFont="1" applyFill="1" applyBorder="1" applyAlignment="1">
      <alignment horizontal="center"/>
    </xf>
    <xf numFmtId="49" fontId="5" fillId="36" borderId="8" xfId="0" quotePrefix="1" applyNumberFormat="1" applyFont="1" applyFill="1" applyBorder="1" applyAlignment="1">
      <alignment wrapText="1"/>
    </xf>
    <xf numFmtId="49" fontId="5" fillId="36" borderId="9" xfId="0" applyNumberFormat="1" applyFont="1" applyFill="1" applyBorder="1"/>
    <xf numFmtId="49" fontId="5" fillId="36" borderId="35" xfId="0" applyNumberFormat="1" applyFont="1" applyFill="1" applyBorder="1"/>
    <xf numFmtId="49" fontId="5" fillId="36" borderId="9" xfId="0" applyNumberFormat="1" applyFont="1" applyFill="1" applyBorder="1" applyAlignment="1">
      <alignment horizontal="center"/>
    </xf>
    <xf numFmtId="49" fontId="5" fillId="36" borderId="355" xfId="0" applyNumberFormat="1" applyFont="1" applyFill="1" applyBorder="1" applyAlignment="1">
      <alignment horizontal="left" wrapText="1"/>
    </xf>
    <xf numFmtId="41" fontId="5" fillId="36" borderId="8" xfId="0" applyNumberFormat="1" applyFont="1" applyFill="1" applyBorder="1" applyAlignment="1">
      <alignment wrapText="1"/>
    </xf>
    <xf numFmtId="49" fontId="5" fillId="36" borderId="35" xfId="0" quotePrefix="1" applyNumberFormat="1" applyFont="1" applyFill="1" applyBorder="1"/>
    <xf numFmtId="49" fontId="5" fillId="36" borderId="44" xfId="0" applyNumberFormat="1" applyFont="1" applyFill="1" applyBorder="1"/>
    <xf numFmtId="49" fontId="5" fillId="36" borderId="45" xfId="0" applyNumberFormat="1" applyFont="1" applyFill="1" applyBorder="1"/>
    <xf numFmtId="49" fontId="5" fillId="36" borderId="356" xfId="0" applyNumberFormat="1" applyFont="1" applyFill="1" applyBorder="1" applyAlignment="1">
      <alignment horizontal="left" wrapText="1"/>
    </xf>
    <xf numFmtId="44" fontId="5" fillId="36" borderId="38" xfId="1" applyFont="1" applyFill="1" applyBorder="1" applyAlignment="1">
      <alignment horizontal="center"/>
    </xf>
    <xf numFmtId="164" fontId="5" fillId="36" borderId="47" xfId="0" applyNumberFormat="1" applyFont="1" applyFill="1" applyBorder="1" applyAlignment="1">
      <alignment horizontal="center"/>
    </xf>
    <xf numFmtId="44" fontId="5" fillId="36" borderId="48" xfId="1" applyFont="1" applyFill="1" applyBorder="1" applyAlignment="1">
      <alignment horizontal="center"/>
    </xf>
    <xf numFmtId="40" fontId="5" fillId="36" borderId="35" xfId="0" applyNumberFormat="1" applyFont="1" applyFill="1" applyBorder="1" applyAlignment="1">
      <alignment horizontal="right" wrapText="1"/>
    </xf>
    <xf numFmtId="8" fontId="0" fillId="36" borderId="255" xfId="0" applyNumberFormat="1" applyFill="1" applyBorder="1"/>
    <xf numFmtId="0" fontId="0" fillId="36" borderId="255" xfId="0" applyFill="1" applyBorder="1" applyAlignment="1">
      <alignment horizontal="center"/>
    </xf>
    <xf numFmtId="0" fontId="0" fillId="36" borderId="255" xfId="0" applyFill="1" applyBorder="1"/>
    <xf numFmtId="164" fontId="0" fillId="36" borderId="255" xfId="0" applyNumberFormat="1" applyFill="1" applyBorder="1"/>
    <xf numFmtId="0" fontId="0" fillId="36" borderId="144" xfId="0" applyFill="1" applyBorder="1"/>
    <xf numFmtId="8" fontId="0" fillId="36" borderId="256" xfId="0" applyNumberFormat="1" applyFill="1" applyBorder="1"/>
    <xf numFmtId="0" fontId="0" fillId="36" borderId="256" xfId="0" applyFill="1" applyBorder="1" applyAlignment="1">
      <alignment horizontal="center"/>
    </xf>
    <xf numFmtId="0" fontId="0" fillId="36" borderId="256" xfId="0" applyFill="1" applyBorder="1"/>
    <xf numFmtId="164" fontId="0" fillId="36" borderId="256" xfId="0" applyNumberFormat="1" applyFill="1" applyBorder="1"/>
    <xf numFmtId="0" fontId="0" fillId="36" borderId="146" xfId="0" applyFill="1" applyBorder="1"/>
    <xf numFmtId="0" fontId="3" fillId="40" borderId="0" xfId="0" applyFont="1" applyFill="1"/>
    <xf numFmtId="44" fontId="3" fillId="40" borderId="0" xfId="1" applyFont="1" applyFill="1" applyAlignment="1">
      <alignment horizontal="right"/>
    </xf>
    <xf numFmtId="0" fontId="5" fillId="36" borderId="135" xfId="0" applyFont="1" applyFill="1" applyBorder="1" applyAlignment="1">
      <alignment horizontal="center"/>
    </xf>
    <xf numFmtId="44" fontId="5" fillId="13" borderId="135" xfId="1" applyFont="1" applyFill="1" applyBorder="1"/>
    <xf numFmtId="171" fontId="0" fillId="36" borderId="0" xfId="0" applyNumberFormat="1" applyFill="1"/>
    <xf numFmtId="171" fontId="0" fillId="7" borderId="0" xfId="1" applyNumberFormat="1" applyFont="1" applyFill="1" applyBorder="1"/>
    <xf numFmtId="171" fontId="2" fillId="7" borderId="0" xfId="1" applyNumberFormat="1" applyFont="1" applyFill="1" applyBorder="1"/>
    <xf numFmtId="171" fontId="0" fillId="7" borderId="417" xfId="0" applyNumberFormat="1" applyFill="1" applyBorder="1"/>
    <xf numFmtId="171" fontId="2" fillId="7" borderId="220" xfId="0" applyNumberFormat="1" applyFont="1" applyFill="1" applyBorder="1"/>
    <xf numFmtId="171" fontId="0" fillId="7" borderId="221" xfId="1" applyNumberFormat="1" applyFont="1" applyFill="1" applyBorder="1"/>
    <xf numFmtId="171" fontId="2" fillId="7" borderId="221" xfId="1" applyNumberFormat="1" applyFont="1" applyFill="1" applyBorder="1"/>
    <xf numFmtId="0" fontId="65" fillId="7" borderId="2" xfId="0" applyFont="1" applyFill="1" applyBorder="1"/>
    <xf numFmtId="0" fontId="65" fillId="7" borderId="0" xfId="0" applyFont="1" applyFill="1" applyAlignment="1">
      <alignment horizontal="center"/>
    </xf>
    <xf numFmtId="44" fontId="0" fillId="7" borderId="60" xfId="0" applyNumberFormat="1" applyFill="1" applyBorder="1"/>
    <xf numFmtId="171" fontId="0" fillId="7" borderId="272" xfId="0" applyNumberFormat="1" applyFill="1" applyBorder="1"/>
    <xf numFmtId="171" fontId="0" fillId="7" borderId="275" xfId="0" applyNumberFormat="1" applyFill="1" applyBorder="1"/>
    <xf numFmtId="171" fontId="2" fillId="7" borderId="418" xfId="0" applyNumberFormat="1" applyFont="1" applyFill="1" applyBorder="1"/>
    <xf numFmtId="171" fontId="0" fillId="7" borderId="419" xfId="1" applyNumberFormat="1" applyFont="1" applyFill="1" applyBorder="1"/>
    <xf numFmtId="171" fontId="2" fillId="7" borderId="420" xfId="0" applyNumberFormat="1" applyFont="1" applyFill="1" applyBorder="1"/>
    <xf numFmtId="171" fontId="2" fillId="7" borderId="419" xfId="1" applyNumberFormat="1" applyFont="1" applyFill="1" applyBorder="1"/>
    <xf numFmtId="171" fontId="2" fillId="7" borderId="421" xfId="0" applyNumberFormat="1" applyFont="1" applyFill="1" applyBorder="1"/>
    <xf numFmtId="0" fontId="2" fillId="7" borderId="314" xfId="0" applyFont="1" applyFill="1" applyBorder="1"/>
    <xf numFmtId="0" fontId="2" fillId="7" borderId="0" xfId="0" applyFont="1" applyFill="1" applyAlignment="1">
      <alignment wrapText="1"/>
    </xf>
    <xf numFmtId="44" fontId="0" fillId="7" borderId="0" xfId="0" applyNumberFormat="1" applyFill="1" applyAlignment="1">
      <alignment wrapText="1"/>
    </xf>
    <xf numFmtId="0" fontId="4" fillId="7" borderId="59" xfId="0" applyFont="1" applyFill="1" applyBorder="1"/>
    <xf numFmtId="0" fontId="4" fillId="7" borderId="60" xfId="0" applyFont="1" applyFill="1" applyBorder="1"/>
    <xf numFmtId="44" fontId="4" fillId="7" borderId="60" xfId="0" applyNumberFormat="1" applyFont="1" applyFill="1" applyBorder="1"/>
    <xf numFmtId="44" fontId="4" fillId="7" borderId="60" xfId="1" applyFont="1" applyFill="1" applyBorder="1"/>
    <xf numFmtId="44" fontId="4" fillId="36" borderId="60" xfId="0" applyNumberFormat="1" applyFont="1" applyFill="1" applyBorder="1"/>
    <xf numFmtId="0" fontId="4" fillId="7" borderId="15" xfId="0" applyFont="1" applyFill="1" applyBorder="1"/>
    <xf numFmtId="0" fontId="4" fillId="7" borderId="22" xfId="0" applyFont="1" applyFill="1" applyBorder="1"/>
    <xf numFmtId="0" fontId="5" fillId="36" borderId="39" xfId="0" applyFont="1" applyFill="1" applyBorder="1" applyAlignment="1">
      <alignment wrapText="1"/>
    </xf>
    <xf numFmtId="0" fontId="5" fillId="36" borderId="49" xfId="0" applyFont="1" applyFill="1" applyBorder="1" applyAlignment="1">
      <alignment wrapText="1"/>
    </xf>
    <xf numFmtId="166" fontId="5" fillId="0" borderId="60" xfId="0" applyNumberFormat="1" applyFont="1" applyBorder="1" applyAlignment="1">
      <alignment horizontal="center"/>
    </xf>
    <xf numFmtId="166" fontId="5" fillId="15" borderId="422" xfId="0" applyNumberFormat="1" applyFont="1" applyFill="1" applyBorder="1" applyAlignment="1">
      <alignment horizontal="center"/>
    </xf>
    <xf numFmtId="166" fontId="5" fillId="0" borderId="423" xfId="0" applyNumberFormat="1" applyFont="1" applyBorder="1" applyAlignment="1">
      <alignment horizontal="center"/>
    </xf>
    <xf numFmtId="6" fontId="5" fillId="36" borderId="423" xfId="0" applyNumberFormat="1" applyFont="1" applyFill="1" applyBorder="1"/>
    <xf numFmtId="167" fontId="5" fillId="36" borderId="423" xfId="2" applyNumberFormat="1" applyFont="1" applyFill="1" applyBorder="1"/>
    <xf numFmtId="6" fontId="5" fillId="15" borderId="423" xfId="0" applyNumberFormat="1" applyFont="1" applyFill="1" applyBorder="1"/>
    <xf numFmtId="8" fontId="5" fillId="36" borderId="423" xfId="0" applyNumberFormat="1" applyFont="1" applyFill="1" applyBorder="1"/>
    <xf numFmtId="172" fontId="5" fillId="15" borderId="423" xfId="2" applyNumberFormat="1" applyFont="1" applyFill="1" applyBorder="1"/>
    <xf numFmtId="6" fontId="5" fillId="15" borderId="424" xfId="0" applyNumberFormat="1" applyFont="1" applyFill="1" applyBorder="1"/>
    <xf numFmtId="166" fontId="5" fillId="15" borderId="388" xfId="0" applyNumberFormat="1" applyFont="1" applyFill="1" applyBorder="1" applyAlignment="1">
      <alignment horizontal="center"/>
    </xf>
    <xf numFmtId="166" fontId="5" fillId="0" borderId="72" xfId="0" applyNumberFormat="1" applyFont="1" applyBorder="1" applyAlignment="1">
      <alignment horizontal="center"/>
    </xf>
    <xf numFmtId="6" fontId="5" fillId="36" borderId="72" xfId="0" applyNumberFormat="1" applyFont="1" applyFill="1" applyBorder="1"/>
    <xf numFmtId="167" fontId="5" fillId="36" borderId="72" xfId="2" applyNumberFormat="1" applyFont="1" applyFill="1" applyBorder="1"/>
    <xf numFmtId="6" fontId="5" fillId="15" borderId="72" xfId="0" applyNumberFormat="1" applyFont="1" applyFill="1" applyBorder="1"/>
    <xf numFmtId="8" fontId="5" fillId="36" borderId="72" xfId="0" applyNumberFormat="1" applyFont="1" applyFill="1" applyBorder="1"/>
    <xf numFmtId="6" fontId="5" fillId="15" borderId="425" xfId="0" applyNumberFormat="1" applyFont="1" applyFill="1" applyBorder="1"/>
    <xf numFmtId="166" fontId="5" fillId="15" borderId="426" xfId="0" applyNumberFormat="1" applyFont="1" applyFill="1" applyBorder="1" applyAlignment="1">
      <alignment horizontal="center"/>
    </xf>
    <xf numFmtId="166" fontId="5" fillId="0" borderId="75" xfId="0" applyNumberFormat="1" applyFont="1" applyBorder="1" applyAlignment="1">
      <alignment horizontal="center"/>
    </xf>
    <xf numFmtId="6" fontId="5" fillId="36" borderId="75" xfId="0" applyNumberFormat="1" applyFont="1" applyFill="1" applyBorder="1"/>
    <xf numFmtId="167" fontId="5" fillId="36" borderId="75" xfId="2" applyNumberFormat="1" applyFont="1" applyFill="1" applyBorder="1"/>
    <xf numFmtId="6" fontId="5" fillId="15" borderId="75" xfId="0" applyNumberFormat="1" applyFont="1" applyFill="1" applyBorder="1"/>
    <xf numFmtId="8" fontId="5" fillId="36" borderId="75" xfId="0" applyNumberFormat="1" applyFont="1" applyFill="1" applyBorder="1"/>
    <xf numFmtId="6" fontId="5" fillId="15" borderId="427" xfId="0" applyNumberFormat="1" applyFont="1" applyFill="1" applyBorder="1"/>
    <xf numFmtId="166" fontId="4" fillId="0" borderId="97" xfId="0" applyNumberFormat="1" applyFont="1" applyBorder="1" applyAlignment="1">
      <alignment horizontal="center"/>
    </xf>
    <xf numFmtId="166" fontId="4" fillId="0" borderId="88" xfId="0" applyNumberFormat="1" applyFont="1" applyBorder="1" applyAlignment="1">
      <alignment horizontal="center"/>
    </xf>
    <xf numFmtId="165" fontId="4" fillId="0" borderId="88" xfId="0" applyNumberFormat="1" applyFont="1" applyBorder="1" applyAlignment="1">
      <alignment horizontal="center"/>
    </xf>
    <xf numFmtId="167" fontId="4" fillId="0" borderId="88" xfId="2" applyNumberFormat="1" applyFont="1" applyBorder="1" applyAlignment="1">
      <alignment horizontal="center"/>
    </xf>
    <xf numFmtId="0" fontId="4" fillId="0" borderId="88" xfId="0" applyFont="1" applyBorder="1" applyAlignment="1">
      <alignment horizontal="center"/>
    </xf>
    <xf numFmtId="0" fontId="4" fillId="0" borderId="204" xfId="0" applyFont="1" applyBorder="1" applyAlignment="1">
      <alignment horizontal="center"/>
    </xf>
    <xf numFmtId="49" fontId="5" fillId="36" borderId="8" xfId="0" applyNumberFormat="1" applyFont="1" applyFill="1" applyBorder="1" applyAlignment="1">
      <alignment horizontal="center"/>
    </xf>
    <xf numFmtId="164" fontId="5" fillId="36" borderId="9" xfId="0" applyNumberFormat="1" applyFont="1" applyFill="1" applyBorder="1" applyAlignment="1">
      <alignment horizontal="center"/>
    </xf>
    <xf numFmtId="43" fontId="5" fillId="36" borderId="10" xfId="0" applyNumberFormat="1" applyFont="1" applyFill="1" applyBorder="1" applyAlignment="1">
      <alignment horizontal="center"/>
    </xf>
    <xf numFmtId="49" fontId="5" fillId="36" borderId="8" xfId="0" applyNumberFormat="1" applyFont="1" applyFill="1" applyBorder="1" applyAlignment="1">
      <alignment horizontal="left"/>
    </xf>
    <xf numFmtId="49" fontId="5" fillId="36" borderId="43" xfId="0" applyNumberFormat="1" applyFont="1" applyFill="1" applyBorder="1" applyAlignment="1">
      <alignment horizontal="center"/>
    </xf>
    <xf numFmtId="49" fontId="5" fillId="36" borderId="44" xfId="0" applyNumberFormat="1" applyFont="1" applyFill="1" applyBorder="1" applyAlignment="1">
      <alignment horizontal="center"/>
    </xf>
    <xf numFmtId="43" fontId="5" fillId="36" borderId="428" xfId="0" applyNumberFormat="1" applyFont="1" applyFill="1" applyBorder="1" applyAlignment="1">
      <alignment horizontal="center"/>
    </xf>
    <xf numFmtId="0" fontId="6" fillId="7" borderId="21" xfId="0" applyFont="1" applyFill="1" applyBorder="1" applyAlignment="1">
      <alignment horizontal="center"/>
    </xf>
    <xf numFmtId="10" fontId="5" fillId="36" borderId="0" xfId="0" applyNumberFormat="1" applyFont="1" applyFill="1" applyAlignment="1">
      <alignment horizontal="center"/>
    </xf>
    <xf numFmtId="0" fontId="51" fillId="17" borderId="138" xfId="0" applyFont="1" applyFill="1" applyBorder="1" applyAlignment="1">
      <alignment vertical="center"/>
    </xf>
    <xf numFmtId="43" fontId="56" fillId="13" borderId="106" xfId="0" applyNumberFormat="1" applyFont="1" applyFill="1" applyBorder="1" applyAlignment="1">
      <alignment horizontal="left"/>
    </xf>
    <xf numFmtId="0" fontId="33" fillId="15" borderId="168" xfId="0" applyFont="1" applyFill="1" applyBorder="1" applyAlignment="1">
      <alignment horizontal="left"/>
    </xf>
    <xf numFmtId="0" fontId="0" fillId="36" borderId="429" xfId="0" applyFill="1" applyBorder="1"/>
    <xf numFmtId="43" fontId="0" fillId="36" borderId="430" xfId="0" applyNumberFormat="1" applyFill="1" applyBorder="1"/>
    <xf numFmtId="43" fontId="20" fillId="36" borderId="431" xfId="0" applyNumberFormat="1" applyFont="1" applyFill="1" applyBorder="1"/>
    <xf numFmtId="0" fontId="0" fillId="36" borderId="231" xfId="0" applyFill="1" applyBorder="1"/>
    <xf numFmtId="43" fontId="0" fillId="36" borderId="37" xfId="0" applyNumberFormat="1" applyFill="1" applyBorder="1"/>
    <xf numFmtId="43" fontId="20" fillId="36" borderId="232" xfId="0" applyNumberFormat="1" applyFont="1" applyFill="1" applyBorder="1"/>
    <xf numFmtId="0" fontId="0" fillId="36" borderId="432" xfId="0" applyFill="1" applyBorder="1"/>
    <xf numFmtId="43" fontId="0" fillId="36" borderId="47" xfId="0" applyNumberFormat="1" applyFill="1" applyBorder="1"/>
    <xf numFmtId="43" fontId="20" fillId="36" borderId="433" xfId="0" applyNumberFormat="1" applyFont="1" applyFill="1" applyBorder="1"/>
    <xf numFmtId="0" fontId="0" fillId="36" borderId="88" xfId="0" applyFill="1" applyBorder="1" applyAlignment="1">
      <alignment horizontal="left" wrapText="1"/>
    </xf>
    <xf numFmtId="49" fontId="0" fillId="36" borderId="88" xfId="0" quotePrefix="1" applyNumberFormat="1" applyFill="1" applyBorder="1" applyAlignment="1">
      <alignment horizontal="left"/>
    </xf>
    <xf numFmtId="0" fontId="0" fillId="36" borderId="88" xfId="0" applyFill="1" applyBorder="1" applyAlignment="1">
      <alignment horizontal="left"/>
    </xf>
    <xf numFmtId="49" fontId="20" fillId="36" borderId="88" xfId="0" quotePrefix="1" applyNumberFormat="1" applyFont="1" applyFill="1" applyBorder="1" applyAlignment="1">
      <alignment horizontal="left"/>
    </xf>
    <xf numFmtId="49" fontId="20" fillId="36" borderId="88" xfId="0" applyNumberFormat="1" applyFont="1" applyFill="1" applyBorder="1" applyAlignment="1">
      <alignment horizontal="left"/>
    </xf>
    <xf numFmtId="0" fontId="0" fillId="7" borderId="101" xfId="0" applyFill="1" applyBorder="1" applyAlignment="1">
      <alignment horizontal="left" wrapText="1"/>
    </xf>
    <xf numFmtId="0" fontId="0" fillId="36" borderId="98" xfId="0" applyFill="1" applyBorder="1" applyAlignment="1">
      <alignment horizontal="left" wrapText="1"/>
    </xf>
    <xf numFmtId="0" fontId="0" fillId="7" borderId="98" xfId="0" applyFill="1" applyBorder="1" applyAlignment="1">
      <alignment horizontal="left" wrapText="1"/>
    </xf>
    <xf numFmtId="0" fontId="0" fillId="36" borderId="102" xfId="0" applyFill="1" applyBorder="1" applyAlignment="1">
      <alignment horizontal="left" wrapText="1"/>
    </xf>
    <xf numFmtId="49" fontId="0" fillId="36" borderId="98" xfId="0" quotePrefix="1" applyNumberFormat="1" applyFill="1" applyBorder="1" applyAlignment="1">
      <alignment horizontal="left" wrapText="1"/>
    </xf>
    <xf numFmtId="0" fontId="20" fillId="36" borderId="98" xfId="0" applyFont="1" applyFill="1" applyBorder="1" applyAlignment="1">
      <alignment horizontal="left" wrapText="1"/>
    </xf>
    <xf numFmtId="0" fontId="0" fillId="7" borderId="102" xfId="0" applyFill="1" applyBorder="1" applyAlignment="1">
      <alignment horizontal="left" wrapText="1"/>
    </xf>
    <xf numFmtId="0" fontId="20" fillId="36" borderId="21" xfId="0" quotePrefix="1" applyFont="1" applyFill="1" applyBorder="1" applyAlignment="1">
      <alignment horizontal="left" wrapText="1"/>
    </xf>
    <xf numFmtId="0" fontId="20" fillId="36" borderId="227" xfId="0" applyFont="1" applyFill="1" applyBorder="1" applyAlignment="1">
      <alignment horizontal="left" wrapText="1"/>
    </xf>
    <xf numFmtId="0" fontId="20" fillId="7" borderId="227" xfId="0" applyFont="1" applyFill="1" applyBorder="1" applyAlignment="1">
      <alignment horizontal="left" wrapText="1"/>
    </xf>
    <xf numFmtId="8" fontId="0" fillId="0" borderId="0" xfId="0" applyNumberFormat="1" applyAlignment="1">
      <alignment horizontal="right"/>
    </xf>
    <xf numFmtId="43" fontId="2" fillId="36" borderId="0" xfId="0" applyNumberFormat="1" applyFont="1" applyFill="1" applyAlignment="1">
      <alignment horizontal="center"/>
    </xf>
    <xf numFmtId="169" fontId="0" fillId="7" borderId="371" xfId="0" applyNumberFormat="1" applyFill="1" applyBorder="1" applyAlignment="1">
      <alignment horizontal="center"/>
    </xf>
    <xf numFmtId="169" fontId="0" fillId="7" borderId="372" xfId="0" applyNumberFormat="1" applyFill="1" applyBorder="1" applyAlignment="1">
      <alignment horizontal="center"/>
    </xf>
    <xf numFmtId="169" fontId="2" fillId="15" borderId="391" xfId="0" applyNumberFormat="1" applyFont="1" applyFill="1" applyBorder="1" applyAlignment="1">
      <alignment horizontal="center"/>
    </xf>
    <xf numFmtId="0" fontId="0" fillId="7" borderId="434" xfId="0" applyFill="1" applyBorder="1"/>
    <xf numFmtId="0" fontId="2" fillId="15" borderId="435" xfId="0" applyFont="1" applyFill="1" applyBorder="1" applyAlignment="1">
      <alignment horizontal="center" wrapText="1"/>
    </xf>
    <xf numFmtId="8" fontId="2" fillId="15" borderId="436" xfId="0" applyNumberFormat="1" applyFont="1" applyFill="1" applyBorder="1"/>
    <xf numFmtId="171" fontId="0" fillId="7" borderId="137" xfId="1" applyNumberFormat="1" applyFont="1" applyFill="1" applyBorder="1"/>
    <xf numFmtId="0" fontId="0" fillId="8" borderId="0" xfId="0" applyFill="1" applyAlignment="1">
      <alignment horizontal="left"/>
    </xf>
    <xf numFmtId="0" fontId="5" fillId="29" borderId="37" xfId="0" applyFont="1" applyFill="1" applyBorder="1"/>
    <xf numFmtId="0" fontId="58" fillId="20" borderId="257" xfId="0" applyFont="1" applyFill="1" applyBorder="1" applyAlignment="1">
      <alignment horizontal="centerContinuous" wrapText="1"/>
    </xf>
    <xf numFmtId="14" fontId="0" fillId="36" borderId="135" xfId="0" applyNumberFormat="1" applyFill="1" applyBorder="1" applyAlignment="1">
      <alignment horizontal="center"/>
    </xf>
    <xf numFmtId="173" fontId="0" fillId="0" borderId="0" xfId="0" applyNumberFormat="1" applyAlignment="1">
      <alignment wrapText="1"/>
    </xf>
    <xf numFmtId="0" fontId="0" fillId="32" borderId="259" xfId="0" applyFill="1" applyBorder="1" applyAlignment="1">
      <alignment wrapText="1"/>
    </xf>
    <xf numFmtId="168" fontId="0" fillId="32" borderId="260" xfId="2" applyNumberFormat="1" applyFont="1" applyFill="1" applyBorder="1" applyAlignment="1">
      <alignment wrapText="1"/>
    </xf>
    <xf numFmtId="172" fontId="0" fillId="6" borderId="9" xfId="0" applyNumberFormat="1" applyFill="1" applyBorder="1" applyAlignment="1">
      <alignment horizontal="center" wrapText="1"/>
    </xf>
    <xf numFmtId="172" fontId="0" fillId="32" borderId="9" xfId="0" applyNumberFormat="1" applyFill="1" applyBorder="1" applyAlignment="1">
      <alignment horizontal="center" wrapText="1"/>
    </xf>
    <xf numFmtId="0" fontId="0" fillId="0" borderId="0" xfId="0" applyAlignment="1">
      <alignment horizontal="right" wrapText="1"/>
    </xf>
    <xf numFmtId="0" fontId="8" fillId="0" borderId="1" xfId="0" applyFont="1" applyBorder="1"/>
    <xf numFmtId="0" fontId="8" fillId="0" borderId="20" xfId="0" applyFont="1" applyBorder="1"/>
    <xf numFmtId="10" fontId="0" fillId="29" borderId="20" xfId="0" applyNumberFormat="1" applyFill="1" applyBorder="1" applyAlignment="1">
      <alignment wrapText="1"/>
    </xf>
    <xf numFmtId="173" fontId="0" fillId="29" borderId="0" xfId="0" applyNumberFormat="1" applyFill="1" applyAlignment="1">
      <alignment wrapText="1"/>
    </xf>
    <xf numFmtId="10" fontId="0" fillId="0" borderId="0" xfId="0" applyNumberFormat="1" applyAlignment="1">
      <alignment wrapText="1"/>
    </xf>
    <xf numFmtId="173" fontId="0" fillId="0" borderId="21" xfId="2" applyNumberFormat="1" applyFont="1" applyBorder="1" applyAlignment="1">
      <alignment wrapText="1"/>
    </xf>
    <xf numFmtId="10" fontId="0" fillId="29" borderId="59" xfId="0" applyNumberFormat="1" applyFill="1" applyBorder="1" applyAlignment="1">
      <alignment wrapText="1"/>
    </xf>
    <xf numFmtId="173" fontId="0" fillId="29" borderId="60" xfId="0" applyNumberFormat="1" applyFill="1" applyBorder="1" applyAlignment="1">
      <alignment wrapText="1"/>
    </xf>
    <xf numFmtId="0" fontId="26" fillId="37" borderId="345" xfId="0" applyFont="1" applyFill="1" applyBorder="1" applyAlignment="1">
      <alignment horizontal="left" wrapText="1"/>
    </xf>
    <xf numFmtId="0" fontId="20" fillId="7" borderId="91" xfId="0" applyFont="1" applyFill="1" applyBorder="1"/>
    <xf numFmtId="0" fontId="0" fillId="42" borderId="0" xfId="0" applyFill="1"/>
    <xf numFmtId="44" fontId="5" fillId="7" borderId="0" xfId="1" applyFont="1" applyFill="1" applyBorder="1"/>
    <xf numFmtId="44" fontId="5" fillId="7" borderId="62" xfId="1" applyFont="1" applyFill="1" applyBorder="1"/>
    <xf numFmtId="0" fontId="17" fillId="7" borderId="0" xfId="0" applyFont="1" applyFill="1" applyAlignment="1">
      <alignment wrapText="1"/>
    </xf>
    <xf numFmtId="44" fontId="17" fillId="7" borderId="0" xfId="1" applyFont="1" applyFill="1" applyBorder="1"/>
    <xf numFmtId="44" fontId="17" fillId="7" borderId="0" xfId="1" applyFont="1" applyFill="1" applyBorder="1" applyAlignment="1">
      <alignment wrapText="1"/>
    </xf>
    <xf numFmtId="44" fontId="17" fillId="7" borderId="0" xfId="1" applyFont="1" applyFill="1" applyBorder="1" applyAlignment="1">
      <alignment horizontal="center"/>
    </xf>
    <xf numFmtId="169" fontId="17" fillId="8" borderId="0" xfId="2" applyNumberFormat="1" applyFont="1" applyFill="1" applyBorder="1"/>
    <xf numFmtId="0" fontId="17" fillId="7" borderId="80" xfId="0" applyFont="1" applyFill="1" applyBorder="1" applyAlignment="1">
      <alignment horizontal="right"/>
    </xf>
    <xf numFmtId="44" fontId="17" fillId="7" borderId="135" xfId="1" applyFont="1" applyFill="1" applyBorder="1"/>
    <xf numFmtId="169" fontId="17" fillId="7" borderId="0" xfId="2" applyNumberFormat="1" applyFont="1" applyFill="1" applyBorder="1"/>
    <xf numFmtId="44" fontId="104" fillId="7" borderId="0" xfId="1" applyFont="1" applyFill="1" applyBorder="1"/>
    <xf numFmtId="0" fontId="17" fillId="7" borderId="60" xfId="0" applyFont="1" applyFill="1" applyBorder="1"/>
    <xf numFmtId="183" fontId="17" fillId="43" borderId="60" xfId="6" applyNumberFormat="1" applyFont="1" applyFill="1" applyBorder="1" applyAlignment="1">
      <alignment horizontal="center"/>
    </xf>
    <xf numFmtId="44" fontId="17" fillId="7" borderId="60" xfId="1" applyFont="1" applyFill="1" applyBorder="1"/>
    <xf numFmtId="44" fontId="17" fillId="0" borderId="60" xfId="1" applyFont="1" applyBorder="1"/>
    <xf numFmtId="183" fontId="17" fillId="43" borderId="60" xfId="6" applyNumberFormat="1" applyFont="1" applyFill="1" applyBorder="1"/>
    <xf numFmtId="0" fontId="17" fillId="0" borderId="60" xfId="0" applyFont="1" applyBorder="1"/>
    <xf numFmtId="44" fontId="17" fillId="43" borderId="60" xfId="1" applyFont="1" applyFill="1" applyBorder="1" applyAlignment="1">
      <alignment horizontal="center"/>
    </xf>
    <xf numFmtId="10" fontId="17" fillId="0" borderId="0" xfId="0" applyNumberFormat="1" applyFont="1"/>
    <xf numFmtId="44" fontId="4" fillId="7" borderId="62" xfId="1" applyFont="1" applyFill="1" applyBorder="1" applyAlignment="1">
      <alignment horizontal="center"/>
    </xf>
    <xf numFmtId="44" fontId="4" fillId="7" borderId="62" xfId="1" applyFont="1" applyFill="1" applyBorder="1" applyAlignment="1">
      <alignment horizontal="center" wrapText="1"/>
    </xf>
    <xf numFmtId="44" fontId="18" fillId="7" borderId="62" xfId="1" applyFont="1" applyFill="1" applyBorder="1" applyAlignment="1">
      <alignment horizontal="center" wrapText="1"/>
    </xf>
    <xf numFmtId="167" fontId="5" fillId="7" borderId="0" xfId="2" applyNumberFormat="1" applyFont="1" applyFill="1" applyAlignment="1">
      <alignment horizontal="center"/>
    </xf>
    <xf numFmtId="169" fontId="17" fillId="7" borderId="0" xfId="2" applyNumberFormat="1" applyFont="1" applyFill="1"/>
    <xf numFmtId="169" fontId="5" fillId="7" borderId="0" xfId="2" applyNumberFormat="1" applyFont="1" applyFill="1"/>
    <xf numFmtId="0" fontId="5" fillId="7" borderId="62" xfId="0" applyFont="1" applyFill="1" applyBorder="1"/>
    <xf numFmtId="167" fontId="5" fillId="7" borderId="62" xfId="2" applyNumberFormat="1" applyFont="1" applyFill="1" applyBorder="1" applyAlignment="1">
      <alignment horizontal="center"/>
    </xf>
    <xf numFmtId="169" fontId="17" fillId="7" borderId="62" xfId="2" applyNumberFormat="1" applyFont="1" applyFill="1" applyBorder="1"/>
    <xf numFmtId="169" fontId="5" fillId="7" borderId="62" xfId="2" applyNumberFormat="1" applyFont="1" applyFill="1" applyBorder="1"/>
    <xf numFmtId="167" fontId="4" fillId="7" borderId="0" xfId="2" applyNumberFormat="1" applyFont="1" applyFill="1" applyAlignment="1">
      <alignment horizontal="center"/>
    </xf>
    <xf numFmtId="169" fontId="18" fillId="7" borderId="0" xfId="2" applyNumberFormat="1" applyFont="1" applyFill="1"/>
    <xf numFmtId="169" fontId="4" fillId="7" borderId="0" xfId="2" applyNumberFormat="1" applyFont="1" applyFill="1"/>
    <xf numFmtId="44" fontId="4" fillId="7" borderId="0" xfId="1" applyFont="1" applyFill="1" applyBorder="1"/>
    <xf numFmtId="44" fontId="5" fillId="7" borderId="0" xfId="1" applyFont="1" applyFill="1" applyAlignment="1">
      <alignment horizontal="center"/>
    </xf>
    <xf numFmtId="182" fontId="5" fillId="7" borderId="62" xfId="1" applyNumberFormat="1" applyFont="1" applyFill="1" applyBorder="1" applyAlignment="1">
      <alignment horizontal="center"/>
    </xf>
    <xf numFmtId="175" fontId="5" fillId="7" borderId="62" xfId="1" applyNumberFormat="1" applyFont="1" applyFill="1" applyBorder="1" applyAlignment="1">
      <alignment horizontal="center"/>
    </xf>
    <xf numFmtId="183" fontId="17" fillId="7" borderId="0" xfId="6" applyNumberFormat="1" applyFont="1" applyFill="1" applyBorder="1"/>
    <xf numFmtId="49" fontId="5" fillId="7" borderId="0" xfId="1" applyNumberFormat="1" applyFont="1" applyFill="1"/>
    <xf numFmtId="49" fontId="5" fillId="7" borderId="62" xfId="1" applyNumberFormat="1" applyFont="1" applyFill="1" applyBorder="1"/>
    <xf numFmtId="44" fontId="5" fillId="8" borderId="0" xfId="1" applyFont="1" applyFill="1"/>
    <xf numFmtId="44" fontId="5" fillId="8" borderId="62" xfId="1" applyFont="1" applyFill="1" applyBorder="1"/>
    <xf numFmtId="182" fontId="17" fillId="8" borderId="0" xfId="1" applyNumberFormat="1" applyFont="1" applyFill="1" applyBorder="1" applyAlignment="1">
      <alignment horizontal="center"/>
    </xf>
    <xf numFmtId="38" fontId="5" fillId="8" borderId="0" xfId="6" applyNumberFormat="1" applyFont="1" applyFill="1" applyBorder="1" applyAlignment="1">
      <alignment horizontal="center"/>
    </xf>
    <xf numFmtId="44" fontId="5" fillId="7" borderId="0" xfId="1" applyFont="1" applyFill="1" applyBorder="1" applyAlignment="1">
      <alignment horizontal="left"/>
    </xf>
    <xf numFmtId="0" fontId="35" fillId="7" borderId="0" xfId="0" applyFont="1" applyFill="1" applyAlignment="1">
      <alignment horizontal="left"/>
    </xf>
    <xf numFmtId="44" fontId="35" fillId="7" borderId="0" xfId="1" applyFont="1" applyFill="1" applyAlignment="1">
      <alignment horizontal="left"/>
    </xf>
    <xf numFmtId="44" fontId="5" fillId="7" borderId="0" xfId="1" applyFont="1" applyFill="1" applyAlignment="1">
      <alignment horizontal="left"/>
    </xf>
    <xf numFmtId="0" fontId="0" fillId="7" borderId="437" xfId="0" applyFill="1" applyBorder="1" applyAlignment="1">
      <alignment horizontal="left"/>
    </xf>
    <xf numFmtId="0" fontId="2" fillId="7" borderId="437" xfId="0" applyFont="1" applyFill="1" applyBorder="1" applyAlignment="1">
      <alignment horizontal="left"/>
    </xf>
    <xf numFmtId="0" fontId="0" fillId="7" borderId="437" xfId="0" applyFill="1" applyBorder="1"/>
    <xf numFmtId="44" fontId="0" fillId="7" borderId="437" xfId="1" applyFont="1" applyFill="1" applyBorder="1" applyAlignment="1">
      <alignment horizontal="left"/>
    </xf>
    <xf numFmtId="44" fontId="0" fillId="7" borderId="437" xfId="1" applyFont="1" applyFill="1" applyBorder="1"/>
    <xf numFmtId="14" fontId="0" fillId="7" borderId="437" xfId="0" applyNumberFormat="1" applyFill="1" applyBorder="1" applyAlignment="1">
      <alignment horizontal="left"/>
    </xf>
    <xf numFmtId="38" fontId="0" fillId="7" borderId="437" xfId="1" applyNumberFormat="1" applyFont="1" applyFill="1" applyBorder="1" applyAlignment="1">
      <alignment horizontal="left"/>
    </xf>
    <xf numFmtId="10" fontId="0" fillId="7" borderId="437" xfId="2" applyNumberFormat="1" applyFont="1" applyFill="1" applyBorder="1" applyAlignment="1">
      <alignment horizontal="left"/>
    </xf>
    <xf numFmtId="8" fontId="0" fillId="7" borderId="437" xfId="0" applyNumberFormat="1" applyFill="1" applyBorder="1"/>
    <xf numFmtId="8" fontId="0" fillId="7" borderId="437" xfId="1" applyNumberFormat="1" applyFont="1" applyFill="1" applyBorder="1" applyAlignment="1">
      <alignment horizontal="left"/>
    </xf>
    <xf numFmtId="169" fontId="0" fillId="7" borderId="437" xfId="2" applyNumberFormat="1" applyFont="1" applyFill="1" applyBorder="1" applyAlignment="1">
      <alignment horizontal="left"/>
    </xf>
    <xf numFmtId="0" fontId="0" fillId="7" borderId="437" xfId="2" applyNumberFormat="1" applyFont="1" applyFill="1" applyBorder="1" applyAlignment="1">
      <alignment horizontal="left"/>
    </xf>
    <xf numFmtId="165" fontId="0" fillId="7" borderId="437" xfId="1" applyNumberFormat="1" applyFont="1" applyFill="1" applyBorder="1" applyAlignment="1">
      <alignment horizontal="left"/>
    </xf>
    <xf numFmtId="165" fontId="0" fillId="7" borderId="437" xfId="2" applyNumberFormat="1" applyFont="1" applyFill="1" applyBorder="1" applyAlignment="1">
      <alignment horizontal="left"/>
    </xf>
    <xf numFmtId="0" fontId="0" fillId="7" borderId="438" xfId="0" applyFill="1" applyBorder="1" applyAlignment="1">
      <alignment horizontal="left"/>
    </xf>
    <xf numFmtId="0" fontId="0" fillId="7" borderId="438" xfId="1" applyNumberFormat="1" applyFont="1" applyFill="1" applyBorder="1" applyAlignment="1">
      <alignment horizontal="left"/>
    </xf>
    <xf numFmtId="0" fontId="0" fillId="7" borderId="438" xfId="2" applyNumberFormat="1" applyFont="1" applyFill="1" applyBorder="1" applyAlignment="1">
      <alignment horizontal="left"/>
    </xf>
    <xf numFmtId="8" fontId="0" fillId="7" borderId="438" xfId="1" applyNumberFormat="1" applyFont="1" applyFill="1" applyBorder="1" applyAlignment="1">
      <alignment horizontal="left"/>
    </xf>
    <xf numFmtId="44" fontId="0" fillId="7" borderId="438" xfId="1" applyFont="1" applyFill="1" applyBorder="1"/>
    <xf numFmtId="8" fontId="0" fillId="7" borderId="0" xfId="1" applyNumberFormat="1" applyFont="1" applyFill="1" applyAlignment="1">
      <alignment horizontal="left"/>
    </xf>
    <xf numFmtId="8" fontId="0" fillId="7" borderId="0" xfId="1" applyNumberFormat="1" applyFont="1" applyFill="1" applyBorder="1" applyAlignment="1">
      <alignment horizontal="left"/>
    </xf>
    <xf numFmtId="0" fontId="105" fillId="7" borderId="0" xfId="0" quotePrefix="1" applyFont="1" applyFill="1"/>
    <xf numFmtId="8" fontId="5" fillId="7" borderId="0" xfId="1" applyNumberFormat="1" applyFont="1" applyFill="1" applyBorder="1" applyAlignment="1">
      <alignment horizontal="left"/>
    </xf>
    <xf numFmtId="8" fontId="5" fillId="7" borderId="0" xfId="1" applyNumberFormat="1" applyFont="1" applyFill="1" applyAlignment="1">
      <alignment horizontal="left"/>
    </xf>
    <xf numFmtId="0" fontId="105" fillId="7" borderId="107" xfId="0" quotePrefix="1" applyFont="1" applyFill="1" applyBorder="1"/>
    <xf numFmtId="8" fontId="0" fillId="7" borderId="107" xfId="1" applyNumberFormat="1" applyFont="1" applyFill="1" applyBorder="1"/>
    <xf numFmtId="8" fontId="5" fillId="7" borderId="107" xfId="1" applyNumberFormat="1" applyFont="1" applyFill="1" applyBorder="1"/>
    <xf numFmtId="44" fontId="5" fillId="7" borderId="107" xfId="1" applyFont="1" applyFill="1" applyBorder="1"/>
    <xf numFmtId="44" fontId="0" fillId="7" borderId="0" xfId="1" applyFont="1" applyFill="1" applyBorder="1"/>
    <xf numFmtId="0" fontId="106" fillId="7" borderId="0" xfId="0" applyFont="1" applyFill="1" applyAlignment="1">
      <alignment horizontal="center"/>
    </xf>
    <xf numFmtId="0" fontId="106" fillId="7" borderId="0" xfId="0" applyFont="1" applyFill="1"/>
    <xf numFmtId="44" fontId="106" fillId="7" borderId="0" xfId="1" applyFont="1" applyFill="1" applyBorder="1" applyAlignment="1">
      <alignment horizontal="centerContinuous"/>
    </xf>
    <xf numFmtId="0" fontId="28" fillId="7" borderId="0" xfId="0" applyFont="1" applyFill="1" applyAlignment="1">
      <alignment horizontal="center"/>
    </xf>
    <xf numFmtId="44" fontId="108" fillId="7" borderId="0" xfId="1" applyFont="1" applyFill="1" applyBorder="1" applyAlignment="1">
      <alignment horizontal="centerContinuous"/>
    </xf>
    <xf numFmtId="0" fontId="106" fillId="0" borderId="0" xfId="0" applyFont="1"/>
    <xf numFmtId="0" fontId="2" fillId="7" borderId="107" xfId="0" applyFont="1" applyFill="1" applyBorder="1" applyAlignment="1">
      <alignment horizontal="center"/>
    </xf>
    <xf numFmtId="44" fontId="2" fillId="7" borderId="107" xfId="1" applyFont="1" applyFill="1" applyBorder="1" applyAlignment="1">
      <alignment horizontal="center"/>
    </xf>
    <xf numFmtId="44" fontId="2" fillId="7" borderId="107" xfId="1" applyFont="1" applyFill="1" applyBorder="1" applyAlignment="1">
      <alignment horizontal="right"/>
    </xf>
    <xf numFmtId="0" fontId="3" fillId="0" borderId="0" xfId="0" applyFont="1" applyAlignment="1">
      <alignment horizontal="center"/>
    </xf>
    <xf numFmtId="0" fontId="0" fillId="39" borderId="0" xfId="0" applyFill="1" applyAlignment="1">
      <alignment horizontal="center"/>
    </xf>
    <xf numFmtId="165" fontId="0" fillId="39" borderId="0" xfId="0" applyNumberFormat="1" applyFill="1" applyAlignment="1">
      <alignment horizontal="center"/>
    </xf>
    <xf numFmtId="3" fontId="0" fillId="39" borderId="0" xfId="0" applyNumberFormat="1" applyFill="1" applyAlignment="1">
      <alignment horizontal="center"/>
    </xf>
    <xf numFmtId="44" fontId="0" fillId="39" borderId="0" xfId="1" applyFont="1" applyFill="1" applyBorder="1" applyAlignment="1">
      <alignment horizontal="right"/>
    </xf>
    <xf numFmtId="8" fontId="0" fillId="39" borderId="0" xfId="1" applyNumberFormat="1" applyFont="1" applyFill="1" applyBorder="1" applyAlignment="1">
      <alignment horizontal="right"/>
    </xf>
    <xf numFmtId="44" fontId="0" fillId="39" borderId="0" xfId="1" applyFont="1" applyFill="1" applyBorder="1"/>
    <xf numFmtId="8" fontId="0" fillId="39" borderId="0" xfId="1" applyNumberFormat="1" applyFont="1" applyFill="1" applyBorder="1"/>
    <xf numFmtId="165" fontId="0" fillId="7" borderId="0" xfId="0" applyNumberFormat="1" applyFill="1" applyAlignment="1">
      <alignment horizontal="center"/>
    </xf>
    <xf numFmtId="3" fontId="0" fillId="7" borderId="0" xfId="0" applyNumberFormat="1" applyFill="1" applyAlignment="1">
      <alignment horizontal="center"/>
    </xf>
    <xf numFmtId="44" fontId="0" fillId="7" borderId="0" xfId="1" applyFont="1" applyFill="1" applyBorder="1" applyAlignment="1">
      <alignment horizontal="right"/>
    </xf>
    <xf numFmtId="8" fontId="0" fillId="7" borderId="0" xfId="1" applyNumberFormat="1" applyFont="1" applyFill="1" applyBorder="1" applyAlignment="1">
      <alignment horizontal="right"/>
    </xf>
    <xf numFmtId="44" fontId="0" fillId="7" borderId="0" xfId="1" applyFont="1" applyFill="1" applyBorder="1" applyAlignment="1">
      <alignment vertical="center"/>
    </xf>
    <xf numFmtId="8" fontId="0" fillId="7" borderId="0" xfId="1" applyNumberFormat="1" applyFont="1" applyFill="1" applyBorder="1"/>
    <xf numFmtId="44" fontId="0" fillId="7" borderId="0" xfId="1" applyFont="1" applyFill="1" applyBorder="1" applyAlignment="1">
      <alignment horizontal="center"/>
    </xf>
    <xf numFmtId="0" fontId="2" fillId="7" borderId="293" xfId="0" applyFont="1" applyFill="1" applyBorder="1" applyAlignment="1">
      <alignment horizontal="left"/>
    </xf>
    <xf numFmtId="0" fontId="0" fillId="7" borderId="294" xfId="0" applyFill="1" applyBorder="1"/>
    <xf numFmtId="0" fontId="0" fillId="7" borderId="294" xfId="0" applyFill="1" applyBorder="1" applyAlignment="1">
      <alignment horizontal="center"/>
    </xf>
    <xf numFmtId="44" fontId="0" fillId="7" borderId="294" xfId="1" applyFont="1" applyFill="1" applyBorder="1" applyAlignment="1">
      <alignment horizontal="center"/>
    </xf>
    <xf numFmtId="44" fontId="0" fillId="7" borderId="294" xfId="1" applyFont="1" applyFill="1" applyBorder="1"/>
    <xf numFmtId="0" fontId="0" fillId="7" borderId="295" xfId="0" applyFill="1" applyBorder="1"/>
    <xf numFmtId="0" fontId="103" fillId="7" borderId="296" xfId="0" applyFont="1" applyFill="1" applyBorder="1" applyAlignment="1">
      <alignment horizontal="left"/>
    </xf>
    <xf numFmtId="44" fontId="0" fillId="7" borderId="0" xfId="1" quotePrefix="1" applyFont="1" applyFill="1" applyBorder="1" applyAlignment="1">
      <alignment horizontal="center"/>
    </xf>
    <xf numFmtId="0" fontId="0" fillId="7" borderId="297" xfId="0" applyFill="1" applyBorder="1"/>
    <xf numFmtId="0" fontId="0" fillId="7" borderId="296" xfId="0" applyFill="1" applyBorder="1" applyAlignment="1">
      <alignment horizontal="left"/>
    </xf>
    <xf numFmtId="0" fontId="0" fillId="44" borderId="0" xfId="0" applyFill="1"/>
    <xf numFmtId="0" fontId="0" fillId="7" borderId="296" xfId="0" applyFill="1" applyBorder="1" applyAlignment="1">
      <alignment horizontal="center"/>
    </xf>
    <xf numFmtId="0" fontId="0" fillId="7" borderId="298" xfId="0" applyFill="1" applyBorder="1" applyAlignment="1">
      <alignment horizontal="center"/>
    </xf>
    <xf numFmtId="0" fontId="9" fillId="7" borderId="299" xfId="0" applyFont="1" applyFill="1" applyBorder="1"/>
    <xf numFmtId="0" fontId="0" fillId="7" borderId="299" xfId="0" applyFill="1" applyBorder="1" applyAlignment="1">
      <alignment horizontal="center"/>
    </xf>
    <xf numFmtId="44" fontId="0" fillId="7" borderId="299" xfId="1" applyFont="1" applyFill="1" applyBorder="1" applyAlignment="1">
      <alignment horizontal="center"/>
    </xf>
    <xf numFmtId="44" fontId="0" fillId="7" borderId="299" xfId="1" applyFont="1" applyFill="1" applyBorder="1"/>
    <xf numFmtId="0" fontId="0" fillId="7" borderId="300" xfId="0" applyFill="1" applyBorder="1"/>
    <xf numFmtId="0" fontId="0" fillId="7" borderId="439" xfId="0" applyFill="1" applyBorder="1" applyAlignment="1">
      <alignment horizontal="center"/>
    </xf>
    <xf numFmtId="0" fontId="0" fillId="7" borderId="440" xfId="0" applyFill="1" applyBorder="1" applyAlignment="1">
      <alignment horizontal="center"/>
    </xf>
    <xf numFmtId="44" fontId="0" fillId="7" borderId="441" xfId="1" applyFont="1" applyFill="1" applyBorder="1" applyAlignment="1">
      <alignment horizontal="center"/>
    </xf>
    <xf numFmtId="44" fontId="0" fillId="7" borderId="442" xfId="1" applyFont="1" applyFill="1" applyBorder="1"/>
    <xf numFmtId="44" fontId="0" fillId="7" borderId="154" xfId="0" applyNumberFormat="1" applyFill="1" applyBorder="1"/>
    <xf numFmtId="44" fontId="0" fillId="7" borderId="0" xfId="0" applyNumberFormat="1" applyFill="1" applyAlignment="1">
      <alignment horizontal="center"/>
    </xf>
    <xf numFmtId="44" fontId="0" fillId="7" borderId="136" xfId="1" applyFont="1" applyFill="1" applyBorder="1" applyAlignment="1">
      <alignment horizontal="center"/>
    </xf>
    <xf numFmtId="44" fontId="0" fillId="7" borderId="443" xfId="1" applyFont="1" applyFill="1" applyBorder="1"/>
    <xf numFmtId="44" fontId="0" fillId="7" borderId="156" xfId="0" applyNumberFormat="1" applyFill="1" applyBorder="1"/>
    <xf numFmtId="44" fontId="0" fillId="7" borderId="157" xfId="0" applyNumberFormat="1" applyFill="1" applyBorder="1" applyAlignment="1">
      <alignment horizontal="center"/>
    </xf>
    <xf numFmtId="44" fontId="0" fillId="7" borderId="444" xfId="1" applyFont="1" applyFill="1" applyBorder="1" applyAlignment="1">
      <alignment horizontal="center"/>
    </xf>
    <xf numFmtId="44" fontId="0" fillId="7" borderId="0" xfId="1" applyFont="1" applyFill="1" applyAlignment="1">
      <alignment horizontal="center"/>
    </xf>
    <xf numFmtId="49" fontId="0" fillId="7" borderId="437" xfId="0" applyNumberFormat="1" applyFill="1" applyBorder="1" applyAlignment="1">
      <alignment horizontal="left"/>
    </xf>
    <xf numFmtId="0" fontId="33" fillId="26" borderId="0" xfId="0" applyFont="1" applyFill="1"/>
    <xf numFmtId="0" fontId="51" fillId="26" borderId="0" xfId="0" applyFont="1" applyFill="1"/>
    <xf numFmtId="0" fontId="20" fillId="26" borderId="0" xfId="0" applyFont="1" applyFill="1"/>
    <xf numFmtId="0" fontId="23" fillId="26" borderId="0" xfId="0" applyFont="1" applyFill="1"/>
    <xf numFmtId="0" fontId="0" fillId="26" borderId="0" xfId="0" applyFill="1"/>
    <xf numFmtId="0" fontId="0" fillId="7" borderId="398" xfId="0" applyFill="1" applyBorder="1" applyAlignment="1">
      <alignment horizontal="left"/>
    </xf>
    <xf numFmtId="0" fontId="0" fillId="13" borderId="0" xfId="0" applyFill="1" applyAlignment="1">
      <alignment horizontal="left"/>
    </xf>
    <xf numFmtId="168" fontId="0" fillId="13" borderId="0" xfId="0" applyNumberFormat="1" applyFill="1"/>
    <xf numFmtId="0" fontId="42" fillId="7" borderId="0" xfId="0" applyFont="1" applyFill="1" applyAlignment="1">
      <alignment horizontal="center"/>
    </xf>
    <xf numFmtId="0" fontId="30" fillId="7" borderId="0" xfId="0" applyFont="1" applyFill="1" applyAlignment="1">
      <alignment horizontal="center"/>
    </xf>
    <xf numFmtId="8" fontId="0" fillId="13" borderId="0" xfId="0" applyNumberFormat="1" applyFill="1" applyAlignment="1">
      <alignment horizontal="center"/>
    </xf>
    <xf numFmtId="0" fontId="20" fillId="0" borderId="0" xfId="0" applyFont="1" applyAlignment="1">
      <alignment horizontal="centerContinuous"/>
    </xf>
    <xf numFmtId="169" fontId="20" fillId="0" borderId="0" xfId="0" applyNumberFormat="1" applyFont="1" applyAlignment="1">
      <alignment horizontal="centerContinuous"/>
    </xf>
    <xf numFmtId="0" fontId="56" fillId="15" borderId="0" xfId="0" applyFont="1" applyFill="1" applyAlignment="1">
      <alignment horizontal="center" wrapText="1"/>
    </xf>
    <xf numFmtId="0" fontId="26" fillId="37" borderId="0" xfId="0" applyFont="1" applyFill="1" applyAlignment="1">
      <alignment horizontal="centerContinuous" wrapText="1"/>
    </xf>
    <xf numFmtId="10" fontId="0" fillId="0" borderId="314" xfId="0" applyNumberFormat="1" applyBorder="1" applyAlignment="1">
      <alignment horizontal="center"/>
    </xf>
    <xf numFmtId="43" fontId="0" fillId="0" borderId="375" xfId="0" applyNumberFormat="1" applyBorder="1"/>
    <xf numFmtId="0" fontId="9" fillId="0" borderId="0" xfId="0" applyFont="1" applyAlignment="1">
      <alignment wrapText="1"/>
    </xf>
    <xf numFmtId="43" fontId="0" fillId="0" borderId="371" xfId="0" applyNumberFormat="1" applyBorder="1"/>
    <xf numFmtId="43" fontId="0" fillId="0" borderId="372" xfId="0" applyNumberFormat="1" applyBorder="1"/>
    <xf numFmtId="169" fontId="2" fillId="0" borderId="59" xfId="0" applyNumberFormat="1" applyFont="1" applyBorder="1"/>
    <xf numFmtId="0" fontId="0" fillId="0" borderId="98" xfId="0" applyBorder="1" applyAlignment="1">
      <alignment horizontal="left" wrapText="1"/>
    </xf>
    <xf numFmtId="0" fontId="0" fillId="36" borderId="98" xfId="0" quotePrefix="1" applyFill="1" applyBorder="1" applyAlignment="1">
      <alignment horizontal="left" wrapText="1"/>
    </xf>
    <xf numFmtId="0" fontId="20" fillId="36" borderId="98" xfId="0" quotePrefix="1" applyFont="1" applyFill="1" applyBorder="1" applyAlignment="1">
      <alignment horizontal="left" wrapText="1"/>
    </xf>
    <xf numFmtId="0" fontId="5" fillId="7" borderId="0" xfId="0" applyFont="1" applyFill="1" applyAlignment="1">
      <alignment horizontal="centerContinuous"/>
    </xf>
    <xf numFmtId="44" fontId="6" fillId="7" borderId="0" xfId="1" applyFont="1" applyFill="1" applyAlignment="1">
      <alignment horizontal="centerContinuous"/>
    </xf>
    <xf numFmtId="0" fontId="109" fillId="0" borderId="0" xfId="0" applyFont="1"/>
    <xf numFmtId="0" fontId="17" fillId="7" borderId="1" xfId="0" applyFont="1" applyFill="1" applyBorder="1"/>
    <xf numFmtId="0" fontId="17" fillId="7" borderId="2" xfId="0" applyFont="1" applyFill="1" applyBorder="1" applyAlignment="1">
      <alignment horizontal="center"/>
    </xf>
    <xf numFmtId="0" fontId="17" fillId="7" borderId="2" xfId="0" applyFont="1" applyFill="1" applyBorder="1"/>
    <xf numFmtId="169" fontId="17" fillId="7" borderId="2" xfId="2" applyNumberFormat="1" applyFont="1" applyFill="1" applyBorder="1"/>
    <xf numFmtId="44" fontId="17" fillId="7" borderId="2" xfId="1" applyFont="1" applyFill="1" applyBorder="1"/>
    <xf numFmtId="44" fontId="17" fillId="7" borderId="2" xfId="1" applyFont="1" applyFill="1" applyBorder="1" applyAlignment="1">
      <alignment horizontal="center"/>
    </xf>
    <xf numFmtId="0" fontId="17" fillId="7" borderId="257" xfId="0" applyFont="1" applyFill="1" applyBorder="1" applyAlignment="1">
      <alignment horizontal="center"/>
    </xf>
    <xf numFmtId="44" fontId="17" fillId="7" borderId="257" xfId="1" applyFont="1" applyFill="1" applyBorder="1"/>
    <xf numFmtId="0" fontId="17" fillId="7" borderId="20" xfId="0" applyFont="1" applyFill="1" applyBorder="1"/>
    <xf numFmtId="44" fontId="21" fillId="7" borderId="0" xfId="1" applyFont="1" applyFill="1" applyBorder="1"/>
    <xf numFmtId="0" fontId="17" fillId="7" borderId="59" xfId="0" applyFont="1" applyFill="1" applyBorder="1"/>
    <xf numFmtId="0" fontId="17" fillId="7" borderId="60" xfId="0" applyFont="1" applyFill="1" applyBorder="1" applyAlignment="1">
      <alignment horizontal="center"/>
    </xf>
    <xf numFmtId="183" fontId="17" fillId="7" borderId="60" xfId="6" applyNumberFormat="1" applyFont="1" applyFill="1" applyBorder="1" applyAlignment="1">
      <alignment horizontal="center"/>
    </xf>
    <xf numFmtId="183" fontId="17" fillId="7" borderId="60" xfId="6" applyNumberFormat="1" applyFont="1" applyFill="1" applyBorder="1"/>
    <xf numFmtId="44" fontId="17" fillId="7" borderId="60" xfId="1" applyFont="1" applyFill="1" applyBorder="1" applyAlignment="1">
      <alignment horizontal="center"/>
    </xf>
    <xf numFmtId="0" fontId="4" fillId="7" borderId="62" xfId="0" applyFont="1" applyFill="1" applyBorder="1" applyAlignment="1">
      <alignment horizontal="center"/>
    </xf>
    <xf numFmtId="0" fontId="5" fillId="7" borderId="54" xfId="0" applyFont="1" applyFill="1" applyBorder="1" applyAlignment="1">
      <alignment horizontal="center"/>
    </xf>
    <xf numFmtId="44" fontId="5" fillId="7" borderId="54" xfId="1" applyFont="1" applyFill="1" applyBorder="1"/>
    <xf numFmtId="167" fontId="5" fillId="7" borderId="54" xfId="2" applyNumberFormat="1" applyFont="1" applyFill="1" applyBorder="1" applyAlignment="1">
      <alignment horizontal="center"/>
    </xf>
    <xf numFmtId="167" fontId="5" fillId="7" borderId="54" xfId="2" applyNumberFormat="1" applyFont="1" applyFill="1" applyBorder="1"/>
    <xf numFmtId="169" fontId="17" fillId="7" borderId="54" xfId="2" applyNumberFormat="1" applyFont="1" applyFill="1" applyBorder="1"/>
    <xf numFmtId="169" fontId="5" fillId="7" borderId="54" xfId="2" applyNumberFormat="1" applyFont="1" applyFill="1" applyBorder="1"/>
    <xf numFmtId="0" fontId="4" fillId="7" borderId="0" xfId="0" applyFont="1" applyFill="1" applyAlignment="1">
      <alignment horizontal="center"/>
    </xf>
    <xf numFmtId="167" fontId="4" fillId="7" borderId="0" xfId="2" applyNumberFormat="1" applyFont="1" applyFill="1"/>
    <xf numFmtId="169" fontId="18" fillId="7" borderId="80" xfId="2" applyNumberFormat="1" applyFont="1" applyFill="1" applyBorder="1"/>
    <xf numFmtId="169" fontId="18" fillId="7" borderId="0" xfId="2" applyNumberFormat="1" applyFont="1" applyFill="1" applyBorder="1"/>
    <xf numFmtId="182" fontId="17" fillId="7" borderId="0" xfId="1" applyNumberFormat="1" applyFont="1" applyFill="1" applyBorder="1" applyAlignment="1">
      <alignment horizontal="center"/>
    </xf>
    <xf numFmtId="44" fontId="5" fillId="7" borderId="0" xfId="1" applyFont="1" applyFill="1" applyBorder="1" applyAlignment="1">
      <alignment horizontal="center"/>
    </xf>
    <xf numFmtId="38" fontId="5" fillId="7" borderId="0" xfId="6" applyNumberFormat="1" applyFont="1" applyFill="1" applyBorder="1" applyAlignment="1">
      <alignment horizontal="center"/>
    </xf>
    <xf numFmtId="44" fontId="5" fillId="7" borderId="62" xfId="1" applyFont="1" applyFill="1" applyBorder="1" applyAlignment="1">
      <alignment horizontal="center"/>
    </xf>
    <xf numFmtId="182" fontId="5" fillId="7" borderId="0" xfId="1" applyNumberFormat="1" applyFont="1" applyFill="1" applyBorder="1" applyAlignment="1">
      <alignment horizontal="center"/>
    </xf>
    <xf numFmtId="175" fontId="5" fillId="7" borderId="0" xfId="1" applyNumberFormat="1" applyFont="1" applyFill="1" applyBorder="1" applyAlignment="1">
      <alignment horizontal="center"/>
    </xf>
    <xf numFmtId="44" fontId="6" fillId="7" borderId="0" xfId="1" applyFont="1" applyFill="1" applyBorder="1" applyAlignment="1">
      <alignment horizontal="center"/>
    </xf>
    <xf numFmtId="0" fontId="6" fillId="0" borderId="0" xfId="0" applyFont="1" applyAlignment="1">
      <alignment horizontal="center"/>
    </xf>
    <xf numFmtId="3" fontId="5" fillId="0" borderId="0" xfId="0" applyNumberFormat="1" applyFont="1" applyAlignment="1">
      <alignment horizontal="center"/>
    </xf>
    <xf numFmtId="44" fontId="5" fillId="0" borderId="0" xfId="1" applyFont="1" applyBorder="1" applyAlignment="1">
      <alignment horizontal="right"/>
    </xf>
    <xf numFmtId="0" fontId="110" fillId="44" borderId="0" xfId="0" applyFont="1" applyFill="1" applyAlignment="1">
      <alignment horizontal="left"/>
    </xf>
    <xf numFmtId="0" fontId="5" fillId="44" borderId="0" xfId="0" applyFont="1" applyFill="1"/>
    <xf numFmtId="0" fontId="5" fillId="44" borderId="0" xfId="0" applyFont="1" applyFill="1" applyAlignment="1">
      <alignment horizontal="center"/>
    </xf>
    <xf numFmtId="44" fontId="5" fillId="44" borderId="0" xfId="1" quotePrefix="1" applyFont="1" applyFill="1" applyAlignment="1">
      <alignment horizontal="center"/>
    </xf>
    <xf numFmtId="44" fontId="5" fillId="44" borderId="0" xfId="1" applyFont="1" applyFill="1"/>
    <xf numFmtId="44" fontId="5" fillId="44" borderId="0" xfId="1" applyFont="1" applyFill="1" applyAlignment="1">
      <alignment horizontal="center"/>
    </xf>
    <xf numFmtId="0" fontId="5" fillId="0" borderId="180" xfId="0" applyFont="1" applyBorder="1" applyAlignment="1">
      <alignment horizontal="center"/>
    </xf>
    <xf numFmtId="44" fontId="5" fillId="0" borderId="416" xfId="0" applyNumberFormat="1" applyFont="1" applyBorder="1"/>
    <xf numFmtId="0" fontId="5" fillId="0" borderId="213" xfId="0" applyFont="1" applyBorder="1" applyAlignment="1">
      <alignment horizontal="center"/>
    </xf>
    <xf numFmtId="44" fontId="5" fillId="0" borderId="283" xfId="0" applyNumberFormat="1" applyFont="1" applyBorder="1"/>
    <xf numFmtId="49" fontId="5" fillId="7" borderId="0" xfId="1" applyNumberFormat="1" applyFont="1" applyFill="1" applyBorder="1"/>
    <xf numFmtId="44" fontId="0" fillId="7" borderId="445" xfId="1" applyFont="1" applyFill="1" applyBorder="1"/>
    <xf numFmtId="169" fontId="0" fillId="7" borderId="248" xfId="2" applyNumberFormat="1" applyFont="1" applyFill="1" applyBorder="1"/>
    <xf numFmtId="169" fontId="0" fillId="22" borderId="21" xfId="2" applyNumberFormat="1" applyFont="1" applyFill="1" applyBorder="1" applyAlignment="1">
      <alignment horizontal="center"/>
    </xf>
    <xf numFmtId="169" fontId="0" fillId="22" borderId="314" xfId="0" applyNumberFormat="1" applyFill="1" applyBorder="1" applyAlignment="1">
      <alignment horizontal="center"/>
    </xf>
    <xf numFmtId="169" fontId="0" fillId="22" borderId="21" xfId="0" applyNumberFormat="1" applyFill="1" applyBorder="1" applyAlignment="1">
      <alignment horizontal="center"/>
    </xf>
    <xf numFmtId="0" fontId="2" fillId="22" borderId="62" xfId="0" applyFont="1" applyFill="1" applyBorder="1" applyAlignment="1">
      <alignment horizontal="center" wrapText="1"/>
    </xf>
    <xf numFmtId="169" fontId="0" fillId="22" borderId="0" xfId="2" applyNumberFormat="1" applyFont="1" applyFill="1" applyBorder="1" applyAlignment="1">
      <alignment horizontal="center"/>
    </xf>
    <xf numFmtId="169" fontId="0" fillId="22" borderId="149" xfId="2" applyNumberFormat="1" applyFont="1" applyFill="1" applyBorder="1" applyAlignment="1">
      <alignment horizontal="center"/>
    </xf>
    <xf numFmtId="0" fontId="25" fillId="38" borderId="446" xfId="0" applyFont="1" applyFill="1" applyBorder="1" applyAlignment="1">
      <alignment horizontal="left" wrapText="1"/>
    </xf>
    <xf numFmtId="0" fontId="0" fillId="38" borderId="447" xfId="0" applyFill="1" applyBorder="1" applyAlignment="1">
      <alignment wrapText="1"/>
    </xf>
    <xf numFmtId="181" fontId="0" fillId="38" borderId="447" xfId="2" applyNumberFormat="1" applyFont="1" applyFill="1" applyBorder="1" applyAlignment="1">
      <alignment wrapText="1"/>
    </xf>
    <xf numFmtId="178" fontId="0" fillId="22" borderId="447" xfId="2" applyNumberFormat="1" applyFont="1" applyFill="1" applyBorder="1" applyAlignment="1">
      <alignment wrapText="1"/>
    </xf>
    <xf numFmtId="0" fontId="2" fillId="38" borderId="451" xfId="0" applyFont="1" applyFill="1" applyBorder="1" applyAlignment="1">
      <alignment horizontal="center" wrapText="1"/>
    </xf>
    <xf numFmtId="169" fontId="0" fillId="38" borderId="453" xfId="0" applyNumberFormat="1" applyFill="1" applyBorder="1" applyAlignment="1">
      <alignment horizontal="left"/>
    </xf>
    <xf numFmtId="169" fontId="0" fillId="38" borderId="0" xfId="2" applyNumberFormat="1" applyFont="1" applyFill="1" applyBorder="1"/>
    <xf numFmtId="169" fontId="20" fillId="38" borderId="454" xfId="0" applyNumberFormat="1" applyFont="1" applyFill="1" applyBorder="1"/>
    <xf numFmtId="169" fontId="0" fillId="38" borderId="451" xfId="0" applyNumberFormat="1" applyFill="1" applyBorder="1" applyAlignment="1">
      <alignment horizontal="left"/>
    </xf>
    <xf numFmtId="169" fontId="20" fillId="38" borderId="452" xfId="0" applyNumberFormat="1" applyFont="1" applyFill="1" applyBorder="1"/>
    <xf numFmtId="169" fontId="0" fillId="38" borderId="0" xfId="0" applyNumberFormat="1" applyFill="1"/>
    <xf numFmtId="169" fontId="20" fillId="38" borderId="454" xfId="2" applyNumberFormat="1" applyFont="1" applyFill="1" applyBorder="1"/>
    <xf numFmtId="0" fontId="0" fillId="38" borderId="455" xfId="0" applyFill="1" applyBorder="1"/>
    <xf numFmtId="8" fontId="55" fillId="38" borderId="456" xfId="0" applyNumberFormat="1" applyFont="1" applyFill="1" applyBorder="1" applyAlignment="1">
      <alignment horizontal="right"/>
    </xf>
    <xf numFmtId="169" fontId="55" fillId="38" borderId="456" xfId="0" applyNumberFormat="1" applyFont="1" applyFill="1" applyBorder="1"/>
    <xf numFmtId="169" fontId="55" fillId="22" borderId="457" xfId="2" applyNumberFormat="1" applyFont="1" applyFill="1" applyBorder="1" applyAlignment="1">
      <alignment horizontal="center"/>
    </xf>
    <xf numFmtId="169" fontId="55" fillId="22" borderId="456" xfId="2" applyNumberFormat="1" applyFont="1" applyFill="1" applyBorder="1" applyAlignment="1">
      <alignment horizontal="center"/>
    </xf>
    <xf numFmtId="169" fontId="20" fillId="38" borderId="458" xfId="0" applyNumberFormat="1" applyFont="1" applyFill="1" applyBorder="1"/>
    <xf numFmtId="0" fontId="13" fillId="13" borderId="0" xfId="0" applyFont="1" applyFill="1" applyAlignment="1">
      <alignment horizontal="center"/>
    </xf>
    <xf numFmtId="0" fontId="37" fillId="13" borderId="0" xfId="0" applyFont="1" applyFill="1" applyAlignment="1">
      <alignment horizontal="center"/>
    </xf>
    <xf numFmtId="43" fontId="20" fillId="7" borderId="98" xfId="0" applyNumberFormat="1" applyFont="1" applyFill="1" applyBorder="1" applyAlignment="1">
      <alignment wrapText="1"/>
    </xf>
    <xf numFmtId="0" fontId="20" fillId="7" borderId="102" xfId="0" applyFont="1" applyFill="1" applyBorder="1" applyAlignment="1">
      <alignment wrapText="1"/>
    </xf>
    <xf numFmtId="0" fontId="7" fillId="7" borderId="0" xfId="3" applyFill="1" applyAlignment="1"/>
    <xf numFmtId="0" fontId="51" fillId="17" borderId="20" xfId="0" applyFont="1" applyFill="1" applyBorder="1" applyAlignment="1">
      <alignment vertical="top" wrapText="1"/>
    </xf>
    <xf numFmtId="0" fontId="0" fillId="36" borderId="0" xfId="0" applyFill="1" applyAlignment="1">
      <alignment horizontal="center"/>
    </xf>
    <xf numFmtId="0" fontId="0" fillId="36" borderId="91" xfId="0" applyFill="1" applyBorder="1" applyAlignment="1">
      <alignment wrapText="1"/>
    </xf>
    <xf numFmtId="0" fontId="42" fillId="15" borderId="344" xfId="0" applyFont="1" applyFill="1" applyBorder="1" applyAlignment="1">
      <alignment horizontal="center" wrapText="1"/>
    </xf>
    <xf numFmtId="0" fontId="58" fillId="19" borderId="0" xfId="0" applyFont="1" applyFill="1" applyAlignment="1">
      <alignment horizontal="center" wrapText="1"/>
    </xf>
    <xf numFmtId="0" fontId="33" fillId="7" borderId="20" xfId="0" applyFont="1" applyFill="1" applyBorder="1" applyAlignment="1">
      <alignment wrapText="1"/>
    </xf>
    <xf numFmtId="0" fontId="0" fillId="0" borderId="21" xfId="0" applyBorder="1" applyAlignment="1">
      <alignment vertical="center"/>
    </xf>
    <xf numFmtId="44" fontId="0" fillId="29" borderId="0" xfId="1" applyFont="1" applyFill="1"/>
    <xf numFmtId="0" fontId="26" fillId="29" borderId="0" xfId="0" applyFont="1" applyFill="1" applyAlignment="1">
      <alignment horizontal="center"/>
    </xf>
    <xf numFmtId="0" fontId="26" fillId="29" borderId="0" xfId="0" applyFont="1" applyFill="1"/>
    <xf numFmtId="0" fontId="20" fillId="29" borderId="0" xfId="0" applyFont="1" applyFill="1"/>
    <xf numFmtId="44" fontId="20" fillId="29" borderId="0" xfId="1" applyFont="1" applyFill="1"/>
    <xf numFmtId="0" fontId="2" fillId="29" borderId="84" xfId="0" applyFont="1" applyFill="1" applyBorder="1"/>
    <xf numFmtId="44" fontId="2" fillId="29" borderId="84" xfId="1" applyFont="1" applyFill="1" applyBorder="1"/>
    <xf numFmtId="0" fontId="2" fillId="29" borderId="56" xfId="0" applyFont="1" applyFill="1" applyBorder="1"/>
    <xf numFmtId="0" fontId="0" fillId="29" borderId="56" xfId="0" applyFill="1" applyBorder="1"/>
    <xf numFmtId="44" fontId="0" fillId="29" borderId="56" xfId="1" applyFont="1" applyFill="1" applyBorder="1"/>
    <xf numFmtId="44" fontId="2" fillId="29" borderId="56" xfId="1" applyFont="1" applyFill="1" applyBorder="1"/>
    <xf numFmtId="0" fontId="76" fillId="0" borderId="180" xfId="0" applyFont="1" applyBorder="1"/>
    <xf numFmtId="0" fontId="54" fillId="0" borderId="181" xfId="0" applyFont="1" applyBorder="1" applyAlignment="1">
      <alignment horizontal="center" wrapText="1"/>
    </xf>
    <xf numFmtId="0" fontId="51" fillId="0" borderId="134" xfId="0" applyFont="1" applyBorder="1"/>
    <xf numFmtId="0" fontId="51" fillId="0" borderId="136" xfId="0" applyFont="1" applyBorder="1"/>
    <xf numFmtId="0" fontId="51" fillId="0" borderId="214" xfId="0" applyFont="1" applyBorder="1"/>
    <xf numFmtId="0" fontId="7" fillId="13" borderId="0" xfId="3" applyFill="1"/>
    <xf numFmtId="8" fontId="28" fillId="15" borderId="0" xfId="0" applyNumberFormat="1" applyFont="1" applyFill="1" applyAlignment="1">
      <alignment horizontal="left"/>
    </xf>
    <xf numFmtId="0" fontId="0" fillId="0" borderId="459" xfId="0" applyBorder="1"/>
    <xf numFmtId="0" fontId="36" fillId="7" borderId="210" xfId="0" applyFont="1" applyFill="1" applyBorder="1" applyAlignment="1">
      <alignment wrapText="1"/>
    </xf>
    <xf numFmtId="0" fontId="52" fillId="0" borderId="0" xfId="0" applyFont="1" applyAlignment="1">
      <alignment wrapText="1"/>
    </xf>
    <xf numFmtId="0" fontId="51" fillId="0" borderId="134" xfId="0" applyFont="1" applyBorder="1" applyAlignment="1">
      <alignment horizontal="left"/>
    </xf>
    <xf numFmtId="0" fontId="20" fillId="0" borderId="0" xfId="0" applyFont="1" applyAlignment="1">
      <alignment horizontal="left" wrapText="1"/>
    </xf>
    <xf numFmtId="0" fontId="33" fillId="0" borderId="134" xfId="0" applyFont="1" applyBorder="1" applyAlignment="1">
      <alignment horizontal="left"/>
    </xf>
    <xf numFmtId="0" fontId="33" fillId="17" borderId="59" xfId="0" applyFont="1" applyFill="1" applyBorder="1" applyAlignment="1">
      <alignment wrapText="1"/>
    </xf>
    <xf numFmtId="0" fontId="20" fillId="17" borderId="60" xfId="0" applyFont="1" applyFill="1" applyBorder="1" applyAlignment="1">
      <alignment wrapText="1"/>
    </xf>
    <xf numFmtId="0" fontId="20" fillId="17" borderId="61" xfId="0" applyFont="1" applyFill="1" applyBorder="1" applyAlignment="1">
      <alignment wrapText="1"/>
    </xf>
    <xf numFmtId="0" fontId="33" fillId="17" borderId="137" xfId="0" applyFont="1" applyFill="1" applyBorder="1"/>
    <xf numFmtId="0" fontId="33" fillId="17" borderId="138" xfId="0" applyFont="1" applyFill="1" applyBorder="1"/>
    <xf numFmtId="169" fontId="33" fillId="5" borderId="21" xfId="2" applyNumberFormat="1" applyFont="1" applyFill="1" applyBorder="1"/>
    <xf numFmtId="169" fontId="33" fillId="0" borderId="21" xfId="2" applyNumberFormat="1" applyFont="1" applyBorder="1"/>
    <xf numFmtId="169" fontId="2" fillId="0" borderId="57" xfId="2" applyNumberFormat="1" applyFont="1" applyBorder="1"/>
    <xf numFmtId="169" fontId="0" fillId="5" borderId="0" xfId="2" applyNumberFormat="1" applyFont="1" applyFill="1"/>
    <xf numFmtId="169" fontId="0" fillId="0" borderId="126" xfId="2" applyNumberFormat="1" applyFont="1" applyBorder="1"/>
    <xf numFmtId="169" fontId="0" fillId="0" borderId="137" xfId="2" applyNumberFormat="1" applyFont="1" applyBorder="1"/>
    <xf numFmtId="169" fontId="0" fillId="0" borderId="138" xfId="2" applyNumberFormat="1" applyFont="1" applyBorder="1"/>
    <xf numFmtId="169" fontId="2" fillId="0" borderId="60" xfId="2" applyNumberFormat="1" applyFont="1" applyBorder="1"/>
    <xf numFmtId="169" fontId="49" fillId="7" borderId="207" xfId="2" applyNumberFormat="1" applyFont="1" applyFill="1" applyBorder="1" applyAlignment="1">
      <alignment horizontal="right" vertical="center"/>
    </xf>
    <xf numFmtId="172" fontId="49" fillId="7" borderId="207" xfId="2" applyNumberFormat="1" applyFont="1" applyFill="1" applyBorder="1" applyAlignment="1">
      <alignment horizontal="right" vertical="center" wrapText="1"/>
    </xf>
    <xf numFmtId="172" fontId="49" fillId="7" borderId="208" xfId="2" applyNumberFormat="1" applyFont="1" applyFill="1" applyBorder="1" applyAlignment="1">
      <alignment horizontal="right" vertical="center" wrapText="1"/>
    </xf>
    <xf numFmtId="172" fontId="49" fillId="7" borderId="209" xfId="2" applyNumberFormat="1" applyFont="1" applyFill="1" applyBorder="1" applyAlignment="1">
      <alignment horizontal="right" vertical="center" wrapText="1"/>
    </xf>
    <xf numFmtId="0" fontId="20" fillId="36" borderId="20" xfId="0" applyFont="1" applyFill="1" applyBorder="1" applyAlignment="1">
      <alignment wrapText="1"/>
    </xf>
    <xf numFmtId="0" fontId="20" fillId="36" borderId="21" xfId="0" applyFont="1" applyFill="1" applyBorder="1" applyAlignment="1">
      <alignment wrapText="1"/>
    </xf>
    <xf numFmtId="0" fontId="0" fillId="7" borderId="0" xfId="0" quotePrefix="1" applyFill="1"/>
    <xf numFmtId="0" fontId="33" fillId="0" borderId="59" xfId="0" applyFont="1" applyBorder="1" applyAlignment="1">
      <alignment wrapText="1"/>
    </xf>
    <xf numFmtId="0" fontId="0" fillId="0" borderId="0" xfId="0" applyAlignment="1">
      <alignment vertical="center"/>
    </xf>
    <xf numFmtId="0" fontId="0" fillId="36" borderId="0" xfId="0" applyFill="1" applyAlignment="1">
      <alignment horizontal="left" wrapText="1"/>
    </xf>
    <xf numFmtId="0" fontId="33" fillId="7" borderId="134" xfId="0" applyFont="1" applyFill="1" applyBorder="1" applyAlignment="1">
      <alignment wrapText="1"/>
    </xf>
    <xf numFmtId="0" fontId="51" fillId="0" borderId="213" xfId="0" applyFont="1" applyBorder="1" applyAlignment="1">
      <alignment horizontal="left"/>
    </xf>
    <xf numFmtId="49" fontId="0" fillId="36" borderId="0" xfId="0" quotePrefix="1" applyNumberFormat="1" applyFill="1" applyAlignment="1">
      <alignment horizontal="left"/>
    </xf>
    <xf numFmtId="0" fontId="0" fillId="36" borderId="0" xfId="0" applyFill="1" applyAlignment="1">
      <alignment horizontal="left"/>
    </xf>
    <xf numFmtId="49" fontId="20" fillId="36" borderId="0" xfId="0" quotePrefix="1" applyNumberFormat="1" applyFont="1" applyFill="1" applyAlignment="1">
      <alignment horizontal="left"/>
    </xf>
    <xf numFmtId="0" fontId="20" fillId="36" borderId="0" xfId="0" quotePrefix="1" applyFont="1" applyFill="1" applyAlignment="1">
      <alignment horizontal="left"/>
    </xf>
    <xf numFmtId="44" fontId="28" fillId="7" borderId="0" xfId="1" applyFont="1" applyFill="1"/>
    <xf numFmtId="0" fontId="79" fillId="0" borderId="0" xfId="0" applyFont="1"/>
    <xf numFmtId="0" fontId="15" fillId="0" borderId="0" xfId="0" applyFont="1"/>
    <xf numFmtId="44" fontId="28" fillId="7" borderId="0" xfId="1" applyFont="1" applyFill="1" applyAlignment="1">
      <alignment horizontal="right"/>
    </xf>
    <xf numFmtId="0" fontId="112" fillId="10" borderId="135" xfId="0" applyFont="1" applyFill="1" applyBorder="1"/>
    <xf numFmtId="0" fontId="113" fillId="7" borderId="62" xfId="0" applyFont="1" applyFill="1" applyBorder="1" applyAlignment="1">
      <alignment horizontal="center" wrapText="1"/>
    </xf>
    <xf numFmtId="0" fontId="28" fillId="7" borderId="62" xfId="0" applyFont="1" applyFill="1" applyBorder="1" applyAlignment="1">
      <alignment horizontal="center"/>
    </xf>
    <xf numFmtId="0" fontId="35" fillId="7" borderId="62" xfId="0" applyFont="1" applyFill="1" applyBorder="1" applyAlignment="1">
      <alignment horizontal="center" wrapText="1"/>
    </xf>
    <xf numFmtId="8" fontId="113" fillId="10" borderId="0" xfId="0" applyNumberFormat="1" applyFont="1" applyFill="1"/>
    <xf numFmtId="8" fontId="113" fillId="7" borderId="0" xfId="0" applyNumberFormat="1" applyFont="1" applyFill="1"/>
    <xf numFmtId="169" fontId="28" fillId="10" borderId="0" xfId="2" applyNumberFormat="1" applyFont="1" applyFill="1"/>
    <xf numFmtId="168" fontId="113" fillId="7" borderId="0" xfId="2" applyNumberFormat="1" applyFont="1" applyFill="1" applyAlignment="1">
      <alignment horizontal="center"/>
    </xf>
    <xf numFmtId="8" fontId="113" fillId="7" borderId="0" xfId="0" applyNumberFormat="1" applyFont="1" applyFill="1" applyAlignment="1">
      <alignment horizontal="right"/>
    </xf>
    <xf numFmtId="8" fontId="28" fillId="7" borderId="134" xfId="1" applyNumberFormat="1" applyFont="1" applyFill="1" applyBorder="1"/>
    <xf numFmtId="0" fontId="113" fillId="7" borderId="62" xfId="0" applyFont="1" applyFill="1" applyBorder="1"/>
    <xf numFmtId="168" fontId="28" fillId="7" borderId="62" xfId="2" applyNumberFormat="1" applyFont="1" applyFill="1" applyBorder="1"/>
    <xf numFmtId="8" fontId="113" fillId="7" borderId="62" xfId="0" applyNumberFormat="1" applyFont="1" applyFill="1" applyBorder="1"/>
    <xf numFmtId="169" fontId="28" fillId="7" borderId="62" xfId="2" applyNumberFormat="1" applyFont="1" applyFill="1" applyBorder="1"/>
    <xf numFmtId="168" fontId="113" fillId="7" borderId="62" xfId="2" applyNumberFormat="1" applyFont="1" applyFill="1" applyBorder="1" applyAlignment="1">
      <alignment horizontal="center"/>
    </xf>
    <xf numFmtId="8" fontId="113" fillId="7" borderId="62" xfId="0" applyNumberFormat="1" applyFont="1" applyFill="1" applyBorder="1" applyAlignment="1">
      <alignment horizontal="right"/>
    </xf>
    <xf numFmtId="8" fontId="28" fillId="7" borderId="213" xfId="1" applyNumberFormat="1" applyFont="1" applyFill="1" applyBorder="1"/>
    <xf numFmtId="0" fontId="13" fillId="0" borderId="0" xfId="0" applyFont="1" applyAlignment="1">
      <alignment horizontal="right"/>
    </xf>
    <xf numFmtId="14" fontId="107" fillId="10" borderId="0" xfId="0" applyNumberFormat="1" applyFont="1" applyFill="1"/>
    <xf numFmtId="0" fontId="5" fillId="0" borderId="134" xfId="0" applyFont="1" applyBorder="1"/>
    <xf numFmtId="168" fontId="28" fillId="7" borderId="0" xfId="2" applyNumberFormat="1" applyFont="1" applyFill="1"/>
    <xf numFmtId="8" fontId="5" fillId="0" borderId="0" xfId="0" applyNumberFormat="1" applyFont="1" applyAlignment="1">
      <alignment horizontal="left"/>
    </xf>
    <xf numFmtId="8" fontId="114" fillId="7" borderId="62" xfId="0" applyNumberFormat="1" applyFont="1" applyFill="1" applyBorder="1"/>
    <xf numFmtId="169" fontId="107" fillId="7" borderId="62" xfId="2" applyNumberFormat="1" applyFont="1" applyFill="1" applyBorder="1"/>
    <xf numFmtId="168" fontId="114" fillId="7" borderId="62" xfId="2" applyNumberFormat="1" applyFont="1" applyFill="1" applyBorder="1" applyAlignment="1">
      <alignment horizontal="center"/>
    </xf>
    <xf numFmtId="8" fontId="114" fillId="7" borderId="62" xfId="0" applyNumberFormat="1" applyFont="1" applyFill="1" applyBorder="1" applyAlignment="1">
      <alignment horizontal="right"/>
    </xf>
    <xf numFmtId="44" fontId="28" fillId="7" borderId="213" xfId="1" applyFont="1" applyFill="1" applyBorder="1"/>
    <xf numFmtId="44" fontId="28" fillId="7" borderId="134" xfId="1" applyFont="1" applyFill="1" applyBorder="1"/>
    <xf numFmtId="8" fontId="113" fillId="7" borderId="0" xfId="0" applyNumberFormat="1" applyFont="1" applyFill="1" applyAlignment="1">
      <alignment horizontal="center"/>
    </xf>
    <xf numFmtId="14" fontId="113" fillId="10" borderId="0" xfId="0" applyNumberFormat="1" applyFont="1" applyFill="1" applyAlignment="1">
      <alignment horizontal="center"/>
    </xf>
    <xf numFmtId="44" fontId="113" fillId="7" borderId="0" xfId="1" applyFont="1" applyFill="1" applyAlignment="1"/>
    <xf numFmtId="44" fontId="113" fillId="7" borderId="0" xfId="1" applyFont="1" applyFill="1" applyAlignment="1">
      <alignment horizontal="right"/>
    </xf>
    <xf numFmtId="173" fontId="113" fillId="7" borderId="0" xfId="2" applyNumberFormat="1" applyFont="1" applyFill="1" applyAlignment="1">
      <alignment horizontal="right"/>
    </xf>
    <xf numFmtId="44" fontId="28" fillId="7" borderId="134" xfId="1" applyFont="1" applyFill="1" applyBorder="1" applyAlignment="1">
      <alignment horizontal="right"/>
    </xf>
    <xf numFmtId="0" fontId="5" fillId="0" borderId="0" xfId="0" quotePrefix="1" applyFont="1"/>
    <xf numFmtId="8" fontId="28" fillId="7" borderId="134" xfId="1" applyNumberFormat="1" applyFont="1" applyFill="1" applyBorder="1" applyAlignment="1">
      <alignment horizontal="right"/>
    </xf>
    <xf numFmtId="0" fontId="28" fillId="7" borderId="0" xfId="0" applyFont="1" applyFill="1" applyAlignment="1">
      <alignment horizontal="right"/>
    </xf>
    <xf numFmtId="44" fontId="5" fillId="7" borderId="134" xfId="1" applyFont="1" applyFill="1" applyBorder="1"/>
    <xf numFmtId="6" fontId="28" fillId="7" borderId="0" xfId="0" applyNumberFormat="1" applyFont="1" applyFill="1" applyAlignment="1">
      <alignment horizontal="right"/>
    </xf>
    <xf numFmtId="10" fontId="28" fillId="10" borderId="134" xfId="2" applyNumberFormat="1" applyFont="1" applyFill="1" applyBorder="1" applyAlignment="1">
      <alignment horizontal="right"/>
    </xf>
    <xf numFmtId="0" fontId="35" fillId="7" borderId="84" xfId="0" applyFont="1" applyFill="1" applyBorder="1"/>
    <xf numFmtId="6" fontId="35" fillId="7" borderId="84" xfId="0" applyNumberFormat="1" applyFont="1" applyFill="1" applyBorder="1" applyAlignment="1">
      <alignment horizontal="right"/>
    </xf>
    <xf numFmtId="0" fontId="35" fillId="7" borderId="84" xfId="0" applyFont="1" applyFill="1" applyBorder="1" applyAlignment="1">
      <alignment horizontal="right"/>
    </xf>
    <xf numFmtId="164" fontId="28" fillId="10" borderId="0" xfId="0" applyNumberFormat="1" applyFont="1" applyFill="1"/>
    <xf numFmtId="0" fontId="4" fillId="0" borderId="0" xfId="0" quotePrefix="1" applyFont="1"/>
    <xf numFmtId="44" fontId="13" fillId="0" borderId="0" xfId="0" applyNumberFormat="1" applyFont="1"/>
    <xf numFmtId="10" fontId="28" fillId="10" borderId="0" xfId="0" applyNumberFormat="1" applyFont="1" applyFill="1"/>
    <xf numFmtId="0" fontId="35" fillId="7" borderId="56" xfId="0" applyFont="1" applyFill="1" applyBorder="1"/>
    <xf numFmtId="0" fontId="35" fillId="7" borderId="56" xfId="0" applyFont="1" applyFill="1" applyBorder="1" applyAlignment="1">
      <alignment horizontal="right"/>
    </xf>
    <xf numFmtId="44" fontId="35" fillId="7" borderId="182" xfId="1" applyFont="1" applyFill="1" applyBorder="1"/>
    <xf numFmtId="0" fontId="35" fillId="45" borderId="56" xfId="0" applyFont="1" applyFill="1" applyBorder="1"/>
    <xf numFmtId="0" fontId="35" fillId="45" borderId="56" xfId="0" applyFont="1" applyFill="1" applyBorder="1" applyAlignment="1">
      <alignment horizontal="right"/>
    </xf>
    <xf numFmtId="44" fontId="35" fillId="45" borderId="56" xfId="1" applyFont="1" applyFill="1" applyBorder="1"/>
    <xf numFmtId="0" fontId="28" fillId="34" borderId="0" xfId="0" applyFont="1" applyFill="1"/>
    <xf numFmtId="0" fontId="25" fillId="34" borderId="0" xfId="0" applyFont="1" applyFill="1"/>
    <xf numFmtId="44" fontId="28" fillId="34" borderId="0" xfId="1" applyFont="1" applyFill="1"/>
    <xf numFmtId="0" fontId="28" fillId="10" borderId="0" xfId="0" applyFont="1" applyFill="1" applyAlignment="1">
      <alignment horizontal="left"/>
    </xf>
    <xf numFmtId="0" fontId="115" fillId="7" borderId="0" xfId="0" applyFont="1" applyFill="1" applyAlignment="1">
      <alignment horizontal="left" vertical="center"/>
    </xf>
    <xf numFmtId="14" fontId="28" fillId="7" borderId="0" xfId="1" applyNumberFormat="1" applyFont="1" applyFill="1" applyBorder="1" applyAlignment="1">
      <alignment horizontal="center"/>
    </xf>
    <xf numFmtId="44" fontId="28" fillId="7" borderId="0" xfId="1" applyFont="1" applyFill="1" applyBorder="1" applyAlignment="1">
      <alignment horizontal="center"/>
    </xf>
    <xf numFmtId="44" fontId="28" fillId="7" borderId="0" xfId="1" applyFont="1" applyFill="1" applyBorder="1"/>
    <xf numFmtId="0" fontId="116" fillId="7" borderId="0" xfId="0" applyFont="1" applyFill="1"/>
    <xf numFmtId="0" fontId="13" fillId="7" borderId="0" xfId="0" applyFont="1" applyFill="1"/>
    <xf numFmtId="0" fontId="112" fillId="10" borderId="0" xfId="0" applyFont="1" applyFill="1"/>
    <xf numFmtId="14" fontId="28" fillId="10" borderId="0" xfId="1" applyNumberFormat="1" applyFont="1" applyFill="1"/>
    <xf numFmtId="0" fontId="35" fillId="10" borderId="0" xfId="0" applyFont="1" applyFill="1" applyAlignment="1">
      <alignment horizontal="left"/>
    </xf>
    <xf numFmtId="168" fontId="5" fillId="0" borderId="0" xfId="2" applyNumberFormat="1" applyFont="1"/>
    <xf numFmtId="2" fontId="5" fillId="0" borderId="0" xfId="0" applyNumberFormat="1" applyFont="1"/>
    <xf numFmtId="43" fontId="5" fillId="0" borderId="0" xfId="6" applyFont="1"/>
    <xf numFmtId="43" fontId="4" fillId="0" borderId="0" xfId="6" applyFont="1"/>
    <xf numFmtId="43" fontId="35" fillId="10" borderId="0" xfId="0" applyNumberFormat="1" applyFont="1" applyFill="1" applyAlignment="1">
      <alignment horizontal="left"/>
    </xf>
    <xf numFmtId="49" fontId="28" fillId="10" borderId="0" xfId="0" applyNumberFormat="1" applyFont="1" applyFill="1" applyAlignment="1">
      <alignment horizontal="left"/>
    </xf>
    <xf numFmtId="168" fontId="49" fillId="10" borderId="0" xfId="2" applyNumberFormat="1" applyFont="1" applyFill="1"/>
    <xf numFmtId="14" fontId="49" fillId="10" borderId="0" xfId="0" applyNumberFormat="1" applyFont="1" applyFill="1"/>
    <xf numFmtId="0" fontId="113" fillId="7" borderId="0" xfId="2" applyNumberFormat="1" applyFont="1" applyFill="1" applyAlignment="1">
      <alignment horizontal="center"/>
    </xf>
    <xf numFmtId="14" fontId="5" fillId="0" borderId="0" xfId="0" applyNumberFormat="1" applyFont="1" applyAlignment="1">
      <alignment horizontal="left"/>
    </xf>
    <xf numFmtId="169" fontId="28" fillId="7" borderId="0" xfId="2" applyNumberFormat="1" applyFont="1" applyFill="1"/>
    <xf numFmtId="173" fontId="113" fillId="7" borderId="0" xfId="2" applyNumberFormat="1" applyFont="1" applyFill="1" applyAlignment="1">
      <alignment horizontal="center"/>
    </xf>
    <xf numFmtId="8" fontId="113" fillId="7" borderId="0" xfId="1" applyNumberFormat="1" applyFont="1" applyFill="1" applyAlignment="1"/>
    <xf numFmtId="8" fontId="35" fillId="7" borderId="185" xfId="1" applyNumberFormat="1" applyFont="1" applyFill="1" applyBorder="1" applyAlignment="1">
      <alignment horizontal="right"/>
    </xf>
    <xf numFmtId="44" fontId="35" fillId="7" borderId="56" xfId="1" applyFont="1" applyFill="1" applyBorder="1"/>
    <xf numFmtId="44" fontId="35" fillId="45" borderId="182" xfId="1" applyFont="1" applyFill="1" applyBorder="1"/>
    <xf numFmtId="0" fontId="49" fillId="10" borderId="0" xfId="0" applyFont="1" applyFill="1"/>
    <xf numFmtId="0" fontId="36" fillId="10" borderId="0" xfId="0" applyFont="1" applyFill="1"/>
    <xf numFmtId="0" fontId="28" fillId="10" borderId="62" xfId="0" quotePrefix="1" applyFont="1" applyFill="1" applyBorder="1" applyAlignment="1">
      <alignment horizontal="left"/>
    </xf>
    <xf numFmtId="43" fontId="35" fillId="10" borderId="0" xfId="0" applyNumberFormat="1" applyFont="1" applyFill="1"/>
    <xf numFmtId="49" fontId="28" fillId="10" borderId="0" xfId="0" quotePrefix="1" applyNumberFormat="1" applyFont="1" applyFill="1"/>
    <xf numFmtId="49" fontId="49" fillId="10" borderId="0" xfId="0" applyNumberFormat="1" applyFont="1" applyFill="1"/>
    <xf numFmtId="43" fontId="28" fillId="7" borderId="134" xfId="1" applyNumberFormat="1" applyFont="1" applyFill="1" applyBorder="1" applyAlignment="1">
      <alignment horizontal="right"/>
    </xf>
    <xf numFmtId="168" fontId="118" fillId="10" borderId="0" xfId="2" applyNumberFormat="1" applyFont="1" applyFill="1"/>
    <xf numFmtId="8" fontId="2" fillId="15" borderId="460" xfId="0" applyNumberFormat="1" applyFont="1" applyFill="1" applyBorder="1"/>
    <xf numFmtId="8" fontId="2" fillId="15" borderId="461" xfId="0" applyNumberFormat="1" applyFont="1" applyFill="1" applyBorder="1"/>
    <xf numFmtId="8" fontId="2" fillId="15" borderId="191" xfId="0" applyNumberFormat="1" applyFont="1" applyFill="1" applyBorder="1"/>
    <xf numFmtId="0" fontId="2" fillId="15" borderId="1" xfId="0" applyFont="1" applyFill="1" applyBorder="1" applyAlignment="1">
      <alignment horizontal="center" wrapText="1"/>
    </xf>
    <xf numFmtId="0" fontId="0" fillId="7" borderId="338" xfId="0" applyFill="1" applyBorder="1"/>
    <xf numFmtId="0" fontId="2" fillId="15" borderId="291" xfId="0" applyFont="1" applyFill="1" applyBorder="1" applyAlignment="1">
      <alignment horizontal="center" wrapText="1"/>
    </xf>
    <xf numFmtId="0" fontId="2" fillId="15" borderId="3" xfId="0" applyFont="1" applyFill="1" applyBorder="1" applyAlignment="1">
      <alignment horizontal="center" wrapText="1"/>
    </xf>
    <xf numFmtId="0" fontId="0" fillId="7" borderId="371" xfId="0" applyFill="1" applyBorder="1"/>
    <xf numFmtId="0" fontId="2" fillId="15" borderId="59" xfId="0" applyFont="1" applyFill="1" applyBorder="1"/>
    <xf numFmtId="8" fontId="2" fillId="15" borderId="61" xfId="0" applyNumberFormat="1" applyFont="1" applyFill="1" applyBorder="1"/>
    <xf numFmtId="0" fontId="0" fillId="7" borderId="341" xfId="0" applyFill="1" applyBorder="1"/>
    <xf numFmtId="0" fontId="0" fillId="7" borderId="372" xfId="0" applyFill="1" applyBorder="1"/>
    <xf numFmtId="0" fontId="0" fillId="7" borderId="377" xfId="0" applyFill="1" applyBorder="1"/>
    <xf numFmtId="8" fontId="0" fillId="7" borderId="462" xfId="0" applyNumberFormat="1" applyFill="1" applyBorder="1"/>
    <xf numFmtId="0" fontId="0" fillId="7" borderId="463" xfId="0" applyFill="1" applyBorder="1"/>
    <xf numFmtId="0" fontId="0" fillId="7" borderId="138" xfId="0" applyFill="1" applyBorder="1"/>
    <xf numFmtId="0" fontId="2" fillId="15" borderId="464" xfId="0" applyFont="1" applyFill="1" applyBorder="1" applyAlignment="1">
      <alignment horizontal="center" wrapText="1"/>
    </xf>
    <xf numFmtId="0" fontId="2" fillId="15" borderId="2" xfId="0" applyFont="1" applyFill="1" applyBorder="1" applyAlignment="1">
      <alignment horizontal="center" wrapText="1"/>
    </xf>
    <xf numFmtId="169" fontId="0" fillId="7" borderId="72" xfId="0" applyNumberFormat="1" applyFill="1" applyBorder="1" applyAlignment="1">
      <alignment horizontal="center"/>
    </xf>
    <xf numFmtId="8" fontId="2" fillId="15" borderId="0" xfId="0" applyNumberFormat="1" applyFont="1" applyFill="1"/>
    <xf numFmtId="8" fontId="0" fillId="7" borderId="371" xfId="0" applyNumberFormat="1" applyFill="1" applyBorder="1"/>
    <xf numFmtId="170" fontId="0" fillId="7" borderId="389" xfId="1" applyNumberFormat="1" applyFont="1" applyFill="1" applyBorder="1"/>
    <xf numFmtId="169" fontId="0" fillId="7" borderId="386" xfId="0" applyNumberFormat="1" applyFill="1" applyBorder="1" applyAlignment="1">
      <alignment horizontal="center"/>
    </xf>
    <xf numFmtId="169" fontId="2" fillId="15" borderId="0" xfId="2" applyNumberFormat="1" applyFont="1" applyFill="1" applyBorder="1"/>
    <xf numFmtId="169" fontId="2" fillId="15" borderId="461" xfId="2" applyNumberFormat="1" applyFont="1" applyFill="1" applyBorder="1" applyAlignment="1">
      <alignment horizontal="center" vertical="center"/>
    </xf>
    <xf numFmtId="169" fontId="2" fillId="15" borderId="461" xfId="2" applyNumberFormat="1" applyFont="1" applyFill="1" applyBorder="1" applyAlignment="1">
      <alignment horizontal="center"/>
    </xf>
    <xf numFmtId="0" fontId="35" fillId="10" borderId="0" xfId="0" applyFont="1" applyFill="1"/>
    <xf numFmtId="0" fontId="2" fillId="10" borderId="0" xfId="0" applyFont="1" applyFill="1"/>
    <xf numFmtId="0" fontId="0" fillId="10" borderId="0" xfId="0" applyFill="1"/>
    <xf numFmtId="0" fontId="117" fillId="10" borderId="465" xfId="0" applyFont="1" applyFill="1" applyBorder="1" applyAlignment="1">
      <alignment horizontal="left" vertical="center"/>
    </xf>
    <xf numFmtId="0" fontId="117" fillId="10" borderId="0" xfId="0" applyFont="1" applyFill="1" applyAlignment="1">
      <alignment horizontal="left" vertical="center"/>
    </xf>
    <xf numFmtId="178" fontId="0" fillId="10" borderId="0" xfId="2" applyNumberFormat="1" applyFont="1" applyFill="1"/>
    <xf numFmtId="0" fontId="0" fillId="36" borderId="102" xfId="0" applyFill="1" applyBorder="1"/>
    <xf numFmtId="0" fontId="0" fillId="36" borderId="101" xfId="0" applyFill="1" applyBorder="1"/>
    <xf numFmtId="0" fontId="0" fillId="0" borderId="91" xfId="0" applyBorder="1"/>
    <xf numFmtId="0" fontId="0" fillId="7" borderId="111" xfId="0" applyFill="1" applyBorder="1"/>
    <xf numFmtId="0" fontId="0" fillId="0" borderId="101" xfId="0" applyBorder="1"/>
    <xf numFmtId="0" fontId="59" fillId="20" borderId="0" xfId="0" applyFont="1" applyFill="1" applyAlignment="1">
      <alignment horizontal="center" wrapText="1"/>
    </xf>
    <xf numFmtId="0" fontId="0" fillId="36" borderId="91" xfId="0" applyFill="1" applyBorder="1"/>
    <xf numFmtId="0" fontId="0" fillId="36" borderId="227" xfId="0" applyFill="1" applyBorder="1"/>
    <xf numFmtId="43" fontId="20" fillId="7" borderId="107" xfId="0" applyNumberFormat="1" applyFont="1" applyFill="1" applyBorder="1" applyAlignment="1">
      <alignment wrapText="1"/>
    </xf>
    <xf numFmtId="0" fontId="20" fillId="7" borderId="107" xfId="0" applyFont="1" applyFill="1" applyBorder="1" applyAlignment="1">
      <alignment wrapText="1"/>
    </xf>
    <xf numFmtId="43" fontId="26" fillId="7" borderId="117" xfId="0" applyNumberFormat="1" applyFont="1" applyFill="1" applyBorder="1" applyAlignment="1">
      <alignment wrapText="1"/>
    </xf>
    <xf numFmtId="0" fontId="26" fillId="7" borderId="117" xfId="0" applyFont="1" applyFill="1" applyBorder="1" applyAlignment="1">
      <alignment wrapText="1"/>
    </xf>
    <xf numFmtId="0" fontId="0" fillId="7" borderId="91" xfId="0" applyFill="1" applyBorder="1"/>
    <xf numFmtId="0" fontId="59" fillId="19" borderId="88" xfId="0" applyFont="1" applyFill="1" applyBorder="1" applyAlignment="1">
      <alignment horizontal="center" wrapText="1"/>
    </xf>
    <xf numFmtId="0" fontId="0" fillId="7" borderId="113" xfId="0" applyFill="1" applyBorder="1"/>
    <xf numFmtId="0" fontId="26" fillId="7" borderId="60" xfId="0" applyFont="1" applyFill="1" applyBorder="1" applyAlignment="1">
      <alignment horizontal="left"/>
    </xf>
    <xf numFmtId="0" fontId="0" fillId="0" borderId="60" xfId="0" applyBorder="1"/>
    <xf numFmtId="0" fontId="0" fillId="0" borderId="2" xfId="0" applyBorder="1" applyAlignment="1">
      <alignment wrapText="1"/>
    </xf>
    <xf numFmtId="0" fontId="0" fillId="0" borderId="60" xfId="0" applyBorder="1" applyAlignment="1">
      <alignment wrapText="1"/>
    </xf>
    <xf numFmtId="0" fontId="0" fillId="7" borderId="192" xfId="0" applyFill="1" applyBorder="1"/>
    <xf numFmtId="0" fontId="0" fillId="0" borderId="3" xfId="0" applyBorder="1" applyAlignment="1">
      <alignment wrapText="1"/>
    </xf>
    <xf numFmtId="0" fontId="0" fillId="0" borderId="61" xfId="0" applyBorder="1" applyAlignment="1">
      <alignment wrapText="1"/>
    </xf>
    <xf numFmtId="0" fontId="18" fillId="7" borderId="0" xfId="0" applyFont="1" applyFill="1" applyAlignment="1">
      <alignment vertical="center" wrapText="1"/>
    </xf>
    <xf numFmtId="0" fontId="17" fillId="7" borderId="0" xfId="0" applyFont="1" applyFill="1" applyAlignment="1">
      <alignment vertical="center" wrapText="1"/>
    </xf>
    <xf numFmtId="0" fontId="0" fillId="0" borderId="0" xfId="0" applyAlignment="1">
      <alignment vertical="center" wrapText="1"/>
    </xf>
    <xf numFmtId="0" fontId="5" fillId="0" borderId="0" xfId="0" applyFont="1" applyAlignment="1">
      <alignment vertical="center" wrapText="1"/>
    </xf>
    <xf numFmtId="0" fontId="8" fillId="7" borderId="0" xfId="0" applyFont="1" applyFill="1" applyAlignment="1">
      <alignment horizontal="center"/>
    </xf>
    <xf numFmtId="0" fontId="8" fillId="0" borderId="0" xfId="0" applyFont="1" applyAlignment="1">
      <alignment horizontal="center"/>
    </xf>
    <xf numFmtId="0" fontId="16" fillId="15" borderId="0" xfId="0" applyFont="1" applyFill="1" applyAlignment="1">
      <alignment vertical="center" wrapText="1"/>
    </xf>
    <xf numFmtId="0" fontId="2" fillId="7" borderId="0" xfId="0" applyFont="1" applyFill="1" applyAlignment="1">
      <alignment horizontal="center"/>
    </xf>
    <xf numFmtId="0" fontId="28" fillId="10" borderId="62" xfId="0" quotePrefix="1" applyFont="1" applyFill="1" applyBorder="1" applyAlignment="1">
      <alignment horizontal="left" wrapText="1"/>
    </xf>
    <xf numFmtId="0" fontId="49" fillId="7" borderId="0" xfId="0" applyFont="1" applyFill="1" applyAlignment="1">
      <alignment vertical="center" wrapText="1"/>
    </xf>
    <xf numFmtId="0" fontId="36" fillId="7" borderId="207" xfId="0" applyFont="1" applyFill="1" applyBorder="1" applyAlignment="1">
      <alignment horizontal="left" vertical="center" wrapText="1"/>
    </xf>
    <xf numFmtId="0" fontId="36" fillId="7" borderId="208" xfId="0" applyFont="1" applyFill="1" applyBorder="1" applyAlignment="1">
      <alignment horizontal="left" vertical="center" wrapText="1"/>
    </xf>
    <xf numFmtId="0" fontId="36" fillId="7" borderId="209" xfId="0" applyFont="1" applyFill="1" applyBorder="1" applyAlignment="1">
      <alignment horizontal="left" vertical="center" wrapText="1"/>
    </xf>
    <xf numFmtId="0" fontId="49" fillId="7" borderId="207" xfId="0" applyFont="1" applyFill="1" applyBorder="1" applyAlignment="1">
      <alignment horizontal="left" vertical="center"/>
    </xf>
    <xf numFmtId="0" fontId="36" fillId="7" borderId="209" xfId="0" applyFont="1" applyFill="1" applyBorder="1" applyAlignment="1">
      <alignment horizontal="center" vertical="center" wrapText="1"/>
    </xf>
    <xf numFmtId="0" fontId="59" fillId="7" borderId="0" xfId="0" applyFont="1" applyFill="1" applyAlignment="1">
      <alignment vertical="center" wrapText="1"/>
    </xf>
    <xf numFmtId="0" fontId="36" fillId="7" borderId="0" xfId="0" applyFont="1" applyFill="1" applyAlignment="1">
      <alignment vertical="center" wrapText="1"/>
    </xf>
    <xf numFmtId="0" fontId="36" fillId="7" borderId="0" xfId="0" applyFont="1" applyFill="1" applyAlignment="1">
      <alignment vertical="top" wrapText="1"/>
    </xf>
    <xf numFmtId="0" fontId="23" fillId="0" borderId="0" xfId="0" applyFont="1" applyAlignment="1">
      <alignment vertical="center" wrapText="1"/>
    </xf>
    <xf numFmtId="0" fontId="0" fillId="7" borderId="0" xfId="0" applyFill="1" applyAlignment="1">
      <alignment horizontal="center" wrapText="1"/>
    </xf>
    <xf numFmtId="0" fontId="5" fillId="7" borderId="62" xfId="0" applyFont="1" applyFill="1" applyBorder="1" applyAlignment="1">
      <alignment wrapText="1"/>
    </xf>
    <xf numFmtId="0" fontId="33" fillId="0" borderId="138" xfId="0" applyFont="1" applyBorder="1" applyAlignment="1">
      <alignment horizontal="left" vertical="center"/>
    </xf>
    <xf numFmtId="0" fontId="0" fillId="6" borderId="43" xfId="0" applyFill="1" applyBorder="1" applyAlignment="1">
      <alignment wrapText="1"/>
    </xf>
    <xf numFmtId="0" fontId="0" fillId="6" borderId="44" xfId="0" applyFill="1" applyBorder="1" applyAlignment="1">
      <alignment wrapText="1"/>
    </xf>
    <xf numFmtId="0" fontId="0" fillId="6" borderId="44" xfId="0" applyFill="1" applyBorder="1" applyAlignment="1">
      <alignment horizontal="center" wrapText="1"/>
    </xf>
    <xf numFmtId="172" fontId="0" fillId="6" borderId="44" xfId="0" applyNumberFormat="1" applyFill="1" applyBorder="1" applyAlignment="1">
      <alignment horizontal="center" wrapText="1"/>
    </xf>
    <xf numFmtId="0" fontId="0" fillId="6" borderId="428" xfId="0" applyFill="1" applyBorder="1" applyAlignment="1">
      <alignment horizontal="center" wrapText="1"/>
    </xf>
    <xf numFmtId="0" fontId="0" fillId="10" borderId="88" xfId="0" applyFill="1" applyBorder="1"/>
    <xf numFmtId="0" fontId="2" fillId="46" borderId="88" xfId="0" applyFont="1" applyFill="1" applyBorder="1" applyAlignment="1">
      <alignment horizontal="center"/>
    </xf>
    <xf numFmtId="0" fontId="1" fillId="15" borderId="88" xfId="0" applyFont="1" applyFill="1" applyBorder="1" applyAlignment="1">
      <alignment wrapText="1"/>
    </xf>
    <xf numFmtId="0" fontId="0" fillId="0" borderId="88" xfId="0" applyBorder="1"/>
    <xf numFmtId="14" fontId="0" fillId="10" borderId="88" xfId="0" applyNumberFormat="1" applyFill="1" applyBorder="1"/>
    <xf numFmtId="0" fontId="0" fillId="15" borderId="88" xfId="0" applyFill="1" applyBorder="1" applyAlignment="1">
      <alignment wrapText="1"/>
    </xf>
    <xf numFmtId="0" fontId="120" fillId="0" borderId="0" xfId="0" applyFont="1"/>
    <xf numFmtId="0" fontId="0" fillId="12" borderId="0" xfId="0" applyFill="1"/>
    <xf numFmtId="1" fontId="0" fillId="10" borderId="88" xfId="0" applyNumberFormat="1" applyFill="1" applyBorder="1"/>
    <xf numFmtId="7" fontId="1" fillId="10" borderId="97" xfId="0" applyNumberFormat="1" applyFont="1" applyFill="1" applyBorder="1"/>
    <xf numFmtId="0" fontId="122" fillId="0" borderId="0" xfId="0" applyFont="1"/>
    <xf numFmtId="0" fontId="0" fillId="48" borderId="0" xfId="0" applyFill="1"/>
    <xf numFmtId="0" fontId="122" fillId="48" borderId="0" xfId="0" applyFont="1" applyFill="1"/>
    <xf numFmtId="10" fontId="0" fillId="10" borderId="88" xfId="0" applyNumberFormat="1" applyFill="1" applyBorder="1"/>
    <xf numFmtId="22" fontId="0" fillId="0" borderId="0" xfId="0" applyNumberFormat="1"/>
    <xf numFmtId="8" fontId="35" fillId="10" borderId="0" xfId="0" applyNumberFormat="1" applyFont="1" applyFill="1"/>
    <xf numFmtId="0" fontId="58" fillId="49" borderId="267" xfId="0" applyFont="1" applyFill="1" applyBorder="1" applyAlignment="1">
      <alignment horizontal="center" wrapText="1"/>
    </xf>
    <xf numFmtId="0" fontId="78" fillId="0" borderId="181" xfId="0" applyFont="1" applyBorder="1"/>
    <xf numFmtId="0" fontId="33" fillId="0" borderId="134" xfId="0" applyFont="1" applyBorder="1" applyAlignment="1">
      <alignment vertical="center"/>
    </xf>
    <xf numFmtId="0" fontId="20" fillId="0" borderId="136" xfId="0" applyFont="1" applyBorder="1" applyAlignment="1">
      <alignment vertical="center"/>
    </xf>
    <xf numFmtId="0" fontId="0" fillId="7" borderId="134" xfId="0" applyFill="1" applyBorder="1"/>
    <xf numFmtId="0" fontId="51" fillId="0" borderId="213" xfId="0" applyFont="1" applyBorder="1"/>
    <xf numFmtId="0" fontId="26" fillId="7" borderId="60" xfId="0" applyFont="1" applyFill="1" applyBorder="1" applyAlignment="1">
      <alignment horizontal="left"/>
    </xf>
    <xf numFmtId="0" fontId="0" fillId="0" borderId="60" xfId="0" applyBorder="1"/>
    <xf numFmtId="0" fontId="33" fillId="26" borderId="168" xfId="0" applyFont="1" applyFill="1" applyBorder="1" applyAlignment="1">
      <alignment wrapText="1"/>
    </xf>
    <xf numFmtId="0" fontId="0" fillId="0" borderId="168" xfId="0" applyBorder="1" applyAlignment="1">
      <alignment wrapText="1"/>
    </xf>
    <xf numFmtId="0" fontId="0" fillId="0" borderId="169" xfId="0" applyBorder="1" applyAlignment="1">
      <alignment wrapText="1"/>
    </xf>
    <xf numFmtId="0" fontId="26" fillId="38" borderId="450" xfId="0" applyFont="1" applyFill="1" applyBorder="1" applyAlignment="1">
      <alignment horizontal="center" wrapText="1"/>
    </xf>
    <xf numFmtId="0" fontId="2" fillId="0" borderId="452" xfId="0" applyFont="1" applyBorder="1" applyAlignment="1">
      <alignment horizontal="center" wrapText="1"/>
    </xf>
    <xf numFmtId="0" fontId="42" fillId="7" borderId="1" xfId="0" applyFont="1" applyFill="1" applyBorder="1" applyAlignment="1">
      <alignment wrapText="1"/>
    </xf>
    <xf numFmtId="0" fontId="0" fillId="0" borderId="2" xfId="0" applyBorder="1" applyAlignment="1">
      <alignment wrapText="1"/>
    </xf>
    <xf numFmtId="0" fontId="0" fillId="0" borderId="59" xfId="0" applyBorder="1" applyAlignment="1">
      <alignment wrapText="1"/>
    </xf>
    <xf numFmtId="0" fontId="0" fillId="0" borderId="60" xfId="0" applyBorder="1" applyAlignment="1">
      <alignment wrapText="1"/>
    </xf>
    <xf numFmtId="0" fontId="0" fillId="7" borderId="117" xfId="0" applyFill="1" applyBorder="1" applyAlignment="1">
      <alignment wrapText="1"/>
    </xf>
    <xf numFmtId="0" fontId="0" fillId="0" borderId="117" xfId="0" applyBorder="1" applyAlignment="1">
      <alignment wrapText="1"/>
    </xf>
    <xf numFmtId="0" fontId="0" fillId="36" borderId="111" xfId="0" applyFill="1" applyBorder="1"/>
    <xf numFmtId="0" fontId="0" fillId="36" borderId="98" xfId="0" applyFill="1" applyBorder="1"/>
    <xf numFmtId="0" fontId="56" fillId="7" borderId="204" xfId="0" applyFont="1" applyFill="1" applyBorder="1" applyAlignment="1">
      <alignment wrapText="1"/>
    </xf>
    <xf numFmtId="0" fontId="33" fillId="0" borderId="54" xfId="0" applyFont="1" applyBorder="1" applyAlignment="1">
      <alignment wrapText="1"/>
    </xf>
    <xf numFmtId="0" fontId="33" fillId="0" borderId="97" xfId="0" applyFont="1" applyBorder="1" applyAlignment="1">
      <alignment wrapText="1"/>
    </xf>
    <xf numFmtId="0" fontId="20" fillId="7" borderId="98" xfId="0" applyFont="1" applyFill="1" applyBorder="1" applyAlignment="1">
      <alignment wrapText="1"/>
    </xf>
    <xf numFmtId="0" fontId="0" fillId="7" borderId="192" xfId="0" applyFill="1" applyBorder="1"/>
    <xf numFmtId="0" fontId="0" fillId="0" borderId="192" xfId="0" applyBorder="1"/>
    <xf numFmtId="0" fontId="0" fillId="0" borderId="289" xfId="0" applyBorder="1"/>
    <xf numFmtId="0" fontId="33" fillId="26" borderId="167" xfId="0" applyFont="1" applyFill="1" applyBorder="1" applyAlignment="1">
      <alignment wrapText="1"/>
    </xf>
    <xf numFmtId="0" fontId="0" fillId="0" borderId="353" xfId="0" applyBorder="1" applyAlignment="1">
      <alignment wrapText="1"/>
    </xf>
    <xf numFmtId="0" fontId="59" fillId="19" borderId="88" xfId="0" applyFont="1" applyFill="1" applyBorder="1" applyAlignment="1">
      <alignment horizontal="center"/>
    </xf>
    <xf numFmtId="0" fontId="60" fillId="19" borderId="88" xfId="0" applyFont="1" applyFill="1" applyBorder="1"/>
    <xf numFmtId="178" fontId="2" fillId="22" borderId="448" xfId="2" applyNumberFormat="1" applyFont="1" applyFill="1" applyBorder="1" applyAlignment="1">
      <alignment horizontal="center" wrapText="1"/>
    </xf>
    <xf numFmtId="0" fontId="2" fillId="22" borderId="314" xfId="0" applyFont="1" applyFill="1" applyBorder="1" applyAlignment="1">
      <alignment horizontal="center" wrapText="1"/>
    </xf>
    <xf numFmtId="0" fontId="0" fillId="36" borderId="102" xfId="0" applyFill="1" applyBorder="1"/>
    <xf numFmtId="0" fontId="0" fillId="36" borderId="91" xfId="0" applyFill="1" applyBorder="1"/>
    <xf numFmtId="0" fontId="0" fillId="36" borderId="101" xfId="0" applyFill="1" applyBorder="1"/>
    <xf numFmtId="0" fontId="0" fillId="7" borderId="91" xfId="0" applyFill="1" applyBorder="1"/>
    <xf numFmtId="0" fontId="0" fillId="0" borderId="101" xfId="0" applyBorder="1"/>
    <xf numFmtId="0" fontId="0" fillId="7" borderId="102" xfId="0" applyFill="1" applyBorder="1"/>
    <xf numFmtId="0" fontId="0" fillId="36" borderId="227" xfId="0" applyFill="1" applyBorder="1"/>
    <xf numFmtId="0" fontId="0" fillId="0" borderId="91" xfId="0" applyBorder="1"/>
    <xf numFmtId="43" fontId="59" fillId="20" borderId="0" xfId="0" applyNumberFormat="1" applyFont="1" applyFill="1" applyAlignment="1">
      <alignment wrapText="1"/>
    </xf>
    <xf numFmtId="0" fontId="59" fillId="20" borderId="0" xfId="0" applyFont="1" applyFill="1" applyAlignment="1">
      <alignment wrapText="1"/>
    </xf>
    <xf numFmtId="0" fontId="0" fillId="7" borderId="227" xfId="0" applyFill="1" applyBorder="1"/>
    <xf numFmtId="0" fontId="59" fillId="19" borderId="88" xfId="0" applyFont="1" applyFill="1" applyBorder="1" applyAlignment="1">
      <alignment horizontal="center" wrapText="1"/>
    </xf>
    <xf numFmtId="0" fontId="0" fillId="15" borderId="213" xfId="0" applyFill="1" applyBorder="1" applyAlignment="1">
      <alignment wrapText="1"/>
    </xf>
    <xf numFmtId="0" fontId="0" fillId="0" borderId="62" xfId="0" applyBorder="1" applyAlignment="1">
      <alignment wrapText="1"/>
    </xf>
    <xf numFmtId="0" fontId="0" fillId="7" borderId="113" xfId="0" applyFill="1" applyBorder="1"/>
    <xf numFmtId="0" fontId="0" fillId="0" borderId="114" xfId="0" applyBorder="1"/>
    <xf numFmtId="0" fontId="0" fillId="0" borderId="227" xfId="0" applyBorder="1"/>
    <xf numFmtId="0" fontId="33" fillId="15" borderId="151" xfId="0" applyFont="1" applyFill="1" applyBorder="1" applyAlignment="1">
      <alignment vertical="center" wrapText="1"/>
    </xf>
    <xf numFmtId="0" fontId="33" fillId="15" borderId="152" xfId="0" applyFont="1" applyFill="1" applyBorder="1" applyAlignment="1">
      <alignment vertical="center" wrapText="1"/>
    </xf>
    <xf numFmtId="0" fontId="33" fillId="15" borderId="153" xfId="0" applyFont="1" applyFill="1" applyBorder="1" applyAlignment="1">
      <alignment vertical="center" wrapText="1"/>
    </xf>
    <xf numFmtId="0" fontId="33" fillId="15" borderId="154" xfId="0" applyFont="1" applyFill="1" applyBorder="1" applyAlignment="1">
      <alignment vertical="center" wrapText="1"/>
    </xf>
    <xf numFmtId="0" fontId="33" fillId="15" borderId="0" xfId="0" applyFont="1" applyFill="1" applyAlignment="1">
      <alignment vertical="center" wrapText="1"/>
    </xf>
    <xf numFmtId="0" fontId="33" fillId="15" borderId="155" xfId="0" applyFont="1" applyFill="1" applyBorder="1" applyAlignment="1">
      <alignment vertical="center" wrapText="1"/>
    </xf>
    <xf numFmtId="0" fontId="33" fillId="15" borderId="156" xfId="0" applyFont="1" applyFill="1" applyBorder="1" applyAlignment="1">
      <alignment vertical="center" wrapText="1"/>
    </xf>
    <xf numFmtId="0" fontId="33" fillId="15" borderId="157" xfId="0" applyFont="1" applyFill="1" applyBorder="1" applyAlignment="1">
      <alignment vertical="center" wrapText="1"/>
    </xf>
    <xf numFmtId="0" fontId="33" fillId="15" borderId="158" xfId="0" applyFont="1" applyFill="1" applyBorder="1" applyAlignment="1">
      <alignment vertical="center" wrapText="1"/>
    </xf>
    <xf numFmtId="0" fontId="20" fillId="7" borderId="0" xfId="0" applyFont="1" applyFill="1" applyAlignment="1">
      <alignment wrapText="1"/>
    </xf>
    <xf numFmtId="43" fontId="20" fillId="7" borderId="0" xfId="0" applyNumberFormat="1" applyFont="1" applyFill="1" applyAlignment="1">
      <alignment wrapText="1"/>
    </xf>
    <xf numFmtId="0" fontId="0" fillId="7" borderId="197" xfId="0" applyFill="1" applyBorder="1"/>
    <xf numFmtId="0" fontId="0" fillId="0" borderId="198" xfId="0" applyBorder="1"/>
    <xf numFmtId="0" fontId="0" fillId="0" borderId="199" xfId="0" applyBorder="1"/>
    <xf numFmtId="0" fontId="58" fillId="19" borderId="88" xfId="0" applyFont="1" applyFill="1" applyBorder="1" applyAlignment="1">
      <alignment horizontal="center" wrapText="1"/>
    </xf>
    <xf numFmtId="0" fontId="0" fillId="15" borderId="149" xfId="0" applyFill="1" applyBorder="1" applyAlignment="1">
      <alignment wrapText="1"/>
    </xf>
    <xf numFmtId="0" fontId="0" fillId="0" borderId="314" xfId="0" applyBorder="1" applyAlignment="1">
      <alignment wrapText="1"/>
    </xf>
    <xf numFmtId="0" fontId="0" fillId="0" borderId="117" xfId="0" applyBorder="1"/>
    <xf numFmtId="0" fontId="0" fillId="0" borderId="116" xfId="0" applyBorder="1"/>
    <xf numFmtId="0" fontId="59" fillId="20" borderId="0" xfId="0" applyFont="1" applyFill="1" applyAlignment="1">
      <alignment horizontal="center" wrapText="1"/>
    </xf>
    <xf numFmtId="0" fontId="8" fillId="20" borderId="108" xfId="0" applyFont="1" applyFill="1" applyBorder="1" applyAlignment="1">
      <alignment horizontal="center"/>
    </xf>
    <xf numFmtId="0" fontId="0" fillId="20" borderId="109" xfId="0" applyFill="1" applyBorder="1" applyAlignment="1">
      <alignment horizontal="center"/>
    </xf>
    <xf numFmtId="0" fontId="0" fillId="7" borderId="111" xfId="0" applyFill="1" applyBorder="1"/>
    <xf numFmtId="0" fontId="0" fillId="7" borderId="98" xfId="0" applyFill="1" applyBorder="1"/>
    <xf numFmtId="0" fontId="33" fillId="15" borderId="159" xfId="0" applyFont="1" applyFill="1" applyBorder="1" applyAlignment="1">
      <alignment vertical="center" wrapText="1"/>
    </xf>
    <xf numFmtId="0" fontId="33" fillId="15" borderId="160" xfId="0" applyFont="1" applyFill="1" applyBorder="1" applyAlignment="1">
      <alignment vertical="center" wrapText="1"/>
    </xf>
    <xf numFmtId="0" fontId="33" fillId="15" borderId="161" xfId="0" applyFont="1" applyFill="1" applyBorder="1" applyAlignment="1">
      <alignment wrapText="1"/>
    </xf>
    <xf numFmtId="0" fontId="33" fillId="15" borderId="162" xfId="0" applyFont="1" applyFill="1" applyBorder="1" applyAlignment="1">
      <alignment vertical="center" wrapText="1"/>
    </xf>
    <xf numFmtId="0" fontId="33" fillId="15" borderId="163" xfId="0" applyFont="1" applyFill="1" applyBorder="1" applyAlignment="1">
      <alignment wrapText="1"/>
    </xf>
    <xf numFmtId="0" fontId="33" fillId="15" borderId="164" xfId="0" applyFont="1" applyFill="1" applyBorder="1" applyAlignment="1">
      <alignment vertical="center" wrapText="1"/>
    </xf>
    <xf numFmtId="0" fontId="33" fillId="15" borderId="165" xfId="0" applyFont="1" applyFill="1" applyBorder="1" applyAlignment="1">
      <alignment vertical="center" wrapText="1"/>
    </xf>
    <xf numFmtId="0" fontId="33" fillId="15" borderId="166" xfId="0" applyFont="1" applyFill="1" applyBorder="1" applyAlignment="1">
      <alignment wrapText="1"/>
    </xf>
    <xf numFmtId="0" fontId="33" fillId="15" borderId="167" xfId="0" applyFont="1" applyFill="1" applyBorder="1" applyAlignment="1">
      <alignment wrapText="1"/>
    </xf>
    <xf numFmtId="0" fontId="26" fillId="9" borderId="91" xfId="0" applyFont="1" applyFill="1" applyBorder="1" applyAlignment="1">
      <alignment wrapText="1"/>
    </xf>
    <xf numFmtId="0" fontId="20" fillId="31" borderId="91" xfId="0" applyFont="1" applyFill="1" applyBorder="1" applyAlignment="1">
      <alignment wrapText="1"/>
    </xf>
    <xf numFmtId="0" fontId="20" fillId="7" borderId="107" xfId="0" applyFont="1" applyFill="1" applyBorder="1" applyAlignment="1">
      <alignment wrapText="1"/>
    </xf>
    <xf numFmtId="43" fontId="26" fillId="7" borderId="117" xfId="0" applyNumberFormat="1" applyFont="1" applyFill="1" applyBorder="1" applyAlignment="1">
      <alignment wrapText="1"/>
    </xf>
    <xf numFmtId="0" fontId="26" fillId="7" borderId="117" xfId="0" applyFont="1" applyFill="1" applyBorder="1" applyAlignment="1">
      <alignment wrapText="1"/>
    </xf>
    <xf numFmtId="0" fontId="0" fillId="36" borderId="102" xfId="0" quotePrefix="1" applyFill="1" applyBorder="1"/>
    <xf numFmtId="0" fontId="2" fillId="7" borderId="91" xfId="0" applyFont="1" applyFill="1" applyBorder="1" applyAlignment="1">
      <alignment wrapText="1"/>
    </xf>
    <xf numFmtId="0" fontId="0" fillId="0" borderId="91" xfId="0" applyBorder="1" applyAlignment="1">
      <alignment wrapText="1"/>
    </xf>
    <xf numFmtId="43" fontId="20" fillId="7" borderId="107" xfId="0" applyNumberFormat="1" applyFont="1" applyFill="1" applyBorder="1" applyAlignment="1">
      <alignment wrapText="1"/>
    </xf>
    <xf numFmtId="43" fontId="20" fillId="31" borderId="91" xfId="0" applyNumberFormat="1" applyFont="1" applyFill="1" applyBorder="1" applyAlignment="1">
      <alignment wrapText="1"/>
    </xf>
    <xf numFmtId="43" fontId="20" fillId="9" borderId="91" xfId="0" applyNumberFormat="1" applyFont="1" applyFill="1" applyBorder="1" applyAlignment="1">
      <alignment wrapText="1"/>
    </xf>
    <xf numFmtId="0" fontId="20" fillId="9" borderId="91" xfId="0" applyFont="1" applyFill="1" applyBorder="1" applyAlignment="1">
      <alignment wrapText="1"/>
    </xf>
    <xf numFmtId="178" fontId="2" fillId="22" borderId="449" xfId="2" applyNumberFormat="1" applyFont="1" applyFill="1" applyBorder="1" applyAlignment="1">
      <alignment horizontal="center" wrapText="1"/>
    </xf>
    <xf numFmtId="0" fontId="2" fillId="22" borderId="290" xfId="0" applyFont="1" applyFill="1" applyBorder="1" applyAlignment="1">
      <alignment horizontal="center" wrapText="1"/>
    </xf>
    <xf numFmtId="0" fontId="2" fillId="46" borderId="88" xfId="0" applyFont="1" applyFill="1" applyBorder="1" applyAlignment="1">
      <alignment horizontal="center"/>
    </xf>
    <xf numFmtId="0" fontId="0" fillId="47" borderId="88" xfId="0" applyFill="1" applyBorder="1" applyAlignment="1">
      <alignment horizontal="center"/>
    </xf>
    <xf numFmtId="0" fontId="0" fillId="47" borderId="416" xfId="0" applyFill="1" applyBorder="1" applyAlignment="1">
      <alignment horizontal="center" vertical="center"/>
    </xf>
    <xf numFmtId="0" fontId="0" fillId="47" borderId="283" xfId="0" applyFill="1" applyBorder="1" applyAlignment="1">
      <alignment horizontal="center" vertical="center"/>
    </xf>
    <xf numFmtId="0" fontId="2" fillId="0" borderId="62" xfId="0" applyFont="1" applyBorder="1" applyAlignment="1">
      <alignment horizontal="center"/>
    </xf>
    <xf numFmtId="0" fontId="123" fillId="0" borderId="0" xfId="0" applyFont="1" applyAlignment="1">
      <alignment horizontal="center"/>
    </xf>
    <xf numFmtId="0" fontId="9" fillId="0" borderId="1" xfId="0" applyFont="1" applyBorder="1" applyAlignment="1">
      <alignment wrapText="1"/>
    </xf>
    <xf numFmtId="0" fontId="0" fillId="0" borderId="3" xfId="0" applyBorder="1" applyAlignment="1">
      <alignment wrapText="1"/>
    </xf>
    <xf numFmtId="0" fontId="0" fillId="0" borderId="61" xfId="0" applyBorder="1" applyAlignment="1">
      <alignment wrapText="1"/>
    </xf>
    <xf numFmtId="0" fontId="5" fillId="7" borderId="80" xfId="0" applyFont="1" applyFill="1" applyBorder="1" applyAlignment="1">
      <alignment horizontal="left" wrapText="1"/>
    </xf>
    <xf numFmtId="0" fontId="5" fillId="0" borderId="82" xfId="0" applyFont="1" applyBorder="1" applyAlignment="1">
      <alignment horizontal="left" wrapText="1"/>
    </xf>
    <xf numFmtId="0" fontId="2" fillId="8" borderId="60" xfId="0" applyFont="1" applyFill="1" applyBorder="1" applyAlignment="1">
      <alignment horizontal="center"/>
    </xf>
    <xf numFmtId="0" fontId="0" fillId="0" borderId="60" xfId="0" applyBorder="1" applyAlignment="1">
      <alignment horizontal="center"/>
    </xf>
    <xf numFmtId="0" fontId="2" fillId="31" borderId="60" xfId="0" applyFont="1" applyFill="1" applyBorder="1" applyAlignment="1">
      <alignment horizontal="center"/>
    </xf>
    <xf numFmtId="0" fontId="2" fillId="20" borderId="60" xfId="0" applyFont="1" applyFill="1" applyBorder="1" applyAlignment="1">
      <alignment horizontal="center"/>
    </xf>
    <xf numFmtId="0" fontId="14" fillId="23" borderId="159" xfId="0" applyFont="1" applyFill="1" applyBorder="1" applyAlignment="1">
      <alignment vertical="center" wrapText="1"/>
    </xf>
    <xf numFmtId="0" fontId="14" fillId="23" borderId="160" xfId="0" applyFont="1" applyFill="1" applyBorder="1" applyAlignment="1">
      <alignment vertical="center" wrapText="1"/>
    </xf>
    <xf numFmtId="0" fontId="14" fillId="23" borderId="161" xfId="0" applyFont="1" applyFill="1" applyBorder="1" applyAlignment="1">
      <alignment vertical="center" wrapText="1"/>
    </xf>
    <xf numFmtId="0" fontId="14" fillId="23" borderId="162" xfId="0" applyFont="1" applyFill="1" applyBorder="1" applyAlignment="1">
      <alignment vertical="center" wrapText="1"/>
    </xf>
    <xf numFmtId="0" fontId="14" fillId="23" borderId="0" xfId="0" applyFont="1" applyFill="1" applyAlignment="1">
      <alignment vertical="center" wrapText="1"/>
    </xf>
    <xf numFmtId="0" fontId="14" fillId="23" borderId="163" xfId="0" applyFont="1" applyFill="1" applyBorder="1" applyAlignment="1">
      <alignment vertical="center" wrapText="1"/>
    </xf>
    <xf numFmtId="0" fontId="14" fillId="23" borderId="164" xfId="0" applyFont="1" applyFill="1" applyBorder="1" applyAlignment="1">
      <alignment vertical="center" wrapText="1"/>
    </xf>
    <xf numFmtId="0" fontId="14" fillId="23" borderId="165" xfId="0" applyFont="1" applyFill="1" applyBorder="1" applyAlignment="1">
      <alignment vertical="center" wrapText="1"/>
    </xf>
    <xf numFmtId="0" fontId="14" fillId="23" borderId="166" xfId="0" applyFont="1" applyFill="1" applyBorder="1" applyAlignment="1">
      <alignment vertical="center" wrapText="1"/>
    </xf>
    <xf numFmtId="0" fontId="18" fillId="7" borderId="0" xfId="0" applyFont="1" applyFill="1" applyAlignment="1">
      <alignment vertical="center" wrapText="1"/>
    </xf>
    <xf numFmtId="0" fontId="17" fillId="7" borderId="0" xfId="0" applyFont="1" applyFill="1" applyAlignment="1">
      <alignment vertical="center" wrapText="1"/>
    </xf>
    <xf numFmtId="0" fontId="14" fillId="23" borderId="161" xfId="0" applyFont="1" applyFill="1" applyBorder="1" applyAlignment="1">
      <alignment wrapText="1"/>
    </xf>
    <xf numFmtId="0" fontId="14" fillId="23" borderId="163" xfId="0" applyFont="1" applyFill="1" applyBorder="1" applyAlignment="1">
      <alignment wrapText="1"/>
    </xf>
    <xf numFmtId="0" fontId="14" fillId="23" borderId="166" xfId="0" applyFont="1" applyFill="1" applyBorder="1" applyAlignment="1">
      <alignment wrapText="1"/>
    </xf>
    <xf numFmtId="0" fontId="14" fillId="23" borderId="160" xfId="0" applyFont="1" applyFill="1" applyBorder="1" applyAlignment="1">
      <alignment wrapText="1"/>
    </xf>
    <xf numFmtId="0" fontId="14" fillId="23" borderId="164" xfId="0" applyFont="1" applyFill="1" applyBorder="1" applyAlignment="1">
      <alignment wrapText="1"/>
    </xf>
    <xf numFmtId="0" fontId="14" fillId="23" borderId="165" xfId="0" applyFont="1" applyFill="1" applyBorder="1" applyAlignment="1">
      <alignment wrapText="1"/>
    </xf>
    <xf numFmtId="0" fontId="0" fillId="7" borderId="54" xfId="0" applyFill="1" applyBorder="1" applyAlignment="1">
      <alignment horizontal="left" wrapText="1"/>
    </xf>
    <xf numFmtId="0" fontId="0" fillId="0" borderId="54" xfId="0" applyBorder="1" applyAlignment="1">
      <alignment wrapText="1"/>
    </xf>
    <xf numFmtId="0" fontId="0" fillId="7" borderId="62" xfId="0" applyFill="1" applyBorder="1" applyAlignment="1">
      <alignment wrapText="1"/>
    </xf>
    <xf numFmtId="0" fontId="0" fillId="7" borderId="62" xfId="0" applyFill="1" applyBorder="1" applyAlignment="1">
      <alignment horizontal="left" wrapText="1"/>
    </xf>
    <xf numFmtId="0" fontId="0" fillId="7" borderId="54" xfId="0" applyFill="1" applyBorder="1" applyAlignment="1">
      <alignment wrapText="1"/>
    </xf>
    <xf numFmtId="0" fontId="79" fillId="0" borderId="0" xfId="0" applyFont="1" applyAlignment="1">
      <alignment vertical="center" wrapText="1"/>
    </xf>
    <xf numFmtId="0" fontId="44" fillId="0" borderId="0" xfId="0" applyFont="1" applyAlignment="1">
      <alignment vertical="center" wrapText="1"/>
    </xf>
    <xf numFmtId="0" fontId="8" fillId="7" borderId="0" xfId="0" applyFont="1" applyFill="1" applyAlignment="1">
      <alignment horizontal="center"/>
    </xf>
    <xf numFmtId="0" fontId="2" fillId="7" borderId="0" xfId="0" applyFont="1" applyFill="1" applyAlignment="1">
      <alignment horizontal="center"/>
    </xf>
    <xf numFmtId="0" fontId="80" fillId="15" borderId="0" xfId="0" applyFont="1" applyFill="1" applyAlignment="1">
      <alignment vertical="center" wrapText="1"/>
    </xf>
    <xf numFmtId="0" fontId="0" fillId="0" borderId="0" xfId="0" applyAlignment="1">
      <alignment wrapText="1"/>
    </xf>
    <xf numFmtId="0" fontId="0" fillId="0" borderId="0" xfId="0" applyAlignment="1">
      <alignment vertical="center" wrapText="1"/>
    </xf>
    <xf numFmtId="0" fontId="24" fillId="16" borderId="0" xfId="0" applyFont="1" applyFill="1" applyAlignment="1">
      <alignment vertical="center" wrapText="1"/>
    </xf>
    <xf numFmtId="0" fontId="5" fillId="0" borderId="0" xfId="0" applyFont="1" applyAlignment="1">
      <alignment vertical="center" wrapText="1"/>
    </xf>
    <xf numFmtId="0" fontId="8" fillId="0" borderId="0" xfId="0" applyFont="1" applyAlignment="1">
      <alignment horizontal="center"/>
    </xf>
    <xf numFmtId="0" fontId="16" fillId="15" borderId="0" xfId="0" applyFont="1" applyFill="1" applyAlignment="1">
      <alignment vertical="center" wrapText="1"/>
    </xf>
    <xf numFmtId="0" fontId="0" fillId="15" borderId="0" xfId="0" applyFill="1" applyAlignment="1">
      <alignment wrapText="1"/>
    </xf>
    <xf numFmtId="0" fontId="8" fillId="15" borderId="0" xfId="0" applyFont="1" applyFill="1" applyAlignment="1">
      <alignment wrapText="1"/>
    </xf>
    <xf numFmtId="0" fontId="28" fillId="0" borderId="62" xfId="0" applyFont="1" applyBorder="1"/>
    <xf numFmtId="0" fontId="0" fillId="10" borderId="62" xfId="0" applyFill="1" applyBorder="1" applyAlignment="1">
      <alignment wrapText="1"/>
    </xf>
    <xf numFmtId="0" fontId="111" fillId="7" borderId="0" xfId="0" applyFont="1" applyFill="1" applyAlignment="1">
      <alignment horizontal="center"/>
    </xf>
    <xf numFmtId="0" fontId="35" fillId="45" borderId="56" xfId="0" applyFont="1" applyFill="1" applyBorder="1" applyAlignment="1">
      <alignment horizontal="left" wrapText="1"/>
    </xf>
    <xf numFmtId="0" fontId="107" fillId="7" borderId="0" xfId="0" applyFont="1" applyFill="1" applyAlignment="1">
      <alignment horizontal="center"/>
    </xf>
    <xf numFmtId="0" fontId="28" fillId="10" borderId="62" xfId="0" quotePrefix="1" applyFont="1" applyFill="1" applyBorder="1" applyAlignment="1">
      <alignment horizontal="left" wrapText="1"/>
    </xf>
    <xf numFmtId="0" fontId="36" fillId="7" borderId="207" xfId="0" applyFont="1" applyFill="1" applyBorder="1" applyAlignment="1">
      <alignment horizontal="left" vertical="center" wrapText="1"/>
    </xf>
    <xf numFmtId="0" fontId="36" fillId="7" borderId="208" xfId="0" applyFont="1" applyFill="1" applyBorder="1" applyAlignment="1">
      <alignment horizontal="left" vertical="center" wrapText="1"/>
    </xf>
    <xf numFmtId="0" fontId="36" fillId="7" borderId="209" xfId="0" applyFont="1" applyFill="1" applyBorder="1" applyAlignment="1">
      <alignment horizontal="left" vertical="center" wrapText="1"/>
    </xf>
    <xf numFmtId="0" fontId="49" fillId="7" borderId="207" xfId="0" applyFont="1" applyFill="1" applyBorder="1" applyAlignment="1">
      <alignment horizontal="left" vertical="center" wrapText="1"/>
    </xf>
    <xf numFmtId="0" fontId="28" fillId="7" borderId="208" xfId="0" applyFont="1" applyFill="1" applyBorder="1" applyAlignment="1">
      <alignment horizontal="left" vertical="center" wrapText="1"/>
    </xf>
    <xf numFmtId="0" fontId="28" fillId="7" borderId="209" xfId="0" applyFont="1" applyFill="1" applyBorder="1" applyAlignment="1">
      <alignment horizontal="left" vertical="center" wrapText="1"/>
    </xf>
    <xf numFmtId="0" fontId="49" fillId="7" borderId="207" xfId="0" applyFont="1" applyFill="1" applyBorder="1" applyAlignment="1">
      <alignment horizontal="left" vertical="center"/>
    </xf>
    <xf numFmtId="0" fontId="28" fillId="7" borderId="208" xfId="0" applyFont="1" applyFill="1" applyBorder="1" applyAlignment="1">
      <alignment horizontal="left" vertical="center"/>
    </xf>
    <xf numFmtId="0" fontId="28" fillId="7" borderId="209" xfId="0" applyFont="1" applyFill="1" applyBorder="1" applyAlignment="1">
      <alignment horizontal="left" vertical="center"/>
    </xf>
    <xf numFmtId="0" fontId="36" fillId="7" borderId="207" xfId="0" applyFont="1" applyFill="1" applyBorder="1" applyAlignment="1">
      <alignment horizontal="center" vertical="center" wrapText="1"/>
    </xf>
    <xf numFmtId="0" fontId="36" fillId="7" borderId="208" xfId="0" applyFont="1" applyFill="1" applyBorder="1" applyAlignment="1">
      <alignment horizontal="center" vertical="center" wrapText="1"/>
    </xf>
    <xf numFmtId="0" fontId="36" fillId="7" borderId="209" xfId="0" applyFont="1" applyFill="1" applyBorder="1" applyAlignment="1">
      <alignment horizontal="center" vertical="center" wrapText="1"/>
    </xf>
    <xf numFmtId="0" fontId="49" fillId="7" borderId="208" xfId="0" applyFont="1" applyFill="1" applyBorder="1" applyAlignment="1">
      <alignment horizontal="left" vertical="center" wrapText="1"/>
    </xf>
    <xf numFmtId="0" fontId="49" fillId="7" borderId="209" xfId="0" applyFont="1" applyFill="1" applyBorder="1" applyAlignment="1">
      <alignment horizontal="left" vertical="center" wrapText="1"/>
    </xf>
    <xf numFmtId="0" fontId="49" fillId="7" borderId="0" xfId="0" applyFont="1" applyFill="1" applyAlignment="1">
      <alignment vertical="center" wrapText="1"/>
    </xf>
    <xf numFmtId="0" fontId="49" fillId="7" borderId="0" xfId="0" applyFont="1" applyFill="1" applyAlignment="1">
      <alignment vertical="center"/>
    </xf>
    <xf numFmtId="0" fontId="49" fillId="7" borderId="0" xfId="0" applyFont="1" applyFill="1" applyAlignment="1">
      <alignment vertical="top" wrapText="1"/>
    </xf>
    <xf numFmtId="0" fontId="36" fillId="7" borderId="0" xfId="0" applyFont="1" applyFill="1" applyAlignment="1">
      <alignment vertical="center" wrapText="1"/>
    </xf>
    <xf numFmtId="0" fontId="36" fillId="7" borderId="0" xfId="0" applyFont="1" applyFill="1" applyAlignment="1">
      <alignment vertical="top" wrapText="1"/>
    </xf>
    <xf numFmtId="8" fontId="36" fillId="7" borderId="207" xfId="6" applyNumberFormat="1" applyFont="1" applyFill="1" applyBorder="1" applyAlignment="1">
      <alignment horizontal="right" vertical="center" wrapText="1"/>
    </xf>
    <xf numFmtId="43" fontId="36" fillId="7" borderId="208" xfId="6" applyFont="1" applyFill="1" applyBorder="1" applyAlignment="1">
      <alignment horizontal="right" vertical="center" wrapText="1"/>
    </xf>
    <xf numFmtId="43" fontId="36" fillId="7" borderId="209" xfId="6" applyFont="1" applyFill="1" applyBorder="1" applyAlignment="1">
      <alignment horizontal="right" vertical="center" wrapText="1"/>
    </xf>
    <xf numFmtId="14" fontId="36" fillId="7" borderId="207" xfId="0" applyNumberFormat="1" applyFont="1" applyFill="1" applyBorder="1" applyAlignment="1">
      <alignment horizontal="center" vertical="center" wrapText="1"/>
    </xf>
    <xf numFmtId="0" fontId="59" fillId="7" borderId="0" xfId="0" applyFont="1" applyFill="1" applyAlignment="1">
      <alignment vertical="center" wrapText="1"/>
    </xf>
    <xf numFmtId="14" fontId="36" fillId="7" borderId="207" xfId="0" applyNumberFormat="1" applyFont="1" applyFill="1" applyBorder="1" applyAlignment="1">
      <alignment horizontal="left" vertical="center" wrapText="1"/>
    </xf>
    <xf numFmtId="14" fontId="49" fillId="7" borderId="207" xfId="0" applyNumberFormat="1" applyFont="1" applyFill="1" applyBorder="1" applyAlignment="1">
      <alignment horizontal="center" vertical="center" wrapText="1"/>
    </xf>
    <xf numFmtId="0" fontId="49" fillId="7" borderId="208" xfId="0" applyFont="1" applyFill="1" applyBorder="1" applyAlignment="1">
      <alignment horizontal="center" vertical="center" wrapText="1"/>
    </xf>
    <xf numFmtId="0" fontId="49" fillId="7" borderId="209" xfId="0" applyFont="1" applyFill="1" applyBorder="1" applyAlignment="1">
      <alignment horizontal="center" vertical="center" wrapText="1"/>
    </xf>
    <xf numFmtId="14" fontId="49" fillId="7" borderId="207" xfId="0" applyNumberFormat="1" applyFont="1" applyFill="1" applyBorder="1" applyAlignment="1">
      <alignment horizontal="left" vertical="center" wrapText="1"/>
    </xf>
    <xf numFmtId="8" fontId="49" fillId="7" borderId="207" xfId="6" applyNumberFormat="1" applyFont="1" applyFill="1" applyBorder="1" applyAlignment="1">
      <alignment horizontal="right" vertical="center" wrapText="1"/>
    </xf>
    <xf numFmtId="43" fontId="49" fillId="7" borderId="208" xfId="6" applyFont="1" applyFill="1" applyBorder="1" applyAlignment="1">
      <alignment horizontal="right" vertical="center" wrapText="1"/>
    </xf>
    <xf numFmtId="43" fontId="49" fillId="7" borderId="209" xfId="6" applyFont="1" applyFill="1" applyBorder="1" applyAlignment="1">
      <alignment horizontal="right" vertical="center" wrapText="1"/>
    </xf>
    <xf numFmtId="0" fontId="4" fillId="41" borderId="15" xfId="0" applyFont="1" applyFill="1" applyBorder="1" applyAlignment="1">
      <alignment horizontal="left"/>
    </xf>
    <xf numFmtId="0" fontId="4" fillId="41" borderId="16" xfId="0" applyFont="1" applyFill="1" applyBorder="1" applyAlignment="1">
      <alignment horizontal="left"/>
    </xf>
    <xf numFmtId="0" fontId="4" fillId="21" borderId="14" xfId="0" applyFont="1" applyFill="1" applyBorder="1" applyAlignment="1">
      <alignment horizontal="center"/>
    </xf>
    <xf numFmtId="0" fontId="4" fillId="21" borderId="15" xfId="0" applyFont="1" applyFill="1" applyBorder="1" applyAlignment="1">
      <alignment horizontal="center"/>
    </xf>
    <xf numFmtId="0" fontId="4" fillId="21" borderId="16" xfId="0" applyFont="1" applyFill="1" applyBorder="1" applyAlignment="1">
      <alignment horizontal="center"/>
    </xf>
    <xf numFmtId="0" fontId="5" fillId="36" borderId="81" xfId="0" applyFont="1" applyFill="1" applyBorder="1" applyAlignment="1">
      <alignment wrapText="1"/>
    </xf>
    <xf numFmtId="0" fontId="5" fillId="36" borderId="80" xfId="0" applyFont="1" applyFill="1" applyBorder="1" applyAlignment="1">
      <alignment wrapText="1"/>
    </xf>
    <xf numFmtId="0" fontId="5" fillId="36" borderId="82" xfId="0" applyFont="1" applyFill="1" applyBorder="1" applyAlignment="1">
      <alignment wrapText="1"/>
    </xf>
    <xf numFmtId="0" fontId="4" fillId="7" borderId="14" xfId="0" applyFont="1" applyFill="1" applyBorder="1" applyAlignment="1">
      <alignment horizontal="center"/>
    </xf>
    <xf numFmtId="0" fontId="4" fillId="0" borderId="15" xfId="0" applyFont="1" applyBorder="1" applyAlignment="1">
      <alignment horizontal="center"/>
    </xf>
    <xf numFmtId="0" fontId="4" fillId="0" borderId="16" xfId="0" applyFont="1" applyBorder="1" applyAlignment="1">
      <alignment horizontal="center"/>
    </xf>
    <xf numFmtId="0" fontId="27" fillId="36" borderId="62" xfId="0" applyFont="1" applyFill="1" applyBorder="1" applyAlignment="1">
      <alignment wrapText="1"/>
    </xf>
    <xf numFmtId="0" fontId="5" fillId="36" borderId="55" xfId="0" applyFont="1" applyFill="1" applyBorder="1" applyAlignment="1">
      <alignment wrapText="1"/>
    </xf>
    <xf numFmtId="0" fontId="5" fillId="36" borderId="56" xfId="0" applyFont="1" applyFill="1" applyBorder="1" applyAlignment="1">
      <alignment wrapText="1"/>
    </xf>
    <xf numFmtId="0" fontId="5" fillId="36" borderId="57" xfId="0" applyFont="1" applyFill="1" applyBorder="1" applyAlignment="1">
      <alignment wrapText="1"/>
    </xf>
    <xf numFmtId="0" fontId="5" fillId="36" borderId="62" xfId="0" applyFont="1" applyFill="1" applyBorder="1" applyAlignment="1">
      <alignment wrapText="1"/>
    </xf>
    <xf numFmtId="0" fontId="6" fillId="30" borderId="291" xfId="0" applyFont="1" applyFill="1" applyBorder="1" applyAlignment="1">
      <alignment horizontal="center"/>
    </xf>
    <xf numFmtId="0" fontId="6" fillId="30" borderId="5" xfId="0" applyFont="1" applyFill="1" applyBorder="1" applyAlignment="1">
      <alignment horizontal="center"/>
    </xf>
    <xf numFmtId="0" fontId="6" fillId="30" borderId="63" xfId="0" applyFont="1" applyFill="1" applyBorder="1" applyAlignment="1">
      <alignment horizontal="center"/>
    </xf>
    <xf numFmtId="0" fontId="6" fillId="30" borderId="64" xfId="0" applyFont="1" applyFill="1" applyBorder="1" applyAlignment="1">
      <alignment horizontal="center"/>
    </xf>
    <xf numFmtId="0" fontId="5" fillId="36" borderId="53" xfId="0" applyFont="1" applyFill="1" applyBorder="1" applyAlignment="1">
      <alignment wrapText="1"/>
    </xf>
    <xf numFmtId="0" fontId="5" fillId="36" borderId="54" xfId="0" applyFont="1" applyFill="1" applyBorder="1" applyAlignment="1">
      <alignment wrapText="1"/>
    </xf>
    <xf numFmtId="0" fontId="5" fillId="36" borderId="58" xfId="0" applyFont="1" applyFill="1" applyBorder="1" applyAlignment="1">
      <alignment wrapText="1"/>
    </xf>
    <xf numFmtId="0" fontId="22" fillId="16" borderId="0" xfId="0" applyFont="1" applyFill="1" applyAlignment="1">
      <alignment vertical="center" wrapText="1"/>
    </xf>
    <xf numFmtId="0" fontId="23" fillId="0" borderId="0" xfId="0" applyFont="1" applyAlignment="1">
      <alignment vertical="center" wrapText="1"/>
    </xf>
    <xf numFmtId="0" fontId="13" fillId="7" borderId="62" xfId="0" applyFont="1" applyFill="1" applyBorder="1" applyAlignment="1">
      <alignment horizontal="left" vertical="top" wrapText="1"/>
    </xf>
    <xf numFmtId="0" fontId="0" fillId="0" borderId="62" xfId="0" applyBorder="1" applyAlignment="1">
      <alignment vertical="top" wrapText="1"/>
    </xf>
    <xf numFmtId="0" fontId="37" fillId="0" borderId="0" xfId="0" applyFont="1" applyAlignment="1">
      <alignment wrapText="1"/>
    </xf>
    <xf numFmtId="0" fontId="88" fillId="15" borderId="154" xfId="0" applyFont="1" applyFill="1" applyBorder="1" applyAlignment="1">
      <alignment vertical="top" wrapText="1"/>
    </xf>
    <xf numFmtId="0" fontId="88" fillId="15" borderId="0" xfId="0" applyFont="1" applyFill="1" applyAlignment="1">
      <alignment vertical="top" wrapText="1"/>
    </xf>
    <xf numFmtId="0" fontId="25" fillId="7" borderId="0" xfId="0" applyFont="1" applyFill="1" applyAlignment="1">
      <alignment horizontal="center"/>
    </xf>
    <xf numFmtId="44" fontId="64" fillId="7" borderId="0" xfId="1" applyFont="1" applyFill="1" applyAlignment="1">
      <alignment horizontal="center" wrapText="1"/>
    </xf>
    <xf numFmtId="0" fontId="64" fillId="7" borderId="0" xfId="0" applyFont="1" applyFill="1" applyAlignment="1">
      <alignment horizontal="center" wrapText="1"/>
    </xf>
    <xf numFmtId="0" fontId="0" fillId="7" borderId="0" xfId="0" applyFill="1" applyAlignment="1">
      <alignment horizontal="center" wrapText="1"/>
    </xf>
    <xf numFmtId="0" fontId="35" fillId="7" borderId="0" xfId="0" applyFont="1" applyFill="1" applyAlignment="1">
      <alignment horizontal="center"/>
    </xf>
    <xf numFmtId="44" fontId="106" fillId="7" borderId="0" xfId="1" applyFont="1" applyFill="1" applyBorder="1" applyAlignment="1">
      <alignment horizontal="center"/>
    </xf>
    <xf numFmtId="0" fontId="5" fillId="7" borderId="62" xfId="0" applyFont="1" applyFill="1" applyBorder="1" applyAlignment="1">
      <alignment wrapText="1"/>
    </xf>
    <xf numFmtId="44" fontId="108" fillId="7" borderId="0" xfId="1" applyFont="1" applyFill="1" applyBorder="1" applyAlignment="1">
      <alignment horizontal="center"/>
    </xf>
    <xf numFmtId="0" fontId="1" fillId="0" borderId="0" xfId="0" applyFont="1" applyAlignment="1">
      <alignment horizontal="center"/>
    </xf>
  </cellXfs>
  <cellStyles count="9">
    <cellStyle name="20% - Accent5" xfId="7" builtinId="46"/>
    <cellStyle name="Comma" xfId="6" builtinId="3"/>
    <cellStyle name="Currency" xfId="1" builtinId="4"/>
    <cellStyle name="Currency 14" xfId="5" xr:uid="{00000000-0005-0000-0000-000003000000}"/>
    <cellStyle name="Hyperlink" xfId="3" builtinId="8"/>
    <cellStyle name="Normal" xfId="0" builtinId="0"/>
    <cellStyle name="Normal 15" xfId="4" xr:uid="{00000000-0005-0000-0000-000006000000}"/>
    <cellStyle name="Normal 6" xfId="8" xr:uid="{00000000-0005-0000-0000-000007000000}"/>
    <cellStyle name="Percent" xfId="2" builtinId="5"/>
  </cellStyles>
  <dxfs count="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2" defaultPivotStyle="PivotStyleLight16"/>
  <colors>
    <mruColors>
      <color rgb="FFFFFFCC"/>
      <color rgb="FFFFCCFF"/>
      <color rgb="FFFF9393"/>
      <color rgb="FFABFFFF"/>
      <color rgb="FFCCECFF"/>
      <color rgb="FFFF3737"/>
      <color rgb="FF99FFCC"/>
      <color rgb="FF9999FF"/>
      <color rgb="FF9966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0.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5.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4.xml"/><Relationship Id="rId38" Type="http://schemas.openxmlformats.org/officeDocument/2006/relationships/externalLink" Target="externalLinks/externalLink9.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externalLink" Target="externalLinks/externalLink8.xml"/><Relationship Id="rId40" Type="http://schemas.openxmlformats.org/officeDocument/2006/relationships/externalLink" Target="externalLinks/externalLink11.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externalLink" Target="externalLinks/externalLink6.xml"/><Relationship Id="rId43"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image" Target="cid:image008.jpg@01D29CE0.3FB32C80" TargetMode="External"/><Relationship Id="rId2" Type="http://schemas.openxmlformats.org/officeDocument/2006/relationships/image" Target="../media/image5.jpe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57150</xdr:rowOff>
        </xdr:from>
        <xdr:to>
          <xdr:col>1</xdr:col>
          <xdr:colOff>38100</xdr:colOff>
          <xdr:row>0</xdr:row>
          <xdr:rowOff>333375</xdr:rowOff>
        </xdr:to>
        <xdr:sp macro="" textlink="">
          <xdr:nvSpPr>
            <xdr:cNvPr id="94213" name="Button 5" hidden="1">
              <a:extLst>
                <a:ext uri="{63B3BB69-23CF-44E3-9099-C40C66FF867C}">
                  <a14:compatExt spid="_x0000_s94213"/>
                </a:ext>
                <a:ext uri="{FF2B5EF4-FFF2-40B4-BE49-F238E27FC236}">
                  <a16:creationId xmlns:a16="http://schemas.microsoft.com/office/drawing/2014/main" id="{00000000-0008-0000-0300-000005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Upload Deal to M61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0</xdr:row>
          <xdr:rowOff>57150</xdr:rowOff>
        </xdr:from>
        <xdr:to>
          <xdr:col>1</xdr:col>
          <xdr:colOff>1495425</xdr:colOff>
          <xdr:row>0</xdr:row>
          <xdr:rowOff>333375</xdr:rowOff>
        </xdr:to>
        <xdr:sp macro="" textlink="">
          <xdr:nvSpPr>
            <xdr:cNvPr id="94214" name="Button 6" hidden="1">
              <a:extLst>
                <a:ext uri="{63B3BB69-23CF-44E3-9099-C40C66FF867C}">
                  <a14:compatExt spid="_x0000_s94214"/>
                </a:ext>
                <a:ext uri="{FF2B5EF4-FFF2-40B4-BE49-F238E27FC236}">
                  <a16:creationId xmlns:a16="http://schemas.microsoft.com/office/drawing/2014/main" id="{00000000-0008-0000-0300-000006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Refresh From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0</xdr:row>
          <xdr:rowOff>57150</xdr:rowOff>
        </xdr:from>
        <xdr:to>
          <xdr:col>2</xdr:col>
          <xdr:colOff>819150</xdr:colOff>
          <xdr:row>0</xdr:row>
          <xdr:rowOff>333375</xdr:rowOff>
        </xdr:to>
        <xdr:sp macro="" textlink="">
          <xdr:nvSpPr>
            <xdr:cNvPr id="94215" name="Button 7" hidden="1">
              <a:extLst>
                <a:ext uri="{63B3BB69-23CF-44E3-9099-C40C66FF867C}">
                  <a14:compatExt spid="_x0000_s94215"/>
                </a:ext>
                <a:ext uri="{FF2B5EF4-FFF2-40B4-BE49-F238E27FC236}">
                  <a16:creationId xmlns:a16="http://schemas.microsoft.com/office/drawing/2014/main" id="{00000000-0008-0000-0300-000007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Reset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38100</xdr:colOff>
      <xdr:row>0</xdr:row>
      <xdr:rowOff>0</xdr:rowOff>
    </xdr:from>
    <xdr:to>
      <xdr:col>0</xdr:col>
      <xdr:colOff>1240559</xdr:colOff>
      <xdr:row>3</xdr:row>
      <xdr:rowOff>53975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38100" y="0"/>
          <a:ext cx="1215159" cy="6413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1198649</xdr:colOff>
      <xdr:row>3</xdr:row>
      <xdr:rowOff>29210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0" y="0"/>
          <a:ext cx="1198649" cy="6483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15240</xdr:rowOff>
    </xdr:from>
    <xdr:to>
      <xdr:col>0</xdr:col>
      <xdr:colOff>874059</xdr:colOff>
      <xdr:row>2</xdr:row>
      <xdr:rowOff>91695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0" y="12700"/>
          <a:ext cx="874059" cy="4345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73632</xdr:colOff>
      <xdr:row>0</xdr:row>
      <xdr:rowOff>66261</xdr:rowOff>
    </xdr:from>
    <xdr:to>
      <xdr:col>1</xdr:col>
      <xdr:colOff>895350</xdr:colOff>
      <xdr:row>3</xdr:row>
      <xdr:rowOff>91440</xdr:rowOff>
    </xdr:to>
    <xdr:pic>
      <xdr:nvPicPr>
        <xdr:cNvPr id="2" name="Picture 1" descr="C:\Users\Shari\Dropbox\ACORE\Logo\ACORE Capital Logo Smaller 6.4.15.jpg">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32" y="66261"/>
          <a:ext cx="983643" cy="705264"/>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77529</xdr:colOff>
      <xdr:row>1</xdr:row>
      <xdr:rowOff>99680</xdr:rowOff>
    </xdr:from>
    <xdr:to>
      <xdr:col>2</xdr:col>
      <xdr:colOff>942520</xdr:colOff>
      <xdr:row>2</xdr:row>
      <xdr:rowOff>160722</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387645" y="310116"/>
          <a:ext cx="1300114" cy="5008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35718</xdr:colOff>
      <xdr:row>1</xdr:row>
      <xdr:rowOff>107156</xdr:rowOff>
    </xdr:from>
    <xdr:to>
      <xdr:col>2</xdr:col>
      <xdr:colOff>904032</xdr:colOff>
      <xdr:row>2</xdr:row>
      <xdr:rowOff>164340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345281" y="321469"/>
          <a:ext cx="1300114" cy="5008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35718</xdr:colOff>
      <xdr:row>1</xdr:row>
      <xdr:rowOff>107156</xdr:rowOff>
    </xdr:from>
    <xdr:to>
      <xdr:col>2</xdr:col>
      <xdr:colOff>914827</xdr:colOff>
      <xdr:row>4</xdr:row>
      <xdr:rowOff>57025</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359568" y="314801"/>
          <a:ext cx="1307734" cy="4946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8</xdr:row>
          <xdr:rowOff>28575</xdr:rowOff>
        </xdr:from>
        <xdr:to>
          <xdr:col>2</xdr:col>
          <xdr:colOff>1133475</xdr:colOff>
          <xdr:row>9</xdr:row>
          <xdr:rowOff>0</xdr:rowOff>
        </xdr:to>
        <xdr:sp macro="" textlink="">
          <xdr:nvSpPr>
            <xdr:cNvPr id="64513" name="Check Box 1" hidden="1">
              <a:extLst>
                <a:ext uri="{63B3BB69-23CF-44E3-9099-C40C66FF867C}">
                  <a14:compatExt spid="_x0000_s64513"/>
                </a:ext>
                <a:ext uri="{FF2B5EF4-FFF2-40B4-BE49-F238E27FC236}">
                  <a16:creationId xmlns:a16="http://schemas.microsoft.com/office/drawing/2014/main" id="{00000000-0008-0000-1300-000001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Annual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8</xdr:row>
          <xdr:rowOff>0</xdr:rowOff>
        </xdr:from>
        <xdr:to>
          <xdr:col>3</xdr:col>
          <xdr:colOff>828675</xdr:colOff>
          <xdr:row>8</xdr:row>
          <xdr:rowOff>295275</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1300-000002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Bi-Annual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7</xdr:row>
          <xdr:rowOff>180975</xdr:rowOff>
        </xdr:from>
        <xdr:to>
          <xdr:col>4</xdr:col>
          <xdr:colOff>914400</xdr:colOff>
          <xdr:row>8</xdr:row>
          <xdr:rowOff>295275</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1300-000003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Quarterly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7</xdr:row>
          <xdr:rowOff>142875</xdr:rowOff>
        </xdr:from>
        <xdr:to>
          <xdr:col>6</xdr:col>
          <xdr:colOff>28575</xdr:colOff>
          <xdr:row>8</xdr:row>
          <xdr:rowOff>295275</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1300-000004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Other (Please Describe)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9</xdr:row>
          <xdr:rowOff>295275</xdr:rowOff>
        </xdr:from>
        <xdr:to>
          <xdr:col>1</xdr:col>
          <xdr:colOff>533400</xdr:colOff>
          <xdr:row>10</xdr:row>
          <xdr:rowOff>371475</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1300-000005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9</xdr:row>
          <xdr:rowOff>333375</xdr:rowOff>
        </xdr:from>
        <xdr:to>
          <xdr:col>1</xdr:col>
          <xdr:colOff>1285875</xdr:colOff>
          <xdr:row>10</xdr:row>
          <xdr:rowOff>371475</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1300-000006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30</xdr:row>
          <xdr:rowOff>333375</xdr:rowOff>
        </xdr:from>
        <xdr:to>
          <xdr:col>1</xdr:col>
          <xdr:colOff>790575</xdr:colOff>
          <xdr:row>32</xdr:row>
          <xdr:rowOff>104775</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1300-000007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30</xdr:row>
          <xdr:rowOff>333375</xdr:rowOff>
        </xdr:from>
        <xdr:to>
          <xdr:col>1</xdr:col>
          <xdr:colOff>1447800</xdr:colOff>
          <xdr:row>32</xdr:row>
          <xdr:rowOff>76200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1300-000008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40</xdr:row>
          <xdr:rowOff>180975</xdr:rowOff>
        </xdr:from>
        <xdr:to>
          <xdr:col>2</xdr:col>
          <xdr:colOff>790575</xdr:colOff>
          <xdr:row>42</xdr:row>
          <xdr:rowOff>104775</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1300-000009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40</xdr:row>
          <xdr:rowOff>180975</xdr:rowOff>
        </xdr:from>
        <xdr:to>
          <xdr:col>2</xdr:col>
          <xdr:colOff>1447800</xdr:colOff>
          <xdr:row>42</xdr:row>
          <xdr:rowOff>76200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1300-00000A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37</xdr:row>
          <xdr:rowOff>28575</xdr:rowOff>
        </xdr:from>
        <xdr:to>
          <xdr:col>1</xdr:col>
          <xdr:colOff>638175</xdr:colOff>
          <xdr:row>38</xdr:row>
          <xdr:rowOff>104775</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1300-00000B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37</xdr:row>
          <xdr:rowOff>0</xdr:rowOff>
        </xdr:from>
        <xdr:to>
          <xdr:col>1</xdr:col>
          <xdr:colOff>1438275</xdr:colOff>
          <xdr:row>38</xdr:row>
          <xdr:rowOff>114300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1300-00000C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38</xdr:row>
          <xdr:rowOff>561975</xdr:rowOff>
        </xdr:from>
        <xdr:to>
          <xdr:col>1</xdr:col>
          <xdr:colOff>790575</xdr:colOff>
          <xdr:row>40</xdr:row>
          <xdr:rowOff>104775</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1300-00000D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39</xdr:row>
          <xdr:rowOff>28575</xdr:rowOff>
        </xdr:from>
        <xdr:to>
          <xdr:col>1</xdr:col>
          <xdr:colOff>1438275</xdr:colOff>
          <xdr:row>40</xdr:row>
          <xdr:rowOff>38100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1300-00000E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38</xdr:row>
          <xdr:rowOff>561975</xdr:rowOff>
        </xdr:from>
        <xdr:to>
          <xdr:col>9</xdr:col>
          <xdr:colOff>790575</xdr:colOff>
          <xdr:row>40</xdr:row>
          <xdr:rowOff>104775</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1300-00000F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638175</xdr:colOff>
          <xdr:row>38</xdr:row>
          <xdr:rowOff>561975</xdr:rowOff>
        </xdr:from>
        <xdr:to>
          <xdr:col>10</xdr:col>
          <xdr:colOff>333375</xdr:colOff>
          <xdr:row>40</xdr:row>
          <xdr:rowOff>76200</xdr:rowOff>
        </xdr:to>
        <xdr:sp macro="" textlink="">
          <xdr:nvSpPr>
            <xdr:cNvPr id="64528" name="Check Box 16" hidden="1">
              <a:extLst>
                <a:ext uri="{63B3BB69-23CF-44E3-9099-C40C66FF867C}">
                  <a14:compatExt spid="_x0000_s64528"/>
                </a:ext>
                <a:ext uri="{FF2B5EF4-FFF2-40B4-BE49-F238E27FC236}">
                  <a16:creationId xmlns:a16="http://schemas.microsoft.com/office/drawing/2014/main" id="{00000000-0008-0000-1300-000010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32</xdr:row>
          <xdr:rowOff>342900</xdr:rowOff>
        </xdr:from>
        <xdr:to>
          <xdr:col>1</xdr:col>
          <xdr:colOff>800100</xdr:colOff>
          <xdr:row>34</xdr:row>
          <xdr:rowOff>76200</xdr:rowOff>
        </xdr:to>
        <xdr:sp macro="" textlink="">
          <xdr:nvSpPr>
            <xdr:cNvPr id="64529" name="Check Box 17" hidden="1">
              <a:extLst>
                <a:ext uri="{63B3BB69-23CF-44E3-9099-C40C66FF867C}">
                  <a14:compatExt spid="_x0000_s64529"/>
                </a:ext>
                <a:ext uri="{FF2B5EF4-FFF2-40B4-BE49-F238E27FC236}">
                  <a16:creationId xmlns:a16="http://schemas.microsoft.com/office/drawing/2014/main" id="{00000000-0008-0000-1300-000011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752475</xdr:colOff>
          <xdr:row>32</xdr:row>
          <xdr:rowOff>371475</xdr:rowOff>
        </xdr:from>
        <xdr:to>
          <xdr:col>2</xdr:col>
          <xdr:colOff>28575</xdr:colOff>
          <xdr:row>34</xdr:row>
          <xdr:rowOff>76200</xdr:rowOff>
        </xdr:to>
        <xdr:sp macro="" textlink="">
          <xdr:nvSpPr>
            <xdr:cNvPr id="64530" name="Check Box 18" hidden="1">
              <a:extLst>
                <a:ext uri="{63B3BB69-23CF-44E3-9099-C40C66FF867C}">
                  <a14:compatExt spid="_x0000_s64530"/>
                </a:ext>
                <a:ext uri="{FF2B5EF4-FFF2-40B4-BE49-F238E27FC236}">
                  <a16:creationId xmlns:a16="http://schemas.microsoft.com/office/drawing/2014/main" id="{00000000-0008-0000-1300-000012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34</xdr:row>
          <xdr:rowOff>371475</xdr:rowOff>
        </xdr:from>
        <xdr:to>
          <xdr:col>1</xdr:col>
          <xdr:colOff>790575</xdr:colOff>
          <xdr:row>36</xdr:row>
          <xdr:rowOff>0</xdr:rowOff>
        </xdr:to>
        <xdr:sp macro="" textlink="">
          <xdr:nvSpPr>
            <xdr:cNvPr id="64531" name="Check Box 19" hidden="1">
              <a:extLst>
                <a:ext uri="{63B3BB69-23CF-44E3-9099-C40C66FF867C}">
                  <a14:compatExt spid="_x0000_s64531"/>
                </a:ext>
                <a:ext uri="{FF2B5EF4-FFF2-40B4-BE49-F238E27FC236}">
                  <a16:creationId xmlns:a16="http://schemas.microsoft.com/office/drawing/2014/main" id="{00000000-0008-0000-1300-000013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34</xdr:row>
          <xdr:rowOff>295275</xdr:rowOff>
        </xdr:from>
        <xdr:to>
          <xdr:col>1</xdr:col>
          <xdr:colOff>1447800</xdr:colOff>
          <xdr:row>36</xdr:row>
          <xdr:rowOff>76200</xdr:rowOff>
        </xdr:to>
        <xdr:sp macro="" textlink="">
          <xdr:nvSpPr>
            <xdr:cNvPr id="64532" name="Check Box 20" hidden="1">
              <a:extLst>
                <a:ext uri="{63B3BB69-23CF-44E3-9099-C40C66FF867C}">
                  <a14:compatExt spid="_x0000_s64532"/>
                </a:ext>
                <a:ext uri="{FF2B5EF4-FFF2-40B4-BE49-F238E27FC236}">
                  <a16:creationId xmlns:a16="http://schemas.microsoft.com/office/drawing/2014/main" id="{00000000-0008-0000-1300-000014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34</xdr:row>
          <xdr:rowOff>371475</xdr:rowOff>
        </xdr:from>
        <xdr:to>
          <xdr:col>7</xdr:col>
          <xdr:colOff>600075</xdr:colOff>
          <xdr:row>36</xdr:row>
          <xdr:rowOff>104775</xdr:rowOff>
        </xdr:to>
        <xdr:sp macro="" textlink="">
          <xdr:nvSpPr>
            <xdr:cNvPr id="64533" name="Check Box 21" hidden="1">
              <a:extLst>
                <a:ext uri="{63B3BB69-23CF-44E3-9099-C40C66FF867C}">
                  <a14:compatExt spid="_x0000_s64533"/>
                </a:ext>
                <a:ext uri="{FF2B5EF4-FFF2-40B4-BE49-F238E27FC236}">
                  <a16:creationId xmlns:a16="http://schemas.microsoft.com/office/drawing/2014/main" id="{00000000-0008-0000-1300-000015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34</xdr:row>
          <xdr:rowOff>371475</xdr:rowOff>
        </xdr:from>
        <xdr:to>
          <xdr:col>8</xdr:col>
          <xdr:colOff>0</xdr:colOff>
          <xdr:row>36</xdr:row>
          <xdr:rowOff>104775</xdr:rowOff>
        </xdr:to>
        <xdr:sp macro="" textlink="">
          <xdr:nvSpPr>
            <xdr:cNvPr id="64534" name="Check Box 22" hidden="1">
              <a:extLst>
                <a:ext uri="{63B3BB69-23CF-44E3-9099-C40C66FF867C}">
                  <a14:compatExt spid="_x0000_s64534"/>
                </a:ext>
                <a:ext uri="{FF2B5EF4-FFF2-40B4-BE49-F238E27FC236}">
                  <a16:creationId xmlns:a16="http://schemas.microsoft.com/office/drawing/2014/main" id="{00000000-0008-0000-1300-000016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12</xdr:row>
          <xdr:rowOff>28575</xdr:rowOff>
        </xdr:from>
        <xdr:to>
          <xdr:col>3</xdr:col>
          <xdr:colOff>571500</xdr:colOff>
          <xdr:row>13</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15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12</xdr:row>
          <xdr:rowOff>28575</xdr:rowOff>
        </xdr:from>
        <xdr:to>
          <xdr:col>3</xdr:col>
          <xdr:colOff>1524000</xdr:colOff>
          <xdr:row>13</xdr:row>
          <xdr:rowOff>28575</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15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13</xdr:row>
          <xdr:rowOff>28575</xdr:rowOff>
        </xdr:from>
        <xdr:to>
          <xdr:col>3</xdr:col>
          <xdr:colOff>571500</xdr:colOff>
          <xdr:row>14</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15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13</xdr:row>
          <xdr:rowOff>28575</xdr:rowOff>
        </xdr:from>
        <xdr:to>
          <xdr:col>3</xdr:col>
          <xdr:colOff>1524000</xdr:colOff>
          <xdr:row>14</xdr:row>
          <xdr:rowOff>28575</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15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14</xdr:row>
          <xdr:rowOff>28575</xdr:rowOff>
        </xdr:from>
        <xdr:to>
          <xdr:col>3</xdr:col>
          <xdr:colOff>571500</xdr:colOff>
          <xdr:row>15</xdr:row>
          <xdr:rowOff>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15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14</xdr:row>
          <xdr:rowOff>28575</xdr:rowOff>
        </xdr:from>
        <xdr:to>
          <xdr:col>3</xdr:col>
          <xdr:colOff>1524000</xdr:colOff>
          <xdr:row>15</xdr:row>
          <xdr:rowOff>28575</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15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15</xdr:row>
          <xdr:rowOff>28575</xdr:rowOff>
        </xdr:from>
        <xdr:to>
          <xdr:col>3</xdr:col>
          <xdr:colOff>571500</xdr:colOff>
          <xdr:row>16</xdr:row>
          <xdr:rowOff>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15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15</xdr:row>
          <xdr:rowOff>28575</xdr:rowOff>
        </xdr:from>
        <xdr:to>
          <xdr:col>3</xdr:col>
          <xdr:colOff>1524000</xdr:colOff>
          <xdr:row>16</xdr:row>
          <xdr:rowOff>28575</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15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16</xdr:row>
          <xdr:rowOff>28575</xdr:rowOff>
        </xdr:from>
        <xdr:to>
          <xdr:col>3</xdr:col>
          <xdr:colOff>571500</xdr:colOff>
          <xdr:row>17</xdr:row>
          <xdr:rowOff>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15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16</xdr:row>
          <xdr:rowOff>28575</xdr:rowOff>
        </xdr:from>
        <xdr:to>
          <xdr:col>3</xdr:col>
          <xdr:colOff>1524000</xdr:colOff>
          <xdr:row>17</xdr:row>
          <xdr:rowOff>28575</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15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17</xdr:row>
          <xdr:rowOff>28575</xdr:rowOff>
        </xdr:from>
        <xdr:to>
          <xdr:col>3</xdr:col>
          <xdr:colOff>571500</xdr:colOff>
          <xdr:row>18</xdr:row>
          <xdr:rowOff>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15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17</xdr:row>
          <xdr:rowOff>28575</xdr:rowOff>
        </xdr:from>
        <xdr:to>
          <xdr:col>3</xdr:col>
          <xdr:colOff>1524000</xdr:colOff>
          <xdr:row>18</xdr:row>
          <xdr:rowOff>28575</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15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18</xdr:row>
          <xdr:rowOff>28575</xdr:rowOff>
        </xdr:from>
        <xdr:to>
          <xdr:col>3</xdr:col>
          <xdr:colOff>571500</xdr:colOff>
          <xdr:row>19</xdr:row>
          <xdr:rowOff>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15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18</xdr:row>
          <xdr:rowOff>28575</xdr:rowOff>
        </xdr:from>
        <xdr:to>
          <xdr:col>3</xdr:col>
          <xdr:colOff>1524000</xdr:colOff>
          <xdr:row>19</xdr:row>
          <xdr:rowOff>28575</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15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19</xdr:row>
          <xdr:rowOff>28575</xdr:rowOff>
        </xdr:from>
        <xdr:to>
          <xdr:col>3</xdr:col>
          <xdr:colOff>571500</xdr:colOff>
          <xdr:row>20</xdr:row>
          <xdr:rowOff>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15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19</xdr:row>
          <xdr:rowOff>28575</xdr:rowOff>
        </xdr:from>
        <xdr:to>
          <xdr:col>3</xdr:col>
          <xdr:colOff>1524000</xdr:colOff>
          <xdr:row>20</xdr:row>
          <xdr:rowOff>28575</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15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20</xdr:row>
          <xdr:rowOff>28575</xdr:rowOff>
        </xdr:from>
        <xdr:to>
          <xdr:col>3</xdr:col>
          <xdr:colOff>571500</xdr:colOff>
          <xdr:row>21</xdr:row>
          <xdr:rowOff>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15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20</xdr:row>
          <xdr:rowOff>28575</xdr:rowOff>
        </xdr:from>
        <xdr:to>
          <xdr:col>3</xdr:col>
          <xdr:colOff>1524000</xdr:colOff>
          <xdr:row>21</xdr:row>
          <xdr:rowOff>28575</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15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21</xdr:row>
          <xdr:rowOff>28575</xdr:rowOff>
        </xdr:from>
        <xdr:to>
          <xdr:col>3</xdr:col>
          <xdr:colOff>571500</xdr:colOff>
          <xdr:row>22</xdr:row>
          <xdr:rowOff>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15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21</xdr:row>
          <xdr:rowOff>28575</xdr:rowOff>
        </xdr:from>
        <xdr:to>
          <xdr:col>3</xdr:col>
          <xdr:colOff>1524000</xdr:colOff>
          <xdr:row>22</xdr:row>
          <xdr:rowOff>28575</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15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22</xdr:row>
          <xdr:rowOff>28575</xdr:rowOff>
        </xdr:from>
        <xdr:to>
          <xdr:col>3</xdr:col>
          <xdr:colOff>571500</xdr:colOff>
          <xdr:row>23</xdr:row>
          <xdr:rowOff>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15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22</xdr:row>
          <xdr:rowOff>28575</xdr:rowOff>
        </xdr:from>
        <xdr:to>
          <xdr:col>3</xdr:col>
          <xdr:colOff>1524000</xdr:colOff>
          <xdr:row>23</xdr:row>
          <xdr:rowOff>28575</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15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23</xdr:row>
          <xdr:rowOff>28575</xdr:rowOff>
        </xdr:from>
        <xdr:to>
          <xdr:col>3</xdr:col>
          <xdr:colOff>571500</xdr:colOff>
          <xdr:row>24</xdr:row>
          <xdr:rowOff>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15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23</xdr:row>
          <xdr:rowOff>28575</xdr:rowOff>
        </xdr:from>
        <xdr:to>
          <xdr:col>3</xdr:col>
          <xdr:colOff>1524000</xdr:colOff>
          <xdr:row>24</xdr:row>
          <xdr:rowOff>28575</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15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24</xdr:row>
          <xdr:rowOff>28575</xdr:rowOff>
        </xdr:from>
        <xdr:to>
          <xdr:col>3</xdr:col>
          <xdr:colOff>571500</xdr:colOff>
          <xdr:row>25</xdr:row>
          <xdr:rowOff>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15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24</xdr:row>
          <xdr:rowOff>28575</xdr:rowOff>
        </xdr:from>
        <xdr:to>
          <xdr:col>3</xdr:col>
          <xdr:colOff>1524000</xdr:colOff>
          <xdr:row>25</xdr:row>
          <xdr:rowOff>28575</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15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25</xdr:row>
          <xdr:rowOff>28575</xdr:rowOff>
        </xdr:from>
        <xdr:to>
          <xdr:col>3</xdr:col>
          <xdr:colOff>571500</xdr:colOff>
          <xdr:row>26</xdr:row>
          <xdr:rowOff>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15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25</xdr:row>
          <xdr:rowOff>28575</xdr:rowOff>
        </xdr:from>
        <xdr:to>
          <xdr:col>3</xdr:col>
          <xdr:colOff>1524000</xdr:colOff>
          <xdr:row>26</xdr:row>
          <xdr:rowOff>28575</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15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26</xdr:row>
          <xdr:rowOff>28575</xdr:rowOff>
        </xdr:from>
        <xdr:to>
          <xdr:col>3</xdr:col>
          <xdr:colOff>571500</xdr:colOff>
          <xdr:row>27</xdr:row>
          <xdr:rowOff>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15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26</xdr:row>
          <xdr:rowOff>28575</xdr:rowOff>
        </xdr:from>
        <xdr:to>
          <xdr:col>3</xdr:col>
          <xdr:colOff>1524000</xdr:colOff>
          <xdr:row>27</xdr:row>
          <xdr:rowOff>28575</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15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27</xdr:row>
          <xdr:rowOff>28575</xdr:rowOff>
        </xdr:from>
        <xdr:to>
          <xdr:col>3</xdr:col>
          <xdr:colOff>571500</xdr:colOff>
          <xdr:row>28</xdr:row>
          <xdr:rowOff>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15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27</xdr:row>
          <xdr:rowOff>28575</xdr:rowOff>
        </xdr:from>
        <xdr:to>
          <xdr:col>3</xdr:col>
          <xdr:colOff>1524000</xdr:colOff>
          <xdr:row>28</xdr:row>
          <xdr:rowOff>28575</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15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28</xdr:row>
          <xdr:rowOff>28575</xdr:rowOff>
        </xdr:from>
        <xdr:to>
          <xdr:col>3</xdr:col>
          <xdr:colOff>571500</xdr:colOff>
          <xdr:row>29</xdr:row>
          <xdr:rowOff>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15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28</xdr:row>
          <xdr:rowOff>28575</xdr:rowOff>
        </xdr:from>
        <xdr:to>
          <xdr:col>3</xdr:col>
          <xdr:colOff>1524000</xdr:colOff>
          <xdr:row>29</xdr:row>
          <xdr:rowOff>28575</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15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29</xdr:row>
          <xdr:rowOff>28575</xdr:rowOff>
        </xdr:from>
        <xdr:to>
          <xdr:col>3</xdr:col>
          <xdr:colOff>571500</xdr:colOff>
          <xdr:row>30</xdr:row>
          <xdr:rowOff>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15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29</xdr:row>
          <xdr:rowOff>28575</xdr:rowOff>
        </xdr:from>
        <xdr:to>
          <xdr:col>3</xdr:col>
          <xdr:colOff>1524000</xdr:colOff>
          <xdr:row>30</xdr:row>
          <xdr:rowOff>28575</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15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30</xdr:row>
          <xdr:rowOff>28575</xdr:rowOff>
        </xdr:from>
        <xdr:to>
          <xdr:col>3</xdr:col>
          <xdr:colOff>571500</xdr:colOff>
          <xdr:row>31</xdr:row>
          <xdr:rowOff>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15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30</xdr:row>
          <xdr:rowOff>28575</xdr:rowOff>
        </xdr:from>
        <xdr:to>
          <xdr:col>3</xdr:col>
          <xdr:colOff>1524000</xdr:colOff>
          <xdr:row>31</xdr:row>
          <xdr:rowOff>28575</xdr:rowOff>
        </xdr:to>
        <xdr:sp macro="" textlink="">
          <xdr:nvSpPr>
            <xdr:cNvPr id="5166" name="Check Box 46" hidden="1">
              <a:extLst>
                <a:ext uri="{63B3BB69-23CF-44E3-9099-C40C66FF867C}">
                  <a14:compatExt spid="_x0000_s5166"/>
                </a:ext>
                <a:ext uri="{FF2B5EF4-FFF2-40B4-BE49-F238E27FC236}">
                  <a16:creationId xmlns:a16="http://schemas.microsoft.com/office/drawing/2014/main" id="{00000000-0008-0000-1500-00002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31</xdr:row>
          <xdr:rowOff>28575</xdr:rowOff>
        </xdr:from>
        <xdr:to>
          <xdr:col>3</xdr:col>
          <xdr:colOff>571500</xdr:colOff>
          <xdr:row>32</xdr:row>
          <xdr:rowOff>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15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904875</xdr:colOff>
          <xdr:row>31</xdr:row>
          <xdr:rowOff>28575</xdr:rowOff>
        </xdr:from>
        <xdr:to>
          <xdr:col>3</xdr:col>
          <xdr:colOff>1524000</xdr:colOff>
          <xdr:row>32</xdr:row>
          <xdr:rowOff>28575</xdr:rowOff>
        </xdr:to>
        <xdr:sp macro="" textlink="">
          <xdr:nvSpPr>
            <xdr:cNvPr id="5168" name="Check Box 48" hidden="1">
              <a:extLst>
                <a:ext uri="{63B3BB69-23CF-44E3-9099-C40C66FF867C}">
                  <a14:compatExt spid="_x0000_s5168"/>
                </a:ext>
                <a:ext uri="{FF2B5EF4-FFF2-40B4-BE49-F238E27FC236}">
                  <a16:creationId xmlns:a16="http://schemas.microsoft.com/office/drawing/2014/main" id="{00000000-0008-0000-1500-00003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12</xdr:row>
          <xdr:rowOff>28575</xdr:rowOff>
        </xdr:from>
        <xdr:to>
          <xdr:col>4</xdr:col>
          <xdr:colOff>571500</xdr:colOff>
          <xdr:row>13</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15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12</xdr:row>
          <xdr:rowOff>28575</xdr:rowOff>
        </xdr:from>
        <xdr:to>
          <xdr:col>4</xdr:col>
          <xdr:colOff>1524000</xdr:colOff>
          <xdr:row>13</xdr:row>
          <xdr:rowOff>28575</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15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13</xdr:row>
          <xdr:rowOff>28575</xdr:rowOff>
        </xdr:from>
        <xdr:to>
          <xdr:col>4</xdr:col>
          <xdr:colOff>571500</xdr:colOff>
          <xdr:row>14</xdr:row>
          <xdr:rowOff>0</xdr:rowOff>
        </xdr:to>
        <xdr:sp macro="" textlink="">
          <xdr:nvSpPr>
            <xdr:cNvPr id="5171" name="Check Box 51" hidden="1">
              <a:extLst>
                <a:ext uri="{63B3BB69-23CF-44E3-9099-C40C66FF867C}">
                  <a14:compatExt spid="_x0000_s5171"/>
                </a:ext>
                <a:ext uri="{FF2B5EF4-FFF2-40B4-BE49-F238E27FC236}">
                  <a16:creationId xmlns:a16="http://schemas.microsoft.com/office/drawing/2014/main" id="{00000000-0008-0000-15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13</xdr:row>
          <xdr:rowOff>28575</xdr:rowOff>
        </xdr:from>
        <xdr:to>
          <xdr:col>4</xdr:col>
          <xdr:colOff>1524000</xdr:colOff>
          <xdr:row>14</xdr:row>
          <xdr:rowOff>28575</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15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14</xdr:row>
          <xdr:rowOff>28575</xdr:rowOff>
        </xdr:from>
        <xdr:to>
          <xdr:col>4</xdr:col>
          <xdr:colOff>571500</xdr:colOff>
          <xdr:row>15</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15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14</xdr:row>
          <xdr:rowOff>28575</xdr:rowOff>
        </xdr:from>
        <xdr:to>
          <xdr:col>4</xdr:col>
          <xdr:colOff>1524000</xdr:colOff>
          <xdr:row>15</xdr:row>
          <xdr:rowOff>28575</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15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15</xdr:row>
          <xdr:rowOff>28575</xdr:rowOff>
        </xdr:from>
        <xdr:to>
          <xdr:col>4</xdr:col>
          <xdr:colOff>571500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15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15</xdr:row>
          <xdr:rowOff>28575</xdr:rowOff>
        </xdr:from>
        <xdr:to>
          <xdr:col>4</xdr:col>
          <xdr:colOff>1524000</xdr:colOff>
          <xdr:row>16</xdr:row>
          <xdr:rowOff>28575</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15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16</xdr:row>
          <xdr:rowOff>28575</xdr:rowOff>
        </xdr:from>
        <xdr:to>
          <xdr:col>4</xdr:col>
          <xdr:colOff>571500</xdr:colOff>
          <xdr:row>17</xdr:row>
          <xdr:rowOff>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15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16</xdr:row>
          <xdr:rowOff>28575</xdr:rowOff>
        </xdr:from>
        <xdr:to>
          <xdr:col>4</xdr:col>
          <xdr:colOff>1524000</xdr:colOff>
          <xdr:row>17</xdr:row>
          <xdr:rowOff>28575</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15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17</xdr:row>
          <xdr:rowOff>28575</xdr:rowOff>
        </xdr:from>
        <xdr:to>
          <xdr:col>4</xdr:col>
          <xdr:colOff>571500</xdr:colOff>
          <xdr:row>18</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15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17</xdr:row>
          <xdr:rowOff>28575</xdr:rowOff>
        </xdr:from>
        <xdr:to>
          <xdr:col>4</xdr:col>
          <xdr:colOff>1524000</xdr:colOff>
          <xdr:row>18</xdr:row>
          <xdr:rowOff>28575</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15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18</xdr:row>
          <xdr:rowOff>28575</xdr:rowOff>
        </xdr:from>
        <xdr:to>
          <xdr:col>4</xdr:col>
          <xdr:colOff>571500</xdr:colOff>
          <xdr:row>19</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15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18</xdr:row>
          <xdr:rowOff>28575</xdr:rowOff>
        </xdr:from>
        <xdr:to>
          <xdr:col>4</xdr:col>
          <xdr:colOff>1524000</xdr:colOff>
          <xdr:row>19</xdr:row>
          <xdr:rowOff>28575</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15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19</xdr:row>
          <xdr:rowOff>28575</xdr:rowOff>
        </xdr:from>
        <xdr:to>
          <xdr:col>4</xdr:col>
          <xdr:colOff>571500</xdr:colOff>
          <xdr:row>20</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15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19</xdr:row>
          <xdr:rowOff>28575</xdr:rowOff>
        </xdr:from>
        <xdr:to>
          <xdr:col>4</xdr:col>
          <xdr:colOff>1524000</xdr:colOff>
          <xdr:row>20</xdr:row>
          <xdr:rowOff>28575</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15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20</xdr:row>
          <xdr:rowOff>28575</xdr:rowOff>
        </xdr:from>
        <xdr:to>
          <xdr:col>4</xdr:col>
          <xdr:colOff>571500</xdr:colOff>
          <xdr:row>21</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15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20</xdr:row>
          <xdr:rowOff>28575</xdr:rowOff>
        </xdr:from>
        <xdr:to>
          <xdr:col>4</xdr:col>
          <xdr:colOff>1524000</xdr:colOff>
          <xdr:row>21</xdr:row>
          <xdr:rowOff>28575</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15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21</xdr:row>
          <xdr:rowOff>28575</xdr:rowOff>
        </xdr:from>
        <xdr:to>
          <xdr:col>4</xdr:col>
          <xdr:colOff>571500</xdr:colOff>
          <xdr:row>22</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15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21</xdr:row>
          <xdr:rowOff>28575</xdr:rowOff>
        </xdr:from>
        <xdr:to>
          <xdr:col>4</xdr:col>
          <xdr:colOff>1524000</xdr:colOff>
          <xdr:row>22</xdr:row>
          <xdr:rowOff>28575</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15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28575</xdr:rowOff>
        </xdr:from>
        <xdr:to>
          <xdr:col>4</xdr:col>
          <xdr:colOff>571500</xdr:colOff>
          <xdr:row>23</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1500-00004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22</xdr:row>
          <xdr:rowOff>28575</xdr:rowOff>
        </xdr:from>
        <xdr:to>
          <xdr:col>4</xdr:col>
          <xdr:colOff>1524000</xdr:colOff>
          <xdr:row>23</xdr:row>
          <xdr:rowOff>28575</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15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23</xdr:row>
          <xdr:rowOff>28575</xdr:rowOff>
        </xdr:from>
        <xdr:to>
          <xdr:col>4</xdr:col>
          <xdr:colOff>571500</xdr:colOff>
          <xdr:row>24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15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23</xdr:row>
          <xdr:rowOff>28575</xdr:rowOff>
        </xdr:from>
        <xdr:to>
          <xdr:col>4</xdr:col>
          <xdr:colOff>1524000</xdr:colOff>
          <xdr:row>24</xdr:row>
          <xdr:rowOff>28575</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15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28575</xdr:rowOff>
        </xdr:from>
        <xdr:to>
          <xdr:col>4</xdr:col>
          <xdr:colOff>571500</xdr:colOff>
          <xdr:row>25</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1500-00004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24</xdr:row>
          <xdr:rowOff>28575</xdr:rowOff>
        </xdr:from>
        <xdr:to>
          <xdr:col>4</xdr:col>
          <xdr:colOff>1524000</xdr:colOff>
          <xdr:row>25</xdr:row>
          <xdr:rowOff>28575</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15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25</xdr:row>
          <xdr:rowOff>28575</xdr:rowOff>
        </xdr:from>
        <xdr:to>
          <xdr:col>4</xdr:col>
          <xdr:colOff>571500</xdr:colOff>
          <xdr:row>26</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15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25</xdr:row>
          <xdr:rowOff>28575</xdr:rowOff>
        </xdr:from>
        <xdr:to>
          <xdr:col>4</xdr:col>
          <xdr:colOff>1524000</xdr:colOff>
          <xdr:row>26</xdr:row>
          <xdr:rowOff>28575</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1500-00004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26</xdr:row>
          <xdr:rowOff>28575</xdr:rowOff>
        </xdr:from>
        <xdr:to>
          <xdr:col>4</xdr:col>
          <xdr:colOff>571500</xdr:colOff>
          <xdr:row>27</xdr:row>
          <xdr:rowOff>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15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26</xdr:row>
          <xdr:rowOff>28575</xdr:rowOff>
        </xdr:from>
        <xdr:to>
          <xdr:col>4</xdr:col>
          <xdr:colOff>1524000</xdr:colOff>
          <xdr:row>27</xdr:row>
          <xdr:rowOff>28575</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15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27</xdr:row>
          <xdr:rowOff>28575</xdr:rowOff>
        </xdr:from>
        <xdr:to>
          <xdr:col>4</xdr:col>
          <xdr:colOff>571500</xdr:colOff>
          <xdr:row>28</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15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27</xdr:row>
          <xdr:rowOff>28575</xdr:rowOff>
        </xdr:from>
        <xdr:to>
          <xdr:col>4</xdr:col>
          <xdr:colOff>1524000</xdr:colOff>
          <xdr:row>28</xdr:row>
          <xdr:rowOff>28575</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15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28</xdr:row>
          <xdr:rowOff>28575</xdr:rowOff>
        </xdr:from>
        <xdr:to>
          <xdr:col>4</xdr:col>
          <xdr:colOff>571500</xdr:colOff>
          <xdr:row>29</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1500-00005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28</xdr:row>
          <xdr:rowOff>28575</xdr:rowOff>
        </xdr:from>
        <xdr:to>
          <xdr:col>4</xdr:col>
          <xdr:colOff>1524000</xdr:colOff>
          <xdr:row>29</xdr:row>
          <xdr:rowOff>28575</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1500-00005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29</xdr:row>
          <xdr:rowOff>28575</xdr:rowOff>
        </xdr:from>
        <xdr:to>
          <xdr:col>4</xdr:col>
          <xdr:colOff>571500</xdr:colOff>
          <xdr:row>30</xdr:row>
          <xdr:rowOff>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1500-00005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29</xdr:row>
          <xdr:rowOff>28575</xdr:rowOff>
        </xdr:from>
        <xdr:to>
          <xdr:col>4</xdr:col>
          <xdr:colOff>1524000</xdr:colOff>
          <xdr:row>30</xdr:row>
          <xdr:rowOff>28575</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1500-00005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30</xdr:row>
          <xdr:rowOff>28575</xdr:rowOff>
        </xdr:from>
        <xdr:to>
          <xdr:col>4</xdr:col>
          <xdr:colOff>571500</xdr:colOff>
          <xdr:row>31</xdr:row>
          <xdr:rowOff>0</xdr:rowOff>
        </xdr:to>
        <xdr:sp macro="" textlink="">
          <xdr:nvSpPr>
            <xdr:cNvPr id="5205" name="Check Box 85" hidden="1">
              <a:extLst>
                <a:ext uri="{63B3BB69-23CF-44E3-9099-C40C66FF867C}">
                  <a14:compatExt spid="_x0000_s5205"/>
                </a:ext>
                <a:ext uri="{FF2B5EF4-FFF2-40B4-BE49-F238E27FC236}">
                  <a16:creationId xmlns:a16="http://schemas.microsoft.com/office/drawing/2014/main" id="{00000000-0008-0000-1500-00005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30</xdr:row>
          <xdr:rowOff>28575</xdr:rowOff>
        </xdr:from>
        <xdr:to>
          <xdr:col>4</xdr:col>
          <xdr:colOff>1524000</xdr:colOff>
          <xdr:row>31</xdr:row>
          <xdr:rowOff>28575</xdr:rowOff>
        </xdr:to>
        <xdr:sp macro="" textlink="">
          <xdr:nvSpPr>
            <xdr:cNvPr id="5206" name="Check Box 86" hidden="1">
              <a:extLst>
                <a:ext uri="{63B3BB69-23CF-44E3-9099-C40C66FF867C}">
                  <a14:compatExt spid="_x0000_s5206"/>
                </a:ext>
                <a:ext uri="{FF2B5EF4-FFF2-40B4-BE49-F238E27FC236}">
                  <a16:creationId xmlns:a16="http://schemas.microsoft.com/office/drawing/2014/main" id="{00000000-0008-0000-1500-00005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31</xdr:row>
          <xdr:rowOff>28575</xdr:rowOff>
        </xdr:from>
        <xdr:to>
          <xdr:col>4</xdr:col>
          <xdr:colOff>571500</xdr:colOff>
          <xdr:row>32</xdr:row>
          <xdr:rowOff>0</xdr:rowOff>
        </xdr:to>
        <xdr:sp macro="" textlink="">
          <xdr:nvSpPr>
            <xdr:cNvPr id="5207" name="Check Box 87" hidden="1">
              <a:extLst>
                <a:ext uri="{63B3BB69-23CF-44E3-9099-C40C66FF867C}">
                  <a14:compatExt spid="_x0000_s5207"/>
                </a:ext>
                <a:ext uri="{FF2B5EF4-FFF2-40B4-BE49-F238E27FC236}">
                  <a16:creationId xmlns:a16="http://schemas.microsoft.com/office/drawing/2014/main" id="{00000000-0008-0000-1500-00005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904875</xdr:colOff>
          <xdr:row>31</xdr:row>
          <xdr:rowOff>28575</xdr:rowOff>
        </xdr:from>
        <xdr:to>
          <xdr:col>4</xdr:col>
          <xdr:colOff>1524000</xdr:colOff>
          <xdr:row>32</xdr:row>
          <xdr:rowOff>28575</xdr:rowOff>
        </xdr:to>
        <xdr:sp macro="" textlink="">
          <xdr:nvSpPr>
            <xdr:cNvPr id="5208" name="Check Box 88" hidden="1">
              <a:extLst>
                <a:ext uri="{63B3BB69-23CF-44E3-9099-C40C66FF867C}">
                  <a14:compatExt spid="_x0000_s5208"/>
                </a:ext>
                <a:ext uri="{FF2B5EF4-FFF2-40B4-BE49-F238E27FC236}">
                  <a16:creationId xmlns:a16="http://schemas.microsoft.com/office/drawing/2014/main" id="{00000000-0008-0000-1500-00005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6</xdr:col>
      <xdr:colOff>581025</xdr:colOff>
      <xdr:row>11</xdr:row>
      <xdr:rowOff>47625</xdr:rowOff>
    </xdr:from>
    <xdr:to>
      <xdr:col>22</xdr:col>
      <xdr:colOff>46473</xdr:colOff>
      <xdr:row>23</xdr:row>
      <xdr:rowOff>180668</xdr:rowOff>
    </xdr:to>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stretch>
          <a:fillRect/>
        </a:stretch>
      </xdr:blipFill>
      <xdr:spPr>
        <a:xfrm>
          <a:off x="16278225" y="2933700"/>
          <a:ext cx="9219048" cy="2457143"/>
        </a:xfrm>
        <a:prstGeom prst="rect">
          <a:avLst/>
        </a:prstGeom>
      </xdr:spPr>
    </xdr:pic>
    <xdr:clientData/>
  </xdr:twoCellAnchor>
  <xdr:twoCellAnchor>
    <xdr:from>
      <xdr:col>7</xdr:col>
      <xdr:colOff>0</xdr:colOff>
      <xdr:row>3</xdr:row>
      <xdr:rowOff>0</xdr:rowOff>
    </xdr:from>
    <xdr:to>
      <xdr:col>14</xdr:col>
      <xdr:colOff>295275</xdr:colOff>
      <xdr:row>7</xdr:row>
      <xdr:rowOff>457200</xdr:rowOff>
    </xdr:to>
    <xdr:pic>
      <xdr:nvPicPr>
        <xdr:cNvPr id="3" name="Picture 2" descr="cid:image008.jpg@01D29CE0.3FB32C80">
          <a:extLst>
            <a:ext uri="{FF2B5EF4-FFF2-40B4-BE49-F238E27FC236}">
              <a16:creationId xmlns:a16="http://schemas.microsoft.com/office/drawing/2014/main" id="{00000000-0008-0000-1C00-000003000000}"/>
            </a:ext>
          </a:extLst>
        </xdr:cNvPr>
        <xdr:cNvPicPr>
          <a:picLocks noChangeAspect="1" noChangeArrowheads="1"/>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16306800" y="571500"/>
          <a:ext cx="456247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amp;A\M&amp;A\HCIS\DEAD\HBO\PFC-PYX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WINDOWS\TEMP\Model_Abia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A:\CFD%20Coverage%20Groups\LN_CFD_Telecom\IBD\Comps\Mobile\European%20Wireless%20Comparables%20New%20Version%2012%20Feb%200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ruiz\Downloads\Copy%20of%20Delphi_File_Version_1.1_May_31_2016%20-%20HERE%20Student%20Housing%20v2.xlsb"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usan%20Iovino\Box%20Sync\Deals%20-%20Internal\HERE%20Champaign,%20IL\15.%20Deliverables\Copy%20of%20Delphi_File_Version_1.1_May_31_2016%20-%20HERE%20Student%20Housing%20v2.xlsb"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druiz\Desktop\Work%20Files\QC%20Folder\QC%20Worksheet_Hyatt%20Regency%20Clearwater_v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brent\AppData\Local\Microsoft\Windows\INetCache\Content.Outlook\CDD1WN0H\Sizer%20Model%20QC%20File%20Field%20Review_Version_v5_with%20Sizer%20Testing%20Items.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Susan\AppData\Local\Box\Box%20Edit\Documents\Jk7gBnqENU2U14cZB3wVgw==\Draft%20Lender%20Settlement%20Statement%20-%20(Deal%20Name%20v_)%20v1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iovino\Desktop\Lender%20Settlement%20Statement%20-%202500%20CityWest%20Final.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siovino\AppData\Local\Microsoft\Windows\INetCache\Content.Outlook\U2DU4L23\JCP%20Portfolio%20-%20Draft%20Participation%20Settlement%20Statement%20Abacus%20and%20ACSS%20v2.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Susan\Desktop\Loan%20Payments%20Exhibit%20-%20Fixed%20Rate%20Loan%20-%20Embassy%20Suites%20Philadelphia%20Center%20City.xlsx"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Fixed%20Amortization%20Mor%20and%20Mez"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orma"/>
      <sheetName val="Assumptions"/>
      <sheetName val="Summary"/>
      <sheetName val="Flux"/>
      <sheetName val="Feuil1"/>
      <sheetName val="Model"/>
      <sheetName val="A"/>
      <sheetName val="RR"/>
      <sheetName val="CASH"/>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_Abiat"/>
      <sheetName val="1995"/>
      <sheetName val="97 Con L2"/>
      <sheetName val="1995 Cellular"/>
      <sheetName val="1994 Cellular"/>
      <sheetName val="1995 LD"/>
      <sheetName val="Old Comp"/>
      <sheetName val="Expense"/>
      <sheetName val="Benchmarking"/>
      <sheetName val="Summary &amp; Ratios &amp; Valuations"/>
      <sheetName val="Revenue"/>
      <sheetName val="Overview"/>
      <sheetName val="Econ Summary"/>
      <sheetName val="Exec Summary"/>
      <sheetName val="Drivers"/>
      <sheetName val="Sheet1"/>
      <sheetName val="97_Con_L2"/>
      <sheetName val="1995_Cellular"/>
      <sheetName val="1994_Cellular"/>
      <sheetName val="1995_LD"/>
      <sheetName val="Old_Comp"/>
      <sheetName val="Summary_&amp;_Ratios_&amp;_Valuations"/>
      <sheetName val="Econ_Summary"/>
      <sheetName val="Exec_Summary"/>
      <sheetName val="Source Cash Flows"/>
      <sheetName val="Unit mix and pric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refreshError="1"/>
      <sheetData sheetId="2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Changes"/>
      <sheetName val="__FDSCACHE__"/>
      <sheetName val="EBITDA Multiples"/>
      <sheetName val="EBITDA -Capex"/>
      <sheetName val="FCF Yield"/>
      <sheetName val="FCF Multiple Levered"/>
      <sheetName val="Price Earnings"/>
      <sheetName val="Revenues Multiples"/>
      <sheetName val="Subscribers Multiples"/>
      <sheetName val="Capex_Sales"/>
      <sheetName val="EBITDA Margin"/>
      <sheetName val="Revenue Growth"/>
      <sheetName val="Credit Ratios"/>
      <sheetName val="Module5"/>
      <sheetName val="Input"/>
      <sheetName val="Holdings"/>
      <sheetName val="Shares"/>
      <sheetName val="Divider"/>
      <sheetName val="Project Dragon"/>
      <sheetName val="Output Page"/>
      <sheetName val="PrintManagerCode"/>
      <sheetName val="Module1"/>
      <sheetName val="Module2"/>
      <sheetName val="Module3"/>
      <sheetName val="Module4"/>
      <sheetName val="Switches"/>
      <sheetName val="97 Con L2"/>
      <sheetName val="1995 Cellular"/>
      <sheetName val="Sheet1"/>
      <sheetName val="EBITDA_Multiples"/>
      <sheetName val="EBITDA_-Capex"/>
      <sheetName val="FCF_Yield"/>
      <sheetName val="FCF_Multiple_Levered"/>
      <sheetName val="Price_Earnings"/>
      <sheetName val="Revenues_Multiples"/>
      <sheetName val="Subscribers_Multiples"/>
      <sheetName val="EBITDA_Margin"/>
      <sheetName val="Revenue_Growth"/>
      <sheetName val="Credit_Ratios"/>
      <sheetName val="Project_Dragon"/>
      <sheetName val="Output_Page"/>
      <sheetName val="97_Con_L2"/>
      <sheetName val="1995_Cellular"/>
      <sheetName val="EBITDA_Multiples1"/>
      <sheetName val="EBITDA_-Capex1"/>
      <sheetName val="FCF_Yield1"/>
      <sheetName val="FCF_Multiple_Levered1"/>
      <sheetName val="Price_Earnings1"/>
      <sheetName val="Revenues_Multiples1"/>
      <sheetName val="Subscribers_Multiples1"/>
      <sheetName val="EBITDA_Margin1"/>
      <sheetName val="Revenue_Growth1"/>
      <sheetName val="Credit_Ratios1"/>
      <sheetName val="Project_Dragon1"/>
      <sheetName val="Output_Page1"/>
      <sheetName val="97_Con_L21"/>
      <sheetName val="1995_Cellular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List"/>
      <sheetName val="Deal"/>
      <sheetName val="Note"/>
      <sheetName val="Note_Ext"/>
      <sheetName val="Property"/>
      <sheetName val="Equity"/>
      <sheetName val="Deal Summary"/>
      <sheetName val="Deal Scorecards"/>
      <sheetName val="Specs"/>
      <sheetName val="Data Disctionary"/>
      <sheetName val="Deal Raw Data"/>
      <sheetName val="User Comments"/>
      <sheetName val="Sheet3"/>
    </sheetNames>
    <sheetDataSet>
      <sheetData sheetId="0">
        <row r="6">
          <cell r="A6" t="str">
            <v>15-0006</v>
          </cell>
          <cell r="C6" t="str">
            <v>Funded</v>
          </cell>
          <cell r="D6" t="str">
            <v>SF</v>
          </cell>
          <cell r="E6" t="str">
            <v>Joe George</v>
          </cell>
          <cell r="F6" t="str">
            <v>Acquisition</v>
          </cell>
          <cell r="G6">
            <v>6253670</v>
          </cell>
        </row>
        <row r="7">
          <cell r="C7" t="str">
            <v>Funded</v>
          </cell>
          <cell r="D7" t="str">
            <v>SF</v>
          </cell>
          <cell r="E7" t="str">
            <v>Joe George</v>
          </cell>
          <cell r="F7" t="str">
            <v>Acquisition</v>
          </cell>
          <cell r="G7">
            <v>13117000</v>
          </cell>
        </row>
        <row r="8">
          <cell r="C8" t="str">
            <v>Funded</v>
          </cell>
          <cell r="D8" t="str">
            <v>NY</v>
          </cell>
          <cell r="F8" t="str">
            <v>Refinance</v>
          </cell>
        </row>
        <row r="9">
          <cell r="C9" t="str">
            <v>Funded</v>
          </cell>
          <cell r="D9" t="str">
            <v>SF</v>
          </cell>
          <cell r="F9" t="str">
            <v>Acquisition</v>
          </cell>
        </row>
        <row r="10">
          <cell r="C10" t="str">
            <v>Funded</v>
          </cell>
          <cell r="D10" t="str">
            <v>NY</v>
          </cell>
          <cell r="E10" t="str">
            <v>Joe George</v>
          </cell>
          <cell r="F10" t="str">
            <v>Acquisition</v>
          </cell>
          <cell r="G10">
            <v>58548546</v>
          </cell>
        </row>
        <row r="11">
          <cell r="C11" t="str">
            <v>Funded</v>
          </cell>
          <cell r="D11" t="str">
            <v>SF</v>
          </cell>
          <cell r="E11" t="str">
            <v>Joe George</v>
          </cell>
          <cell r="F11" t="str">
            <v>Refinance</v>
          </cell>
        </row>
        <row r="12">
          <cell r="C12" t="str">
            <v>Term Sheet Signed</v>
          </cell>
          <cell r="D12" t="str">
            <v>NY</v>
          </cell>
          <cell r="F12" t="str">
            <v>Acquisition</v>
          </cell>
          <cell r="G12">
            <v>98745000</v>
          </cell>
        </row>
        <row r="13">
          <cell r="C13" t="str">
            <v>Funded</v>
          </cell>
          <cell r="D13" t="str">
            <v>SF</v>
          </cell>
          <cell r="E13" t="str">
            <v>Julie Chang</v>
          </cell>
          <cell r="F13" t="str">
            <v>Acquisition</v>
          </cell>
          <cell r="G13">
            <v>27784528</v>
          </cell>
        </row>
        <row r="14">
          <cell r="C14" t="str">
            <v>Funded</v>
          </cell>
          <cell r="D14" t="str">
            <v>NY</v>
          </cell>
          <cell r="F14" t="str">
            <v>Refinance</v>
          </cell>
          <cell r="G14">
            <v>45928500</v>
          </cell>
        </row>
        <row r="15">
          <cell r="C15" t="str">
            <v>Funded</v>
          </cell>
          <cell r="D15" t="str">
            <v>SF</v>
          </cell>
          <cell r="E15" t="str">
            <v>Joham Tavera</v>
          </cell>
          <cell r="F15" t="str">
            <v>Refinance- No Cash Out</v>
          </cell>
          <cell r="G15">
            <v>2110000</v>
          </cell>
        </row>
        <row r="16">
          <cell r="C16" t="str">
            <v>Funded</v>
          </cell>
          <cell r="D16" t="str">
            <v>NY</v>
          </cell>
          <cell r="F16" t="str">
            <v>Refinance- No Cash Out</v>
          </cell>
          <cell r="G16">
            <v>15305000.0001</v>
          </cell>
        </row>
        <row r="17">
          <cell r="C17" t="str">
            <v>Funded</v>
          </cell>
          <cell r="D17" t="str">
            <v>NY</v>
          </cell>
          <cell r="F17" t="str">
            <v>Acquisition</v>
          </cell>
          <cell r="G17">
            <v>8951600</v>
          </cell>
        </row>
        <row r="18">
          <cell r="C18" t="str">
            <v>Funded</v>
          </cell>
          <cell r="D18" t="str">
            <v>DAL</v>
          </cell>
          <cell r="E18" t="str">
            <v>Scott Swisher</v>
          </cell>
          <cell r="F18" t="str">
            <v>Acquisition</v>
          </cell>
          <cell r="G18">
            <v>14745000</v>
          </cell>
        </row>
        <row r="19">
          <cell r="C19" t="str">
            <v>Funded</v>
          </cell>
          <cell r="D19" t="str">
            <v>NY</v>
          </cell>
          <cell r="E19" t="str">
            <v>Joe George</v>
          </cell>
          <cell r="F19" t="str">
            <v>Acquisition</v>
          </cell>
          <cell r="G19">
            <v>5500000</v>
          </cell>
        </row>
        <row r="20">
          <cell r="C20" t="str">
            <v>Funded</v>
          </cell>
          <cell r="D20" t="str">
            <v>SF</v>
          </cell>
          <cell r="F20" t="str">
            <v>Acquisition</v>
          </cell>
        </row>
        <row r="21">
          <cell r="C21" t="str">
            <v>Funded</v>
          </cell>
          <cell r="D21" t="str">
            <v>NY</v>
          </cell>
          <cell r="E21" t="str">
            <v>Julie Chang</v>
          </cell>
          <cell r="F21" t="str">
            <v>Acquisition</v>
          </cell>
          <cell r="G21">
            <v>8350000</v>
          </cell>
        </row>
        <row r="22">
          <cell r="C22" t="str">
            <v>Funded</v>
          </cell>
          <cell r="D22" t="str">
            <v>LA</v>
          </cell>
          <cell r="F22" t="str">
            <v>Acquisition</v>
          </cell>
          <cell r="G22">
            <v>37618839</v>
          </cell>
        </row>
        <row r="23">
          <cell r="C23" t="str">
            <v>Funded</v>
          </cell>
          <cell r="D23" t="str">
            <v>NY</v>
          </cell>
          <cell r="F23" t="str">
            <v>Refinance</v>
          </cell>
          <cell r="G23">
            <v>-26570400</v>
          </cell>
        </row>
        <row r="24">
          <cell r="C24" t="str">
            <v>Funded</v>
          </cell>
          <cell r="D24" t="str">
            <v>DAL</v>
          </cell>
          <cell r="F24" t="str">
            <v>Acquisition</v>
          </cell>
          <cell r="G24">
            <v>97579000</v>
          </cell>
        </row>
        <row r="25">
          <cell r="C25" t="str">
            <v>Funded</v>
          </cell>
          <cell r="D25" t="str">
            <v>NY</v>
          </cell>
          <cell r="F25" t="str">
            <v>Acquisition</v>
          </cell>
          <cell r="G25">
            <v>2132339.79</v>
          </cell>
        </row>
        <row r="26">
          <cell r="C26" t="str">
            <v>Funded</v>
          </cell>
          <cell r="D26" t="str">
            <v>NY</v>
          </cell>
          <cell r="F26" t="str">
            <v>Refinance</v>
          </cell>
          <cell r="G26">
            <v>5000000</v>
          </cell>
        </row>
        <row r="27">
          <cell r="C27" t="str">
            <v>Funded</v>
          </cell>
          <cell r="D27" t="str">
            <v>LA</v>
          </cell>
          <cell r="F27" t="str">
            <v>Refinance</v>
          </cell>
          <cell r="G27">
            <v>29319420</v>
          </cell>
        </row>
        <row r="28">
          <cell r="C28" t="str">
            <v>Credit Committee Approved</v>
          </cell>
          <cell r="D28" t="str">
            <v>SF</v>
          </cell>
          <cell r="F28" t="str">
            <v>Acquisition</v>
          </cell>
        </row>
        <row r="29">
          <cell r="C29" t="str">
            <v>Committed</v>
          </cell>
          <cell r="D29" t="str">
            <v>NY</v>
          </cell>
          <cell r="E29" t="str">
            <v>Scott Swisher</v>
          </cell>
          <cell r="F29" t="str">
            <v>Refinance</v>
          </cell>
          <cell r="G29">
            <v>63350000.001000002</v>
          </cell>
        </row>
        <row r="30">
          <cell r="C30" t="str">
            <v>Funded</v>
          </cell>
          <cell r="D30" t="str">
            <v>LA</v>
          </cell>
          <cell r="F30" t="str">
            <v>Refinance- Cash Out</v>
          </cell>
          <cell r="G30">
            <v>10500000</v>
          </cell>
        </row>
        <row r="31">
          <cell r="C31" t="str">
            <v>Funded</v>
          </cell>
          <cell r="D31" t="str">
            <v>LA</v>
          </cell>
          <cell r="F31" t="str">
            <v>Acquisition</v>
          </cell>
          <cell r="G31">
            <v>67669788.994900003</v>
          </cell>
        </row>
        <row r="32">
          <cell r="C32" t="str">
            <v>Funded</v>
          </cell>
          <cell r="D32" t="str">
            <v>SF</v>
          </cell>
          <cell r="E32" t="str">
            <v>Scott Swisher</v>
          </cell>
          <cell r="F32" t="str">
            <v>Acquisition</v>
          </cell>
        </row>
        <row r="33">
          <cell r="C33" t="str">
            <v>Funded</v>
          </cell>
          <cell r="D33" t="str">
            <v>LA</v>
          </cell>
          <cell r="E33" t="str">
            <v>Anthony Marconi</v>
          </cell>
          <cell r="F33" t="str">
            <v>Acquisition</v>
          </cell>
          <cell r="G33">
            <v>105000000</v>
          </cell>
        </row>
        <row r="34">
          <cell r="C34" t="str">
            <v>Credit Committee Approved</v>
          </cell>
          <cell r="D34" t="str">
            <v>DAL</v>
          </cell>
          <cell r="F34" t="str">
            <v>Acquisition</v>
          </cell>
          <cell r="G34">
            <v>42903499.969999999</v>
          </cell>
        </row>
        <row r="35">
          <cell r="C35" t="str">
            <v>Funded</v>
          </cell>
          <cell r="D35" t="str">
            <v>NY</v>
          </cell>
          <cell r="F35" t="str">
            <v>Acquisition</v>
          </cell>
          <cell r="G35">
            <v>45500000</v>
          </cell>
        </row>
        <row r="36">
          <cell r="C36" t="str">
            <v>Funded</v>
          </cell>
          <cell r="D36" t="str">
            <v>LA</v>
          </cell>
          <cell r="F36" t="str">
            <v>Acquisition</v>
          </cell>
          <cell r="G36">
            <v>3839220</v>
          </cell>
        </row>
        <row r="37">
          <cell r="C37" t="str">
            <v>Funded</v>
          </cell>
          <cell r="D37" t="str">
            <v>SF</v>
          </cell>
          <cell r="F37" t="str">
            <v>Refinance</v>
          </cell>
        </row>
        <row r="38">
          <cell r="C38" t="str">
            <v>Funded</v>
          </cell>
          <cell r="D38" t="str">
            <v>LA</v>
          </cell>
          <cell r="F38" t="str">
            <v>Acquisition</v>
          </cell>
          <cell r="G38">
            <v>7672331</v>
          </cell>
        </row>
        <row r="39">
          <cell r="C39" t="str">
            <v>Term Sheet Signed</v>
          </cell>
          <cell r="D39" t="str">
            <v>NY</v>
          </cell>
          <cell r="F39" t="str">
            <v>Refinance</v>
          </cell>
          <cell r="G39">
            <v>70200000</v>
          </cell>
        </row>
        <row r="40">
          <cell r="C40" t="str">
            <v>Funded</v>
          </cell>
          <cell r="D40" t="str">
            <v>DAL</v>
          </cell>
          <cell r="F40" t="str">
            <v>Acquisition</v>
          </cell>
          <cell r="G40">
            <v>7188000</v>
          </cell>
        </row>
        <row r="41">
          <cell r="C41" t="str">
            <v>Funded</v>
          </cell>
          <cell r="D41" t="str">
            <v>SF</v>
          </cell>
          <cell r="F41" t="str">
            <v>Acquisition</v>
          </cell>
          <cell r="G41">
            <v>10325593.99</v>
          </cell>
        </row>
        <row r="42">
          <cell r="C42" t="str">
            <v>Term Sheet Signed</v>
          </cell>
          <cell r="D42" t="str">
            <v>NY</v>
          </cell>
          <cell r="F42" t="str">
            <v>Refinance</v>
          </cell>
          <cell r="G42">
            <v>33344112</v>
          </cell>
        </row>
        <row r="43">
          <cell r="C43" t="str">
            <v>Funded</v>
          </cell>
          <cell r="D43" t="str">
            <v>LA</v>
          </cell>
          <cell r="E43" t="str">
            <v>Anthony Marconi</v>
          </cell>
          <cell r="F43" t="str">
            <v>Acquisition</v>
          </cell>
          <cell r="G43">
            <v>16870000</v>
          </cell>
        </row>
        <row r="44">
          <cell r="C44" t="str">
            <v>Funded</v>
          </cell>
          <cell r="D44" t="str">
            <v>DAL</v>
          </cell>
          <cell r="E44" t="str">
            <v>Scott Swisher</v>
          </cell>
          <cell r="F44" t="str">
            <v>Acquisition</v>
          </cell>
          <cell r="G44">
            <v>10144000</v>
          </cell>
        </row>
        <row r="45">
          <cell r="C45" t="str">
            <v>Funded</v>
          </cell>
          <cell r="D45" t="str">
            <v>LA</v>
          </cell>
          <cell r="F45" t="str">
            <v>Acquisition</v>
          </cell>
          <cell r="G45">
            <v>47576606.999799997</v>
          </cell>
        </row>
        <row r="46">
          <cell r="C46" t="str">
            <v>Funded</v>
          </cell>
          <cell r="D46" t="str">
            <v>LA</v>
          </cell>
          <cell r="E46" t="str">
            <v>Anthony Marconi</v>
          </cell>
          <cell r="F46" t="str">
            <v>Acquisition</v>
          </cell>
          <cell r="G46">
            <v>1377559</v>
          </cell>
        </row>
        <row r="47">
          <cell r="C47" t="str">
            <v>Term Sheet Signed</v>
          </cell>
          <cell r="D47" t="str">
            <v>DAL</v>
          </cell>
          <cell r="F47" t="str">
            <v>Acquisition- Construction</v>
          </cell>
          <cell r="G47">
            <v>92263571</v>
          </cell>
        </row>
        <row r="48">
          <cell r="C48" t="str">
            <v>Funded</v>
          </cell>
          <cell r="D48" t="str">
            <v>LA</v>
          </cell>
          <cell r="F48" t="str">
            <v>Acquisition</v>
          </cell>
        </row>
        <row r="49">
          <cell r="C49" t="str">
            <v>Funded</v>
          </cell>
          <cell r="D49" t="str">
            <v>LA</v>
          </cell>
          <cell r="F49" t="str">
            <v>Acquisition</v>
          </cell>
        </row>
        <row r="50">
          <cell r="C50" t="str">
            <v>Funded</v>
          </cell>
          <cell r="D50" t="str">
            <v>LA</v>
          </cell>
          <cell r="F50" t="str">
            <v>Refinance</v>
          </cell>
        </row>
        <row r="51">
          <cell r="C51" t="str">
            <v>Funded</v>
          </cell>
          <cell r="D51" t="str">
            <v>LA</v>
          </cell>
          <cell r="F51" t="str">
            <v>Acquisition</v>
          </cell>
        </row>
        <row r="52">
          <cell r="C52" t="str">
            <v>Funded</v>
          </cell>
          <cell r="D52" t="str">
            <v>LA</v>
          </cell>
          <cell r="E52" t="str">
            <v>Joe George</v>
          </cell>
          <cell r="F52" t="str">
            <v>Refinance</v>
          </cell>
        </row>
        <row r="53">
          <cell r="C53" t="str">
            <v>Term Sheet Signed</v>
          </cell>
          <cell r="D53" t="str">
            <v>LA</v>
          </cell>
          <cell r="F53" t="str">
            <v>Refinance</v>
          </cell>
          <cell r="G53">
            <v>17086293.920000002</v>
          </cell>
        </row>
        <row r="54">
          <cell r="C54" t="str">
            <v>Funded</v>
          </cell>
          <cell r="D54" t="str">
            <v>NY</v>
          </cell>
          <cell r="F54" t="str">
            <v>Acquisition</v>
          </cell>
          <cell r="G54">
            <v>3150000</v>
          </cell>
        </row>
        <row r="55">
          <cell r="C55" t="str">
            <v>Funded</v>
          </cell>
          <cell r="D55" t="str">
            <v>NY</v>
          </cell>
          <cell r="F55" t="str">
            <v>Refinance</v>
          </cell>
          <cell r="G55">
            <v>5000000</v>
          </cell>
        </row>
        <row r="56">
          <cell r="C56" t="str">
            <v>Term Sheet Signed</v>
          </cell>
          <cell r="D56" t="str">
            <v>NY</v>
          </cell>
          <cell r="F56" t="str">
            <v>Acquisition</v>
          </cell>
          <cell r="G56">
            <v>15000000</v>
          </cell>
        </row>
        <row r="57">
          <cell r="C57" t="str">
            <v>Term Sheet Signed</v>
          </cell>
          <cell r="D57" t="str">
            <v>NY</v>
          </cell>
          <cell r="F57" t="str">
            <v>Refinance</v>
          </cell>
          <cell r="G57">
            <v>34000000</v>
          </cell>
        </row>
        <row r="58">
          <cell r="C58" t="str">
            <v>Term Sheet Signed</v>
          </cell>
          <cell r="D58" t="str">
            <v>LA</v>
          </cell>
          <cell r="F58" t="str">
            <v>Acquisition</v>
          </cell>
          <cell r="G58">
            <v>32490000</v>
          </cell>
        </row>
        <row r="59">
          <cell r="C59" t="str">
            <v>Term Sheet Signed</v>
          </cell>
          <cell r="D59" t="str">
            <v>LA</v>
          </cell>
          <cell r="F59" t="str">
            <v>Refinance</v>
          </cell>
        </row>
        <row r="60">
          <cell r="C60" t="str">
            <v>Term Sheet Signed</v>
          </cell>
          <cell r="D60" t="str">
            <v>DAL</v>
          </cell>
          <cell r="F60" t="str">
            <v>Refinance</v>
          </cell>
        </row>
        <row r="61">
          <cell r="C61" t="str">
            <v>Funded</v>
          </cell>
          <cell r="D61" t="str">
            <v>SF</v>
          </cell>
          <cell r="F61" t="str">
            <v>Refinance</v>
          </cell>
          <cell r="G61">
            <v>-2707520</v>
          </cell>
        </row>
        <row r="62">
          <cell r="C62" t="str">
            <v>Funded</v>
          </cell>
          <cell r="D62" t="str">
            <v>DAL</v>
          </cell>
          <cell r="F62" t="str">
            <v>Refinance</v>
          </cell>
        </row>
        <row r="63">
          <cell r="C63" t="str">
            <v>Credit Committee Approved</v>
          </cell>
          <cell r="D63" t="str">
            <v>NY</v>
          </cell>
          <cell r="F63" t="str">
            <v>Refinance</v>
          </cell>
        </row>
        <row r="64">
          <cell r="C64" t="str">
            <v>Funded</v>
          </cell>
          <cell r="D64" t="str">
            <v>NY</v>
          </cell>
          <cell r="E64" t="str">
            <v>Scott Swisher</v>
          </cell>
          <cell r="F64" t="str">
            <v>Refinance</v>
          </cell>
        </row>
        <row r="501">
          <cell r="C501" t="str">
            <v>LA</v>
          </cell>
          <cell r="E501" t="str">
            <v>Refinance</v>
          </cell>
          <cell r="G501" t="str">
            <v>USD</v>
          </cell>
        </row>
        <row r="502">
          <cell r="C502" t="str">
            <v>LA</v>
          </cell>
          <cell r="E502" t="str">
            <v>Acquisition</v>
          </cell>
          <cell r="G502" t="str">
            <v>USD</v>
          </cell>
        </row>
        <row r="503">
          <cell r="C503" t="str">
            <v>LA</v>
          </cell>
          <cell r="E503" t="str">
            <v>Refinance</v>
          </cell>
          <cell r="G503" t="str">
            <v>USD</v>
          </cell>
        </row>
        <row r="504">
          <cell r="C504" t="str">
            <v>DAL</v>
          </cell>
          <cell r="E504" t="str">
            <v>Acquisition- Construction</v>
          </cell>
          <cell r="G504" t="str">
            <v>USD</v>
          </cell>
        </row>
        <row r="505">
          <cell r="C505" t="str">
            <v>DAL</v>
          </cell>
          <cell r="E505" t="str">
            <v>Refinance</v>
          </cell>
          <cell r="G505" t="str">
            <v>USD</v>
          </cell>
        </row>
        <row r="506">
          <cell r="C506" t="str">
            <v>NY</v>
          </cell>
          <cell r="E506" t="str">
            <v>Refinance</v>
          </cell>
          <cell r="G506" t="str">
            <v>USD</v>
          </cell>
        </row>
        <row r="507">
          <cell r="C507" t="str">
            <v>NY</v>
          </cell>
          <cell r="E507" t="str">
            <v>Refinance</v>
          </cell>
          <cell r="G507" t="str">
            <v>USD</v>
          </cell>
        </row>
        <row r="508">
          <cell r="C508" t="str">
            <v>NY</v>
          </cell>
          <cell r="E508" t="str">
            <v>Refinance- Cash Out</v>
          </cell>
          <cell r="G508" t="str">
            <v>USD</v>
          </cell>
        </row>
        <row r="509">
          <cell r="C509" t="str">
            <v>NY</v>
          </cell>
          <cell r="E509" t="str">
            <v>Acquisition- Construction</v>
          </cell>
          <cell r="G509" t="str">
            <v>USD</v>
          </cell>
        </row>
        <row r="510">
          <cell r="C510" t="str">
            <v>SF</v>
          </cell>
          <cell r="E510" t="str">
            <v>Refinance</v>
          </cell>
          <cell r="G510" t="str">
            <v>USD</v>
          </cell>
        </row>
        <row r="511">
          <cell r="C511" t="str">
            <v>SF</v>
          </cell>
          <cell r="E511" t="str">
            <v>Acquisition</v>
          </cell>
          <cell r="F511">
            <v>10325593.99</v>
          </cell>
          <cell r="G511" t="str">
            <v>USD</v>
          </cell>
        </row>
        <row r="512">
          <cell r="C512" t="str">
            <v>LA</v>
          </cell>
          <cell r="E512" t="str">
            <v>Acquisition</v>
          </cell>
          <cell r="G512" t="str">
            <v>USD</v>
          </cell>
        </row>
        <row r="513">
          <cell r="C513" t="str">
            <v>LA</v>
          </cell>
          <cell r="E513" t="str">
            <v>Acquisition</v>
          </cell>
          <cell r="G513" t="str">
            <v>USD</v>
          </cell>
        </row>
        <row r="514">
          <cell r="C514" t="str">
            <v>LA</v>
          </cell>
          <cell r="E514" t="str">
            <v>Acquisition</v>
          </cell>
          <cell r="G514" t="str">
            <v>USD</v>
          </cell>
        </row>
        <row r="515">
          <cell r="C515" t="str">
            <v>DAL</v>
          </cell>
          <cell r="E515" t="str">
            <v>Acquisition</v>
          </cell>
          <cell r="G515" t="str">
            <v>USD</v>
          </cell>
        </row>
        <row r="516">
          <cell r="C516" t="str">
            <v>LA</v>
          </cell>
          <cell r="E516" t="str">
            <v>Refinance</v>
          </cell>
          <cell r="G516" t="str">
            <v>USD</v>
          </cell>
        </row>
        <row r="517">
          <cell r="C517" t="str">
            <v>LA</v>
          </cell>
          <cell r="E517" t="str">
            <v>Refinance</v>
          </cell>
          <cell r="G517" t="str">
            <v>USD</v>
          </cell>
        </row>
        <row r="518">
          <cell r="C518" t="str">
            <v>NY</v>
          </cell>
          <cell r="E518" t="str">
            <v>Acquisition</v>
          </cell>
          <cell r="G518" t="str">
            <v>USD</v>
          </cell>
        </row>
        <row r="519">
          <cell r="C519" t="str">
            <v>NY</v>
          </cell>
          <cell r="E519" t="str">
            <v>Acquisition- Construction</v>
          </cell>
          <cell r="G519" t="str">
            <v>USD</v>
          </cell>
        </row>
        <row r="520">
          <cell r="C520" t="str">
            <v>LA</v>
          </cell>
          <cell r="E520" t="str">
            <v>Refinance</v>
          </cell>
          <cell r="G520" t="str">
            <v>USD</v>
          </cell>
        </row>
        <row r="521">
          <cell r="C521" t="str">
            <v>LA</v>
          </cell>
          <cell r="E521" t="str">
            <v>Acquisition- Construction</v>
          </cell>
          <cell r="G521" t="str">
            <v>USD</v>
          </cell>
        </row>
        <row r="522">
          <cell r="C522" t="str">
            <v>LA</v>
          </cell>
          <cell r="E522" t="str">
            <v>Acquisition</v>
          </cell>
          <cell r="G522" t="str">
            <v>USD</v>
          </cell>
        </row>
        <row r="523">
          <cell r="C523" t="str">
            <v>NY</v>
          </cell>
          <cell r="E523" t="str">
            <v>Acquisition- Construction</v>
          </cell>
          <cell r="G523" t="str">
            <v>USD</v>
          </cell>
        </row>
        <row r="524">
          <cell r="C524" t="str">
            <v>NY</v>
          </cell>
          <cell r="E524" t="str">
            <v>Acquisition</v>
          </cell>
          <cell r="G524" t="str">
            <v>USD</v>
          </cell>
        </row>
        <row r="525">
          <cell r="C525" t="str">
            <v>NY</v>
          </cell>
          <cell r="E525" t="str">
            <v>Refinance- Cash Out</v>
          </cell>
          <cell r="G525" t="str">
            <v>USD</v>
          </cell>
        </row>
        <row r="526">
          <cell r="C526" t="str">
            <v>DAL</v>
          </cell>
          <cell r="E526" t="str">
            <v>Acquisition</v>
          </cell>
          <cell r="G526" t="str">
            <v>USD</v>
          </cell>
        </row>
        <row r="527">
          <cell r="C527" t="str">
            <v>DAL</v>
          </cell>
          <cell r="E527" t="str">
            <v>Refinance- No Cash Out</v>
          </cell>
          <cell r="G527" t="str">
            <v>USD</v>
          </cell>
        </row>
        <row r="528">
          <cell r="C528" t="str">
            <v>DAL</v>
          </cell>
          <cell r="E528" t="str">
            <v>Acquisition</v>
          </cell>
          <cell r="G528" t="str">
            <v>USD</v>
          </cell>
        </row>
        <row r="529">
          <cell r="C529" t="str">
            <v>NY</v>
          </cell>
          <cell r="E529" t="str">
            <v>Refinance</v>
          </cell>
          <cell r="F529">
            <v>33344112</v>
          </cell>
          <cell r="G529" t="str">
            <v>USD</v>
          </cell>
        </row>
        <row r="530">
          <cell r="C530" t="str">
            <v>DAL</v>
          </cell>
          <cell r="E530" t="str">
            <v>Acquisition- Construction</v>
          </cell>
          <cell r="G530" t="str">
            <v>USD</v>
          </cell>
        </row>
        <row r="531">
          <cell r="C531" t="str">
            <v>LA</v>
          </cell>
          <cell r="E531" t="str">
            <v>Acquisition</v>
          </cell>
          <cell r="G531" t="str">
            <v>USD</v>
          </cell>
        </row>
        <row r="532">
          <cell r="C532" t="str">
            <v>LA</v>
          </cell>
          <cell r="E532" t="str">
            <v>Refinance</v>
          </cell>
          <cell r="G532" t="str">
            <v>USD</v>
          </cell>
        </row>
        <row r="533">
          <cell r="C533" t="str">
            <v>LA</v>
          </cell>
          <cell r="E533" t="str">
            <v>Acquisition- Construction</v>
          </cell>
          <cell r="G533" t="str">
            <v>USD</v>
          </cell>
        </row>
        <row r="534">
          <cell r="C534" t="str">
            <v>DAL</v>
          </cell>
          <cell r="E534" t="str">
            <v>Acquisition- Construction</v>
          </cell>
          <cell r="G534" t="str">
            <v>USD</v>
          </cell>
        </row>
        <row r="535">
          <cell r="C535" t="str">
            <v>NY</v>
          </cell>
          <cell r="E535" t="str">
            <v>Acquisition- Construction</v>
          </cell>
          <cell r="G535" t="str">
            <v>USD</v>
          </cell>
        </row>
        <row r="536">
          <cell r="C536" t="str">
            <v>DAL</v>
          </cell>
          <cell r="E536" t="str">
            <v>Acquisition</v>
          </cell>
          <cell r="G536" t="str">
            <v>USD</v>
          </cell>
        </row>
        <row r="537">
          <cell r="C537" t="str">
            <v>NY</v>
          </cell>
          <cell r="E537" t="str">
            <v>Acquisition</v>
          </cell>
          <cell r="G537" t="str">
            <v>USD</v>
          </cell>
        </row>
        <row r="538">
          <cell r="C538" t="str">
            <v>NY</v>
          </cell>
          <cell r="E538" t="str">
            <v>Refinance</v>
          </cell>
          <cell r="G538" t="str">
            <v>USD</v>
          </cell>
        </row>
        <row r="539">
          <cell r="C539" t="str">
            <v>NY</v>
          </cell>
          <cell r="E539" t="str">
            <v>Acquisition</v>
          </cell>
          <cell r="G539" t="str">
            <v>USD</v>
          </cell>
        </row>
        <row r="540">
          <cell r="C540" t="str">
            <v>DAL</v>
          </cell>
          <cell r="E540" t="str">
            <v>Acquisition</v>
          </cell>
          <cell r="G540" t="str">
            <v>USD</v>
          </cell>
        </row>
        <row r="541">
          <cell r="C541" t="str">
            <v>LA</v>
          </cell>
          <cell r="E541" t="str">
            <v>Acquisition- Construction</v>
          </cell>
          <cell r="G541" t="str">
            <v>USD</v>
          </cell>
        </row>
        <row r="542">
          <cell r="C542" t="str">
            <v>LA</v>
          </cell>
          <cell r="E542" t="str">
            <v>Refinance</v>
          </cell>
          <cell r="G542" t="str">
            <v>USD</v>
          </cell>
        </row>
        <row r="543">
          <cell r="C543" t="str">
            <v>LA</v>
          </cell>
          <cell r="E543" t="str">
            <v>Refinance Construction</v>
          </cell>
          <cell r="G543" t="str">
            <v>USD</v>
          </cell>
        </row>
        <row r="544">
          <cell r="C544" t="str">
            <v>LA</v>
          </cell>
          <cell r="E544" t="str">
            <v>Refinance</v>
          </cell>
          <cell r="G544" t="str">
            <v>USD</v>
          </cell>
        </row>
        <row r="545">
          <cell r="C545" t="str">
            <v>LA</v>
          </cell>
          <cell r="E545" t="str">
            <v>Refinance</v>
          </cell>
          <cell r="G545" t="str">
            <v>USD</v>
          </cell>
        </row>
        <row r="546">
          <cell r="C546" t="str">
            <v>DAL</v>
          </cell>
          <cell r="E546" t="str">
            <v>Refinance</v>
          </cell>
          <cell r="G546" t="str">
            <v>USD</v>
          </cell>
        </row>
        <row r="547">
          <cell r="C547" t="str">
            <v>NY</v>
          </cell>
          <cell r="E547" t="str">
            <v>Refinance- Cash Out</v>
          </cell>
          <cell r="G547" t="str">
            <v>USD</v>
          </cell>
        </row>
        <row r="548">
          <cell r="C548" t="str">
            <v>LA</v>
          </cell>
          <cell r="E548" t="str">
            <v>Refinance</v>
          </cell>
          <cell r="G548" t="str">
            <v>USD</v>
          </cell>
        </row>
        <row r="549">
          <cell r="C549" t="str">
            <v>NY</v>
          </cell>
          <cell r="E549" t="str">
            <v>Refinance Construction</v>
          </cell>
          <cell r="G549" t="str">
            <v>USD</v>
          </cell>
        </row>
        <row r="550">
          <cell r="C550" t="str">
            <v>LA</v>
          </cell>
          <cell r="E550" t="str">
            <v>Acquisition</v>
          </cell>
          <cell r="G550" t="str">
            <v>USD</v>
          </cell>
        </row>
        <row r="551">
          <cell r="C551" t="str">
            <v>DAL</v>
          </cell>
          <cell r="E551" t="str">
            <v>Acquisition</v>
          </cell>
          <cell r="G551" t="str">
            <v>USD</v>
          </cell>
        </row>
        <row r="552">
          <cell r="C552" t="str">
            <v>LA</v>
          </cell>
          <cell r="E552" t="str">
            <v>Acquisition- Construction</v>
          </cell>
          <cell r="G552" t="str">
            <v>USD</v>
          </cell>
        </row>
        <row r="553">
          <cell r="C553" t="str">
            <v>LA</v>
          </cell>
          <cell r="E553" t="str">
            <v>Refinance</v>
          </cell>
          <cell r="G553" t="str">
            <v>USD</v>
          </cell>
        </row>
        <row r="554">
          <cell r="C554" t="str">
            <v>DAL</v>
          </cell>
          <cell r="E554" t="str">
            <v>Acquisition</v>
          </cell>
          <cell r="G554" t="str">
            <v>USD</v>
          </cell>
        </row>
        <row r="555">
          <cell r="C555" t="str">
            <v>NY</v>
          </cell>
          <cell r="E555" t="str">
            <v>Acquisition</v>
          </cell>
          <cell r="G555" t="str">
            <v>USD</v>
          </cell>
        </row>
        <row r="556">
          <cell r="C556" t="str">
            <v>DAL</v>
          </cell>
          <cell r="E556" t="str">
            <v>Acquisition- Construction</v>
          </cell>
          <cell r="G556" t="str">
            <v>USD</v>
          </cell>
        </row>
        <row r="557">
          <cell r="C557" t="str">
            <v>DAL</v>
          </cell>
          <cell r="E557" t="str">
            <v>Acquisition</v>
          </cell>
          <cell r="G557" t="str">
            <v>USD</v>
          </cell>
        </row>
        <row r="558">
          <cell r="C558" t="str">
            <v>NY</v>
          </cell>
          <cell r="E558" t="str">
            <v>Acquisition</v>
          </cell>
          <cell r="G558" t="str">
            <v>USD</v>
          </cell>
        </row>
        <row r="559">
          <cell r="C559" t="str">
            <v>NY</v>
          </cell>
          <cell r="E559" t="str">
            <v>Acquisition- Construction</v>
          </cell>
          <cell r="G559" t="str">
            <v>USD</v>
          </cell>
        </row>
        <row r="560">
          <cell r="C560" t="str">
            <v>LA</v>
          </cell>
          <cell r="E560" t="str">
            <v>Refinance</v>
          </cell>
          <cell r="G560" t="str">
            <v>USD</v>
          </cell>
        </row>
        <row r="561">
          <cell r="C561" t="str">
            <v>NY</v>
          </cell>
          <cell r="E561" t="str">
            <v>Acquisition- Construction</v>
          </cell>
          <cell r="G561" t="str">
            <v>USD</v>
          </cell>
        </row>
        <row r="562">
          <cell r="C562" t="str">
            <v>SF</v>
          </cell>
          <cell r="E562" t="str">
            <v>Refinance Construction</v>
          </cell>
          <cell r="G562" t="str">
            <v>USD</v>
          </cell>
        </row>
        <row r="563">
          <cell r="C563" t="str">
            <v>LA</v>
          </cell>
          <cell r="E563" t="str">
            <v>Acquisition</v>
          </cell>
          <cell r="G563" t="str">
            <v>USD</v>
          </cell>
        </row>
        <row r="564">
          <cell r="C564" t="str">
            <v>DAL</v>
          </cell>
          <cell r="E564" t="str">
            <v>Acquisition</v>
          </cell>
          <cell r="G564" t="str">
            <v>USD</v>
          </cell>
        </row>
        <row r="565">
          <cell r="C565" t="str">
            <v>NY</v>
          </cell>
          <cell r="E565" t="str">
            <v>Acquisition- Construction</v>
          </cell>
          <cell r="G565" t="str">
            <v>USD</v>
          </cell>
        </row>
        <row r="566">
          <cell r="C566" t="str">
            <v>LA</v>
          </cell>
          <cell r="E566" t="str">
            <v>Refinance</v>
          </cell>
          <cell r="G566" t="str">
            <v>USD</v>
          </cell>
        </row>
        <row r="567">
          <cell r="C567" t="str">
            <v>NY</v>
          </cell>
          <cell r="E567" t="str">
            <v>Acquisition</v>
          </cell>
          <cell r="G567" t="str">
            <v>USD</v>
          </cell>
        </row>
        <row r="568">
          <cell r="C568" t="str">
            <v>LA</v>
          </cell>
          <cell r="E568" t="str">
            <v>Refinance</v>
          </cell>
          <cell r="G568" t="str">
            <v>USD</v>
          </cell>
        </row>
        <row r="569">
          <cell r="C569" t="str">
            <v>LA</v>
          </cell>
          <cell r="E569" t="str">
            <v>Acquisition</v>
          </cell>
          <cell r="G569" t="str">
            <v>USD</v>
          </cell>
        </row>
        <row r="570">
          <cell r="C570" t="str">
            <v>LA</v>
          </cell>
          <cell r="D570" t="str">
            <v>Anthony Marconi</v>
          </cell>
          <cell r="E570" t="str">
            <v>Acquisition</v>
          </cell>
          <cell r="F570">
            <v>16870000</v>
          </cell>
          <cell r="G570" t="str">
            <v>USD</v>
          </cell>
        </row>
        <row r="571">
          <cell r="C571" t="str">
            <v>LA</v>
          </cell>
          <cell r="E571" t="str">
            <v>Acquisition</v>
          </cell>
          <cell r="G571" t="str">
            <v>USD</v>
          </cell>
        </row>
        <row r="572">
          <cell r="C572" t="str">
            <v>LA</v>
          </cell>
          <cell r="E572" t="str">
            <v>Acquisition- Construction</v>
          </cell>
          <cell r="G572" t="str">
            <v>USD</v>
          </cell>
        </row>
        <row r="573">
          <cell r="C573" t="str">
            <v>DAL</v>
          </cell>
          <cell r="E573" t="str">
            <v>Acquisition</v>
          </cell>
          <cell r="G573" t="str">
            <v>USD</v>
          </cell>
        </row>
        <row r="574">
          <cell r="C574" t="str">
            <v>DAL</v>
          </cell>
          <cell r="E574" t="str">
            <v>Acquisition</v>
          </cell>
          <cell r="G574" t="str">
            <v>USD</v>
          </cell>
        </row>
        <row r="575">
          <cell r="C575" t="str">
            <v>NY</v>
          </cell>
          <cell r="E575" t="str">
            <v>Refinance- Cash Out</v>
          </cell>
          <cell r="G575" t="str">
            <v>USD</v>
          </cell>
        </row>
        <row r="576">
          <cell r="C576" t="str">
            <v>SF</v>
          </cell>
          <cell r="E576" t="str">
            <v>Acquisition</v>
          </cell>
          <cell r="G576" t="str">
            <v>USD</v>
          </cell>
        </row>
        <row r="577">
          <cell r="C577" t="str">
            <v>NY</v>
          </cell>
          <cell r="E577" t="str">
            <v>Refinance Construction</v>
          </cell>
          <cell r="G577" t="str">
            <v>USD</v>
          </cell>
        </row>
        <row r="578">
          <cell r="C578" t="str">
            <v>NY</v>
          </cell>
          <cell r="E578" t="str">
            <v>Acquisition</v>
          </cell>
          <cell r="G578" t="str">
            <v>USD</v>
          </cell>
        </row>
        <row r="579">
          <cell r="C579" t="str">
            <v>NY</v>
          </cell>
          <cell r="E579" t="str">
            <v>Refinance</v>
          </cell>
          <cell r="G579" t="str">
            <v>USD</v>
          </cell>
        </row>
        <row r="580">
          <cell r="C580" t="str">
            <v>LA</v>
          </cell>
          <cell r="E580" t="str">
            <v>Acquisition- Construction</v>
          </cell>
          <cell r="G580" t="str">
            <v>USD</v>
          </cell>
        </row>
        <row r="581">
          <cell r="C581" t="str">
            <v>LA</v>
          </cell>
          <cell r="E581" t="str">
            <v>Acquisition</v>
          </cell>
          <cell r="G581" t="str">
            <v>USD</v>
          </cell>
        </row>
        <row r="582">
          <cell r="C582" t="str">
            <v>LA</v>
          </cell>
          <cell r="E582" t="str">
            <v>Acquisition</v>
          </cell>
          <cell r="G582" t="str">
            <v>USD</v>
          </cell>
        </row>
        <row r="583">
          <cell r="C583" t="str">
            <v>NY</v>
          </cell>
          <cell r="E583" t="str">
            <v>Acquisition</v>
          </cell>
          <cell r="G583" t="str">
            <v>USD</v>
          </cell>
        </row>
        <row r="584">
          <cell r="C584" t="str">
            <v>DAL</v>
          </cell>
          <cell r="E584" t="str">
            <v>Refinance- No Cash Out</v>
          </cell>
          <cell r="G584" t="str">
            <v>USD</v>
          </cell>
        </row>
        <row r="585">
          <cell r="C585" t="str">
            <v>NY</v>
          </cell>
          <cell r="E585" t="str">
            <v>Refinance</v>
          </cell>
          <cell r="G585" t="str">
            <v>USD</v>
          </cell>
        </row>
        <row r="586">
          <cell r="C586" t="str">
            <v>NY</v>
          </cell>
          <cell r="E586" t="str">
            <v>Acquisition- Construction</v>
          </cell>
          <cell r="G586" t="str">
            <v>USD</v>
          </cell>
        </row>
        <row r="587">
          <cell r="C587" t="str">
            <v>NY</v>
          </cell>
          <cell r="E587" t="str">
            <v>Acquisition- Construction</v>
          </cell>
          <cell r="G587" t="str">
            <v>USD</v>
          </cell>
        </row>
        <row r="588">
          <cell r="C588" t="str">
            <v>NY</v>
          </cell>
          <cell r="E588" t="str">
            <v>Acquisition- Construction</v>
          </cell>
          <cell r="G588" t="str">
            <v>USD</v>
          </cell>
        </row>
        <row r="589">
          <cell r="C589" t="str">
            <v>NY</v>
          </cell>
          <cell r="E589" t="str">
            <v>Acquisition- Construction</v>
          </cell>
          <cell r="G589" t="str">
            <v>USD</v>
          </cell>
        </row>
        <row r="590">
          <cell r="C590" t="str">
            <v>NY</v>
          </cell>
          <cell r="E590" t="str">
            <v>Acquisition</v>
          </cell>
          <cell r="G590" t="str">
            <v>USD</v>
          </cell>
        </row>
        <row r="591">
          <cell r="C591" t="str">
            <v>NY</v>
          </cell>
          <cell r="E591" t="str">
            <v>Acquisition</v>
          </cell>
          <cell r="G591" t="str">
            <v>USD</v>
          </cell>
        </row>
        <row r="592">
          <cell r="C592" t="str">
            <v>NY</v>
          </cell>
          <cell r="E592" t="str">
            <v>Acquisition</v>
          </cell>
          <cell r="G592" t="str">
            <v>USD</v>
          </cell>
        </row>
        <row r="593">
          <cell r="C593" t="str">
            <v>NY</v>
          </cell>
          <cell r="E593" t="str">
            <v>Acquisition- Construction</v>
          </cell>
          <cell r="G593" t="str">
            <v>USD</v>
          </cell>
        </row>
        <row r="594">
          <cell r="C594" t="str">
            <v>NY</v>
          </cell>
          <cell r="E594" t="str">
            <v>Acquisition</v>
          </cell>
          <cell r="G594" t="str">
            <v>USD</v>
          </cell>
        </row>
        <row r="595">
          <cell r="C595" t="str">
            <v>NY</v>
          </cell>
          <cell r="E595" t="str">
            <v>Acquisition</v>
          </cell>
          <cell r="G595" t="str">
            <v>USD</v>
          </cell>
        </row>
        <row r="596">
          <cell r="C596" t="str">
            <v>NY</v>
          </cell>
          <cell r="E596" t="str">
            <v>Acquisition- Construction</v>
          </cell>
          <cell r="G596" t="str">
            <v>USD</v>
          </cell>
        </row>
        <row r="597">
          <cell r="C597" t="str">
            <v>NY</v>
          </cell>
          <cell r="E597" t="str">
            <v>Acquisition- Construction</v>
          </cell>
          <cell r="G597" t="str">
            <v>USD</v>
          </cell>
        </row>
        <row r="598">
          <cell r="C598" t="str">
            <v>NY</v>
          </cell>
          <cell r="E598" t="str">
            <v>Acquisition- Construction</v>
          </cell>
          <cell r="G598" t="str">
            <v>USD</v>
          </cell>
        </row>
        <row r="599">
          <cell r="C599" t="str">
            <v>NY</v>
          </cell>
          <cell r="E599" t="str">
            <v xml:space="preserve">Bridge </v>
          </cell>
          <cell r="G599" t="str">
            <v>USD</v>
          </cell>
        </row>
        <row r="600">
          <cell r="C600" t="str">
            <v>NY</v>
          </cell>
          <cell r="E600" t="str">
            <v>Acquisition</v>
          </cell>
          <cell r="G600" t="str">
            <v>USD</v>
          </cell>
        </row>
        <row r="601">
          <cell r="C601" t="str">
            <v>LA</v>
          </cell>
          <cell r="E601" t="str">
            <v>Acquisition- Construction</v>
          </cell>
          <cell r="G601" t="str">
            <v>USD</v>
          </cell>
        </row>
        <row r="602">
          <cell r="C602" t="str">
            <v>LA</v>
          </cell>
          <cell r="E602" t="str">
            <v>Acquisition- Construction</v>
          </cell>
          <cell r="G602" t="str">
            <v>USD</v>
          </cell>
        </row>
        <row r="603">
          <cell r="C603" t="str">
            <v>LA</v>
          </cell>
          <cell r="E603" t="str">
            <v>Acquisition- Construction</v>
          </cell>
          <cell r="G603" t="str">
            <v>USD</v>
          </cell>
        </row>
        <row r="604">
          <cell r="C604" t="str">
            <v>LA</v>
          </cell>
          <cell r="E604" t="str">
            <v>Refinance</v>
          </cell>
          <cell r="G604" t="str">
            <v>USD</v>
          </cell>
        </row>
        <row r="605">
          <cell r="C605" t="str">
            <v>NY</v>
          </cell>
          <cell r="E605" t="str">
            <v>Refinance</v>
          </cell>
          <cell r="G605" t="str">
            <v>USD</v>
          </cell>
        </row>
        <row r="606">
          <cell r="C606" t="str">
            <v>DAL</v>
          </cell>
          <cell r="E606" t="str">
            <v>Acquisition</v>
          </cell>
          <cell r="G606" t="str">
            <v>USD</v>
          </cell>
        </row>
        <row r="607">
          <cell r="C607" t="str">
            <v>NY</v>
          </cell>
          <cell r="E607" t="str">
            <v>Refinance</v>
          </cell>
          <cell r="G607" t="str">
            <v>USD</v>
          </cell>
        </row>
        <row r="608">
          <cell r="C608" t="str">
            <v>LA</v>
          </cell>
          <cell r="E608" t="str">
            <v>Acquisition</v>
          </cell>
          <cell r="G608" t="str">
            <v>USD</v>
          </cell>
        </row>
        <row r="609">
          <cell r="C609" t="str">
            <v>NY</v>
          </cell>
          <cell r="E609" t="str">
            <v>Refinance</v>
          </cell>
          <cell r="G609" t="str">
            <v>USD</v>
          </cell>
        </row>
        <row r="610">
          <cell r="C610" t="str">
            <v>NY</v>
          </cell>
          <cell r="E610" t="str">
            <v>Refinance</v>
          </cell>
          <cell r="G610" t="str">
            <v>USD</v>
          </cell>
        </row>
        <row r="611">
          <cell r="C611" t="str">
            <v>NY</v>
          </cell>
          <cell r="E611" t="str">
            <v>Acquisition</v>
          </cell>
          <cell r="G611" t="str">
            <v>USD</v>
          </cell>
        </row>
        <row r="612">
          <cell r="C612" t="str">
            <v>DAL</v>
          </cell>
          <cell r="E612" t="str">
            <v>Acquisition</v>
          </cell>
          <cell r="G612" t="str">
            <v>USD</v>
          </cell>
        </row>
        <row r="613">
          <cell r="C613" t="str">
            <v>NY</v>
          </cell>
          <cell r="E613" t="str">
            <v>Acquisition</v>
          </cell>
          <cell r="G613" t="str">
            <v>USD</v>
          </cell>
        </row>
        <row r="614">
          <cell r="C614" t="str">
            <v>SF</v>
          </cell>
          <cell r="E614" t="str">
            <v>Acquisition</v>
          </cell>
          <cell r="G614" t="str">
            <v>USD</v>
          </cell>
        </row>
        <row r="615">
          <cell r="C615" t="str">
            <v>NY</v>
          </cell>
          <cell r="E615" t="str">
            <v>Acquisition</v>
          </cell>
          <cell r="G615" t="str">
            <v>USD</v>
          </cell>
        </row>
        <row r="616">
          <cell r="C616" t="str">
            <v>LA</v>
          </cell>
          <cell r="E616" t="str">
            <v>Refinance</v>
          </cell>
          <cell r="G616" t="str">
            <v>USD</v>
          </cell>
        </row>
        <row r="617">
          <cell r="C617" t="str">
            <v>LA</v>
          </cell>
          <cell r="E617" t="str">
            <v>Acquisition- Construction</v>
          </cell>
          <cell r="G617" t="str">
            <v>USD</v>
          </cell>
        </row>
        <row r="618">
          <cell r="C618" t="str">
            <v>NY</v>
          </cell>
          <cell r="E618" t="str">
            <v>Refinance</v>
          </cell>
          <cell r="G618" t="str">
            <v>USD</v>
          </cell>
        </row>
        <row r="619">
          <cell r="C619" t="str">
            <v>NY</v>
          </cell>
          <cell r="E619" t="str">
            <v>Refinance</v>
          </cell>
          <cell r="G619" t="str">
            <v>USD</v>
          </cell>
        </row>
        <row r="620">
          <cell r="C620" t="str">
            <v>NY</v>
          </cell>
          <cell r="E620" t="str">
            <v>Refinance Construction</v>
          </cell>
          <cell r="G620" t="str">
            <v>USD</v>
          </cell>
        </row>
        <row r="621">
          <cell r="C621" t="str">
            <v>NY</v>
          </cell>
          <cell r="E621" t="str">
            <v>Acquisition- Construction</v>
          </cell>
          <cell r="G621" t="str">
            <v>USD</v>
          </cell>
        </row>
        <row r="622">
          <cell r="C622" t="str">
            <v>NY</v>
          </cell>
          <cell r="E622" t="str">
            <v>Acquisition</v>
          </cell>
          <cell r="G622" t="str">
            <v>USD</v>
          </cell>
        </row>
        <row r="623">
          <cell r="C623" t="str">
            <v>DAL</v>
          </cell>
          <cell r="E623" t="str">
            <v>Refinance</v>
          </cell>
          <cell r="G623" t="str">
            <v>USD</v>
          </cell>
        </row>
        <row r="624">
          <cell r="C624" t="str">
            <v>DAL</v>
          </cell>
          <cell r="E624" t="str">
            <v>Acquisition- Construction</v>
          </cell>
          <cell r="G624" t="str">
            <v>USD</v>
          </cell>
        </row>
        <row r="625">
          <cell r="C625" t="str">
            <v>DAL</v>
          </cell>
          <cell r="E625" t="str">
            <v>Acquisition</v>
          </cell>
          <cell r="G625" t="str">
            <v>USD</v>
          </cell>
        </row>
        <row r="626">
          <cell r="C626" t="str">
            <v>DAL</v>
          </cell>
          <cell r="E626" t="str">
            <v>Refinance- No Cash Out</v>
          </cell>
          <cell r="G626" t="str">
            <v>USD</v>
          </cell>
        </row>
        <row r="627">
          <cell r="C627" t="str">
            <v>NY</v>
          </cell>
          <cell r="E627" t="str">
            <v>Acquisition</v>
          </cell>
          <cell r="G627" t="str">
            <v>USD</v>
          </cell>
        </row>
        <row r="628">
          <cell r="C628" t="str">
            <v>NY</v>
          </cell>
          <cell r="E628" t="str">
            <v>Refinance- Cash Out</v>
          </cell>
          <cell r="G628" t="str">
            <v>USD</v>
          </cell>
        </row>
        <row r="629">
          <cell r="C629" t="str">
            <v>LA</v>
          </cell>
          <cell r="E629" t="str">
            <v>Refinance</v>
          </cell>
          <cell r="G629" t="str">
            <v>USD</v>
          </cell>
        </row>
        <row r="630">
          <cell r="C630" t="str">
            <v>LA</v>
          </cell>
          <cell r="E630" t="str">
            <v>Refinance- Cash Out</v>
          </cell>
          <cell r="G630" t="str">
            <v>USD</v>
          </cell>
        </row>
        <row r="631">
          <cell r="C631" t="str">
            <v>LA</v>
          </cell>
          <cell r="E631" t="str">
            <v>Refinance Construction</v>
          </cell>
          <cell r="G631" t="str">
            <v>USD</v>
          </cell>
        </row>
        <row r="632">
          <cell r="C632" t="str">
            <v>LA</v>
          </cell>
          <cell r="E632" t="str">
            <v>Acquisition</v>
          </cell>
          <cell r="G632" t="str">
            <v>USD</v>
          </cell>
        </row>
        <row r="633">
          <cell r="C633" t="str">
            <v>DAL</v>
          </cell>
          <cell r="E633" t="str">
            <v>Acquisition</v>
          </cell>
          <cell r="G633" t="str">
            <v>USD</v>
          </cell>
        </row>
        <row r="634">
          <cell r="C634" t="str">
            <v>DAL</v>
          </cell>
          <cell r="E634" t="str">
            <v>Acquisition</v>
          </cell>
          <cell r="G634" t="str">
            <v>USD</v>
          </cell>
        </row>
        <row r="635">
          <cell r="C635" t="str">
            <v>NY</v>
          </cell>
          <cell r="E635" t="str">
            <v>Refinance</v>
          </cell>
          <cell r="G635" t="str">
            <v>USD</v>
          </cell>
        </row>
        <row r="636">
          <cell r="C636" t="str">
            <v>NY</v>
          </cell>
          <cell r="E636" t="str">
            <v>Acquisition</v>
          </cell>
          <cell r="G636" t="str">
            <v>USD</v>
          </cell>
        </row>
        <row r="637">
          <cell r="C637" t="str">
            <v>SF</v>
          </cell>
          <cell r="E637" t="str">
            <v>Refinance</v>
          </cell>
          <cell r="G637" t="str">
            <v>USD</v>
          </cell>
        </row>
        <row r="638">
          <cell r="C638" t="str">
            <v>SF</v>
          </cell>
          <cell r="E638" t="str">
            <v>Acquisition</v>
          </cell>
          <cell r="G638" t="str">
            <v>USD</v>
          </cell>
        </row>
        <row r="639">
          <cell r="C639" t="str">
            <v>NY</v>
          </cell>
          <cell r="E639" t="str">
            <v>Refinance</v>
          </cell>
          <cell r="G639" t="str">
            <v>USD</v>
          </cell>
        </row>
        <row r="640">
          <cell r="C640" t="str">
            <v>DAL</v>
          </cell>
          <cell r="D640" t="str">
            <v>Scott Swisher</v>
          </cell>
          <cell r="E640" t="str">
            <v>Acquisition</v>
          </cell>
          <cell r="F640">
            <v>10144000</v>
          </cell>
          <cell r="G640" t="str">
            <v>USD</v>
          </cell>
        </row>
        <row r="641">
          <cell r="C641" t="str">
            <v>NY</v>
          </cell>
          <cell r="E641" t="str">
            <v>Acquisition</v>
          </cell>
          <cell r="G641" t="str">
            <v>USD</v>
          </cell>
        </row>
        <row r="642">
          <cell r="C642" t="str">
            <v>NY</v>
          </cell>
          <cell r="E642" t="str">
            <v>Acquisition</v>
          </cell>
          <cell r="G642" t="str">
            <v>USD</v>
          </cell>
        </row>
        <row r="643">
          <cell r="C643" t="str">
            <v>NY</v>
          </cell>
          <cell r="E643" t="str">
            <v>Refinance</v>
          </cell>
          <cell r="G643" t="str">
            <v>USD</v>
          </cell>
        </row>
        <row r="644">
          <cell r="C644" t="str">
            <v>NY</v>
          </cell>
          <cell r="E644" t="str">
            <v>Refinance</v>
          </cell>
          <cell r="G644" t="str">
            <v>USD</v>
          </cell>
        </row>
        <row r="645">
          <cell r="C645" t="str">
            <v>NY</v>
          </cell>
          <cell r="E645" t="str">
            <v>Refinance</v>
          </cell>
          <cell r="G645" t="str">
            <v>USD</v>
          </cell>
        </row>
        <row r="646">
          <cell r="C646" t="str">
            <v>LA</v>
          </cell>
          <cell r="E646" t="str">
            <v>Acquisition</v>
          </cell>
          <cell r="G646" t="str">
            <v>USD</v>
          </cell>
        </row>
        <row r="647">
          <cell r="C647" t="str">
            <v>LA</v>
          </cell>
          <cell r="E647" t="str">
            <v>Refinance Construction</v>
          </cell>
          <cell r="G647" t="str">
            <v>USD</v>
          </cell>
        </row>
        <row r="648">
          <cell r="C648" t="str">
            <v>LA</v>
          </cell>
          <cell r="E648" t="str">
            <v>Acquisition- Construction</v>
          </cell>
          <cell r="G648" t="str">
            <v>USD</v>
          </cell>
        </row>
        <row r="649">
          <cell r="C649" t="str">
            <v>LA</v>
          </cell>
          <cell r="E649" t="str">
            <v>Refinance</v>
          </cell>
          <cell r="G649" t="str">
            <v>USD</v>
          </cell>
        </row>
        <row r="650">
          <cell r="C650" t="str">
            <v>LA</v>
          </cell>
          <cell r="E650" t="str">
            <v>Refinance</v>
          </cell>
          <cell r="G650" t="str">
            <v>USD</v>
          </cell>
        </row>
        <row r="651">
          <cell r="C651" t="str">
            <v>LA</v>
          </cell>
          <cell r="E651" t="str">
            <v>Acquisition</v>
          </cell>
          <cell r="G651" t="str">
            <v>USD</v>
          </cell>
        </row>
        <row r="652">
          <cell r="C652" t="str">
            <v>LA</v>
          </cell>
          <cell r="E652" t="str">
            <v>Refinance Construction</v>
          </cell>
          <cell r="G652" t="str">
            <v>USD</v>
          </cell>
        </row>
        <row r="653">
          <cell r="C653" t="str">
            <v>NY</v>
          </cell>
          <cell r="E653" t="str">
            <v>Acquisition</v>
          </cell>
          <cell r="G653" t="str">
            <v>USD</v>
          </cell>
        </row>
        <row r="654">
          <cell r="C654" t="str">
            <v>LA</v>
          </cell>
          <cell r="E654" t="str">
            <v>Refinance</v>
          </cell>
          <cell r="G654" t="str">
            <v>USD</v>
          </cell>
        </row>
        <row r="655">
          <cell r="C655" t="str">
            <v>NY</v>
          </cell>
          <cell r="E655" t="str">
            <v>Refinance</v>
          </cell>
          <cell r="G655" t="str">
            <v>USD</v>
          </cell>
        </row>
        <row r="656">
          <cell r="C656" t="str">
            <v>LA</v>
          </cell>
          <cell r="E656" t="str">
            <v>Acquisition</v>
          </cell>
          <cell r="G656" t="str">
            <v>USD</v>
          </cell>
        </row>
        <row r="657">
          <cell r="C657" t="str">
            <v>LA</v>
          </cell>
          <cell r="E657" t="str">
            <v>Refinance</v>
          </cell>
          <cell r="G657" t="str">
            <v>USD</v>
          </cell>
        </row>
        <row r="658">
          <cell r="C658" t="str">
            <v>LA</v>
          </cell>
          <cell r="E658" t="str">
            <v>Refinance Construction</v>
          </cell>
          <cell r="G658" t="str">
            <v>USD</v>
          </cell>
        </row>
        <row r="659">
          <cell r="C659" t="str">
            <v>LA</v>
          </cell>
          <cell r="E659" t="str">
            <v>Acquisition</v>
          </cell>
          <cell r="F659">
            <v>47576606.999799997</v>
          </cell>
          <cell r="G659" t="str">
            <v>USD</v>
          </cell>
        </row>
        <row r="660">
          <cell r="C660" t="str">
            <v>NY</v>
          </cell>
          <cell r="E660" t="str">
            <v>Acquisition- Construction</v>
          </cell>
          <cell r="G660" t="str">
            <v>USD</v>
          </cell>
        </row>
        <row r="661">
          <cell r="C661" t="str">
            <v>NY</v>
          </cell>
          <cell r="E661" t="str">
            <v>Acquisition</v>
          </cell>
          <cell r="G661" t="str">
            <v>USD</v>
          </cell>
        </row>
        <row r="662">
          <cell r="C662" t="str">
            <v>NY</v>
          </cell>
          <cell r="E662" t="str">
            <v>Acquisition</v>
          </cell>
          <cell r="G662" t="str">
            <v>USD</v>
          </cell>
        </row>
        <row r="663">
          <cell r="C663" t="str">
            <v>LA</v>
          </cell>
          <cell r="E663" t="str">
            <v>Acquisition</v>
          </cell>
          <cell r="G663" t="str">
            <v>USD</v>
          </cell>
        </row>
        <row r="664">
          <cell r="C664" t="str">
            <v>LA</v>
          </cell>
          <cell r="D664" t="str">
            <v>Anthony Marconi</v>
          </cell>
          <cell r="E664" t="str">
            <v>Acquisition</v>
          </cell>
          <cell r="F664">
            <v>1377559</v>
          </cell>
          <cell r="G664" t="str">
            <v>USD</v>
          </cell>
        </row>
        <row r="665">
          <cell r="C665" t="str">
            <v>NY</v>
          </cell>
          <cell r="E665" t="str">
            <v>Acquisition</v>
          </cell>
          <cell r="G665" t="str">
            <v>USD</v>
          </cell>
        </row>
        <row r="666">
          <cell r="C666" t="str">
            <v>NY</v>
          </cell>
          <cell r="E666" t="str">
            <v>Refinance Construction</v>
          </cell>
          <cell r="G666" t="str">
            <v>USD</v>
          </cell>
        </row>
        <row r="667">
          <cell r="C667" t="str">
            <v>DAL</v>
          </cell>
          <cell r="E667" t="str">
            <v>Acquisition- Construction</v>
          </cell>
          <cell r="G667" t="str">
            <v>USD</v>
          </cell>
        </row>
        <row r="668">
          <cell r="C668" t="str">
            <v>DAL</v>
          </cell>
          <cell r="E668" t="str">
            <v>Acquisition- Construction</v>
          </cell>
          <cell r="G668" t="str">
            <v>USD</v>
          </cell>
        </row>
        <row r="669">
          <cell r="C669" t="str">
            <v>NY</v>
          </cell>
          <cell r="E669" t="str">
            <v>Acquisition</v>
          </cell>
          <cell r="G669" t="str">
            <v>USD</v>
          </cell>
        </row>
        <row r="670">
          <cell r="C670" t="str">
            <v>DAL</v>
          </cell>
          <cell r="E670" t="str">
            <v>Acquisition- Construction</v>
          </cell>
          <cell r="F670">
            <v>92263571</v>
          </cell>
          <cell r="G670" t="str">
            <v>USD</v>
          </cell>
        </row>
        <row r="671">
          <cell r="C671" t="str">
            <v>DAL</v>
          </cell>
          <cell r="E671" t="str">
            <v>Acquisition</v>
          </cell>
          <cell r="G671" t="str">
            <v>USD</v>
          </cell>
        </row>
        <row r="672">
          <cell r="C672" t="str">
            <v>NY</v>
          </cell>
          <cell r="E672" t="str">
            <v>Acquisition</v>
          </cell>
          <cell r="G672" t="str">
            <v>USD</v>
          </cell>
        </row>
        <row r="673">
          <cell r="C673" t="str">
            <v>SF</v>
          </cell>
          <cell r="E673" t="str">
            <v>Acquisition</v>
          </cell>
          <cell r="G673" t="str">
            <v>USD</v>
          </cell>
        </row>
        <row r="674">
          <cell r="C674" t="str">
            <v>NY</v>
          </cell>
          <cell r="E674" t="str">
            <v>Refinance</v>
          </cell>
          <cell r="G674" t="str">
            <v>USD</v>
          </cell>
        </row>
        <row r="675">
          <cell r="C675" t="str">
            <v>NY</v>
          </cell>
          <cell r="E675" t="str">
            <v>Acquisition</v>
          </cell>
          <cell r="G675" t="str">
            <v>USD</v>
          </cell>
        </row>
        <row r="676">
          <cell r="C676" t="str">
            <v>LA</v>
          </cell>
          <cell r="E676" t="str">
            <v>Refinance</v>
          </cell>
          <cell r="G676" t="str">
            <v>USD</v>
          </cell>
        </row>
        <row r="677">
          <cell r="C677" t="str">
            <v>NY</v>
          </cell>
          <cell r="E677" t="str">
            <v>Acquisition- Construction</v>
          </cell>
          <cell r="G677" t="str">
            <v>USD</v>
          </cell>
        </row>
        <row r="678">
          <cell r="C678" t="str">
            <v>NY</v>
          </cell>
          <cell r="E678" t="str">
            <v>Refinance</v>
          </cell>
          <cell r="G678" t="str">
            <v>USD</v>
          </cell>
        </row>
        <row r="679">
          <cell r="C679" t="str">
            <v>LA</v>
          </cell>
          <cell r="E679" t="str">
            <v>Refinance</v>
          </cell>
          <cell r="G679" t="str">
            <v>USD</v>
          </cell>
        </row>
        <row r="680">
          <cell r="C680" t="str">
            <v>LA</v>
          </cell>
          <cell r="E680" t="str">
            <v>Refinance</v>
          </cell>
          <cell r="G680" t="str">
            <v>USD</v>
          </cell>
        </row>
        <row r="681">
          <cell r="C681" t="str">
            <v>LA</v>
          </cell>
          <cell r="E681" t="str">
            <v>Acquisition</v>
          </cell>
          <cell r="G681" t="str">
            <v>USD</v>
          </cell>
        </row>
        <row r="682">
          <cell r="C682" t="str">
            <v>DAL</v>
          </cell>
          <cell r="E682" t="str">
            <v>Acquisition</v>
          </cell>
          <cell r="G682" t="str">
            <v>USD</v>
          </cell>
        </row>
        <row r="683">
          <cell r="C683" t="str">
            <v>NY</v>
          </cell>
          <cell r="E683" t="str">
            <v>Acquisition</v>
          </cell>
          <cell r="G683" t="str">
            <v>USD</v>
          </cell>
        </row>
        <row r="684">
          <cell r="C684" t="str">
            <v>NY</v>
          </cell>
          <cell r="E684" t="str">
            <v>Refinance</v>
          </cell>
          <cell r="G684" t="str">
            <v>USD</v>
          </cell>
        </row>
        <row r="685">
          <cell r="C685" t="str">
            <v>NY</v>
          </cell>
          <cell r="E685" t="str">
            <v>Acquisition- Construction</v>
          </cell>
          <cell r="G685" t="str">
            <v>USD</v>
          </cell>
        </row>
        <row r="686">
          <cell r="C686" t="str">
            <v>NY</v>
          </cell>
          <cell r="E686" t="str">
            <v>Refinance</v>
          </cell>
          <cell r="G686" t="str">
            <v>USD</v>
          </cell>
        </row>
        <row r="687">
          <cell r="C687" t="str">
            <v>NY</v>
          </cell>
          <cell r="E687" t="str">
            <v>Refinance</v>
          </cell>
          <cell r="G687" t="str">
            <v>USD</v>
          </cell>
        </row>
        <row r="688">
          <cell r="C688" t="str">
            <v>NY</v>
          </cell>
          <cell r="E688" t="str">
            <v>Acquisition- Construction</v>
          </cell>
          <cell r="G688" t="str">
            <v>USD</v>
          </cell>
        </row>
        <row r="689">
          <cell r="C689" t="str">
            <v>NY</v>
          </cell>
          <cell r="E689" t="str">
            <v>Refinance</v>
          </cell>
          <cell r="G689" t="str">
            <v>USD</v>
          </cell>
        </row>
        <row r="690">
          <cell r="C690" t="str">
            <v>NY</v>
          </cell>
          <cell r="E690" t="str">
            <v>Refinance</v>
          </cell>
          <cell r="G690" t="str">
            <v>USD</v>
          </cell>
        </row>
        <row r="691">
          <cell r="C691" t="str">
            <v>NY</v>
          </cell>
          <cell r="E691" t="str">
            <v>Refinance</v>
          </cell>
          <cell r="G691" t="str">
            <v>USD</v>
          </cell>
        </row>
        <row r="692">
          <cell r="C692" t="str">
            <v>NY</v>
          </cell>
          <cell r="E692" t="str">
            <v>Acquisition- Construction</v>
          </cell>
          <cell r="G692" t="str">
            <v>USD</v>
          </cell>
        </row>
        <row r="693">
          <cell r="C693" t="str">
            <v>NY</v>
          </cell>
          <cell r="E693" t="str">
            <v>Acquisition</v>
          </cell>
          <cell r="G693" t="str">
            <v>USD</v>
          </cell>
        </row>
        <row r="694">
          <cell r="C694" t="str">
            <v>NY</v>
          </cell>
          <cell r="E694" t="str">
            <v>Refinance</v>
          </cell>
          <cell r="G694" t="str">
            <v>USD</v>
          </cell>
        </row>
        <row r="695">
          <cell r="C695" t="str">
            <v>LA</v>
          </cell>
          <cell r="E695" t="str">
            <v>Acquisition</v>
          </cell>
          <cell r="G695" t="str">
            <v>USD</v>
          </cell>
        </row>
        <row r="696">
          <cell r="C696" t="str">
            <v>LA</v>
          </cell>
          <cell r="E696" t="str">
            <v>Refinance Construction</v>
          </cell>
          <cell r="G696" t="str">
            <v>USD</v>
          </cell>
        </row>
        <row r="697">
          <cell r="C697" t="str">
            <v>LA</v>
          </cell>
          <cell r="E697" t="str">
            <v>Acquisition</v>
          </cell>
          <cell r="G697" t="str">
            <v>USD</v>
          </cell>
        </row>
        <row r="698">
          <cell r="C698" t="str">
            <v>LA</v>
          </cell>
          <cell r="E698" t="str">
            <v>Refinance</v>
          </cell>
          <cell r="G698" t="str">
            <v>USD</v>
          </cell>
        </row>
        <row r="699">
          <cell r="C699" t="str">
            <v>NY</v>
          </cell>
          <cell r="E699" t="str">
            <v>Refinance</v>
          </cell>
          <cell r="G699" t="str">
            <v>USD</v>
          </cell>
        </row>
        <row r="700">
          <cell r="C700" t="str">
            <v>NY</v>
          </cell>
          <cell r="E700" t="str">
            <v>Refinance</v>
          </cell>
          <cell r="G700" t="str">
            <v>USD</v>
          </cell>
        </row>
        <row r="701">
          <cell r="C701" t="str">
            <v>LA</v>
          </cell>
          <cell r="E701" t="str">
            <v>Acquisition</v>
          </cell>
          <cell r="G701" t="str">
            <v>USD</v>
          </cell>
        </row>
        <row r="702">
          <cell r="C702" t="str">
            <v>NY</v>
          </cell>
          <cell r="E702" t="str">
            <v>Acquisition</v>
          </cell>
          <cell r="G702" t="str">
            <v>USD</v>
          </cell>
        </row>
        <row r="703">
          <cell r="C703" t="str">
            <v>NY</v>
          </cell>
          <cell r="E703" t="str">
            <v>Acquisition</v>
          </cell>
          <cell r="G703" t="str">
            <v>USD</v>
          </cell>
        </row>
        <row r="704">
          <cell r="C704" t="str">
            <v>NY</v>
          </cell>
          <cell r="E704" t="str">
            <v>Acquisition</v>
          </cell>
          <cell r="G704" t="str">
            <v>USD</v>
          </cell>
        </row>
        <row r="705">
          <cell r="C705" t="str">
            <v>NY</v>
          </cell>
          <cell r="E705" t="str">
            <v>Refinance Construction</v>
          </cell>
          <cell r="G705" t="str">
            <v>USD</v>
          </cell>
        </row>
        <row r="706">
          <cell r="C706" t="str">
            <v>LA</v>
          </cell>
          <cell r="E706" t="str">
            <v>Refinance</v>
          </cell>
          <cell r="G706" t="str">
            <v>USD</v>
          </cell>
        </row>
        <row r="707">
          <cell r="C707" t="str">
            <v>DAL</v>
          </cell>
          <cell r="E707" t="str">
            <v>Acquisition</v>
          </cell>
          <cell r="G707" t="str">
            <v>USD</v>
          </cell>
        </row>
        <row r="708">
          <cell r="C708" t="str">
            <v>DAL</v>
          </cell>
          <cell r="E708" t="str">
            <v>Refinance- Cash Out</v>
          </cell>
          <cell r="G708" t="str">
            <v>USD</v>
          </cell>
        </row>
        <row r="709">
          <cell r="C709" t="str">
            <v>DAL</v>
          </cell>
          <cell r="E709" t="str">
            <v>Acquisition</v>
          </cell>
          <cell r="G709" t="str">
            <v>USD</v>
          </cell>
        </row>
        <row r="710">
          <cell r="C710" t="str">
            <v>LA</v>
          </cell>
          <cell r="E710" t="str">
            <v>Acquisition- Construction</v>
          </cell>
          <cell r="G710" t="str">
            <v>USD</v>
          </cell>
        </row>
        <row r="711">
          <cell r="C711" t="str">
            <v>NY</v>
          </cell>
          <cell r="E711" t="str">
            <v>Acquisition</v>
          </cell>
          <cell r="G711" t="str">
            <v>USD</v>
          </cell>
        </row>
        <row r="712">
          <cell r="C712" t="str">
            <v>LA</v>
          </cell>
          <cell r="E712" t="str">
            <v>Acquisition</v>
          </cell>
          <cell r="G712" t="str">
            <v>USD</v>
          </cell>
        </row>
        <row r="713">
          <cell r="C713" t="str">
            <v>NY</v>
          </cell>
          <cell r="E713" t="str">
            <v>Refinance</v>
          </cell>
          <cell r="G713" t="str">
            <v>USD</v>
          </cell>
        </row>
        <row r="714">
          <cell r="C714" t="str">
            <v>NY</v>
          </cell>
          <cell r="E714" t="str">
            <v>Acquisition- Construction</v>
          </cell>
          <cell r="G714" t="str">
            <v>USD</v>
          </cell>
        </row>
        <row r="715">
          <cell r="C715" t="str">
            <v>NY</v>
          </cell>
          <cell r="E715" t="str">
            <v>Acquisition</v>
          </cell>
          <cell r="G715" t="str">
            <v>USD</v>
          </cell>
        </row>
        <row r="716">
          <cell r="C716" t="str">
            <v>NY</v>
          </cell>
          <cell r="E716" t="str">
            <v>Acquisition</v>
          </cell>
          <cell r="G716" t="str">
            <v>USD</v>
          </cell>
        </row>
        <row r="717">
          <cell r="C717" t="str">
            <v>LA</v>
          </cell>
          <cell r="E717" t="str">
            <v>Refinance Construction</v>
          </cell>
          <cell r="G717" t="str">
            <v>USD</v>
          </cell>
        </row>
        <row r="718">
          <cell r="C718" t="str">
            <v>NY</v>
          </cell>
          <cell r="E718" t="str">
            <v>Acquisition- Construction</v>
          </cell>
          <cell r="G718" t="str">
            <v>USD</v>
          </cell>
        </row>
        <row r="719">
          <cell r="C719" t="str">
            <v>NY</v>
          </cell>
          <cell r="E719" t="str">
            <v>Refinance- Cash Out</v>
          </cell>
          <cell r="G719" t="str">
            <v>USD</v>
          </cell>
        </row>
        <row r="720">
          <cell r="C720" t="str">
            <v>DAL</v>
          </cell>
          <cell r="E720" t="str">
            <v>Refinance</v>
          </cell>
          <cell r="G720" t="str">
            <v>USD</v>
          </cell>
        </row>
        <row r="721">
          <cell r="C721" t="str">
            <v>DAL</v>
          </cell>
          <cell r="E721" t="str">
            <v>Refinance</v>
          </cell>
          <cell r="G721" t="str">
            <v>USD</v>
          </cell>
        </row>
        <row r="722">
          <cell r="C722" t="str">
            <v>LA</v>
          </cell>
          <cell r="E722" t="str">
            <v>Acquisition</v>
          </cell>
          <cell r="G722" t="str">
            <v>USD</v>
          </cell>
        </row>
        <row r="723">
          <cell r="C723" t="str">
            <v>LA</v>
          </cell>
          <cell r="E723" t="str">
            <v>Refinance</v>
          </cell>
          <cell r="G723" t="str">
            <v>USD</v>
          </cell>
        </row>
        <row r="724">
          <cell r="C724" t="str">
            <v>LA</v>
          </cell>
          <cell r="E724" t="str">
            <v>Acquisition</v>
          </cell>
          <cell r="G724" t="str">
            <v>USD</v>
          </cell>
        </row>
        <row r="725">
          <cell r="C725" t="str">
            <v>LA</v>
          </cell>
          <cell r="E725" t="str">
            <v>Acquisition</v>
          </cell>
          <cell r="G725" t="str">
            <v>USD</v>
          </cell>
        </row>
        <row r="726">
          <cell r="C726" t="str">
            <v>LA</v>
          </cell>
          <cell r="D726" t="str">
            <v>Joe George</v>
          </cell>
          <cell r="E726" t="str">
            <v>Refinance</v>
          </cell>
          <cell r="G726" t="str">
            <v>USD</v>
          </cell>
        </row>
        <row r="727">
          <cell r="C727" t="str">
            <v>NY</v>
          </cell>
          <cell r="E727" t="str">
            <v>Acquisition</v>
          </cell>
          <cell r="G727" t="str">
            <v>USD</v>
          </cell>
        </row>
        <row r="728">
          <cell r="C728" t="str">
            <v>NY</v>
          </cell>
          <cell r="E728" t="str">
            <v>Refinance</v>
          </cell>
          <cell r="G728" t="str">
            <v>USD</v>
          </cell>
        </row>
        <row r="729">
          <cell r="C729" t="str">
            <v>NY</v>
          </cell>
          <cell r="E729" t="str">
            <v>Refinance</v>
          </cell>
          <cell r="G729" t="str">
            <v>USD</v>
          </cell>
        </row>
        <row r="730">
          <cell r="C730" t="str">
            <v>LA</v>
          </cell>
          <cell r="E730" t="str">
            <v xml:space="preserve">Bridge </v>
          </cell>
          <cell r="G730" t="str">
            <v>USD</v>
          </cell>
        </row>
        <row r="731">
          <cell r="C731" t="str">
            <v>NY</v>
          </cell>
          <cell r="E731" t="str">
            <v>Refinance</v>
          </cell>
          <cell r="G731" t="str">
            <v>USD</v>
          </cell>
        </row>
        <row r="732">
          <cell r="C732" t="str">
            <v>LA</v>
          </cell>
          <cell r="E732" t="str">
            <v>Refinance Construction</v>
          </cell>
          <cell r="G732" t="str">
            <v>USD</v>
          </cell>
        </row>
        <row r="733">
          <cell r="C733" t="str">
            <v>DAL</v>
          </cell>
          <cell r="E733" t="str">
            <v>Acquisition</v>
          </cell>
          <cell r="G733" t="str">
            <v>USD</v>
          </cell>
        </row>
        <row r="734">
          <cell r="C734" t="str">
            <v>DAL</v>
          </cell>
          <cell r="E734" t="str">
            <v>Acquisition</v>
          </cell>
          <cell r="G734" t="str">
            <v>USD</v>
          </cell>
        </row>
        <row r="735">
          <cell r="C735" t="str">
            <v>NY</v>
          </cell>
          <cell r="E735" t="str">
            <v>Acquisition</v>
          </cell>
          <cell r="G735" t="str">
            <v>USD</v>
          </cell>
        </row>
        <row r="736">
          <cell r="C736" t="str">
            <v>NY</v>
          </cell>
          <cell r="E736" t="str">
            <v>Acquisition</v>
          </cell>
          <cell r="G736" t="str">
            <v>USD</v>
          </cell>
        </row>
        <row r="737">
          <cell r="C737" t="str">
            <v>DAL</v>
          </cell>
          <cell r="E737" t="str">
            <v>Acquisition</v>
          </cell>
          <cell r="G737" t="str">
            <v>USD</v>
          </cell>
        </row>
        <row r="738">
          <cell r="C738" t="str">
            <v>NY</v>
          </cell>
          <cell r="E738" t="str">
            <v>Acquisition</v>
          </cell>
          <cell r="G738" t="str">
            <v>USD</v>
          </cell>
        </row>
        <row r="739">
          <cell r="C739" t="str">
            <v>NY</v>
          </cell>
          <cell r="E739" t="str">
            <v>Acquisition</v>
          </cell>
          <cell r="G739" t="str">
            <v>USD</v>
          </cell>
        </row>
        <row r="740">
          <cell r="C740" t="str">
            <v>DAL</v>
          </cell>
          <cell r="E740" t="str">
            <v>Acquisition</v>
          </cell>
          <cell r="G740" t="str">
            <v>USD</v>
          </cell>
        </row>
        <row r="741">
          <cell r="C741" t="str">
            <v>DAL</v>
          </cell>
          <cell r="E741" t="str">
            <v>Acquisition</v>
          </cell>
          <cell r="G741" t="str">
            <v>USD</v>
          </cell>
        </row>
        <row r="742">
          <cell r="C742" t="str">
            <v>DAL</v>
          </cell>
          <cell r="E742" t="str">
            <v>Acquisition</v>
          </cell>
          <cell r="G742" t="str">
            <v>USD</v>
          </cell>
        </row>
        <row r="743">
          <cell r="C743" t="str">
            <v>DAL</v>
          </cell>
          <cell r="E743" t="str">
            <v>Acquisition</v>
          </cell>
          <cell r="G743" t="str">
            <v>USD</v>
          </cell>
        </row>
        <row r="744">
          <cell r="C744" t="str">
            <v>NY</v>
          </cell>
          <cell r="E744" t="str">
            <v>Acquisition</v>
          </cell>
          <cell r="G744" t="str">
            <v>USD</v>
          </cell>
        </row>
        <row r="745">
          <cell r="C745" t="str">
            <v>NY</v>
          </cell>
          <cell r="E745" t="str">
            <v>Acquisition</v>
          </cell>
          <cell r="G745" t="str">
            <v>USD</v>
          </cell>
        </row>
        <row r="746">
          <cell r="C746" t="str">
            <v>LA</v>
          </cell>
          <cell r="E746" t="str">
            <v>Acquisition- Construction</v>
          </cell>
          <cell r="G746" t="str">
            <v>USD</v>
          </cell>
        </row>
        <row r="747">
          <cell r="C747" t="str">
            <v>DAL</v>
          </cell>
          <cell r="E747" t="str">
            <v>Acquisition</v>
          </cell>
          <cell r="G747" t="str">
            <v>USD</v>
          </cell>
        </row>
        <row r="748">
          <cell r="C748" t="str">
            <v>NY</v>
          </cell>
          <cell r="E748" t="str">
            <v>Refinance</v>
          </cell>
          <cell r="G748" t="str">
            <v>USD</v>
          </cell>
        </row>
        <row r="749">
          <cell r="C749" t="str">
            <v>NY</v>
          </cell>
          <cell r="E749" t="str">
            <v>Refinance</v>
          </cell>
          <cell r="G749" t="str">
            <v>USD</v>
          </cell>
        </row>
        <row r="750">
          <cell r="C750" t="str">
            <v>NY</v>
          </cell>
          <cell r="E750" t="str">
            <v>Refinance</v>
          </cell>
          <cell r="G750" t="str">
            <v>USD</v>
          </cell>
        </row>
        <row r="751">
          <cell r="C751" t="str">
            <v>NY</v>
          </cell>
          <cell r="E751" t="str">
            <v>Acquisition</v>
          </cell>
          <cell r="G751" t="str">
            <v>USD</v>
          </cell>
        </row>
        <row r="752">
          <cell r="C752" t="str">
            <v>NY</v>
          </cell>
          <cell r="E752" t="str">
            <v>Refinance</v>
          </cell>
          <cell r="G752" t="str">
            <v>USD</v>
          </cell>
        </row>
        <row r="753">
          <cell r="C753" t="str">
            <v>NY</v>
          </cell>
          <cell r="E753" t="str">
            <v xml:space="preserve">Bridge </v>
          </cell>
          <cell r="G753" t="str">
            <v>USD</v>
          </cell>
        </row>
        <row r="754">
          <cell r="C754" t="str">
            <v>NY</v>
          </cell>
          <cell r="E754" t="str">
            <v>Acquisition</v>
          </cell>
          <cell r="G754" t="str">
            <v>USD</v>
          </cell>
        </row>
        <row r="755">
          <cell r="C755" t="str">
            <v>LA</v>
          </cell>
          <cell r="E755" t="str">
            <v>Acquisition</v>
          </cell>
          <cell r="G755" t="str">
            <v>USD</v>
          </cell>
        </row>
        <row r="756">
          <cell r="C756" t="str">
            <v>LA</v>
          </cell>
          <cell r="E756" t="str">
            <v>Refinance</v>
          </cell>
          <cell r="F756">
            <v>17086293.920000002</v>
          </cell>
          <cell r="G756" t="str">
            <v>USD</v>
          </cell>
        </row>
        <row r="757">
          <cell r="C757" t="str">
            <v>NY</v>
          </cell>
          <cell r="E757" t="str">
            <v>Acquisition</v>
          </cell>
          <cell r="F757">
            <v>3150000</v>
          </cell>
          <cell r="G757" t="str">
            <v>USD</v>
          </cell>
        </row>
        <row r="758">
          <cell r="C758" t="str">
            <v>DAL</v>
          </cell>
          <cell r="E758" t="str">
            <v>Acquisition</v>
          </cell>
          <cell r="G758" t="str">
            <v>USD</v>
          </cell>
        </row>
        <row r="759">
          <cell r="C759" t="str">
            <v>LA</v>
          </cell>
          <cell r="E759" t="str">
            <v>Acquisition- Construction</v>
          </cell>
          <cell r="G759" t="str">
            <v>USD</v>
          </cell>
        </row>
        <row r="760">
          <cell r="C760" t="str">
            <v>NY</v>
          </cell>
          <cell r="E760" t="str">
            <v>Refinance</v>
          </cell>
          <cell r="G760" t="str">
            <v>USD</v>
          </cell>
        </row>
        <row r="761">
          <cell r="C761" t="str">
            <v>NY</v>
          </cell>
          <cell r="E761" t="str">
            <v>Acquisition</v>
          </cell>
          <cell r="G761" t="str">
            <v>USD</v>
          </cell>
        </row>
        <row r="762">
          <cell r="C762" t="str">
            <v>DAL</v>
          </cell>
          <cell r="E762" t="str">
            <v>Acquisition</v>
          </cell>
          <cell r="G762" t="str">
            <v>USD</v>
          </cell>
        </row>
        <row r="763">
          <cell r="C763" t="str">
            <v>LA</v>
          </cell>
          <cell r="E763" t="str">
            <v>Acquisition</v>
          </cell>
          <cell r="G763" t="str">
            <v>USD</v>
          </cell>
        </row>
        <row r="764">
          <cell r="C764" t="str">
            <v>NY</v>
          </cell>
          <cell r="E764" t="str">
            <v>Acquisition</v>
          </cell>
          <cell r="G764" t="str">
            <v>USD</v>
          </cell>
        </row>
        <row r="765">
          <cell r="C765" t="str">
            <v>NY</v>
          </cell>
          <cell r="E765" t="str">
            <v>Acquisition</v>
          </cell>
          <cell r="G765" t="str">
            <v>USD</v>
          </cell>
        </row>
        <row r="766">
          <cell r="C766" t="str">
            <v>NY</v>
          </cell>
          <cell r="E766" t="str">
            <v>Refinance</v>
          </cell>
          <cell r="G766" t="str">
            <v>USD</v>
          </cell>
        </row>
        <row r="767">
          <cell r="C767" t="str">
            <v>NY</v>
          </cell>
          <cell r="E767" t="str">
            <v>Refinance</v>
          </cell>
          <cell r="G767" t="str">
            <v>USD</v>
          </cell>
        </row>
        <row r="768">
          <cell r="C768" t="str">
            <v>NY</v>
          </cell>
          <cell r="E768" t="str">
            <v>Acquisition</v>
          </cell>
          <cell r="G768" t="str">
            <v>USD</v>
          </cell>
        </row>
        <row r="769">
          <cell r="C769" t="str">
            <v>NY</v>
          </cell>
          <cell r="E769" t="str">
            <v>Acquisition</v>
          </cell>
          <cell r="G769" t="str">
            <v>USD</v>
          </cell>
        </row>
        <row r="770">
          <cell r="C770" t="str">
            <v>NY</v>
          </cell>
          <cell r="E770" t="str">
            <v>Acquisition- Construction</v>
          </cell>
          <cell r="G770" t="str">
            <v>USD</v>
          </cell>
        </row>
        <row r="771">
          <cell r="C771" t="str">
            <v>LA</v>
          </cell>
          <cell r="E771" t="str">
            <v>Acquisition</v>
          </cell>
          <cell r="G771" t="str">
            <v>USD</v>
          </cell>
        </row>
        <row r="772">
          <cell r="C772" t="str">
            <v>NY</v>
          </cell>
          <cell r="E772" t="str">
            <v>Refinance- No Cash Out</v>
          </cell>
          <cell r="G772" t="str">
            <v>USD</v>
          </cell>
        </row>
        <row r="773">
          <cell r="C773" t="str">
            <v>NY</v>
          </cell>
          <cell r="E773" t="str">
            <v>Refinance</v>
          </cell>
          <cell r="G773" t="str">
            <v>USD</v>
          </cell>
        </row>
        <row r="774">
          <cell r="C774" t="str">
            <v>NY</v>
          </cell>
          <cell r="E774" t="str">
            <v>Acquisition</v>
          </cell>
          <cell r="G774" t="str">
            <v>USD</v>
          </cell>
        </row>
        <row r="775">
          <cell r="C775" t="str">
            <v>NY</v>
          </cell>
          <cell r="E775" t="str">
            <v>Refinance</v>
          </cell>
          <cell r="G775" t="str">
            <v>USD</v>
          </cell>
        </row>
        <row r="776">
          <cell r="C776" t="str">
            <v>NY</v>
          </cell>
          <cell r="E776" t="str">
            <v>Refinance</v>
          </cell>
          <cell r="G776" t="str">
            <v>USD</v>
          </cell>
        </row>
        <row r="777">
          <cell r="C777" t="str">
            <v>NY</v>
          </cell>
          <cell r="E777" t="str">
            <v>Acquisition</v>
          </cell>
          <cell r="G777" t="str">
            <v>USD</v>
          </cell>
        </row>
        <row r="778">
          <cell r="C778" t="str">
            <v>DAL</v>
          </cell>
          <cell r="E778" t="str">
            <v>Refinance</v>
          </cell>
          <cell r="G778" t="str">
            <v>USD</v>
          </cell>
        </row>
        <row r="779">
          <cell r="C779" t="str">
            <v>DAL</v>
          </cell>
          <cell r="E779" t="str">
            <v>Acquisition</v>
          </cell>
          <cell r="G779" t="str">
            <v>USD</v>
          </cell>
        </row>
        <row r="780">
          <cell r="C780" t="str">
            <v>NY</v>
          </cell>
          <cell r="E780" t="str">
            <v>Refinance</v>
          </cell>
          <cell r="G780" t="str">
            <v>USD</v>
          </cell>
        </row>
        <row r="781">
          <cell r="C781" t="str">
            <v>NY</v>
          </cell>
          <cell r="E781" t="str">
            <v>Refinance</v>
          </cell>
          <cell r="G781" t="str">
            <v>USD</v>
          </cell>
        </row>
        <row r="782">
          <cell r="C782" t="str">
            <v>DAL</v>
          </cell>
          <cell r="E782" t="str">
            <v>Acquisition- Construction</v>
          </cell>
          <cell r="G782" t="str">
            <v>USD</v>
          </cell>
        </row>
        <row r="783">
          <cell r="C783" t="str">
            <v>NY</v>
          </cell>
          <cell r="E783" t="str">
            <v>Acquisition</v>
          </cell>
          <cell r="G783" t="str">
            <v>USD</v>
          </cell>
        </row>
        <row r="784">
          <cell r="C784" t="str">
            <v>LA</v>
          </cell>
          <cell r="E784" t="str">
            <v>Refinance</v>
          </cell>
          <cell r="G784" t="str">
            <v>USD</v>
          </cell>
        </row>
        <row r="785">
          <cell r="C785" t="str">
            <v>LA</v>
          </cell>
          <cell r="E785" t="str">
            <v>Refinance Construction</v>
          </cell>
          <cell r="G785" t="str">
            <v>USD</v>
          </cell>
        </row>
        <row r="786">
          <cell r="C786" t="str">
            <v>NY</v>
          </cell>
          <cell r="E786" t="str">
            <v>Acquisition- Construction</v>
          </cell>
          <cell r="G786" t="str">
            <v>USD</v>
          </cell>
        </row>
        <row r="787">
          <cell r="C787" t="str">
            <v>NY</v>
          </cell>
          <cell r="E787" t="str">
            <v>Acquisition</v>
          </cell>
          <cell r="G787" t="str">
            <v>USD</v>
          </cell>
        </row>
        <row r="788">
          <cell r="C788" t="str">
            <v>NY</v>
          </cell>
          <cell r="E788" t="str">
            <v>Refinance</v>
          </cell>
          <cell r="G788" t="str">
            <v>USD</v>
          </cell>
        </row>
        <row r="789">
          <cell r="C789" t="str">
            <v>LA</v>
          </cell>
          <cell r="E789" t="str">
            <v>Refinance</v>
          </cell>
          <cell r="G789" t="str">
            <v>USD</v>
          </cell>
        </row>
        <row r="790">
          <cell r="C790" t="str">
            <v>NY</v>
          </cell>
          <cell r="E790" t="str">
            <v>Acquisition- Construction</v>
          </cell>
          <cell r="G790" t="str">
            <v>USD</v>
          </cell>
        </row>
        <row r="791">
          <cell r="C791" t="str">
            <v>NY</v>
          </cell>
          <cell r="E791" t="str">
            <v>Acquisition</v>
          </cell>
          <cell r="G791" t="str">
            <v>USD</v>
          </cell>
        </row>
        <row r="792">
          <cell r="C792" t="str">
            <v>NY</v>
          </cell>
          <cell r="E792" t="str">
            <v>Acquisition</v>
          </cell>
          <cell r="G792" t="str">
            <v>USD</v>
          </cell>
        </row>
        <row r="793">
          <cell r="C793" t="str">
            <v>NY</v>
          </cell>
          <cell r="E793" t="str">
            <v>Acquisition- Construction</v>
          </cell>
          <cell r="G793" t="str">
            <v>USD</v>
          </cell>
        </row>
        <row r="794">
          <cell r="C794" t="str">
            <v>NY</v>
          </cell>
          <cell r="E794" t="str">
            <v>Acquisition</v>
          </cell>
          <cell r="G794" t="str">
            <v>USD</v>
          </cell>
        </row>
        <row r="795">
          <cell r="C795" t="str">
            <v>DAL</v>
          </cell>
          <cell r="E795" t="str">
            <v>Acquisition</v>
          </cell>
          <cell r="G795" t="str">
            <v>USD</v>
          </cell>
        </row>
        <row r="796">
          <cell r="C796" t="str">
            <v>LA</v>
          </cell>
          <cell r="E796" t="str">
            <v>Acquisition- Construction</v>
          </cell>
          <cell r="G796" t="str">
            <v>USD</v>
          </cell>
        </row>
        <row r="797">
          <cell r="C797" t="str">
            <v>LA</v>
          </cell>
          <cell r="E797" t="str">
            <v>Acquisition</v>
          </cell>
          <cell r="G797" t="str">
            <v>USD</v>
          </cell>
        </row>
        <row r="798">
          <cell r="C798" t="str">
            <v>LA</v>
          </cell>
          <cell r="E798" t="str">
            <v>Acquisition</v>
          </cell>
          <cell r="G798" t="str">
            <v>USD</v>
          </cell>
        </row>
        <row r="799">
          <cell r="C799" t="str">
            <v>DAL</v>
          </cell>
          <cell r="E799" t="str">
            <v>Refinance- No Cash Out</v>
          </cell>
          <cell r="G799" t="str">
            <v>USD</v>
          </cell>
        </row>
        <row r="800">
          <cell r="C800" t="str">
            <v>DAL</v>
          </cell>
          <cell r="E800" t="str">
            <v>Acquisition- Construction</v>
          </cell>
          <cell r="G800" t="str">
            <v>USD</v>
          </cell>
        </row>
        <row r="801">
          <cell r="C801" t="str">
            <v>DAL</v>
          </cell>
          <cell r="E801" t="str">
            <v>Acquisition</v>
          </cell>
          <cell r="G801" t="str">
            <v>USD</v>
          </cell>
        </row>
        <row r="802">
          <cell r="C802" t="str">
            <v>LA</v>
          </cell>
          <cell r="E802" t="str">
            <v>Refinance Construction</v>
          </cell>
          <cell r="G802" t="str">
            <v>USD</v>
          </cell>
        </row>
        <row r="803">
          <cell r="C803" t="str">
            <v>LA</v>
          </cell>
          <cell r="E803" t="str">
            <v>Refinance</v>
          </cell>
          <cell r="G803" t="str">
            <v>USD</v>
          </cell>
        </row>
        <row r="804">
          <cell r="C804" t="str">
            <v>NY</v>
          </cell>
          <cell r="E804" t="str">
            <v>Acquisition- Construction</v>
          </cell>
          <cell r="G804" t="str">
            <v>USD</v>
          </cell>
        </row>
        <row r="805">
          <cell r="C805" t="str">
            <v>LA</v>
          </cell>
          <cell r="G805" t="str">
            <v>USD</v>
          </cell>
        </row>
        <row r="806">
          <cell r="C806" t="str">
            <v>LA</v>
          </cell>
          <cell r="E806" t="str">
            <v>Acquisition- Construction</v>
          </cell>
          <cell r="G806" t="str">
            <v>USD</v>
          </cell>
        </row>
        <row r="807">
          <cell r="C807" t="str">
            <v>NY</v>
          </cell>
          <cell r="E807" t="str">
            <v>Refinance</v>
          </cell>
          <cell r="F807">
            <v>5000000</v>
          </cell>
          <cell r="G807" t="str">
            <v>USD</v>
          </cell>
        </row>
        <row r="808">
          <cell r="C808" t="str">
            <v>LA</v>
          </cell>
          <cell r="E808" t="str">
            <v>Refinance</v>
          </cell>
          <cell r="G808" t="str">
            <v>USD</v>
          </cell>
        </row>
        <row r="809">
          <cell r="C809" t="str">
            <v>NY</v>
          </cell>
          <cell r="E809" t="str">
            <v>Acquisition</v>
          </cell>
          <cell r="G809" t="str">
            <v>USD</v>
          </cell>
        </row>
        <row r="810">
          <cell r="C810" t="str">
            <v>NY</v>
          </cell>
          <cell r="G810" t="str">
            <v>USD</v>
          </cell>
        </row>
        <row r="811">
          <cell r="C811" t="str">
            <v>NY</v>
          </cell>
          <cell r="E811" t="str">
            <v>Acquisition</v>
          </cell>
          <cell r="G811" t="str">
            <v>USD</v>
          </cell>
        </row>
        <row r="812">
          <cell r="C812" t="str">
            <v>NY</v>
          </cell>
          <cell r="E812" t="str">
            <v>Acquisition- Construction</v>
          </cell>
          <cell r="G812" t="str">
            <v>USD</v>
          </cell>
        </row>
        <row r="813">
          <cell r="C813" t="str">
            <v>LA</v>
          </cell>
          <cell r="E813" t="str">
            <v xml:space="preserve">Bridge </v>
          </cell>
          <cell r="G813" t="str">
            <v>USD</v>
          </cell>
        </row>
        <row r="814">
          <cell r="C814" t="str">
            <v>NY</v>
          </cell>
          <cell r="E814" t="str">
            <v>Refinance</v>
          </cell>
          <cell r="G814" t="str">
            <v>USD</v>
          </cell>
        </row>
        <row r="815">
          <cell r="C815" t="str">
            <v>NY</v>
          </cell>
          <cell r="E815" t="str">
            <v>Acquisition</v>
          </cell>
          <cell r="G815" t="str">
            <v>USD</v>
          </cell>
        </row>
        <row r="816">
          <cell r="C816" t="str">
            <v>NY</v>
          </cell>
          <cell r="E816" t="str">
            <v xml:space="preserve">Bridge </v>
          </cell>
          <cell r="G816" t="str">
            <v>USD</v>
          </cell>
        </row>
        <row r="817">
          <cell r="C817" t="str">
            <v>NY</v>
          </cell>
          <cell r="E817" t="str">
            <v>Acquisition</v>
          </cell>
          <cell r="G817" t="str">
            <v>USD</v>
          </cell>
        </row>
        <row r="818">
          <cell r="C818" t="str">
            <v>NY</v>
          </cell>
          <cell r="E818" t="str">
            <v>Acquisition- Construction</v>
          </cell>
          <cell r="G818" t="str">
            <v>USD</v>
          </cell>
        </row>
        <row r="819">
          <cell r="C819" t="str">
            <v>NY</v>
          </cell>
          <cell r="E819" t="str">
            <v>Acquisition</v>
          </cell>
          <cell r="F819">
            <v>15000000</v>
          </cell>
          <cell r="G819" t="str">
            <v>USD</v>
          </cell>
        </row>
        <row r="820">
          <cell r="C820" t="str">
            <v>NY</v>
          </cell>
          <cell r="E820" t="str">
            <v>Refinance</v>
          </cell>
          <cell r="G820" t="str">
            <v>USD</v>
          </cell>
        </row>
        <row r="821">
          <cell r="C821" t="str">
            <v>NY</v>
          </cell>
          <cell r="E821" t="str">
            <v>Refinance</v>
          </cell>
          <cell r="G821" t="str">
            <v>USD</v>
          </cell>
        </row>
        <row r="822">
          <cell r="C822" t="str">
            <v>NY</v>
          </cell>
          <cell r="E822" t="str">
            <v>Acquisition</v>
          </cell>
          <cell r="G822" t="str">
            <v>USD</v>
          </cell>
        </row>
        <row r="823">
          <cell r="C823" t="str">
            <v>NY</v>
          </cell>
          <cell r="E823" t="str">
            <v>Acquisition</v>
          </cell>
          <cell r="G823" t="str">
            <v>USD</v>
          </cell>
        </row>
        <row r="824">
          <cell r="C824" t="str">
            <v>LA</v>
          </cell>
          <cell r="E824" t="str">
            <v>Acquisition- Construction</v>
          </cell>
          <cell r="G824" t="str">
            <v>USD</v>
          </cell>
        </row>
        <row r="825">
          <cell r="C825" t="str">
            <v>LA</v>
          </cell>
          <cell r="E825" t="str">
            <v>Refinance Construction</v>
          </cell>
          <cell r="G825" t="str">
            <v>USD</v>
          </cell>
        </row>
        <row r="826">
          <cell r="C826" t="str">
            <v>LA</v>
          </cell>
          <cell r="E826" t="str">
            <v>Acquisition</v>
          </cell>
          <cell r="G826" t="str">
            <v>USD</v>
          </cell>
        </row>
        <row r="827">
          <cell r="C827" t="str">
            <v>LA</v>
          </cell>
          <cell r="E827" t="str">
            <v>Refinance</v>
          </cell>
          <cell r="G827" t="str">
            <v>USD</v>
          </cell>
        </row>
        <row r="828">
          <cell r="C828" t="str">
            <v>NY</v>
          </cell>
          <cell r="E828" t="str">
            <v>Acquisition- Construction</v>
          </cell>
          <cell r="G828" t="str">
            <v>USD</v>
          </cell>
        </row>
        <row r="829">
          <cell r="C829" t="str">
            <v>NY</v>
          </cell>
          <cell r="E829" t="str">
            <v>Refinance</v>
          </cell>
          <cell r="G829" t="str">
            <v>USD</v>
          </cell>
        </row>
        <row r="830">
          <cell r="C830" t="str">
            <v>NY</v>
          </cell>
          <cell r="E830" t="str">
            <v>Acquisition</v>
          </cell>
          <cell r="G830" t="str">
            <v>USD</v>
          </cell>
        </row>
        <row r="831">
          <cell r="C831" t="str">
            <v>NY</v>
          </cell>
          <cell r="E831" t="str">
            <v>Acquisition</v>
          </cell>
          <cell r="G831" t="str">
            <v>USD</v>
          </cell>
        </row>
        <row r="832">
          <cell r="C832" t="str">
            <v>NY</v>
          </cell>
          <cell r="E832" t="str">
            <v>Acquisition</v>
          </cell>
          <cell r="G832" t="str">
            <v>USD</v>
          </cell>
        </row>
        <row r="833">
          <cell r="C833" t="str">
            <v>DAL</v>
          </cell>
          <cell r="E833" t="str">
            <v>Refinance</v>
          </cell>
          <cell r="G833" t="str">
            <v>USD</v>
          </cell>
        </row>
        <row r="834">
          <cell r="C834" t="str">
            <v>DAL</v>
          </cell>
          <cell r="E834" t="str">
            <v>Acquisition</v>
          </cell>
          <cell r="G834" t="str">
            <v>USD</v>
          </cell>
        </row>
        <row r="835">
          <cell r="C835" t="str">
            <v>LA</v>
          </cell>
          <cell r="E835" t="str">
            <v>Acquisition</v>
          </cell>
          <cell r="G835" t="str">
            <v>USD</v>
          </cell>
        </row>
        <row r="836">
          <cell r="C836" t="str">
            <v>DAL</v>
          </cell>
          <cell r="E836" t="str">
            <v>Refinance</v>
          </cell>
          <cell r="G836" t="str">
            <v>USD</v>
          </cell>
        </row>
        <row r="837">
          <cell r="C837" t="str">
            <v>NY</v>
          </cell>
          <cell r="E837" t="str">
            <v>Acquisition</v>
          </cell>
          <cell r="G837" t="str">
            <v>USD</v>
          </cell>
        </row>
        <row r="838">
          <cell r="C838" t="str">
            <v>NY</v>
          </cell>
          <cell r="E838" t="str">
            <v>Acquisition</v>
          </cell>
          <cell r="G838" t="str">
            <v>USD</v>
          </cell>
        </row>
        <row r="839">
          <cell r="C839" t="str">
            <v>NY</v>
          </cell>
          <cell r="E839" t="str">
            <v>Refinance</v>
          </cell>
          <cell r="G839" t="str">
            <v>USD</v>
          </cell>
        </row>
        <row r="840">
          <cell r="C840" t="str">
            <v>NY</v>
          </cell>
          <cell r="E840" t="str">
            <v>Refinance</v>
          </cell>
          <cell r="G840" t="str">
            <v>USD</v>
          </cell>
        </row>
        <row r="841">
          <cell r="C841" t="str">
            <v>NY</v>
          </cell>
          <cell r="E841" t="str">
            <v>Acquisition- Construction</v>
          </cell>
          <cell r="G841" t="str">
            <v>USD</v>
          </cell>
        </row>
        <row r="842">
          <cell r="C842" t="str">
            <v>NY</v>
          </cell>
          <cell r="E842" t="str">
            <v xml:space="preserve">Bridge </v>
          </cell>
          <cell r="G842" t="str">
            <v>USD</v>
          </cell>
        </row>
        <row r="843">
          <cell r="C843" t="str">
            <v>NY</v>
          </cell>
          <cell r="E843" t="str">
            <v>Acquisition</v>
          </cell>
          <cell r="G843" t="str">
            <v>USD</v>
          </cell>
        </row>
        <row r="844">
          <cell r="C844" t="str">
            <v>NY</v>
          </cell>
          <cell r="E844" t="str">
            <v>Refinance</v>
          </cell>
          <cell r="G844" t="str">
            <v>USD</v>
          </cell>
        </row>
        <row r="845">
          <cell r="C845" t="str">
            <v>LA</v>
          </cell>
          <cell r="E845" t="str">
            <v>Refinance</v>
          </cell>
          <cell r="G845" t="str">
            <v>USD</v>
          </cell>
        </row>
        <row r="846">
          <cell r="C846" t="str">
            <v>DAL</v>
          </cell>
          <cell r="E846" t="str">
            <v>Refinance</v>
          </cell>
          <cell r="G846" t="str">
            <v>USD</v>
          </cell>
        </row>
        <row r="847">
          <cell r="C847" t="str">
            <v>DAL</v>
          </cell>
          <cell r="E847" t="str">
            <v>Acquisition</v>
          </cell>
          <cell r="G847" t="str">
            <v>USD</v>
          </cell>
        </row>
        <row r="848">
          <cell r="C848" t="str">
            <v>NY</v>
          </cell>
          <cell r="E848" t="str">
            <v>Acquisition</v>
          </cell>
          <cell r="G848" t="str">
            <v>USD</v>
          </cell>
        </row>
        <row r="849">
          <cell r="C849" t="str">
            <v>NY</v>
          </cell>
          <cell r="E849" t="str">
            <v>Acquisition</v>
          </cell>
          <cell r="G849" t="str">
            <v>USD</v>
          </cell>
        </row>
        <row r="850">
          <cell r="C850" t="str">
            <v>NY</v>
          </cell>
          <cell r="E850" t="str">
            <v>Acquisition</v>
          </cell>
          <cell r="G850" t="str">
            <v>USD</v>
          </cell>
        </row>
        <row r="851">
          <cell r="C851" t="str">
            <v>SF</v>
          </cell>
          <cell r="E851" t="str">
            <v>Refinance- Cash Out</v>
          </cell>
          <cell r="G851" t="str">
            <v>USD</v>
          </cell>
        </row>
        <row r="852">
          <cell r="C852" t="str">
            <v>DAL</v>
          </cell>
          <cell r="E852" t="str">
            <v>Acquisition</v>
          </cell>
          <cell r="G852" t="str">
            <v>USD</v>
          </cell>
        </row>
        <row r="853">
          <cell r="C853" t="str">
            <v>NY</v>
          </cell>
          <cell r="E853" t="str">
            <v>Acquisition</v>
          </cell>
          <cell r="G853" t="str">
            <v>USD</v>
          </cell>
        </row>
        <row r="854">
          <cell r="C854" t="str">
            <v>NY</v>
          </cell>
          <cell r="E854" t="str">
            <v>Acquisition</v>
          </cell>
          <cell r="G854" t="str">
            <v>USD</v>
          </cell>
        </row>
        <row r="855">
          <cell r="C855" t="str">
            <v>NY</v>
          </cell>
          <cell r="E855" t="str">
            <v>Acquisition</v>
          </cell>
          <cell r="G855" t="str">
            <v>USD</v>
          </cell>
        </row>
        <row r="856">
          <cell r="C856" t="str">
            <v>NY</v>
          </cell>
          <cell r="E856" t="str">
            <v>Refinance</v>
          </cell>
          <cell r="G856" t="str">
            <v>USD</v>
          </cell>
        </row>
        <row r="857">
          <cell r="C857" t="str">
            <v>NY</v>
          </cell>
          <cell r="E857" t="str">
            <v>Acquisition</v>
          </cell>
          <cell r="G857" t="str">
            <v>USD</v>
          </cell>
        </row>
        <row r="858">
          <cell r="C858" t="str">
            <v>NY</v>
          </cell>
          <cell r="E858" t="str">
            <v>Refinance</v>
          </cell>
          <cell r="G858" t="str">
            <v>USD</v>
          </cell>
        </row>
        <row r="859">
          <cell r="C859" t="str">
            <v>NY</v>
          </cell>
          <cell r="E859" t="str">
            <v>Refinance</v>
          </cell>
          <cell r="G859" t="str">
            <v>USD</v>
          </cell>
        </row>
        <row r="860">
          <cell r="C860" t="str">
            <v>LA</v>
          </cell>
          <cell r="E860" t="str">
            <v>Refinance</v>
          </cell>
          <cell r="G860" t="str">
            <v>USD</v>
          </cell>
        </row>
        <row r="861">
          <cell r="C861" t="str">
            <v>LA</v>
          </cell>
          <cell r="E861" t="str">
            <v>Refinance</v>
          </cell>
          <cell r="G861" t="str">
            <v>USD</v>
          </cell>
        </row>
        <row r="862">
          <cell r="C862" t="str">
            <v>NY</v>
          </cell>
          <cell r="E862" t="str">
            <v xml:space="preserve">Bridge </v>
          </cell>
          <cell r="G862" t="str">
            <v>USD</v>
          </cell>
        </row>
        <row r="863">
          <cell r="C863" t="str">
            <v>NY</v>
          </cell>
          <cell r="E863" t="str">
            <v>Refinance</v>
          </cell>
          <cell r="G863" t="str">
            <v>USD</v>
          </cell>
        </row>
        <row r="864">
          <cell r="C864" t="str">
            <v>LA</v>
          </cell>
          <cell r="E864" t="str">
            <v>Refinance Construction</v>
          </cell>
          <cell r="G864" t="str">
            <v>USD</v>
          </cell>
        </row>
        <row r="865">
          <cell r="C865" t="str">
            <v>NY</v>
          </cell>
          <cell r="E865" t="str">
            <v>Acquisition</v>
          </cell>
          <cell r="G865" t="str">
            <v>USD</v>
          </cell>
        </row>
        <row r="866">
          <cell r="C866" t="str">
            <v>LA</v>
          </cell>
          <cell r="E866" t="str">
            <v>Refinance</v>
          </cell>
          <cell r="G866" t="str">
            <v>USD</v>
          </cell>
        </row>
        <row r="867">
          <cell r="C867" t="str">
            <v>NY</v>
          </cell>
          <cell r="E867" t="str">
            <v>Refinance</v>
          </cell>
          <cell r="G867" t="str">
            <v>USD</v>
          </cell>
        </row>
        <row r="868">
          <cell r="C868" t="str">
            <v>NY</v>
          </cell>
          <cell r="E868" t="str">
            <v>Acquisition- Construction</v>
          </cell>
          <cell r="G868" t="str">
            <v>USD</v>
          </cell>
        </row>
        <row r="869">
          <cell r="C869" t="str">
            <v>NY</v>
          </cell>
          <cell r="E869" t="str">
            <v xml:space="preserve">Bridge </v>
          </cell>
          <cell r="G869" t="str">
            <v>USD</v>
          </cell>
        </row>
        <row r="870">
          <cell r="C870" t="str">
            <v>DAL</v>
          </cell>
          <cell r="E870" t="str">
            <v>Acquisition</v>
          </cell>
          <cell r="G870" t="str">
            <v>USD</v>
          </cell>
        </row>
        <row r="871">
          <cell r="C871" t="str">
            <v>DAL</v>
          </cell>
          <cell r="E871" t="str">
            <v>Acquisition</v>
          </cell>
          <cell r="G871" t="str">
            <v>USD</v>
          </cell>
        </row>
        <row r="872">
          <cell r="C872" t="str">
            <v>DAL</v>
          </cell>
          <cell r="E872" t="str">
            <v>Acquisition</v>
          </cell>
          <cell r="G872" t="str">
            <v>USD</v>
          </cell>
        </row>
        <row r="873">
          <cell r="C873" t="str">
            <v>NY</v>
          </cell>
          <cell r="E873" t="str">
            <v>Acquisition</v>
          </cell>
          <cell r="G873" t="str">
            <v>USD</v>
          </cell>
        </row>
        <row r="874">
          <cell r="C874" t="str">
            <v>NY</v>
          </cell>
          <cell r="E874" t="str">
            <v>Acquisition</v>
          </cell>
          <cell r="G874" t="str">
            <v>USD</v>
          </cell>
        </row>
        <row r="875">
          <cell r="C875" t="str">
            <v>NY</v>
          </cell>
          <cell r="E875" t="str">
            <v xml:space="preserve">Bridge </v>
          </cell>
          <cell r="G875" t="str">
            <v>USD</v>
          </cell>
        </row>
        <row r="876">
          <cell r="C876" t="str">
            <v>SF</v>
          </cell>
          <cell r="E876" t="str">
            <v>Acquisition</v>
          </cell>
          <cell r="G876" t="str">
            <v>USD</v>
          </cell>
        </row>
        <row r="877">
          <cell r="C877" t="str">
            <v>NY</v>
          </cell>
          <cell r="E877" t="str">
            <v>Refinance</v>
          </cell>
          <cell r="G877" t="str">
            <v>USD</v>
          </cell>
        </row>
        <row r="878">
          <cell r="C878" t="str">
            <v>NY</v>
          </cell>
          <cell r="E878" t="str">
            <v>Refinance</v>
          </cell>
          <cell r="G878" t="str">
            <v>USD</v>
          </cell>
        </row>
        <row r="879">
          <cell r="C879" t="str">
            <v>LA</v>
          </cell>
          <cell r="E879" t="str">
            <v>Refinance</v>
          </cell>
          <cell r="G879" t="str">
            <v>USD</v>
          </cell>
        </row>
        <row r="880">
          <cell r="C880" t="str">
            <v>NY</v>
          </cell>
          <cell r="E880" t="str">
            <v>Refinance</v>
          </cell>
          <cell r="F880">
            <v>34000000</v>
          </cell>
          <cell r="G880" t="str">
            <v>USD</v>
          </cell>
        </row>
        <row r="881">
          <cell r="C881" t="str">
            <v>NY</v>
          </cell>
          <cell r="E881" t="str">
            <v>Acquisition</v>
          </cell>
          <cell r="G881" t="str">
            <v>USD</v>
          </cell>
        </row>
        <row r="882">
          <cell r="C882" t="str">
            <v>NY</v>
          </cell>
          <cell r="E882" t="str">
            <v>Acquisition</v>
          </cell>
          <cell r="G882" t="str">
            <v>USD</v>
          </cell>
        </row>
        <row r="883">
          <cell r="C883" t="str">
            <v>NY</v>
          </cell>
          <cell r="E883" t="str">
            <v>Refinance</v>
          </cell>
          <cell r="G883" t="str">
            <v>USD</v>
          </cell>
        </row>
        <row r="884">
          <cell r="C884" t="str">
            <v>NY</v>
          </cell>
          <cell r="E884" t="str">
            <v>Refinance</v>
          </cell>
          <cell r="G884" t="str">
            <v>USD</v>
          </cell>
        </row>
        <row r="885">
          <cell r="C885" t="str">
            <v>NY</v>
          </cell>
          <cell r="E885" t="str">
            <v>Refinance</v>
          </cell>
          <cell r="G885" t="str">
            <v>USD</v>
          </cell>
        </row>
        <row r="886">
          <cell r="C886" t="str">
            <v>NY</v>
          </cell>
          <cell r="E886" t="str">
            <v>Acquisition</v>
          </cell>
          <cell r="G886" t="str">
            <v>USD</v>
          </cell>
        </row>
        <row r="887">
          <cell r="C887" t="str">
            <v>LA</v>
          </cell>
          <cell r="E887" t="str">
            <v>Acquisition</v>
          </cell>
          <cell r="G887" t="str">
            <v>USD</v>
          </cell>
        </row>
        <row r="888">
          <cell r="C888" t="str">
            <v>NY</v>
          </cell>
          <cell r="E888" t="str">
            <v>Acquisition</v>
          </cell>
          <cell r="G888" t="str">
            <v>USD</v>
          </cell>
        </row>
        <row r="889">
          <cell r="C889" t="str">
            <v>SF</v>
          </cell>
          <cell r="E889" t="str">
            <v>Acquisition</v>
          </cell>
          <cell r="G889" t="str">
            <v>USD</v>
          </cell>
        </row>
        <row r="890">
          <cell r="C890" t="str">
            <v>LA</v>
          </cell>
          <cell r="E890" t="str">
            <v>Refinance</v>
          </cell>
          <cell r="G890" t="str">
            <v>USD</v>
          </cell>
        </row>
        <row r="891">
          <cell r="C891" t="str">
            <v>LA</v>
          </cell>
          <cell r="E891" t="str">
            <v>Acquisition- Construction</v>
          </cell>
          <cell r="G891" t="str">
            <v>USD</v>
          </cell>
        </row>
        <row r="892">
          <cell r="C892" t="str">
            <v>DAL</v>
          </cell>
          <cell r="E892" t="str">
            <v>Refinance</v>
          </cell>
          <cell r="G892" t="str">
            <v>USD</v>
          </cell>
        </row>
        <row r="893">
          <cell r="C893" t="str">
            <v>DAL</v>
          </cell>
          <cell r="E893" t="str">
            <v>Acquisition</v>
          </cell>
          <cell r="G893" t="str">
            <v>USD</v>
          </cell>
        </row>
        <row r="894">
          <cell r="C894" t="str">
            <v>DAL</v>
          </cell>
          <cell r="E894" t="str">
            <v>Acquisition</v>
          </cell>
          <cell r="G894" t="str">
            <v>USD</v>
          </cell>
        </row>
        <row r="895">
          <cell r="C895" t="str">
            <v>DAL</v>
          </cell>
          <cell r="E895" t="str">
            <v>Refinance</v>
          </cell>
          <cell r="G895" t="str">
            <v>USD</v>
          </cell>
        </row>
        <row r="896">
          <cell r="C896" t="str">
            <v>DAL</v>
          </cell>
          <cell r="E896" t="str">
            <v>Refinance Construction</v>
          </cell>
          <cell r="G896" t="str">
            <v>USD</v>
          </cell>
        </row>
        <row r="897">
          <cell r="C897" t="str">
            <v>NY</v>
          </cell>
          <cell r="E897" t="str">
            <v>Refinance</v>
          </cell>
          <cell r="G897" t="str">
            <v>USD</v>
          </cell>
        </row>
        <row r="898">
          <cell r="C898" t="str">
            <v>NY</v>
          </cell>
          <cell r="E898" t="str">
            <v>Refinance</v>
          </cell>
          <cell r="G898" t="str">
            <v>USD</v>
          </cell>
        </row>
        <row r="899">
          <cell r="C899" t="str">
            <v>DAL</v>
          </cell>
          <cell r="E899" t="str">
            <v>Refinance</v>
          </cell>
          <cell r="G899" t="str">
            <v>USD</v>
          </cell>
        </row>
        <row r="900">
          <cell r="C900" t="str">
            <v>NY</v>
          </cell>
          <cell r="E900" t="str">
            <v>Refinance</v>
          </cell>
          <cell r="G900" t="str">
            <v>USD</v>
          </cell>
        </row>
        <row r="901">
          <cell r="C901" t="str">
            <v>NY</v>
          </cell>
          <cell r="E901" t="str">
            <v>Acquisition</v>
          </cell>
          <cell r="G901" t="str">
            <v>USD</v>
          </cell>
        </row>
        <row r="902">
          <cell r="C902" t="str">
            <v>NY</v>
          </cell>
          <cell r="E902" t="str">
            <v>Acquisition</v>
          </cell>
          <cell r="G902" t="str">
            <v>USD</v>
          </cell>
        </row>
        <row r="903">
          <cell r="C903" t="str">
            <v>NY</v>
          </cell>
          <cell r="E903" t="str">
            <v>Refinance</v>
          </cell>
          <cell r="G903" t="str">
            <v>USD</v>
          </cell>
        </row>
        <row r="904">
          <cell r="C904" t="str">
            <v>NY</v>
          </cell>
          <cell r="E904" t="str">
            <v>Acquisition</v>
          </cell>
          <cell r="G904" t="str">
            <v>USD</v>
          </cell>
        </row>
        <row r="905">
          <cell r="C905" t="str">
            <v>NY</v>
          </cell>
          <cell r="E905" t="str">
            <v>Acquisition</v>
          </cell>
          <cell r="G905" t="str">
            <v>USD</v>
          </cell>
        </row>
        <row r="906">
          <cell r="C906" t="str">
            <v>NY</v>
          </cell>
          <cell r="E906" t="str">
            <v>Refinance</v>
          </cell>
          <cell r="G906" t="str">
            <v>USD</v>
          </cell>
        </row>
        <row r="907">
          <cell r="C907" t="str">
            <v>LA</v>
          </cell>
          <cell r="E907" t="str">
            <v>Refinance</v>
          </cell>
          <cell r="G907" t="str">
            <v>USD</v>
          </cell>
        </row>
        <row r="908">
          <cell r="C908" t="str">
            <v>LA</v>
          </cell>
          <cell r="E908" t="str">
            <v>Refinance</v>
          </cell>
          <cell r="G908" t="str">
            <v>USD</v>
          </cell>
        </row>
        <row r="909">
          <cell r="C909" t="str">
            <v>LA</v>
          </cell>
          <cell r="E909" t="str">
            <v>Refinance</v>
          </cell>
          <cell r="G909" t="str">
            <v>USD</v>
          </cell>
        </row>
        <row r="910">
          <cell r="C910" t="str">
            <v>NY</v>
          </cell>
          <cell r="E910" t="str">
            <v>Acquisition</v>
          </cell>
          <cell r="G910" t="str">
            <v>USD</v>
          </cell>
        </row>
        <row r="911">
          <cell r="C911" t="str">
            <v>NY</v>
          </cell>
          <cell r="E911" t="str">
            <v>Acquisition</v>
          </cell>
          <cell r="G911" t="str">
            <v>USD</v>
          </cell>
        </row>
        <row r="912">
          <cell r="C912" t="str">
            <v>NY</v>
          </cell>
          <cell r="E912" t="str">
            <v>Acquisition</v>
          </cell>
          <cell r="G912" t="str">
            <v>USD</v>
          </cell>
        </row>
        <row r="913">
          <cell r="C913" t="str">
            <v>NY</v>
          </cell>
          <cell r="E913" t="str">
            <v>Acquisition</v>
          </cell>
          <cell r="G913" t="str">
            <v>USD</v>
          </cell>
        </row>
        <row r="914">
          <cell r="C914" t="str">
            <v>LA</v>
          </cell>
          <cell r="E914" t="str">
            <v>Acquisition</v>
          </cell>
          <cell r="G914" t="str">
            <v>USD</v>
          </cell>
        </row>
        <row r="915">
          <cell r="C915" t="str">
            <v>LA</v>
          </cell>
          <cell r="E915" t="str">
            <v>Acquisition- Construction</v>
          </cell>
          <cell r="G915" t="str">
            <v>USD</v>
          </cell>
        </row>
        <row r="916">
          <cell r="C916" t="str">
            <v>NY</v>
          </cell>
          <cell r="E916" t="str">
            <v>Refinance</v>
          </cell>
          <cell r="G916" t="str">
            <v>USD</v>
          </cell>
        </row>
        <row r="917">
          <cell r="C917" t="str">
            <v>NY</v>
          </cell>
          <cell r="E917" t="str">
            <v>Refinance</v>
          </cell>
          <cell r="G917" t="str">
            <v>USD</v>
          </cell>
        </row>
        <row r="918">
          <cell r="C918" t="str">
            <v>NY</v>
          </cell>
          <cell r="E918" t="str">
            <v>Acquisition</v>
          </cell>
          <cell r="G918" t="str">
            <v>USD</v>
          </cell>
        </row>
        <row r="919">
          <cell r="C919" t="str">
            <v>NY</v>
          </cell>
          <cell r="E919" t="str">
            <v>Acquisition</v>
          </cell>
          <cell r="G919" t="str">
            <v>USD</v>
          </cell>
        </row>
        <row r="920">
          <cell r="C920" t="str">
            <v>NY</v>
          </cell>
          <cell r="E920" t="str">
            <v>Acquisition</v>
          </cell>
          <cell r="G920" t="str">
            <v>USD</v>
          </cell>
        </row>
        <row r="921">
          <cell r="C921" t="str">
            <v>NY</v>
          </cell>
          <cell r="E921" t="str">
            <v>Refinance</v>
          </cell>
          <cell r="G921" t="str">
            <v>USD</v>
          </cell>
        </row>
        <row r="922">
          <cell r="C922" t="str">
            <v>NY</v>
          </cell>
          <cell r="E922" t="str">
            <v>Acquisition</v>
          </cell>
          <cell r="G922" t="str">
            <v>USD</v>
          </cell>
        </row>
        <row r="923">
          <cell r="C923" t="str">
            <v>NY</v>
          </cell>
          <cell r="E923" t="str">
            <v>Acquisition- Construction</v>
          </cell>
          <cell r="G923" t="str">
            <v>USD</v>
          </cell>
        </row>
        <row r="924">
          <cell r="C924" t="str">
            <v>NY</v>
          </cell>
          <cell r="E924" t="str">
            <v>Acquisition</v>
          </cell>
          <cell r="G924" t="str">
            <v>USD</v>
          </cell>
        </row>
        <row r="925">
          <cell r="C925" t="str">
            <v>NY</v>
          </cell>
          <cell r="E925" t="str">
            <v>Acquisition</v>
          </cell>
          <cell r="G925" t="str">
            <v>USD</v>
          </cell>
        </row>
        <row r="926">
          <cell r="C926" t="str">
            <v>NY</v>
          </cell>
          <cell r="E926" t="str">
            <v>Refinance</v>
          </cell>
          <cell r="G926" t="str">
            <v>USD</v>
          </cell>
        </row>
        <row r="927">
          <cell r="C927" t="str">
            <v>NY</v>
          </cell>
          <cell r="E927" t="str">
            <v>Acquisition</v>
          </cell>
          <cell r="G927" t="str">
            <v>USD</v>
          </cell>
        </row>
        <row r="928">
          <cell r="C928" t="str">
            <v>NY</v>
          </cell>
          <cell r="E928" t="str">
            <v>Acquisition</v>
          </cell>
          <cell r="G928" t="str">
            <v>USD</v>
          </cell>
        </row>
        <row r="929">
          <cell r="C929" t="str">
            <v>SF</v>
          </cell>
          <cell r="E929" t="str">
            <v>Refinance- Cash Out</v>
          </cell>
          <cell r="G929" t="str">
            <v>USD</v>
          </cell>
        </row>
        <row r="930">
          <cell r="C930" t="str">
            <v>LA</v>
          </cell>
          <cell r="E930" t="str">
            <v>Acquisition- Construction</v>
          </cell>
          <cell r="G930" t="str">
            <v>USD</v>
          </cell>
        </row>
        <row r="931">
          <cell r="C931" t="str">
            <v>NY</v>
          </cell>
          <cell r="E931" t="str">
            <v>Refinance</v>
          </cell>
          <cell r="G931" t="str">
            <v>USD</v>
          </cell>
        </row>
        <row r="932">
          <cell r="C932" t="str">
            <v>LA</v>
          </cell>
          <cell r="E932" t="str">
            <v>Acquisition- Construction</v>
          </cell>
          <cell r="G932" t="str">
            <v>USD</v>
          </cell>
        </row>
        <row r="933">
          <cell r="C933" t="str">
            <v>NY</v>
          </cell>
          <cell r="E933" t="str">
            <v>Acquisition</v>
          </cell>
          <cell r="G933" t="str">
            <v>USD</v>
          </cell>
        </row>
        <row r="934">
          <cell r="C934" t="str">
            <v>NY</v>
          </cell>
          <cell r="E934" t="str">
            <v>Acquisition</v>
          </cell>
          <cell r="G934" t="str">
            <v>USD</v>
          </cell>
        </row>
        <row r="935">
          <cell r="C935" t="str">
            <v>NY</v>
          </cell>
          <cell r="E935" t="str">
            <v>Acquisition</v>
          </cell>
          <cell r="G935" t="str">
            <v>USD</v>
          </cell>
        </row>
        <row r="936">
          <cell r="C936" t="str">
            <v>NY</v>
          </cell>
          <cell r="E936" t="str">
            <v>Acquisition</v>
          </cell>
          <cell r="G936" t="str">
            <v>USD</v>
          </cell>
        </row>
        <row r="937">
          <cell r="C937" t="str">
            <v>NY</v>
          </cell>
          <cell r="E937" t="str">
            <v>Refinance</v>
          </cell>
          <cell r="G937" t="str">
            <v>USD</v>
          </cell>
        </row>
        <row r="938">
          <cell r="C938" t="str">
            <v>NY</v>
          </cell>
          <cell r="E938" t="str">
            <v>Refinance</v>
          </cell>
          <cell r="G938" t="str">
            <v>USD</v>
          </cell>
        </row>
        <row r="939">
          <cell r="C939" t="str">
            <v>LA</v>
          </cell>
          <cell r="E939" t="str">
            <v>Acquisition</v>
          </cell>
          <cell r="F939">
            <v>32490000</v>
          </cell>
          <cell r="G939" t="str">
            <v>USD</v>
          </cell>
        </row>
        <row r="940">
          <cell r="C940" t="str">
            <v>NY</v>
          </cell>
          <cell r="E940" t="str">
            <v>Acquisition- Construction</v>
          </cell>
          <cell r="G940" t="str">
            <v>USD</v>
          </cell>
        </row>
        <row r="941">
          <cell r="C941" t="str">
            <v>NY</v>
          </cell>
          <cell r="E941" t="str">
            <v>Refinance Construction</v>
          </cell>
          <cell r="G941" t="str">
            <v>USD</v>
          </cell>
        </row>
        <row r="942">
          <cell r="C942" t="str">
            <v>NY</v>
          </cell>
          <cell r="E942" t="str">
            <v>Refinance Construction</v>
          </cell>
          <cell r="G942" t="str">
            <v>USD</v>
          </cell>
        </row>
        <row r="943">
          <cell r="C943" t="str">
            <v>NY</v>
          </cell>
          <cell r="E943" t="str">
            <v>Refinance Construction</v>
          </cell>
          <cell r="G943" t="str">
            <v>USD</v>
          </cell>
        </row>
        <row r="944">
          <cell r="C944" t="str">
            <v>NY</v>
          </cell>
          <cell r="E944" t="str">
            <v xml:space="preserve">Bridge </v>
          </cell>
          <cell r="G944" t="str">
            <v>USD</v>
          </cell>
        </row>
        <row r="945">
          <cell r="C945" t="str">
            <v>NY</v>
          </cell>
          <cell r="E945" t="str">
            <v>Acquisition- Construction</v>
          </cell>
          <cell r="G945" t="str">
            <v>USD</v>
          </cell>
        </row>
        <row r="946">
          <cell r="C946" t="str">
            <v>NY</v>
          </cell>
          <cell r="E946" t="str">
            <v>Acquisition</v>
          </cell>
          <cell r="G946" t="str">
            <v>USD</v>
          </cell>
        </row>
        <row r="947">
          <cell r="C947" t="str">
            <v>DAL</v>
          </cell>
          <cell r="E947" t="str">
            <v>Acquisition</v>
          </cell>
          <cell r="G947" t="str">
            <v>USD</v>
          </cell>
        </row>
        <row r="948">
          <cell r="C948" t="str">
            <v>NY</v>
          </cell>
          <cell r="E948" t="str">
            <v>Refinance</v>
          </cell>
          <cell r="G948" t="str">
            <v>USD</v>
          </cell>
        </row>
        <row r="949">
          <cell r="C949" t="str">
            <v>DAL</v>
          </cell>
          <cell r="E949" t="str">
            <v>Refinance Construction</v>
          </cell>
          <cell r="G949" t="str">
            <v>USD</v>
          </cell>
        </row>
        <row r="950">
          <cell r="C950" t="str">
            <v>LA</v>
          </cell>
          <cell r="E950" t="str">
            <v>Refinance</v>
          </cell>
          <cell r="G950" t="str">
            <v>USD</v>
          </cell>
        </row>
        <row r="951">
          <cell r="C951" t="str">
            <v>LA</v>
          </cell>
          <cell r="E951" t="str">
            <v>Acquisition</v>
          </cell>
          <cell r="G951" t="str">
            <v>USD</v>
          </cell>
        </row>
        <row r="952">
          <cell r="C952" t="str">
            <v>NY</v>
          </cell>
          <cell r="E952" t="str">
            <v>Acquisition- Construction</v>
          </cell>
          <cell r="G952" t="str">
            <v>USD</v>
          </cell>
        </row>
        <row r="953">
          <cell r="C953" t="str">
            <v>NY</v>
          </cell>
          <cell r="E953" t="str">
            <v>Refinance</v>
          </cell>
          <cell r="G953" t="str">
            <v>USD</v>
          </cell>
        </row>
        <row r="954">
          <cell r="C954" t="str">
            <v>NY</v>
          </cell>
          <cell r="E954" t="str">
            <v>Acquisition</v>
          </cell>
          <cell r="G954" t="str">
            <v>USD</v>
          </cell>
        </row>
        <row r="955">
          <cell r="C955" t="str">
            <v>NY</v>
          </cell>
          <cell r="E955" t="str">
            <v>Acquisition</v>
          </cell>
          <cell r="G955" t="str">
            <v>USD</v>
          </cell>
        </row>
        <row r="956">
          <cell r="C956" t="str">
            <v>NY</v>
          </cell>
          <cell r="E956" t="str">
            <v>Acquisition- Construction</v>
          </cell>
          <cell r="G956" t="str">
            <v>USD</v>
          </cell>
        </row>
        <row r="957">
          <cell r="C957" t="str">
            <v>NY</v>
          </cell>
          <cell r="E957" t="str">
            <v>Refinance</v>
          </cell>
          <cell r="G957" t="str">
            <v>USD</v>
          </cell>
        </row>
        <row r="958">
          <cell r="C958" t="str">
            <v>NY</v>
          </cell>
          <cell r="E958" t="str">
            <v>Acquisition</v>
          </cell>
          <cell r="G958" t="str">
            <v>USD</v>
          </cell>
        </row>
        <row r="959">
          <cell r="C959" t="str">
            <v>NY</v>
          </cell>
          <cell r="E959" t="str">
            <v>Acquisition- Construction</v>
          </cell>
          <cell r="G959" t="str">
            <v>USD</v>
          </cell>
        </row>
        <row r="960">
          <cell r="C960" t="str">
            <v>NY</v>
          </cell>
          <cell r="E960" t="str">
            <v>Refinance Construction</v>
          </cell>
          <cell r="G960" t="str">
            <v>USD</v>
          </cell>
        </row>
        <row r="961">
          <cell r="C961" t="str">
            <v>DAL</v>
          </cell>
          <cell r="E961" t="str">
            <v>Acquisition</v>
          </cell>
          <cell r="G961" t="str">
            <v>USD</v>
          </cell>
        </row>
        <row r="962">
          <cell r="C962" t="str">
            <v>LA</v>
          </cell>
          <cell r="E962" t="str">
            <v>Refinance Construction</v>
          </cell>
          <cell r="G962" t="str">
            <v>USD</v>
          </cell>
        </row>
        <row r="963">
          <cell r="C963" t="str">
            <v>LA</v>
          </cell>
          <cell r="E963" t="str">
            <v>Refinance Construction</v>
          </cell>
          <cell r="G963" t="str">
            <v>USD</v>
          </cell>
        </row>
        <row r="964">
          <cell r="C964" t="str">
            <v>SF</v>
          </cell>
          <cell r="E964" t="str">
            <v xml:space="preserve">Bridge </v>
          </cell>
          <cell r="G964" t="str">
            <v>USD</v>
          </cell>
        </row>
        <row r="965">
          <cell r="C965" t="str">
            <v>NY</v>
          </cell>
          <cell r="E965" t="str">
            <v>Acquisition</v>
          </cell>
          <cell r="G965" t="str">
            <v>USD</v>
          </cell>
        </row>
        <row r="966">
          <cell r="C966" t="str">
            <v>NY</v>
          </cell>
          <cell r="E966" t="str">
            <v>Acquisition</v>
          </cell>
          <cell r="G966" t="str">
            <v>USD</v>
          </cell>
        </row>
        <row r="967">
          <cell r="C967" t="str">
            <v>NY</v>
          </cell>
          <cell r="E967" t="str">
            <v>Refinance</v>
          </cell>
          <cell r="G967" t="str">
            <v>USD</v>
          </cell>
        </row>
        <row r="968">
          <cell r="C968" t="str">
            <v>LA</v>
          </cell>
          <cell r="E968" t="str">
            <v>Refinance- Cash Out</v>
          </cell>
          <cell r="G968" t="str">
            <v>USD</v>
          </cell>
        </row>
        <row r="969">
          <cell r="C969" t="str">
            <v>LA</v>
          </cell>
          <cell r="E969" t="str">
            <v>Acquisition</v>
          </cell>
          <cell r="G969" t="str">
            <v>USD</v>
          </cell>
        </row>
        <row r="970">
          <cell r="C970" t="str">
            <v>NY</v>
          </cell>
          <cell r="E970" t="str">
            <v>Refinance</v>
          </cell>
          <cell r="G970" t="str">
            <v>USD</v>
          </cell>
        </row>
        <row r="971">
          <cell r="C971" t="str">
            <v>NY</v>
          </cell>
          <cell r="E971" t="str">
            <v>Refinance</v>
          </cell>
          <cell r="G971" t="str">
            <v>USD</v>
          </cell>
        </row>
        <row r="972">
          <cell r="C972" t="str">
            <v>NY</v>
          </cell>
          <cell r="E972" t="str">
            <v>Refinance</v>
          </cell>
          <cell r="G972" t="str">
            <v>USD</v>
          </cell>
        </row>
        <row r="973">
          <cell r="C973" t="str">
            <v>LA</v>
          </cell>
          <cell r="E973" t="str">
            <v>Acquisition- Construction</v>
          </cell>
          <cell r="G973" t="str">
            <v>USD</v>
          </cell>
        </row>
        <row r="974">
          <cell r="C974" t="str">
            <v>NY</v>
          </cell>
          <cell r="E974" t="str">
            <v>Acquisition</v>
          </cell>
          <cell r="G974" t="str">
            <v>USD</v>
          </cell>
        </row>
        <row r="975">
          <cell r="C975" t="str">
            <v>NY</v>
          </cell>
          <cell r="E975" t="str">
            <v>Acquisition- Construction</v>
          </cell>
          <cell r="G975" t="str">
            <v>USD</v>
          </cell>
        </row>
        <row r="976">
          <cell r="C976" t="str">
            <v>NY</v>
          </cell>
          <cell r="E976" t="str">
            <v>Refinance</v>
          </cell>
          <cell r="G976" t="str">
            <v>USD</v>
          </cell>
        </row>
        <row r="977">
          <cell r="C977" t="str">
            <v>DAL</v>
          </cell>
          <cell r="E977" t="str">
            <v>Acquisition</v>
          </cell>
          <cell r="G977" t="str">
            <v>USD</v>
          </cell>
        </row>
        <row r="978">
          <cell r="C978" t="str">
            <v>DAL</v>
          </cell>
          <cell r="E978" t="str">
            <v>Acquisition</v>
          </cell>
          <cell r="G978" t="str">
            <v>USD</v>
          </cell>
        </row>
        <row r="979">
          <cell r="C979" t="str">
            <v>NY</v>
          </cell>
          <cell r="E979" t="str">
            <v>Refinance Construction</v>
          </cell>
          <cell r="G979" t="str">
            <v>USD</v>
          </cell>
        </row>
        <row r="980">
          <cell r="C980" t="str">
            <v>DAL</v>
          </cell>
          <cell r="E980" t="str">
            <v>Acquisition</v>
          </cell>
          <cell r="G980" t="str">
            <v>USD</v>
          </cell>
        </row>
        <row r="981">
          <cell r="C981" t="str">
            <v>NY</v>
          </cell>
          <cell r="E981" t="str">
            <v>Refinance Construction</v>
          </cell>
          <cell r="G981" t="str">
            <v>USD</v>
          </cell>
        </row>
        <row r="982">
          <cell r="C982" t="str">
            <v>DAL</v>
          </cell>
          <cell r="E982" t="str">
            <v>Acquisition</v>
          </cell>
          <cell r="G982" t="str">
            <v>USD</v>
          </cell>
        </row>
        <row r="983">
          <cell r="C983" t="str">
            <v>NY</v>
          </cell>
          <cell r="E983" t="str">
            <v>Acquisition- Construction</v>
          </cell>
          <cell r="G983" t="str">
            <v>USD</v>
          </cell>
        </row>
        <row r="984">
          <cell r="C984" t="str">
            <v>NY</v>
          </cell>
          <cell r="E984" t="str">
            <v>Acquisition- Construction</v>
          </cell>
          <cell r="G984" t="str">
            <v>USD</v>
          </cell>
        </row>
        <row r="985">
          <cell r="C985" t="str">
            <v>NY</v>
          </cell>
          <cell r="E985" t="str">
            <v>Acquisition- Construction</v>
          </cell>
          <cell r="G985" t="str">
            <v>USD</v>
          </cell>
        </row>
        <row r="986">
          <cell r="C986" t="str">
            <v>LA</v>
          </cell>
          <cell r="E986" t="str">
            <v>Refinance Construction</v>
          </cell>
          <cell r="G986" t="str">
            <v>USD</v>
          </cell>
        </row>
        <row r="987">
          <cell r="C987" t="str">
            <v>LA</v>
          </cell>
          <cell r="E987" t="str">
            <v>Refinance</v>
          </cell>
          <cell r="G987" t="str">
            <v>USD</v>
          </cell>
        </row>
        <row r="988">
          <cell r="C988" t="str">
            <v>NY</v>
          </cell>
          <cell r="E988" t="str">
            <v>Acquisition</v>
          </cell>
          <cell r="G988" t="str">
            <v>USD</v>
          </cell>
        </row>
        <row r="989">
          <cell r="C989" t="str">
            <v>NY</v>
          </cell>
          <cell r="E989" t="str">
            <v>Acquisition</v>
          </cell>
          <cell r="G989" t="str">
            <v>USD</v>
          </cell>
        </row>
        <row r="990">
          <cell r="C990" t="str">
            <v>LA</v>
          </cell>
          <cell r="E990" t="str">
            <v>Acquisition</v>
          </cell>
          <cell r="G990" t="str">
            <v>USD</v>
          </cell>
        </row>
        <row r="991">
          <cell r="C991" t="str">
            <v>LA</v>
          </cell>
          <cell r="E991" t="str">
            <v>Refinance</v>
          </cell>
          <cell r="G991" t="str">
            <v>USD</v>
          </cell>
        </row>
        <row r="992">
          <cell r="C992" t="str">
            <v>LA</v>
          </cell>
          <cell r="E992" t="str">
            <v>Acquisition</v>
          </cell>
          <cell r="G992" t="str">
            <v>USD</v>
          </cell>
        </row>
        <row r="993">
          <cell r="C993" t="str">
            <v>SF</v>
          </cell>
          <cell r="E993" t="str">
            <v>Refinance</v>
          </cell>
          <cell r="G993" t="str">
            <v>USD</v>
          </cell>
        </row>
        <row r="994">
          <cell r="C994" t="str">
            <v>NY</v>
          </cell>
          <cell r="E994" t="str">
            <v>Refinance</v>
          </cell>
          <cell r="G994" t="str">
            <v>USD</v>
          </cell>
        </row>
        <row r="995">
          <cell r="C995" t="str">
            <v>NY</v>
          </cell>
          <cell r="E995" t="str">
            <v>Acquisition</v>
          </cell>
          <cell r="G995" t="str">
            <v>USD</v>
          </cell>
        </row>
        <row r="996">
          <cell r="C996" t="str">
            <v>NY</v>
          </cell>
          <cell r="E996" t="str">
            <v>Acquisition</v>
          </cell>
          <cell r="G996" t="str">
            <v>USD</v>
          </cell>
        </row>
        <row r="997">
          <cell r="C997" t="str">
            <v>NY</v>
          </cell>
          <cell r="E997" t="str">
            <v>Acquisition- Construction</v>
          </cell>
          <cell r="G997" t="str">
            <v>USD</v>
          </cell>
        </row>
        <row r="998">
          <cell r="C998" t="str">
            <v>LA</v>
          </cell>
          <cell r="E998" t="str">
            <v>Acquisition</v>
          </cell>
          <cell r="G998" t="str">
            <v>USD</v>
          </cell>
        </row>
        <row r="999">
          <cell r="C999" t="str">
            <v>LA</v>
          </cell>
          <cell r="E999" t="str">
            <v>Acquisition</v>
          </cell>
          <cell r="G999" t="str">
            <v>USD</v>
          </cell>
        </row>
        <row r="1000">
          <cell r="C1000" t="str">
            <v>NY</v>
          </cell>
          <cell r="E1000" t="str">
            <v>Acquisition</v>
          </cell>
          <cell r="G1000" t="str">
            <v>USD</v>
          </cell>
        </row>
        <row r="1001">
          <cell r="C1001" t="str">
            <v>NY</v>
          </cell>
          <cell r="E1001" t="str">
            <v>Acquisition- Construction</v>
          </cell>
          <cell r="G1001" t="str">
            <v>USD</v>
          </cell>
        </row>
        <row r="1002">
          <cell r="C1002" t="str">
            <v>DAL</v>
          </cell>
          <cell r="E1002" t="str">
            <v>Acquisition</v>
          </cell>
          <cell r="G1002" t="str">
            <v>USD</v>
          </cell>
        </row>
        <row r="1003">
          <cell r="C1003" t="str">
            <v>DAL</v>
          </cell>
          <cell r="E1003" t="str">
            <v>Acquisition</v>
          </cell>
          <cell r="G1003" t="str">
            <v>USD</v>
          </cell>
        </row>
        <row r="1004">
          <cell r="C1004" t="str">
            <v>DAL</v>
          </cell>
          <cell r="E1004" t="str">
            <v>Acquisition- Construction</v>
          </cell>
          <cell r="G1004" t="str">
            <v>USD</v>
          </cell>
        </row>
        <row r="1005">
          <cell r="C1005" t="str">
            <v>DAL</v>
          </cell>
          <cell r="E1005" t="str">
            <v>Acquisition</v>
          </cell>
          <cell r="G1005" t="str">
            <v>USD</v>
          </cell>
        </row>
        <row r="1006">
          <cell r="C1006" t="str">
            <v>NY</v>
          </cell>
          <cell r="E1006" t="str">
            <v>Refinance</v>
          </cell>
          <cell r="G1006" t="str">
            <v>USD</v>
          </cell>
        </row>
        <row r="1007">
          <cell r="C1007" t="str">
            <v>DAL</v>
          </cell>
          <cell r="E1007" t="str">
            <v>Refinance Construction</v>
          </cell>
          <cell r="G1007" t="str">
            <v>USD</v>
          </cell>
        </row>
        <row r="1008">
          <cell r="C1008" t="str">
            <v>DAL</v>
          </cell>
          <cell r="E1008" t="str">
            <v>Refinance</v>
          </cell>
          <cell r="G1008" t="str">
            <v>USD</v>
          </cell>
        </row>
        <row r="1009">
          <cell r="C1009" t="str">
            <v>DAL</v>
          </cell>
          <cell r="E1009" t="str">
            <v>Refinance</v>
          </cell>
          <cell r="G1009" t="str">
            <v>USD</v>
          </cell>
        </row>
        <row r="1010">
          <cell r="C1010" t="str">
            <v>DAL</v>
          </cell>
          <cell r="E1010" t="str">
            <v>Refinance</v>
          </cell>
          <cell r="G1010" t="str">
            <v>USD</v>
          </cell>
        </row>
        <row r="1011">
          <cell r="C1011" t="str">
            <v>DAL</v>
          </cell>
          <cell r="E1011" t="str">
            <v>Refinance Construction</v>
          </cell>
          <cell r="G1011" t="str">
            <v>USD</v>
          </cell>
        </row>
        <row r="1012">
          <cell r="C1012" t="str">
            <v>DAL</v>
          </cell>
          <cell r="E1012" t="str">
            <v>Acquisition- Construction</v>
          </cell>
          <cell r="G1012" t="str">
            <v>USD</v>
          </cell>
        </row>
        <row r="1013">
          <cell r="C1013" t="str">
            <v>NY</v>
          </cell>
          <cell r="E1013" t="str">
            <v>Acquisition- Construction</v>
          </cell>
          <cell r="G1013" t="str">
            <v>USD</v>
          </cell>
        </row>
        <row r="1014">
          <cell r="C1014" t="str">
            <v>LA</v>
          </cell>
          <cell r="E1014" t="str">
            <v>Refinance</v>
          </cell>
          <cell r="G1014" t="str">
            <v>USD</v>
          </cell>
        </row>
        <row r="1015">
          <cell r="C1015" t="str">
            <v>LA</v>
          </cell>
          <cell r="E1015" t="str">
            <v>Refinance</v>
          </cell>
          <cell r="G1015" t="str">
            <v>USD</v>
          </cell>
        </row>
        <row r="1016">
          <cell r="C1016" t="str">
            <v>NY</v>
          </cell>
          <cell r="G1016" t="str">
            <v>USD</v>
          </cell>
        </row>
        <row r="1017">
          <cell r="C1017" t="str">
            <v>DAL</v>
          </cell>
          <cell r="E1017" t="str">
            <v>Refinance</v>
          </cell>
          <cell r="G1017" t="str">
            <v>USD</v>
          </cell>
        </row>
        <row r="1018">
          <cell r="C1018" t="str">
            <v>NY</v>
          </cell>
          <cell r="E1018" t="str">
            <v xml:space="preserve">Bridge </v>
          </cell>
          <cell r="G1018" t="str">
            <v>USD</v>
          </cell>
        </row>
        <row r="1019">
          <cell r="C1019" t="str">
            <v>NY</v>
          </cell>
          <cell r="E1019" t="str">
            <v>Acquisition- Construction</v>
          </cell>
          <cell r="G1019" t="str">
            <v>USD</v>
          </cell>
        </row>
        <row r="1020">
          <cell r="C1020" t="str">
            <v>NY</v>
          </cell>
          <cell r="E1020" t="str">
            <v>Refinance</v>
          </cell>
          <cell r="G1020" t="str">
            <v>USD</v>
          </cell>
        </row>
        <row r="1021">
          <cell r="C1021" t="str">
            <v>NY</v>
          </cell>
          <cell r="E1021" t="str">
            <v>Refinance</v>
          </cell>
          <cell r="G1021" t="str">
            <v>USD</v>
          </cell>
        </row>
        <row r="1022">
          <cell r="C1022" t="str">
            <v>LA</v>
          </cell>
          <cell r="E1022" t="str">
            <v>Refinance</v>
          </cell>
          <cell r="G1022" t="str">
            <v>USD</v>
          </cell>
        </row>
        <row r="1023">
          <cell r="C1023" t="str">
            <v>LA</v>
          </cell>
          <cell r="E1023" t="str">
            <v>Refinance</v>
          </cell>
          <cell r="G1023" t="str">
            <v>USD</v>
          </cell>
        </row>
        <row r="1024">
          <cell r="C1024" t="str">
            <v>LA</v>
          </cell>
          <cell r="E1024" t="str">
            <v xml:space="preserve">Bridge </v>
          </cell>
          <cell r="G1024" t="str">
            <v>USD</v>
          </cell>
        </row>
        <row r="1025">
          <cell r="C1025" t="str">
            <v>LA</v>
          </cell>
          <cell r="E1025" t="str">
            <v>Acquisition</v>
          </cell>
          <cell r="G1025" t="str">
            <v>USD</v>
          </cell>
        </row>
        <row r="1026">
          <cell r="C1026" t="str">
            <v>NY</v>
          </cell>
          <cell r="E1026" t="str">
            <v>Acquisition</v>
          </cell>
          <cell r="G1026" t="str">
            <v>USD</v>
          </cell>
        </row>
        <row r="1027">
          <cell r="C1027" t="str">
            <v>NY</v>
          </cell>
          <cell r="E1027" t="str">
            <v>Acquisition- Construction</v>
          </cell>
          <cell r="G1027" t="str">
            <v>USD</v>
          </cell>
        </row>
        <row r="1028">
          <cell r="C1028" t="str">
            <v>LA</v>
          </cell>
          <cell r="E1028" t="str">
            <v>Acquisition- Construction</v>
          </cell>
          <cell r="G1028" t="str">
            <v>USD</v>
          </cell>
        </row>
        <row r="1029">
          <cell r="C1029" t="str">
            <v>NY</v>
          </cell>
          <cell r="E1029" t="str">
            <v>Acquisition</v>
          </cell>
          <cell r="G1029" t="str">
            <v>USD</v>
          </cell>
        </row>
        <row r="1030">
          <cell r="C1030" t="str">
            <v>NY</v>
          </cell>
          <cell r="E1030" t="str">
            <v>Acquisition- Construction</v>
          </cell>
          <cell r="G1030" t="str">
            <v>USD</v>
          </cell>
        </row>
        <row r="1031">
          <cell r="C1031" t="str">
            <v>NY</v>
          </cell>
          <cell r="E1031" t="str">
            <v>Acquisition</v>
          </cell>
          <cell r="G1031" t="str">
            <v>USD</v>
          </cell>
        </row>
        <row r="1032">
          <cell r="C1032" t="str">
            <v>NY</v>
          </cell>
          <cell r="E1032" t="str">
            <v>Refinance</v>
          </cell>
          <cell r="G1032" t="str">
            <v>USD</v>
          </cell>
        </row>
        <row r="1033">
          <cell r="C1033" t="str">
            <v>NY</v>
          </cell>
          <cell r="E1033" t="str">
            <v>Acquisition</v>
          </cell>
          <cell r="G1033" t="str">
            <v>USD</v>
          </cell>
        </row>
        <row r="1034">
          <cell r="C1034" t="str">
            <v>NY</v>
          </cell>
          <cell r="E1034" t="str">
            <v>Acquisition</v>
          </cell>
          <cell r="G1034" t="str">
            <v>USD</v>
          </cell>
        </row>
        <row r="1035">
          <cell r="C1035" t="str">
            <v>DAL</v>
          </cell>
          <cell r="E1035" t="str">
            <v>Acquisition</v>
          </cell>
          <cell r="G1035" t="str">
            <v>USD</v>
          </cell>
        </row>
        <row r="1036">
          <cell r="C1036" t="str">
            <v>NY</v>
          </cell>
          <cell r="E1036" t="str">
            <v>Acquisition</v>
          </cell>
          <cell r="G1036" t="str">
            <v>USD</v>
          </cell>
        </row>
        <row r="1037">
          <cell r="C1037" t="str">
            <v>NY</v>
          </cell>
          <cell r="E1037" t="str">
            <v>Acquisition</v>
          </cell>
          <cell r="G1037" t="str">
            <v>USD</v>
          </cell>
        </row>
        <row r="1038">
          <cell r="C1038" t="str">
            <v>LA</v>
          </cell>
          <cell r="E1038" t="str">
            <v>Acquisition</v>
          </cell>
          <cell r="G1038" t="str">
            <v>USD</v>
          </cell>
        </row>
        <row r="1039">
          <cell r="C1039" t="str">
            <v>LA</v>
          </cell>
          <cell r="E1039" t="str">
            <v>Acquisition</v>
          </cell>
          <cell r="G1039" t="str">
            <v>USD</v>
          </cell>
        </row>
        <row r="1040">
          <cell r="C1040" t="str">
            <v>LA</v>
          </cell>
          <cell r="E1040" t="str">
            <v>Refinance</v>
          </cell>
          <cell r="G1040" t="str">
            <v>USD</v>
          </cell>
        </row>
        <row r="1041">
          <cell r="C1041" t="str">
            <v>NY</v>
          </cell>
          <cell r="E1041" t="str">
            <v xml:space="preserve">Bridge </v>
          </cell>
          <cell r="G1041" t="str">
            <v>USD</v>
          </cell>
        </row>
        <row r="1042">
          <cell r="C1042" t="str">
            <v>NY</v>
          </cell>
          <cell r="E1042" t="str">
            <v>Acquisition- Construction</v>
          </cell>
          <cell r="G1042" t="str">
            <v>USD</v>
          </cell>
        </row>
        <row r="1043">
          <cell r="C1043" t="str">
            <v>NY</v>
          </cell>
          <cell r="E1043" t="str">
            <v>Acquisition</v>
          </cell>
          <cell r="G1043" t="str">
            <v>USD</v>
          </cell>
        </row>
        <row r="1044">
          <cell r="C1044" t="str">
            <v>NY</v>
          </cell>
          <cell r="E1044" t="str">
            <v>Acquisition- Construction</v>
          </cell>
          <cell r="G1044" t="str">
            <v>USD</v>
          </cell>
        </row>
        <row r="1045">
          <cell r="C1045" t="str">
            <v>NY</v>
          </cell>
          <cell r="E1045" t="str">
            <v>Acquisition</v>
          </cell>
          <cell r="G1045" t="str">
            <v>USD</v>
          </cell>
        </row>
        <row r="1046">
          <cell r="C1046" t="str">
            <v>NY</v>
          </cell>
          <cell r="E1046" t="str">
            <v>Acquisition</v>
          </cell>
          <cell r="G1046" t="str">
            <v>USD</v>
          </cell>
        </row>
        <row r="1047">
          <cell r="C1047" t="str">
            <v>NY</v>
          </cell>
          <cell r="E1047" t="str">
            <v>Acquisition</v>
          </cell>
          <cell r="G1047" t="str">
            <v>USD</v>
          </cell>
        </row>
        <row r="1048">
          <cell r="C1048" t="str">
            <v>NY</v>
          </cell>
          <cell r="E1048" t="str">
            <v>Acquisition</v>
          </cell>
          <cell r="G1048" t="str">
            <v>USD</v>
          </cell>
        </row>
        <row r="1049">
          <cell r="C1049" t="str">
            <v>NY</v>
          </cell>
          <cell r="E1049" t="str">
            <v>Refinance</v>
          </cell>
          <cell r="G1049" t="str">
            <v>USD</v>
          </cell>
        </row>
        <row r="1050">
          <cell r="C1050" t="str">
            <v>NY</v>
          </cell>
          <cell r="E1050" t="str">
            <v>Acquisition- Construction</v>
          </cell>
          <cell r="G1050" t="str">
            <v>USD</v>
          </cell>
        </row>
        <row r="1051">
          <cell r="C1051" t="str">
            <v>NY</v>
          </cell>
          <cell r="E1051" t="str">
            <v>Acquisition- Construction</v>
          </cell>
          <cell r="G1051" t="str">
            <v>USD</v>
          </cell>
        </row>
        <row r="1052">
          <cell r="C1052" t="str">
            <v>NY</v>
          </cell>
          <cell r="E1052" t="str">
            <v>Acquisition</v>
          </cell>
          <cell r="G1052" t="str">
            <v>USD</v>
          </cell>
        </row>
        <row r="1053">
          <cell r="C1053" t="str">
            <v>LA</v>
          </cell>
          <cell r="E1053" t="str">
            <v>Refinance</v>
          </cell>
          <cell r="G1053" t="str">
            <v>USD</v>
          </cell>
        </row>
        <row r="1054">
          <cell r="C1054" t="str">
            <v>NY</v>
          </cell>
          <cell r="E1054" t="str">
            <v>Acquisition</v>
          </cell>
          <cell r="G1054" t="str">
            <v>USD</v>
          </cell>
        </row>
        <row r="1055">
          <cell r="C1055" t="str">
            <v>LA</v>
          </cell>
          <cell r="E1055" t="str">
            <v>Acquisition- Construction</v>
          </cell>
          <cell r="G1055" t="str">
            <v>USD</v>
          </cell>
        </row>
        <row r="1056">
          <cell r="C1056" t="str">
            <v>LA</v>
          </cell>
          <cell r="E1056" t="str">
            <v>Acquisition</v>
          </cell>
          <cell r="G1056" t="str">
            <v>USD</v>
          </cell>
        </row>
        <row r="1057">
          <cell r="C1057" t="str">
            <v>LA</v>
          </cell>
          <cell r="E1057" t="str">
            <v>Acquisition- Construction</v>
          </cell>
          <cell r="G1057" t="str">
            <v>USD</v>
          </cell>
        </row>
        <row r="1058">
          <cell r="C1058" t="str">
            <v>NY</v>
          </cell>
          <cell r="E1058" t="str">
            <v>Acquisition</v>
          </cell>
          <cell r="G1058" t="str">
            <v>USD</v>
          </cell>
        </row>
        <row r="1059">
          <cell r="C1059" t="str">
            <v>NY</v>
          </cell>
          <cell r="E1059" t="str">
            <v>Acquisition- Construction</v>
          </cell>
          <cell r="G1059" t="str">
            <v>USD</v>
          </cell>
        </row>
        <row r="1060">
          <cell r="C1060" t="str">
            <v>NY</v>
          </cell>
          <cell r="E1060" t="str">
            <v>Acquisition- Construction</v>
          </cell>
          <cell r="G1060" t="str">
            <v>USD</v>
          </cell>
        </row>
        <row r="1061">
          <cell r="C1061" t="str">
            <v>NY</v>
          </cell>
          <cell r="E1061" t="str">
            <v>Acquisition</v>
          </cell>
          <cell r="G1061" t="str">
            <v>USD</v>
          </cell>
        </row>
        <row r="1062">
          <cell r="C1062" t="str">
            <v>NY</v>
          </cell>
          <cell r="E1062" t="str">
            <v>Refinance</v>
          </cell>
          <cell r="G1062" t="str">
            <v>USD</v>
          </cell>
        </row>
        <row r="1063">
          <cell r="C1063" t="str">
            <v>LA</v>
          </cell>
          <cell r="E1063" t="str">
            <v>Refinance</v>
          </cell>
          <cell r="G1063" t="str">
            <v>USD</v>
          </cell>
        </row>
        <row r="1064">
          <cell r="C1064" t="str">
            <v>LA</v>
          </cell>
          <cell r="E1064" t="str">
            <v>Refinance</v>
          </cell>
          <cell r="G1064" t="str">
            <v>USD</v>
          </cell>
        </row>
        <row r="1065">
          <cell r="C1065" t="str">
            <v>LA</v>
          </cell>
          <cell r="E1065" t="str">
            <v>Acquisition- Construction</v>
          </cell>
          <cell r="G1065" t="str">
            <v>USD</v>
          </cell>
        </row>
        <row r="1066">
          <cell r="C1066" t="str">
            <v>NY</v>
          </cell>
          <cell r="E1066" t="str">
            <v>Acquisition- Construction</v>
          </cell>
          <cell r="G1066" t="str">
            <v>USD</v>
          </cell>
        </row>
        <row r="1067">
          <cell r="C1067" t="str">
            <v>LA</v>
          </cell>
          <cell r="E1067" t="str">
            <v>Acquisition</v>
          </cell>
          <cell r="G1067" t="str">
            <v>USD</v>
          </cell>
        </row>
        <row r="1068">
          <cell r="C1068" t="str">
            <v>LA</v>
          </cell>
          <cell r="E1068" t="str">
            <v>Refinance</v>
          </cell>
          <cell r="G1068" t="str">
            <v>USD</v>
          </cell>
        </row>
        <row r="1069">
          <cell r="C1069" t="str">
            <v>SF</v>
          </cell>
          <cell r="E1069" t="str">
            <v>Refinance</v>
          </cell>
          <cell r="F1069">
            <v>-2707520</v>
          </cell>
          <cell r="G1069" t="str">
            <v>USD</v>
          </cell>
        </row>
        <row r="1070">
          <cell r="C1070" t="str">
            <v>NY</v>
          </cell>
          <cell r="E1070" t="str">
            <v>Acquisition- Construction</v>
          </cell>
          <cell r="G1070" t="str">
            <v>USD</v>
          </cell>
        </row>
        <row r="1071">
          <cell r="C1071" t="str">
            <v>DAL</v>
          </cell>
          <cell r="E1071" t="str">
            <v>Acquisition</v>
          </cell>
          <cell r="G1071" t="str">
            <v>USD</v>
          </cell>
        </row>
        <row r="1072">
          <cell r="C1072" t="str">
            <v>DAL</v>
          </cell>
          <cell r="E1072" t="str">
            <v>Acquisition</v>
          </cell>
          <cell r="G1072" t="str">
            <v>USD</v>
          </cell>
        </row>
        <row r="1073">
          <cell r="C1073" t="str">
            <v>LA</v>
          </cell>
          <cell r="E1073" t="str">
            <v>Acquisition- Construction</v>
          </cell>
          <cell r="G1073" t="str">
            <v>USD</v>
          </cell>
        </row>
        <row r="1074">
          <cell r="C1074" t="str">
            <v>DAL</v>
          </cell>
          <cell r="E1074" t="str">
            <v>Refinance</v>
          </cell>
          <cell r="G1074" t="str">
            <v>USD</v>
          </cell>
        </row>
        <row r="1075">
          <cell r="C1075" t="str">
            <v>NY</v>
          </cell>
          <cell r="E1075" t="str">
            <v>Acquisition- Construction</v>
          </cell>
          <cell r="G1075" t="str">
            <v>USD</v>
          </cell>
        </row>
        <row r="1076">
          <cell r="C1076" t="str">
            <v>NY</v>
          </cell>
          <cell r="E1076" t="str">
            <v>Acquisition- Construction</v>
          </cell>
          <cell r="G1076" t="str">
            <v>USD</v>
          </cell>
        </row>
        <row r="1077">
          <cell r="C1077" t="str">
            <v>NY</v>
          </cell>
          <cell r="E1077" t="str">
            <v>Acquisition</v>
          </cell>
          <cell r="G1077" t="str">
            <v>USD</v>
          </cell>
        </row>
        <row r="1078">
          <cell r="C1078" t="str">
            <v>DAL</v>
          </cell>
          <cell r="E1078" t="str">
            <v>Acquisition- Construction</v>
          </cell>
          <cell r="G1078" t="str">
            <v>USD</v>
          </cell>
        </row>
        <row r="1079">
          <cell r="C1079" t="str">
            <v>DAL</v>
          </cell>
          <cell r="E1079" t="str">
            <v>Acquisition- Construction</v>
          </cell>
          <cell r="G1079" t="str">
            <v>USD</v>
          </cell>
        </row>
        <row r="1080">
          <cell r="C1080" t="str">
            <v>DAL</v>
          </cell>
          <cell r="E1080" t="str">
            <v>Acquisition- Construction</v>
          </cell>
          <cell r="G1080" t="str">
            <v>USD</v>
          </cell>
        </row>
        <row r="1081">
          <cell r="C1081" t="str">
            <v>NY</v>
          </cell>
          <cell r="E1081" t="str">
            <v>Acquisition- Construction</v>
          </cell>
          <cell r="G1081" t="str">
            <v>USD</v>
          </cell>
        </row>
        <row r="1082">
          <cell r="C1082" t="str">
            <v>LA</v>
          </cell>
          <cell r="E1082" t="str">
            <v>Acquisition</v>
          </cell>
          <cell r="G1082" t="str">
            <v>USD</v>
          </cell>
        </row>
        <row r="1083">
          <cell r="C1083" t="str">
            <v>NY</v>
          </cell>
          <cell r="E1083" t="str">
            <v>Acquisition</v>
          </cell>
          <cell r="G1083" t="str">
            <v>USD</v>
          </cell>
        </row>
        <row r="1084">
          <cell r="C1084" t="str">
            <v>NY</v>
          </cell>
          <cell r="E1084" t="str">
            <v>Refinance</v>
          </cell>
          <cell r="G1084" t="str">
            <v>USD</v>
          </cell>
        </row>
        <row r="1085">
          <cell r="C1085" t="str">
            <v>NY</v>
          </cell>
          <cell r="E1085" t="str">
            <v>Acquisition- Construction</v>
          </cell>
          <cell r="G1085" t="str">
            <v>USD</v>
          </cell>
        </row>
        <row r="1086">
          <cell r="C1086" t="str">
            <v>NY</v>
          </cell>
          <cell r="E1086" t="str">
            <v>Refinance</v>
          </cell>
          <cell r="G1086" t="str">
            <v>USD</v>
          </cell>
        </row>
        <row r="1087">
          <cell r="C1087" t="str">
            <v>SF</v>
          </cell>
          <cell r="E1087" t="str">
            <v>Refinance Construction</v>
          </cell>
          <cell r="G1087" t="str">
            <v>USD</v>
          </cell>
        </row>
        <row r="1088">
          <cell r="C1088" t="str">
            <v>SF</v>
          </cell>
          <cell r="E1088" t="str">
            <v>Refinance Construction</v>
          </cell>
          <cell r="G1088" t="str">
            <v>USD</v>
          </cell>
        </row>
        <row r="1089">
          <cell r="C1089" t="str">
            <v>NY</v>
          </cell>
          <cell r="E1089" t="str">
            <v>Refinance</v>
          </cell>
          <cell r="G1089" t="str">
            <v>USD</v>
          </cell>
        </row>
        <row r="1090">
          <cell r="C1090" t="str">
            <v>NY</v>
          </cell>
          <cell r="E1090" t="str">
            <v>Refinance</v>
          </cell>
          <cell r="G1090" t="str">
            <v>USD</v>
          </cell>
        </row>
        <row r="1091">
          <cell r="C1091" t="str">
            <v>NY</v>
          </cell>
          <cell r="E1091" t="str">
            <v xml:space="preserve">Bridge </v>
          </cell>
          <cell r="G1091" t="str">
            <v>USD</v>
          </cell>
        </row>
        <row r="1092">
          <cell r="C1092" t="str">
            <v>DAL</v>
          </cell>
          <cell r="E1092" t="str">
            <v>Acquisition</v>
          </cell>
          <cell r="G1092" t="str">
            <v>USD</v>
          </cell>
        </row>
        <row r="1093">
          <cell r="C1093" t="str">
            <v>DAL</v>
          </cell>
          <cell r="E1093" t="str">
            <v>Refinance</v>
          </cell>
          <cell r="G1093" t="str">
            <v>USD</v>
          </cell>
        </row>
        <row r="1094">
          <cell r="C1094" t="str">
            <v>LA</v>
          </cell>
          <cell r="E1094" t="str">
            <v>Acquisition</v>
          </cell>
          <cell r="G1094" t="str">
            <v>USD</v>
          </cell>
        </row>
        <row r="1095">
          <cell r="C1095" t="str">
            <v>DAL</v>
          </cell>
          <cell r="E1095" t="str">
            <v>Refinance</v>
          </cell>
          <cell r="G1095" t="str">
            <v>USD</v>
          </cell>
        </row>
        <row r="1096">
          <cell r="C1096" t="str">
            <v>NY</v>
          </cell>
          <cell r="E1096" t="str">
            <v>Refinance</v>
          </cell>
          <cell r="G1096" t="str">
            <v>USD</v>
          </cell>
        </row>
        <row r="1097">
          <cell r="C1097" t="str">
            <v>NY</v>
          </cell>
          <cell r="E1097" t="str">
            <v>Acquisition</v>
          </cell>
          <cell r="G1097" t="str">
            <v>USD</v>
          </cell>
        </row>
        <row r="1098">
          <cell r="C1098" t="str">
            <v>NY</v>
          </cell>
          <cell r="E1098" t="str">
            <v>Acquisition- Construction</v>
          </cell>
          <cell r="G1098" t="str">
            <v>USD</v>
          </cell>
        </row>
        <row r="1099">
          <cell r="C1099" t="str">
            <v>NY</v>
          </cell>
          <cell r="E1099" t="str">
            <v>Acquisition</v>
          </cell>
          <cell r="G1099" t="str">
            <v>USD</v>
          </cell>
        </row>
        <row r="1100">
          <cell r="C1100" t="str">
            <v>NY</v>
          </cell>
          <cell r="E1100" t="str">
            <v>Refinance</v>
          </cell>
          <cell r="G1100" t="str">
            <v>USD</v>
          </cell>
        </row>
        <row r="1101">
          <cell r="C1101" t="str">
            <v>SF</v>
          </cell>
          <cell r="E1101" t="str">
            <v>Acquisition</v>
          </cell>
          <cell r="G1101" t="str">
            <v>USD</v>
          </cell>
        </row>
        <row r="1102">
          <cell r="C1102" t="str">
            <v>DAL</v>
          </cell>
          <cell r="E1102" t="str">
            <v>Refinance- No Cash Out</v>
          </cell>
          <cell r="G1102" t="str">
            <v>USD</v>
          </cell>
        </row>
        <row r="1103">
          <cell r="C1103" t="str">
            <v>DAL</v>
          </cell>
          <cell r="E1103" t="str">
            <v>Acquisition</v>
          </cell>
          <cell r="G1103" t="str">
            <v>USD</v>
          </cell>
        </row>
        <row r="1104">
          <cell r="C1104" t="str">
            <v>NY</v>
          </cell>
          <cell r="E1104" t="str">
            <v>Acquisition- Construction</v>
          </cell>
          <cell r="G1104" t="str">
            <v>USD</v>
          </cell>
        </row>
        <row r="1105">
          <cell r="C1105" t="str">
            <v>LA</v>
          </cell>
          <cell r="E1105" t="str">
            <v>Acquisition</v>
          </cell>
          <cell r="G1105" t="str">
            <v>USD</v>
          </cell>
        </row>
        <row r="1106">
          <cell r="C1106" t="str">
            <v>LA</v>
          </cell>
          <cell r="E1106" t="str">
            <v>Acquisition</v>
          </cell>
          <cell r="G1106" t="str">
            <v>USD</v>
          </cell>
        </row>
        <row r="1107">
          <cell r="C1107" t="str">
            <v>NY</v>
          </cell>
          <cell r="E1107" t="str">
            <v>Refinance</v>
          </cell>
          <cell r="G1107" t="str">
            <v>USD</v>
          </cell>
        </row>
        <row r="1108">
          <cell r="C1108" t="str">
            <v>NY</v>
          </cell>
          <cell r="E1108" t="str">
            <v>Acquisition- Construction</v>
          </cell>
          <cell r="G1108" t="str">
            <v>USD</v>
          </cell>
        </row>
        <row r="1109">
          <cell r="C1109" t="str">
            <v>NY</v>
          </cell>
          <cell r="E1109" t="str">
            <v>Acquisition</v>
          </cell>
          <cell r="G1109" t="str">
            <v>USD</v>
          </cell>
        </row>
        <row r="1110">
          <cell r="C1110" t="str">
            <v>SF</v>
          </cell>
          <cell r="E1110" t="str">
            <v>Refinance</v>
          </cell>
          <cell r="G1110" t="str">
            <v>USD</v>
          </cell>
        </row>
        <row r="1111">
          <cell r="C1111" t="str">
            <v>DAL</v>
          </cell>
          <cell r="E1111" t="str">
            <v>Acquisition</v>
          </cell>
          <cell r="G1111" t="str">
            <v>USD</v>
          </cell>
        </row>
        <row r="1112">
          <cell r="C1112" t="str">
            <v>LA</v>
          </cell>
          <cell r="E1112" t="str">
            <v>Acquisition- Construction</v>
          </cell>
          <cell r="G1112" t="str">
            <v>USD</v>
          </cell>
        </row>
        <row r="1113">
          <cell r="C1113" t="str">
            <v>NY</v>
          </cell>
          <cell r="E1113" t="str">
            <v>Acquisition- Construction</v>
          </cell>
          <cell r="G1113" t="str">
            <v>USD</v>
          </cell>
        </row>
        <row r="1114">
          <cell r="C1114" t="str">
            <v>DAL</v>
          </cell>
          <cell r="E1114" t="str">
            <v>Acquisition</v>
          </cell>
          <cell r="G1114" t="str">
            <v>USD</v>
          </cell>
        </row>
        <row r="1115">
          <cell r="C1115" t="str">
            <v>NY</v>
          </cell>
          <cell r="E1115" t="str">
            <v>Acquisition</v>
          </cell>
          <cell r="G1115" t="str">
            <v>USD</v>
          </cell>
        </row>
        <row r="1116">
          <cell r="C1116" t="str">
            <v>NY</v>
          </cell>
          <cell r="E1116" t="str">
            <v>Acquisition- Construction</v>
          </cell>
          <cell r="G1116" t="str">
            <v>USD</v>
          </cell>
        </row>
        <row r="1117">
          <cell r="C1117" t="str">
            <v>LA</v>
          </cell>
          <cell r="E1117" t="str">
            <v>Refinance Construction</v>
          </cell>
          <cell r="G1117" t="str">
            <v>USD</v>
          </cell>
        </row>
        <row r="1118">
          <cell r="C1118" t="str">
            <v>LA</v>
          </cell>
          <cell r="G1118" t="str">
            <v>USD</v>
          </cell>
        </row>
        <row r="1119">
          <cell r="C1119" t="str">
            <v>NY</v>
          </cell>
          <cell r="E1119" t="str">
            <v>Acquisition</v>
          </cell>
          <cell r="G1119" t="str">
            <v>USD</v>
          </cell>
        </row>
        <row r="1120">
          <cell r="C1120" t="str">
            <v>DAL</v>
          </cell>
          <cell r="E1120" t="str">
            <v>Refinance</v>
          </cell>
          <cell r="G1120" t="str">
            <v>USD</v>
          </cell>
        </row>
        <row r="1121">
          <cell r="C1121" t="str">
            <v>NY</v>
          </cell>
          <cell r="E1121" t="str">
            <v>Refinance</v>
          </cell>
          <cell r="G1121" t="str">
            <v>USD</v>
          </cell>
        </row>
        <row r="1122">
          <cell r="C1122" t="str">
            <v>NY</v>
          </cell>
          <cell r="E1122" t="str">
            <v>Acquisition</v>
          </cell>
          <cell r="G1122" t="str">
            <v>USD</v>
          </cell>
        </row>
        <row r="1123">
          <cell r="C1123" t="str">
            <v>NY</v>
          </cell>
          <cell r="E1123" t="str">
            <v>Acquisition</v>
          </cell>
          <cell r="G1123" t="str">
            <v>USD</v>
          </cell>
        </row>
        <row r="1124">
          <cell r="C1124" t="str">
            <v>NY</v>
          </cell>
          <cell r="E1124" t="str">
            <v>Refinance</v>
          </cell>
          <cell r="G1124" t="str">
            <v>USD</v>
          </cell>
        </row>
        <row r="1125">
          <cell r="C1125" t="str">
            <v>SF</v>
          </cell>
          <cell r="E1125" t="str">
            <v>Refinance- No Cash Out</v>
          </cell>
          <cell r="G1125" t="str">
            <v>USD</v>
          </cell>
        </row>
        <row r="1126">
          <cell r="C1126" t="str">
            <v>NY</v>
          </cell>
          <cell r="E1126" t="str">
            <v>Acquisition</v>
          </cell>
          <cell r="G1126" t="str">
            <v>USD</v>
          </cell>
        </row>
        <row r="1127">
          <cell r="C1127" t="str">
            <v>LA</v>
          </cell>
          <cell r="E1127" t="str">
            <v>Acquisition- Construction</v>
          </cell>
          <cell r="G1127" t="str">
            <v>USD</v>
          </cell>
        </row>
        <row r="1128">
          <cell r="C1128" t="str">
            <v>DAL</v>
          </cell>
          <cell r="E1128" t="str">
            <v>Acquisition- Construction</v>
          </cell>
          <cell r="G1128" t="str">
            <v>USD</v>
          </cell>
        </row>
        <row r="1129">
          <cell r="C1129" t="str">
            <v>NY</v>
          </cell>
          <cell r="E1129" t="str">
            <v>Acquisition- Construction</v>
          </cell>
          <cell r="G1129" t="str">
            <v>USD</v>
          </cell>
        </row>
        <row r="1130">
          <cell r="C1130" t="str">
            <v>LA</v>
          </cell>
          <cell r="E1130" t="str">
            <v>Acquisition</v>
          </cell>
          <cell r="G1130" t="str">
            <v>USD</v>
          </cell>
        </row>
        <row r="1131">
          <cell r="C1131" t="str">
            <v>DAL</v>
          </cell>
          <cell r="E1131" t="str">
            <v xml:space="preserve">Bridge </v>
          </cell>
          <cell r="G1131" t="str">
            <v>USD</v>
          </cell>
        </row>
        <row r="1132">
          <cell r="C1132" t="str">
            <v>DAL</v>
          </cell>
          <cell r="E1132" t="str">
            <v>Acquisition- Construction</v>
          </cell>
          <cell r="G1132" t="str">
            <v>USD</v>
          </cell>
        </row>
        <row r="1133">
          <cell r="C1133" t="str">
            <v>LA</v>
          </cell>
          <cell r="E1133" t="str">
            <v>Acquisition- Construction</v>
          </cell>
          <cell r="G1133" t="str">
            <v>USD</v>
          </cell>
        </row>
        <row r="1134">
          <cell r="C1134" t="str">
            <v>LA</v>
          </cell>
          <cell r="E1134" t="str">
            <v>Acquisition</v>
          </cell>
          <cell r="G1134" t="str">
            <v>USD</v>
          </cell>
        </row>
        <row r="1135">
          <cell r="C1135" t="str">
            <v>LA</v>
          </cell>
          <cell r="E1135" t="str">
            <v>Refinance Construction</v>
          </cell>
          <cell r="G1135" t="str">
            <v>USD</v>
          </cell>
        </row>
        <row r="1136">
          <cell r="C1136" t="str">
            <v>LA</v>
          </cell>
          <cell r="E1136" t="str">
            <v>Refinance Construction</v>
          </cell>
          <cell r="G1136" t="str">
            <v>USD</v>
          </cell>
        </row>
        <row r="1137">
          <cell r="C1137" t="str">
            <v>LA</v>
          </cell>
          <cell r="E1137" t="str">
            <v>Acquisition</v>
          </cell>
          <cell r="G1137" t="str">
            <v>USD</v>
          </cell>
        </row>
        <row r="1138">
          <cell r="C1138" t="str">
            <v>LA</v>
          </cell>
          <cell r="E1138" t="str">
            <v>Acquisition- Construction</v>
          </cell>
          <cell r="G1138" t="str">
            <v>USD</v>
          </cell>
        </row>
        <row r="1139">
          <cell r="C1139" t="str">
            <v>LA</v>
          </cell>
          <cell r="D1139" t="str">
            <v>Dimitar Goulev</v>
          </cell>
          <cell r="E1139" t="str">
            <v>Acquisition</v>
          </cell>
          <cell r="G1139" t="str">
            <v>USD</v>
          </cell>
        </row>
        <row r="1140">
          <cell r="C1140" t="str">
            <v>LA</v>
          </cell>
          <cell r="E1140" t="str">
            <v>Acquisition</v>
          </cell>
          <cell r="G1140" t="str">
            <v>USD</v>
          </cell>
        </row>
        <row r="1141">
          <cell r="C1141" t="str">
            <v>LA</v>
          </cell>
          <cell r="E1141" t="str">
            <v>Acquisition</v>
          </cell>
          <cell r="G1141" t="str">
            <v>USD</v>
          </cell>
        </row>
        <row r="1142">
          <cell r="C1142" t="str">
            <v>LA</v>
          </cell>
          <cell r="E1142" t="str">
            <v xml:space="preserve">Bridge </v>
          </cell>
          <cell r="G1142" t="str">
            <v>USD</v>
          </cell>
        </row>
        <row r="1143">
          <cell r="C1143" t="str">
            <v>LA</v>
          </cell>
          <cell r="E1143" t="str">
            <v>Acquisition- Construction</v>
          </cell>
          <cell r="G1143" t="str">
            <v>USD</v>
          </cell>
        </row>
        <row r="1144">
          <cell r="C1144" t="str">
            <v>DAL</v>
          </cell>
          <cell r="E1144" t="str">
            <v>Refinance Construction</v>
          </cell>
          <cell r="G1144" t="str">
            <v>USD</v>
          </cell>
        </row>
        <row r="1145">
          <cell r="C1145" t="str">
            <v>LA</v>
          </cell>
          <cell r="E1145" t="str">
            <v>Acquisition</v>
          </cell>
          <cell r="G1145" t="str">
            <v>USD</v>
          </cell>
        </row>
        <row r="1146">
          <cell r="C1146" t="str">
            <v>LA</v>
          </cell>
          <cell r="E1146" t="str">
            <v>Acquisition</v>
          </cell>
          <cell r="G1146" t="str">
            <v>USD</v>
          </cell>
        </row>
        <row r="1147">
          <cell r="C1147" t="str">
            <v>DAL</v>
          </cell>
          <cell r="E1147" t="str">
            <v>Refinance</v>
          </cell>
          <cell r="G1147" t="str">
            <v>USD</v>
          </cell>
        </row>
        <row r="1148">
          <cell r="C1148" t="str">
            <v>LA</v>
          </cell>
          <cell r="E1148" t="str">
            <v>Acquisition</v>
          </cell>
          <cell r="G1148" t="str">
            <v>USD</v>
          </cell>
        </row>
        <row r="1149">
          <cell r="C1149" t="str">
            <v>NY</v>
          </cell>
          <cell r="E1149" t="str">
            <v>Refinance</v>
          </cell>
          <cell r="G1149" t="str">
            <v>USD</v>
          </cell>
        </row>
        <row r="1150">
          <cell r="C1150" t="str">
            <v>NY</v>
          </cell>
          <cell r="D1150" t="str">
            <v>Scott Swisher</v>
          </cell>
          <cell r="E1150" t="str">
            <v>Refinance</v>
          </cell>
          <cell r="G1150" t="str">
            <v>USD</v>
          </cell>
        </row>
        <row r="1151">
          <cell r="C1151" t="str">
            <v>NY</v>
          </cell>
          <cell r="E1151" t="str">
            <v>Acquisition</v>
          </cell>
          <cell r="G1151" t="str">
            <v>USD</v>
          </cell>
        </row>
        <row r="1152">
          <cell r="C1152" t="str">
            <v>NY</v>
          </cell>
          <cell r="E1152" t="str">
            <v>Refinance</v>
          </cell>
          <cell r="G1152" t="str">
            <v>USD</v>
          </cell>
        </row>
        <row r="1153">
          <cell r="C1153" t="str">
            <v>NY</v>
          </cell>
          <cell r="E1153" t="str">
            <v>Refinance Construction</v>
          </cell>
          <cell r="G1153" t="str">
            <v>USD</v>
          </cell>
        </row>
        <row r="1154">
          <cell r="C1154" t="str">
            <v>NY</v>
          </cell>
          <cell r="E1154" t="str">
            <v>Refinance</v>
          </cell>
          <cell r="G1154" t="str">
            <v>USD</v>
          </cell>
        </row>
        <row r="1155">
          <cell r="C1155" t="str">
            <v>NY</v>
          </cell>
          <cell r="E1155" t="str">
            <v>Acquisition</v>
          </cell>
          <cell r="G1155" t="str">
            <v>USD</v>
          </cell>
        </row>
        <row r="1156">
          <cell r="C1156" t="str">
            <v>NY</v>
          </cell>
          <cell r="E1156" t="str">
            <v>Acquisition- Construction</v>
          </cell>
          <cell r="G1156" t="str">
            <v>USD</v>
          </cell>
        </row>
        <row r="1157">
          <cell r="C1157" t="str">
            <v>NY</v>
          </cell>
          <cell r="E1157" t="str">
            <v>Acquisition- Construction</v>
          </cell>
          <cell r="G1157" t="str">
            <v>USD</v>
          </cell>
        </row>
        <row r="1158">
          <cell r="C1158" t="str">
            <v>NY</v>
          </cell>
          <cell r="E1158" t="str">
            <v>Acquisition</v>
          </cell>
          <cell r="G1158" t="str">
            <v>USD</v>
          </cell>
        </row>
        <row r="1159">
          <cell r="C1159" t="str">
            <v>NY</v>
          </cell>
          <cell r="E1159" t="str">
            <v>Acquisition- Construction</v>
          </cell>
          <cell r="G1159" t="str">
            <v>USD</v>
          </cell>
        </row>
        <row r="1160">
          <cell r="C1160" t="str">
            <v>LA</v>
          </cell>
          <cell r="E1160" t="str">
            <v>Acquisition</v>
          </cell>
          <cell r="G1160" t="str">
            <v>USD</v>
          </cell>
        </row>
        <row r="1161">
          <cell r="C1161" t="str">
            <v>LA</v>
          </cell>
          <cell r="E1161" t="str">
            <v>Acquisition- Construction</v>
          </cell>
          <cell r="G1161" t="str">
            <v>USD</v>
          </cell>
        </row>
        <row r="1162">
          <cell r="C1162" t="str">
            <v>LA</v>
          </cell>
          <cell r="E1162" t="str">
            <v>Acquisition- Construction</v>
          </cell>
          <cell r="G1162" t="str">
            <v>USD</v>
          </cell>
        </row>
        <row r="1163">
          <cell r="C1163" t="str">
            <v>LA</v>
          </cell>
          <cell r="E1163" t="str">
            <v>Acquisition</v>
          </cell>
          <cell r="G1163" t="str">
            <v>USD</v>
          </cell>
        </row>
        <row r="1164">
          <cell r="C1164" t="str">
            <v>LA</v>
          </cell>
          <cell r="E1164" t="str">
            <v>Acquisition</v>
          </cell>
          <cell r="G1164" t="str">
            <v>USD</v>
          </cell>
        </row>
        <row r="1165">
          <cell r="C1165" t="str">
            <v>LA</v>
          </cell>
          <cell r="E1165" t="str">
            <v>Acquisition</v>
          </cell>
          <cell r="G1165" t="str">
            <v>USD</v>
          </cell>
        </row>
        <row r="1166">
          <cell r="C1166" t="str">
            <v>LA</v>
          </cell>
          <cell r="E1166" t="str">
            <v>Acquisition- Construction</v>
          </cell>
          <cell r="G1166" t="str">
            <v>USD</v>
          </cell>
        </row>
        <row r="1167">
          <cell r="C1167" t="str">
            <v>NY</v>
          </cell>
          <cell r="E1167" t="str">
            <v>Acquisition</v>
          </cell>
          <cell r="G1167" t="str">
            <v>USD</v>
          </cell>
        </row>
        <row r="1168">
          <cell r="C1168" t="str">
            <v>NY</v>
          </cell>
          <cell r="E1168" t="str">
            <v>Acquisition- Construction</v>
          </cell>
          <cell r="G1168" t="str">
            <v>USD</v>
          </cell>
        </row>
        <row r="1169">
          <cell r="C1169" t="str">
            <v>NY</v>
          </cell>
          <cell r="E1169" t="str">
            <v>Acquisition</v>
          </cell>
          <cell r="G1169" t="str">
            <v>USD</v>
          </cell>
        </row>
        <row r="1170">
          <cell r="C1170" t="str">
            <v>DAL</v>
          </cell>
          <cell r="E1170" t="str">
            <v>Acquisition- Construction</v>
          </cell>
          <cell r="G1170" t="str">
            <v>USD</v>
          </cell>
        </row>
        <row r="1171">
          <cell r="C1171" t="str">
            <v>LA</v>
          </cell>
          <cell r="E1171" t="str">
            <v>Acquisition</v>
          </cell>
          <cell r="G1171" t="str">
            <v>USD</v>
          </cell>
        </row>
        <row r="1172">
          <cell r="C1172" t="str">
            <v>NY</v>
          </cell>
          <cell r="E1172" t="str">
            <v>Acquisition- Construction</v>
          </cell>
          <cell r="G1172" t="str">
            <v>USD</v>
          </cell>
        </row>
        <row r="1173">
          <cell r="C1173" t="str">
            <v>NY</v>
          </cell>
          <cell r="E1173" t="str">
            <v>Acquisition</v>
          </cell>
          <cell r="G1173" t="str">
            <v>USD</v>
          </cell>
        </row>
        <row r="1174">
          <cell r="C1174" t="str">
            <v>NY</v>
          </cell>
          <cell r="E1174" t="str">
            <v>Acquisition- Construction</v>
          </cell>
          <cell r="G1174" t="str">
            <v>USD</v>
          </cell>
        </row>
        <row r="1175">
          <cell r="C1175" t="str">
            <v>NY</v>
          </cell>
          <cell r="E1175" t="str">
            <v>Acquisition</v>
          </cell>
          <cell r="G1175" t="str">
            <v>USD</v>
          </cell>
        </row>
        <row r="1176">
          <cell r="C1176" t="str">
            <v>NY</v>
          </cell>
          <cell r="E1176" t="str">
            <v>Acquisition</v>
          </cell>
          <cell r="G1176" t="str">
            <v>USD</v>
          </cell>
        </row>
        <row r="1177">
          <cell r="C1177" t="str">
            <v>NY</v>
          </cell>
          <cell r="E1177" t="str">
            <v>Refinance</v>
          </cell>
          <cell r="G1177" t="str">
            <v>USD</v>
          </cell>
        </row>
        <row r="1178">
          <cell r="C1178" t="str">
            <v>NY</v>
          </cell>
          <cell r="E1178" t="str">
            <v>Refinance</v>
          </cell>
          <cell r="G1178" t="str">
            <v>USD</v>
          </cell>
        </row>
        <row r="1179">
          <cell r="C1179" t="str">
            <v>NY</v>
          </cell>
          <cell r="E1179" t="str">
            <v>Acquisition</v>
          </cell>
          <cell r="G1179" t="str">
            <v>USD</v>
          </cell>
        </row>
        <row r="1180">
          <cell r="C1180" t="str">
            <v>NY</v>
          </cell>
          <cell r="E1180" t="str">
            <v>Acquisition</v>
          </cell>
          <cell r="G1180" t="str">
            <v>USD</v>
          </cell>
        </row>
        <row r="1181">
          <cell r="C1181" t="str">
            <v>NY</v>
          </cell>
          <cell r="E1181" t="str">
            <v>Acquisition- Construction</v>
          </cell>
          <cell r="G1181" t="str">
            <v>USD</v>
          </cell>
        </row>
        <row r="1182">
          <cell r="C1182" t="str">
            <v>NY</v>
          </cell>
          <cell r="E1182" t="str">
            <v>Acquisition- Construction</v>
          </cell>
          <cell r="G1182" t="str">
            <v>USD</v>
          </cell>
        </row>
        <row r="1183">
          <cell r="C1183" t="str">
            <v>DAL</v>
          </cell>
          <cell r="E1183" t="str">
            <v>Acquisition- Construction</v>
          </cell>
          <cell r="G1183" t="str">
            <v>USD</v>
          </cell>
        </row>
        <row r="1184">
          <cell r="C1184" t="str">
            <v>DAL</v>
          </cell>
          <cell r="E1184" t="str">
            <v>Acquisition- Construction</v>
          </cell>
          <cell r="G1184" t="str">
            <v>USD</v>
          </cell>
        </row>
        <row r="1185">
          <cell r="C1185" t="str">
            <v>LA</v>
          </cell>
          <cell r="E1185" t="str">
            <v>Refinance- Cash Out</v>
          </cell>
          <cell r="G1185" t="str">
            <v>USD</v>
          </cell>
        </row>
        <row r="1186">
          <cell r="C1186" t="str">
            <v>LA</v>
          </cell>
          <cell r="E1186" t="str">
            <v>Acquisition- Construction</v>
          </cell>
          <cell r="G1186" t="str">
            <v>USD</v>
          </cell>
        </row>
        <row r="1187">
          <cell r="C1187" t="str">
            <v>DAL</v>
          </cell>
          <cell r="E1187" t="str">
            <v>Acquisition</v>
          </cell>
          <cell r="G1187" t="str">
            <v>USD</v>
          </cell>
        </row>
        <row r="1188">
          <cell r="C1188" t="str">
            <v>DAL</v>
          </cell>
          <cell r="E1188" t="str">
            <v>Acquisition</v>
          </cell>
          <cell r="G1188" t="str">
            <v>USD</v>
          </cell>
        </row>
        <row r="1189">
          <cell r="C1189" t="str">
            <v>LA</v>
          </cell>
          <cell r="E1189" t="str">
            <v>Acquisition- Construction</v>
          </cell>
          <cell r="G1189" t="str">
            <v>USD</v>
          </cell>
        </row>
        <row r="1190">
          <cell r="C1190" t="str">
            <v>DAL</v>
          </cell>
          <cell r="E1190" t="str">
            <v>Acquisition</v>
          </cell>
          <cell r="G1190" t="str">
            <v>USD</v>
          </cell>
        </row>
        <row r="1191">
          <cell r="C1191" t="str">
            <v>NY</v>
          </cell>
          <cell r="E1191" t="str">
            <v>Acquisition</v>
          </cell>
          <cell r="G1191" t="str">
            <v>USD</v>
          </cell>
        </row>
        <row r="1192">
          <cell r="C1192" t="str">
            <v>NY</v>
          </cell>
          <cell r="E1192" t="str">
            <v>Acquisition</v>
          </cell>
          <cell r="G1192" t="str">
            <v>USD</v>
          </cell>
        </row>
        <row r="1193">
          <cell r="C1193" t="str">
            <v>NY</v>
          </cell>
          <cell r="E1193" t="str">
            <v>Acquisition- Construction</v>
          </cell>
          <cell r="G1193" t="str">
            <v>USD</v>
          </cell>
        </row>
        <row r="1194">
          <cell r="C1194" t="str">
            <v>NY</v>
          </cell>
          <cell r="E1194" t="str">
            <v>Acquisition</v>
          </cell>
          <cell r="G1194" t="str">
            <v>USD</v>
          </cell>
        </row>
        <row r="1195">
          <cell r="C1195" t="str">
            <v>DAL</v>
          </cell>
          <cell r="E1195" t="str">
            <v>Acquisition- Construction</v>
          </cell>
          <cell r="G1195" t="str">
            <v>USD</v>
          </cell>
        </row>
        <row r="1196">
          <cell r="C1196" t="str">
            <v>NY</v>
          </cell>
          <cell r="E1196" t="str">
            <v>Acquisition- Construction</v>
          </cell>
          <cell r="G1196" t="str">
            <v>USD</v>
          </cell>
        </row>
        <row r="1197">
          <cell r="C1197" t="str">
            <v>NY</v>
          </cell>
          <cell r="E1197" t="str">
            <v>Refinance</v>
          </cell>
          <cell r="G1197" t="str">
            <v>USD</v>
          </cell>
        </row>
        <row r="1198">
          <cell r="C1198" t="str">
            <v>LA</v>
          </cell>
          <cell r="E1198" t="str">
            <v>Refinance</v>
          </cell>
          <cell r="G1198" t="str">
            <v>USD</v>
          </cell>
        </row>
        <row r="1199">
          <cell r="C1199" t="str">
            <v>NY</v>
          </cell>
          <cell r="E1199" t="str">
            <v>Refinance</v>
          </cell>
          <cell r="G1199" t="str">
            <v>USD</v>
          </cell>
        </row>
        <row r="1200">
          <cell r="C1200" t="str">
            <v>NY</v>
          </cell>
          <cell r="E1200" t="str">
            <v xml:space="preserve">Bridge </v>
          </cell>
          <cell r="G1200" t="str">
            <v>USD</v>
          </cell>
        </row>
        <row r="1201">
          <cell r="C1201" t="str">
            <v>LA</v>
          </cell>
          <cell r="E1201" t="str">
            <v>Acquisition</v>
          </cell>
          <cell r="G1201" t="str">
            <v>USD</v>
          </cell>
        </row>
        <row r="1202">
          <cell r="C1202" t="str">
            <v>NY</v>
          </cell>
          <cell r="E1202" t="str">
            <v>Acquisition</v>
          </cell>
          <cell r="G1202" t="str">
            <v>USD</v>
          </cell>
        </row>
        <row r="1203">
          <cell r="C1203" t="str">
            <v>NY</v>
          </cell>
          <cell r="E1203" t="str">
            <v>Acquisition</v>
          </cell>
          <cell r="G1203" t="str">
            <v>USD</v>
          </cell>
        </row>
        <row r="1204">
          <cell r="C1204" t="str">
            <v>LA</v>
          </cell>
          <cell r="G1204" t="str">
            <v>USD</v>
          </cell>
        </row>
        <row r="1205">
          <cell r="C1205" t="str">
            <v>NY</v>
          </cell>
          <cell r="E1205" t="str">
            <v>Acquisition</v>
          </cell>
          <cell r="G1205" t="str">
            <v>USD</v>
          </cell>
        </row>
        <row r="1206">
          <cell r="C1206" t="str">
            <v>DAL</v>
          </cell>
          <cell r="E1206" t="str">
            <v>Acquisition- Construction</v>
          </cell>
          <cell r="G1206" t="str">
            <v>USD</v>
          </cell>
        </row>
        <row r="1207">
          <cell r="C1207" t="str">
            <v>LA</v>
          </cell>
          <cell r="E1207" t="str">
            <v>Acquisition- Construction</v>
          </cell>
          <cell r="G1207" t="str">
            <v>USD</v>
          </cell>
        </row>
        <row r="1208">
          <cell r="C1208" t="str">
            <v>DAL</v>
          </cell>
          <cell r="E1208" t="str">
            <v>Refinance</v>
          </cell>
          <cell r="G1208" t="str">
            <v>USD</v>
          </cell>
        </row>
        <row r="1209">
          <cell r="C1209" t="str">
            <v>LA</v>
          </cell>
          <cell r="E1209" t="str">
            <v>Acquisition- Construction</v>
          </cell>
          <cell r="G1209" t="str">
            <v>USD</v>
          </cell>
        </row>
        <row r="1210">
          <cell r="C1210" t="str">
            <v>DAL</v>
          </cell>
          <cell r="E1210" t="str">
            <v>Refinance- Cash Out</v>
          </cell>
          <cell r="G1210" t="str">
            <v>USD</v>
          </cell>
        </row>
        <row r="1211">
          <cell r="C1211" t="str">
            <v>DAL</v>
          </cell>
          <cell r="E1211" t="str">
            <v>Acquisition</v>
          </cell>
          <cell r="G1211" t="str">
            <v>USD</v>
          </cell>
        </row>
        <row r="1212">
          <cell r="C1212" t="str">
            <v>SF</v>
          </cell>
          <cell r="E1212" t="str">
            <v>Acquisition</v>
          </cell>
          <cell r="G1212" t="str">
            <v>USD</v>
          </cell>
        </row>
        <row r="1213">
          <cell r="C1213" t="str">
            <v>NY</v>
          </cell>
          <cell r="E1213" t="str">
            <v>Acquisition</v>
          </cell>
          <cell r="G1213" t="str">
            <v>USD</v>
          </cell>
        </row>
        <row r="1214">
          <cell r="C1214" t="str">
            <v>SF</v>
          </cell>
          <cell r="E1214" t="str">
            <v>Refinance</v>
          </cell>
          <cell r="G1214" t="str">
            <v>USD</v>
          </cell>
        </row>
        <row r="1215">
          <cell r="C1215" t="str">
            <v>LA</v>
          </cell>
          <cell r="E1215" t="str">
            <v>Acquisition</v>
          </cell>
          <cell r="G1215" t="str">
            <v>USD</v>
          </cell>
        </row>
        <row r="1216">
          <cell r="C1216" t="str">
            <v>NY</v>
          </cell>
          <cell r="E1216" t="str">
            <v>Acquisition- Construction</v>
          </cell>
          <cell r="G1216" t="str">
            <v>USD</v>
          </cell>
        </row>
        <row r="1217">
          <cell r="C1217" t="str">
            <v>NY</v>
          </cell>
          <cell r="E1217" t="str">
            <v>Acquisition</v>
          </cell>
          <cell r="G1217" t="str">
            <v>USD</v>
          </cell>
        </row>
        <row r="1218">
          <cell r="C1218" t="str">
            <v>NY</v>
          </cell>
          <cell r="E1218" t="str">
            <v>Acquisition</v>
          </cell>
          <cell r="G1218" t="str">
            <v>USD</v>
          </cell>
        </row>
        <row r="1219">
          <cell r="C1219" t="str">
            <v>NY</v>
          </cell>
          <cell r="E1219" t="str">
            <v>Acquisition</v>
          </cell>
          <cell r="G1219" t="str">
            <v>USD</v>
          </cell>
        </row>
        <row r="1220">
          <cell r="C1220" t="str">
            <v>LA</v>
          </cell>
          <cell r="E1220" t="str">
            <v>Refinance</v>
          </cell>
          <cell r="G1220" t="str">
            <v>USD</v>
          </cell>
        </row>
        <row r="1221">
          <cell r="C1221" t="str">
            <v>LA</v>
          </cell>
          <cell r="E1221" t="str">
            <v>Acquisition</v>
          </cell>
          <cell r="G1221" t="str">
            <v>USD</v>
          </cell>
        </row>
        <row r="1222">
          <cell r="C1222" t="str">
            <v>LA</v>
          </cell>
          <cell r="E1222" t="str">
            <v>Acquisition</v>
          </cell>
          <cell r="G1222" t="str">
            <v>USD</v>
          </cell>
        </row>
        <row r="1223">
          <cell r="C1223" t="str">
            <v>DAL</v>
          </cell>
          <cell r="E1223" t="str">
            <v>Acquisition- Construction</v>
          </cell>
          <cell r="G1223" t="str">
            <v>USD</v>
          </cell>
        </row>
        <row r="1224">
          <cell r="C1224" t="str">
            <v>NY</v>
          </cell>
          <cell r="E1224" t="str">
            <v>Acquisition</v>
          </cell>
          <cell r="G1224" t="str">
            <v>USD</v>
          </cell>
        </row>
        <row r="1225">
          <cell r="C1225" t="str">
            <v>NY</v>
          </cell>
          <cell r="E1225" t="str">
            <v>Acquisition</v>
          </cell>
          <cell r="G1225" t="str">
            <v>USD</v>
          </cell>
        </row>
        <row r="1226">
          <cell r="C1226" t="str">
            <v>NY</v>
          </cell>
          <cell r="E1226" t="str">
            <v>Acquisition</v>
          </cell>
          <cell r="G1226" t="str">
            <v>USD</v>
          </cell>
        </row>
        <row r="1227">
          <cell r="C1227" t="str">
            <v>NY</v>
          </cell>
          <cell r="E1227" t="str">
            <v>Acquisition- Construction</v>
          </cell>
          <cell r="G1227" t="str">
            <v>USD</v>
          </cell>
        </row>
        <row r="1228">
          <cell r="C1228" t="str">
            <v>NY</v>
          </cell>
          <cell r="E1228" t="str">
            <v>Acquisition</v>
          </cell>
          <cell r="G1228" t="str">
            <v>USD</v>
          </cell>
        </row>
        <row r="1229">
          <cell r="C1229" t="str">
            <v>DAL</v>
          </cell>
          <cell r="E1229" t="str">
            <v>Acquisition</v>
          </cell>
          <cell r="G1229" t="str">
            <v>USD</v>
          </cell>
        </row>
        <row r="1230">
          <cell r="C1230" t="str">
            <v>NY</v>
          </cell>
          <cell r="E1230" t="str">
            <v>Acquisition</v>
          </cell>
          <cell r="G1230" t="str">
            <v>USD</v>
          </cell>
        </row>
        <row r="1231">
          <cell r="C1231" t="str">
            <v>NY</v>
          </cell>
          <cell r="E1231" t="str">
            <v>Refinance</v>
          </cell>
          <cell r="G1231" t="str">
            <v>USD</v>
          </cell>
        </row>
        <row r="1232">
          <cell r="C1232" t="str">
            <v>NY</v>
          </cell>
          <cell r="E1232" t="str">
            <v>Refinance</v>
          </cell>
          <cell r="G1232" t="str">
            <v>USD</v>
          </cell>
        </row>
        <row r="1233">
          <cell r="C1233" t="str">
            <v>LA</v>
          </cell>
          <cell r="E1233" t="str">
            <v>Acquisition</v>
          </cell>
          <cell r="G1233" t="str">
            <v>USD</v>
          </cell>
        </row>
        <row r="1234">
          <cell r="C1234" t="str">
            <v>NY</v>
          </cell>
          <cell r="E1234" t="str">
            <v>Refinance</v>
          </cell>
          <cell r="G1234" t="str">
            <v>USD</v>
          </cell>
        </row>
        <row r="1235">
          <cell r="C1235" t="str">
            <v>NY</v>
          </cell>
          <cell r="E1235" t="str">
            <v>Refinance</v>
          </cell>
          <cell r="G1235" t="str">
            <v>USD</v>
          </cell>
        </row>
        <row r="1236">
          <cell r="C1236" t="str">
            <v>LA</v>
          </cell>
          <cell r="E1236" t="str">
            <v>Acquisition</v>
          </cell>
          <cell r="G1236" t="str">
            <v>USD</v>
          </cell>
        </row>
        <row r="1237">
          <cell r="C1237" t="str">
            <v>NY</v>
          </cell>
          <cell r="E1237" t="str">
            <v>Acquisition</v>
          </cell>
          <cell r="G1237" t="str">
            <v>USD</v>
          </cell>
        </row>
        <row r="1238">
          <cell r="C1238" t="str">
            <v>DAL</v>
          </cell>
          <cell r="E1238" t="str">
            <v>Acquisition</v>
          </cell>
          <cell r="G1238" t="str">
            <v>USD</v>
          </cell>
        </row>
        <row r="1239">
          <cell r="C1239" t="str">
            <v>LA</v>
          </cell>
          <cell r="E1239" t="str">
            <v>Acquisition</v>
          </cell>
          <cell r="G1239" t="str">
            <v>USD</v>
          </cell>
        </row>
        <row r="1240">
          <cell r="C1240" t="str">
            <v>NY</v>
          </cell>
          <cell r="E1240" t="str">
            <v>Refinance</v>
          </cell>
          <cell r="G1240" t="str">
            <v>USD</v>
          </cell>
        </row>
        <row r="1241">
          <cell r="C1241" t="str">
            <v>NY</v>
          </cell>
          <cell r="E1241" t="str">
            <v>Refinance</v>
          </cell>
          <cell r="G1241" t="str">
            <v>USD</v>
          </cell>
        </row>
        <row r="1242">
          <cell r="C1242" t="str">
            <v>NY</v>
          </cell>
          <cell r="E1242" t="str">
            <v>Acquisition</v>
          </cell>
          <cell r="G1242" t="str">
            <v>USD</v>
          </cell>
        </row>
        <row r="1243">
          <cell r="C1243" t="str">
            <v>NY</v>
          </cell>
          <cell r="E1243" t="str">
            <v>Acquisition</v>
          </cell>
          <cell r="G1243" t="str">
            <v>USD</v>
          </cell>
        </row>
        <row r="1244">
          <cell r="C1244" t="str">
            <v>NY</v>
          </cell>
          <cell r="E1244" t="str">
            <v>Acquisition</v>
          </cell>
          <cell r="G1244" t="str">
            <v>USD</v>
          </cell>
        </row>
        <row r="1245">
          <cell r="C1245" t="str">
            <v>NY</v>
          </cell>
          <cell r="E1245" t="str">
            <v>Acquisition</v>
          </cell>
          <cell r="G1245" t="str">
            <v>USD</v>
          </cell>
        </row>
        <row r="1246">
          <cell r="C1246" t="str">
            <v>NY</v>
          </cell>
          <cell r="E1246" t="str">
            <v>Acquisition</v>
          </cell>
          <cell r="G1246" t="str">
            <v>USD</v>
          </cell>
        </row>
        <row r="1247">
          <cell r="C1247" t="str">
            <v>DAL</v>
          </cell>
          <cell r="E1247" t="str">
            <v>Acquisition</v>
          </cell>
          <cell r="G1247" t="str">
            <v>USD</v>
          </cell>
        </row>
        <row r="1248">
          <cell r="C1248" t="str">
            <v>NY</v>
          </cell>
          <cell r="E1248" t="str">
            <v xml:space="preserve">Bridge </v>
          </cell>
          <cell r="G1248" t="str">
            <v>USD</v>
          </cell>
        </row>
        <row r="1249">
          <cell r="C1249" t="str">
            <v>NY</v>
          </cell>
          <cell r="E1249" t="str">
            <v>Acquisition</v>
          </cell>
          <cell r="G1249" t="str">
            <v>USD</v>
          </cell>
        </row>
        <row r="1250">
          <cell r="C1250" t="str">
            <v>LA</v>
          </cell>
          <cell r="E1250" t="str">
            <v>Acquisition</v>
          </cell>
          <cell r="G1250" t="str">
            <v>USD</v>
          </cell>
        </row>
        <row r="1251">
          <cell r="C1251" t="str">
            <v>LA</v>
          </cell>
          <cell r="E1251" t="str">
            <v>Acquisition- Construction</v>
          </cell>
          <cell r="G1251" t="str">
            <v>USD</v>
          </cell>
        </row>
        <row r="1252">
          <cell r="C1252" t="str">
            <v>LA</v>
          </cell>
          <cell r="E1252" t="str">
            <v>Refinance</v>
          </cell>
          <cell r="G1252" t="str">
            <v>USD</v>
          </cell>
        </row>
        <row r="1253">
          <cell r="C1253" t="str">
            <v>LA</v>
          </cell>
          <cell r="E1253" t="str">
            <v>Acquisition- Construction</v>
          </cell>
          <cell r="G1253" t="str">
            <v>USD</v>
          </cell>
        </row>
        <row r="1254">
          <cell r="C1254" t="str">
            <v>LA</v>
          </cell>
          <cell r="E1254" t="str">
            <v>Acquisition</v>
          </cell>
          <cell r="G1254" t="str">
            <v>USD</v>
          </cell>
        </row>
        <row r="1255">
          <cell r="C1255" t="str">
            <v>DAL</v>
          </cell>
          <cell r="E1255" t="str">
            <v>Acquisition- Construction</v>
          </cell>
          <cell r="G1255" t="str">
            <v>USD</v>
          </cell>
        </row>
        <row r="1256">
          <cell r="C1256" t="str">
            <v>NY</v>
          </cell>
          <cell r="E1256" t="str">
            <v>Acquisition- Construction</v>
          </cell>
          <cell r="G1256" t="str">
            <v>USD</v>
          </cell>
        </row>
        <row r="1257">
          <cell r="C1257" t="str">
            <v>DAL</v>
          </cell>
          <cell r="E1257" t="str">
            <v>Acquisition</v>
          </cell>
          <cell r="G1257" t="str">
            <v>USD</v>
          </cell>
        </row>
        <row r="1258">
          <cell r="C1258" t="str">
            <v>NY</v>
          </cell>
          <cell r="E1258" t="str">
            <v>Acquisition</v>
          </cell>
          <cell r="G1258" t="str">
            <v>USD</v>
          </cell>
        </row>
        <row r="1259">
          <cell r="C1259" t="str">
            <v>LA</v>
          </cell>
          <cell r="E1259" t="str">
            <v>Acquisition- Construction</v>
          </cell>
          <cell r="G1259" t="str">
            <v>USD</v>
          </cell>
        </row>
        <row r="1260">
          <cell r="C1260" t="str">
            <v>LA</v>
          </cell>
          <cell r="E1260" t="str">
            <v>Acquisition- Construction</v>
          </cell>
          <cell r="G1260" t="str">
            <v>USD</v>
          </cell>
        </row>
        <row r="1261">
          <cell r="C1261" t="str">
            <v>NY</v>
          </cell>
          <cell r="E1261" t="str">
            <v>Acquisition</v>
          </cell>
          <cell r="G1261" t="str">
            <v>USD</v>
          </cell>
        </row>
        <row r="1262">
          <cell r="C1262" t="str">
            <v>NY</v>
          </cell>
          <cell r="E1262" t="str">
            <v>Acquisition- Construction</v>
          </cell>
          <cell r="G1262" t="str">
            <v>USD</v>
          </cell>
        </row>
        <row r="1263">
          <cell r="C1263" t="str">
            <v>NY</v>
          </cell>
          <cell r="E1263" t="str">
            <v>Acquisition- Construction</v>
          </cell>
          <cell r="G1263" t="str">
            <v>USD</v>
          </cell>
        </row>
        <row r="1264">
          <cell r="C1264" t="str">
            <v>NY</v>
          </cell>
          <cell r="E1264" t="str">
            <v>Refinance</v>
          </cell>
          <cell r="G1264" t="str">
            <v>USD</v>
          </cell>
        </row>
        <row r="1265">
          <cell r="C1265" t="str">
            <v>NY</v>
          </cell>
          <cell r="E1265" t="str">
            <v>Refinance</v>
          </cell>
          <cell r="G1265" t="str">
            <v>USD</v>
          </cell>
        </row>
        <row r="1266">
          <cell r="C1266" t="str">
            <v>NY</v>
          </cell>
          <cell r="E1266" t="str">
            <v>Acquisition</v>
          </cell>
          <cell r="G1266" t="str">
            <v>USD</v>
          </cell>
        </row>
        <row r="1267">
          <cell r="C1267" t="str">
            <v>NY</v>
          </cell>
          <cell r="E1267" t="str">
            <v>Acquisition</v>
          </cell>
          <cell r="G1267" t="str">
            <v>USD</v>
          </cell>
        </row>
        <row r="1268">
          <cell r="C1268" t="str">
            <v>NY</v>
          </cell>
          <cell r="E1268" t="str">
            <v>Refinance</v>
          </cell>
          <cell r="G1268" t="str">
            <v>USD</v>
          </cell>
        </row>
        <row r="1269">
          <cell r="C1269" t="str">
            <v>SF</v>
          </cell>
          <cell r="E1269" t="str">
            <v>Refinance</v>
          </cell>
          <cell r="G1269" t="str">
            <v>USD</v>
          </cell>
        </row>
        <row r="1270">
          <cell r="C1270" t="str">
            <v>NY</v>
          </cell>
          <cell r="E1270" t="str">
            <v>Acquisition</v>
          </cell>
          <cell r="G1270" t="str">
            <v>USD</v>
          </cell>
        </row>
        <row r="1271">
          <cell r="C1271" t="str">
            <v>SF</v>
          </cell>
          <cell r="E1271" t="str">
            <v>Acquisition</v>
          </cell>
          <cell r="G1271" t="str">
            <v>USD</v>
          </cell>
        </row>
        <row r="1272">
          <cell r="C1272" t="str">
            <v>NY</v>
          </cell>
          <cell r="E1272" t="str">
            <v>Refinance</v>
          </cell>
          <cell r="G1272" t="str">
            <v>USD</v>
          </cell>
        </row>
        <row r="1273">
          <cell r="C1273" t="str">
            <v>NY</v>
          </cell>
          <cell r="E1273" t="str">
            <v>Acquisition</v>
          </cell>
          <cell r="G1273" t="str">
            <v>USD</v>
          </cell>
        </row>
        <row r="1274">
          <cell r="C1274" t="str">
            <v>NY</v>
          </cell>
          <cell r="E1274" t="str">
            <v>Acquisition</v>
          </cell>
          <cell r="G1274" t="str">
            <v>USD</v>
          </cell>
        </row>
        <row r="1275">
          <cell r="C1275" t="str">
            <v>SF</v>
          </cell>
          <cell r="G1275" t="str">
            <v>USD</v>
          </cell>
        </row>
        <row r="1276">
          <cell r="C1276" t="str">
            <v>NY</v>
          </cell>
          <cell r="E1276" t="str">
            <v>Acquisition</v>
          </cell>
          <cell r="G1276" t="str">
            <v>USD</v>
          </cell>
        </row>
        <row r="1277">
          <cell r="C1277" t="str">
            <v>NY</v>
          </cell>
          <cell r="E1277" t="str">
            <v>Acquisition</v>
          </cell>
          <cell r="G1277" t="str">
            <v>USD</v>
          </cell>
        </row>
        <row r="1278">
          <cell r="C1278" t="str">
            <v>NY</v>
          </cell>
          <cell r="E1278" t="str">
            <v>Acquisition- Construction</v>
          </cell>
          <cell r="G1278" t="str">
            <v>USD</v>
          </cell>
        </row>
        <row r="1279">
          <cell r="C1279" t="str">
            <v>LA</v>
          </cell>
          <cell r="E1279" t="str">
            <v>Acquisition- Construction</v>
          </cell>
          <cell r="G1279" t="str">
            <v>USD</v>
          </cell>
        </row>
        <row r="1280">
          <cell r="C1280" t="str">
            <v>LA</v>
          </cell>
          <cell r="E1280" t="str">
            <v>Acquisition- Construction</v>
          </cell>
          <cell r="G1280" t="str">
            <v>USD</v>
          </cell>
        </row>
        <row r="1281">
          <cell r="C1281" t="str">
            <v>NY</v>
          </cell>
          <cell r="E1281" t="str">
            <v>Refinance</v>
          </cell>
          <cell r="G1281" t="str">
            <v>USD</v>
          </cell>
        </row>
        <row r="1282">
          <cell r="C1282" t="str">
            <v>NY</v>
          </cell>
          <cell r="E1282" t="str">
            <v>Acquisition- Construction</v>
          </cell>
          <cell r="G1282" t="str">
            <v>USD</v>
          </cell>
        </row>
        <row r="1283">
          <cell r="C1283" t="str">
            <v>LA</v>
          </cell>
          <cell r="E1283" t="str">
            <v>Acquisition- Construction</v>
          </cell>
          <cell r="G1283" t="str">
            <v>USD</v>
          </cell>
        </row>
        <row r="1284">
          <cell r="C1284" t="str">
            <v>LA</v>
          </cell>
          <cell r="E1284" t="str">
            <v>Acquisition</v>
          </cell>
          <cell r="G1284" t="str">
            <v>USD</v>
          </cell>
        </row>
        <row r="1285">
          <cell r="C1285" t="str">
            <v>LA</v>
          </cell>
          <cell r="E1285" t="str">
            <v>Acquisition- Construction</v>
          </cell>
          <cell r="G1285" t="str">
            <v>USD</v>
          </cell>
        </row>
        <row r="1286">
          <cell r="C1286" t="str">
            <v>LA</v>
          </cell>
          <cell r="E1286" t="str">
            <v>Acquisition</v>
          </cell>
          <cell r="G1286" t="str">
            <v>USD</v>
          </cell>
        </row>
        <row r="1287">
          <cell r="C1287" t="str">
            <v>DAL</v>
          </cell>
          <cell r="E1287" t="str">
            <v>Acquisition</v>
          </cell>
          <cell r="G1287" t="str">
            <v>USD</v>
          </cell>
        </row>
        <row r="1288">
          <cell r="C1288" t="str">
            <v>DAL</v>
          </cell>
          <cell r="E1288" t="str">
            <v>Acquisition- Construction</v>
          </cell>
          <cell r="G1288" t="str">
            <v>USD</v>
          </cell>
        </row>
        <row r="1289">
          <cell r="C1289" t="str">
            <v>NY</v>
          </cell>
          <cell r="E1289" t="str">
            <v>Acquisition- Construction</v>
          </cell>
          <cell r="G1289" t="str">
            <v>USD</v>
          </cell>
        </row>
        <row r="1290">
          <cell r="C1290" t="str">
            <v>NY</v>
          </cell>
          <cell r="E1290" t="str">
            <v>Acquisition</v>
          </cell>
          <cell r="G1290" t="str">
            <v>USD</v>
          </cell>
        </row>
        <row r="1291">
          <cell r="C1291" t="str">
            <v>NY</v>
          </cell>
          <cell r="E1291" t="str">
            <v>Acquisition- Construction</v>
          </cell>
          <cell r="G1291" t="str">
            <v>USD</v>
          </cell>
        </row>
        <row r="1292">
          <cell r="C1292" t="str">
            <v>NY</v>
          </cell>
          <cell r="E1292" t="str">
            <v>Acquisition- Construction</v>
          </cell>
          <cell r="G1292" t="str">
            <v>USD</v>
          </cell>
        </row>
        <row r="1293">
          <cell r="C1293" t="str">
            <v>NY</v>
          </cell>
          <cell r="E1293" t="str">
            <v>Acquisition- Construction</v>
          </cell>
          <cell r="G1293" t="str">
            <v>USD</v>
          </cell>
        </row>
        <row r="1294">
          <cell r="C1294" t="str">
            <v>NY</v>
          </cell>
          <cell r="E1294" t="str">
            <v>Acquisition- Construction</v>
          </cell>
          <cell r="G1294" t="str">
            <v>USD</v>
          </cell>
        </row>
        <row r="1295">
          <cell r="C1295" t="str">
            <v>LA</v>
          </cell>
          <cell r="E1295" t="str">
            <v>Acquisition- Construction</v>
          </cell>
          <cell r="G1295" t="str">
            <v>USD</v>
          </cell>
        </row>
        <row r="1296">
          <cell r="C1296" t="str">
            <v>LA</v>
          </cell>
          <cell r="E1296" t="str">
            <v>Acquisition</v>
          </cell>
          <cell r="G1296" t="str">
            <v>USD</v>
          </cell>
        </row>
        <row r="1297">
          <cell r="C1297" t="str">
            <v>LA</v>
          </cell>
          <cell r="E1297" t="str">
            <v>Acquisition- Construction</v>
          </cell>
          <cell r="G1297" t="str">
            <v>USD</v>
          </cell>
        </row>
        <row r="1298">
          <cell r="C1298" t="str">
            <v>NY</v>
          </cell>
          <cell r="E1298" t="str">
            <v>Acquisition- Construction</v>
          </cell>
          <cell r="G1298" t="str">
            <v>USD</v>
          </cell>
        </row>
        <row r="1299">
          <cell r="C1299" t="str">
            <v>NY</v>
          </cell>
          <cell r="E1299" t="str">
            <v>Acquisition</v>
          </cell>
          <cell r="G1299" t="str">
            <v>USD</v>
          </cell>
        </row>
        <row r="1300">
          <cell r="C1300" t="str">
            <v>NY</v>
          </cell>
          <cell r="E1300" t="str">
            <v>Acquisition- Construction</v>
          </cell>
          <cell r="G1300" t="str">
            <v>USD</v>
          </cell>
        </row>
        <row r="1301">
          <cell r="C1301" t="str">
            <v>NY</v>
          </cell>
          <cell r="E1301" t="str">
            <v>Acquisition</v>
          </cell>
          <cell r="G1301" t="str">
            <v>USD</v>
          </cell>
        </row>
        <row r="1302">
          <cell r="C1302" t="str">
            <v>NY</v>
          </cell>
          <cell r="E1302" t="str">
            <v>Acquisition</v>
          </cell>
          <cell r="G1302" t="str">
            <v>USD</v>
          </cell>
        </row>
        <row r="1303">
          <cell r="C1303" t="str">
            <v>DAL</v>
          </cell>
          <cell r="E1303" t="str">
            <v>Acquisition</v>
          </cell>
          <cell r="G1303" t="str">
            <v>USD</v>
          </cell>
        </row>
        <row r="1304">
          <cell r="C1304" t="str">
            <v>LA</v>
          </cell>
          <cell r="E1304" t="str">
            <v>Acquisition</v>
          </cell>
          <cell r="G1304" t="str">
            <v>USD</v>
          </cell>
        </row>
        <row r="1305">
          <cell r="C1305" t="str">
            <v>DAL</v>
          </cell>
          <cell r="E1305" t="str">
            <v>Acquisition</v>
          </cell>
          <cell r="G1305" t="str">
            <v>USD</v>
          </cell>
        </row>
        <row r="1306">
          <cell r="C1306" t="str">
            <v>DAL</v>
          </cell>
          <cell r="E1306" t="str">
            <v>Acquisition- Construction</v>
          </cell>
          <cell r="G1306" t="str">
            <v>USD</v>
          </cell>
        </row>
        <row r="1307">
          <cell r="C1307" t="str">
            <v>NY</v>
          </cell>
          <cell r="E1307" t="str">
            <v>Acquisition</v>
          </cell>
          <cell r="G1307" t="str">
            <v>USD</v>
          </cell>
        </row>
        <row r="1308">
          <cell r="C1308" t="str">
            <v>NY</v>
          </cell>
          <cell r="E1308" t="str">
            <v>Acquisition- Construction</v>
          </cell>
          <cell r="G1308" t="str">
            <v>USD</v>
          </cell>
        </row>
        <row r="1309">
          <cell r="C1309" t="str">
            <v>DAL</v>
          </cell>
          <cell r="E1309" t="str">
            <v>Acquisition- Construction</v>
          </cell>
          <cell r="G1309" t="str">
            <v>USD</v>
          </cell>
        </row>
        <row r="1310">
          <cell r="C1310" t="str">
            <v>NY</v>
          </cell>
          <cell r="E1310" t="str">
            <v>Refinance</v>
          </cell>
          <cell r="G1310" t="str">
            <v>USD</v>
          </cell>
        </row>
        <row r="1311">
          <cell r="C1311" t="str">
            <v>LA</v>
          </cell>
          <cell r="E1311" t="str">
            <v>Acquisition</v>
          </cell>
          <cell r="G1311" t="str">
            <v>USD</v>
          </cell>
        </row>
        <row r="1312">
          <cell r="C1312" t="str">
            <v>NY</v>
          </cell>
          <cell r="E1312" t="str">
            <v>Acquisition</v>
          </cell>
          <cell r="G1312" t="str">
            <v>USD</v>
          </cell>
        </row>
        <row r="1313">
          <cell r="C1313" t="str">
            <v>LA</v>
          </cell>
          <cell r="E1313" t="str">
            <v>Acquisition</v>
          </cell>
          <cell r="G1313" t="str">
            <v>USD</v>
          </cell>
        </row>
        <row r="1314">
          <cell r="C1314" t="str">
            <v>LA</v>
          </cell>
          <cell r="E1314" t="str">
            <v>Acquisition- Construction</v>
          </cell>
          <cell r="G1314" t="str">
            <v>USD</v>
          </cell>
        </row>
        <row r="1315">
          <cell r="C1315" t="str">
            <v>LA</v>
          </cell>
          <cell r="E1315" t="str">
            <v>Acquisition</v>
          </cell>
          <cell r="G1315" t="str">
            <v>USD</v>
          </cell>
        </row>
        <row r="1316">
          <cell r="C1316" t="str">
            <v>NY</v>
          </cell>
          <cell r="E1316" t="str">
            <v>Acquisition</v>
          </cell>
          <cell r="G1316" t="str">
            <v>USD</v>
          </cell>
        </row>
        <row r="1317">
          <cell r="C1317" t="str">
            <v>NY</v>
          </cell>
          <cell r="E1317" t="str">
            <v>Refinance</v>
          </cell>
          <cell r="G1317" t="str">
            <v>USD</v>
          </cell>
        </row>
        <row r="1318">
          <cell r="C1318" t="str">
            <v>NY</v>
          </cell>
          <cell r="E1318" t="str">
            <v>Acquisition</v>
          </cell>
          <cell r="G1318" t="str">
            <v>USD</v>
          </cell>
        </row>
        <row r="1319">
          <cell r="C1319" t="str">
            <v>NY</v>
          </cell>
          <cell r="E1319" t="str">
            <v>Acquisition</v>
          </cell>
          <cell r="G1319" t="str">
            <v>USD</v>
          </cell>
        </row>
        <row r="1320">
          <cell r="C1320" t="str">
            <v>NY</v>
          </cell>
          <cell r="E1320" t="str">
            <v>Refinance</v>
          </cell>
          <cell r="G1320" t="str">
            <v>USD</v>
          </cell>
        </row>
        <row r="1321">
          <cell r="C1321" t="str">
            <v>NY</v>
          </cell>
          <cell r="E1321" t="str">
            <v>Acquisition</v>
          </cell>
          <cell r="G1321" t="str">
            <v>USD</v>
          </cell>
        </row>
        <row r="1322">
          <cell r="C1322" t="str">
            <v>NY</v>
          </cell>
          <cell r="E1322" t="str">
            <v>Refinance</v>
          </cell>
          <cell r="G1322" t="str">
            <v>USD</v>
          </cell>
        </row>
        <row r="1323">
          <cell r="C1323" t="str">
            <v>NY</v>
          </cell>
          <cell r="E1323" t="str">
            <v>Acquisition</v>
          </cell>
          <cell r="G1323" t="str">
            <v>USD</v>
          </cell>
        </row>
        <row r="1324">
          <cell r="C1324" t="str">
            <v>NY</v>
          </cell>
          <cell r="E1324" t="str">
            <v>Acquisition</v>
          </cell>
          <cell r="G1324" t="str">
            <v>USD</v>
          </cell>
        </row>
        <row r="1325">
          <cell r="C1325" t="str">
            <v>NY</v>
          </cell>
          <cell r="E1325" t="str">
            <v>Acquisition- Construction</v>
          </cell>
          <cell r="G1325" t="str">
            <v>USD</v>
          </cell>
        </row>
        <row r="1326">
          <cell r="C1326" t="str">
            <v>LA</v>
          </cell>
          <cell r="E1326" t="str">
            <v>Acquisition</v>
          </cell>
          <cell r="G1326" t="str">
            <v>USD</v>
          </cell>
        </row>
        <row r="1327">
          <cell r="C1327" t="str">
            <v>DAL</v>
          </cell>
          <cell r="E1327" t="str">
            <v>Acquisition</v>
          </cell>
          <cell r="G1327" t="str">
            <v>USD</v>
          </cell>
        </row>
        <row r="1328">
          <cell r="C1328" t="str">
            <v>DAL</v>
          </cell>
          <cell r="E1328" t="str">
            <v>Refinance</v>
          </cell>
          <cell r="G1328" t="str">
            <v>USD</v>
          </cell>
        </row>
        <row r="1329">
          <cell r="C1329" t="str">
            <v>NY</v>
          </cell>
          <cell r="E1329" t="str">
            <v>Refinance</v>
          </cell>
          <cell r="G1329" t="str">
            <v>USD</v>
          </cell>
        </row>
        <row r="1330">
          <cell r="C1330" t="str">
            <v>NY</v>
          </cell>
          <cell r="E1330" t="str">
            <v>Acquisition- Construction</v>
          </cell>
          <cell r="G1330" t="str">
            <v>USD</v>
          </cell>
        </row>
        <row r="1331">
          <cell r="C1331" t="str">
            <v>NY</v>
          </cell>
          <cell r="E1331" t="str">
            <v>Refinance Construction</v>
          </cell>
          <cell r="G1331" t="str">
            <v>USD</v>
          </cell>
        </row>
        <row r="1332">
          <cell r="C1332" t="str">
            <v>NY</v>
          </cell>
          <cell r="E1332" t="str">
            <v>Acquisition- Construction</v>
          </cell>
          <cell r="G1332" t="str">
            <v>USD</v>
          </cell>
        </row>
        <row r="1333">
          <cell r="C1333" t="str">
            <v>NY</v>
          </cell>
          <cell r="E1333" t="str">
            <v xml:space="preserve">Bridge </v>
          </cell>
          <cell r="G1333" t="str">
            <v>USD</v>
          </cell>
        </row>
        <row r="1334">
          <cell r="C1334" t="str">
            <v>NY</v>
          </cell>
          <cell r="E1334" t="str">
            <v>Acquisition</v>
          </cell>
          <cell r="G1334" t="str">
            <v>USD</v>
          </cell>
        </row>
        <row r="1335">
          <cell r="C1335" t="str">
            <v>NY</v>
          </cell>
          <cell r="E1335" t="str">
            <v>Acquisition- Construction</v>
          </cell>
          <cell r="G1335" t="str">
            <v>USD</v>
          </cell>
        </row>
        <row r="1336">
          <cell r="C1336" t="str">
            <v>NY</v>
          </cell>
          <cell r="E1336" t="str">
            <v>Acquisition</v>
          </cell>
          <cell r="G1336" t="str">
            <v>USD</v>
          </cell>
        </row>
        <row r="1337">
          <cell r="C1337" t="str">
            <v>NY</v>
          </cell>
          <cell r="E1337" t="str">
            <v>Acquisition- Construction</v>
          </cell>
          <cell r="G1337" t="str">
            <v>USD</v>
          </cell>
        </row>
        <row r="1338">
          <cell r="C1338" t="str">
            <v>LA</v>
          </cell>
          <cell r="E1338" t="str">
            <v>Acquisition- Construction</v>
          </cell>
          <cell r="G1338" t="str">
            <v>USD</v>
          </cell>
        </row>
        <row r="1339">
          <cell r="C1339" t="str">
            <v>NY</v>
          </cell>
          <cell r="E1339" t="str">
            <v>Acquisition- Construction</v>
          </cell>
          <cell r="G1339" t="str">
            <v>USD</v>
          </cell>
        </row>
        <row r="1340">
          <cell r="C1340" t="str">
            <v>NY</v>
          </cell>
          <cell r="E1340" t="str">
            <v>Acquisition- Construction</v>
          </cell>
          <cell r="G1340" t="str">
            <v>USD</v>
          </cell>
        </row>
        <row r="1341">
          <cell r="C1341" t="str">
            <v>NY</v>
          </cell>
          <cell r="E1341" t="str">
            <v>Acquisition</v>
          </cell>
          <cell r="G1341" t="str">
            <v>USD</v>
          </cell>
        </row>
        <row r="1342">
          <cell r="C1342" t="str">
            <v>LA</v>
          </cell>
          <cell r="E1342" t="str">
            <v>Acquisition</v>
          </cell>
          <cell r="G1342" t="str">
            <v>USD</v>
          </cell>
        </row>
        <row r="1343">
          <cell r="C1343" t="str">
            <v>LA</v>
          </cell>
          <cell r="E1343" t="str">
            <v>Acquisition</v>
          </cell>
          <cell r="G1343" t="str">
            <v>USD</v>
          </cell>
        </row>
        <row r="1344">
          <cell r="C1344" t="str">
            <v>DAL</v>
          </cell>
          <cell r="E1344" t="str">
            <v>Acquisition</v>
          </cell>
          <cell r="G1344" t="str">
            <v>USD</v>
          </cell>
        </row>
        <row r="1345">
          <cell r="C1345" t="str">
            <v>DAL</v>
          </cell>
          <cell r="E1345" t="str">
            <v>Acquisition- Construction</v>
          </cell>
          <cell r="G1345" t="str">
            <v>USD</v>
          </cell>
        </row>
        <row r="1346">
          <cell r="C1346" t="str">
            <v>DAL</v>
          </cell>
          <cell r="E1346" t="str">
            <v>Acquisition- Construction</v>
          </cell>
          <cell r="G1346" t="str">
            <v>USD</v>
          </cell>
        </row>
        <row r="1347">
          <cell r="C1347" t="str">
            <v>DAL</v>
          </cell>
          <cell r="E1347" t="str">
            <v>Acquisition- Construction</v>
          </cell>
          <cell r="G1347" t="str">
            <v>USD</v>
          </cell>
        </row>
        <row r="1348">
          <cell r="C1348" t="str">
            <v>DAL</v>
          </cell>
          <cell r="E1348" t="str">
            <v>Acquisition</v>
          </cell>
          <cell r="G1348" t="str">
            <v>USD</v>
          </cell>
        </row>
        <row r="1349">
          <cell r="C1349" t="str">
            <v>NY</v>
          </cell>
          <cell r="E1349" t="str">
            <v>Acquisition- Construction</v>
          </cell>
          <cell r="G1349" t="str">
            <v>USD</v>
          </cell>
        </row>
        <row r="1350">
          <cell r="C1350" t="str">
            <v>NY</v>
          </cell>
          <cell r="E1350" t="str">
            <v>Acquisition</v>
          </cell>
          <cell r="G1350" t="str">
            <v>USD</v>
          </cell>
        </row>
        <row r="1351">
          <cell r="C1351" t="str">
            <v>LA</v>
          </cell>
          <cell r="E1351" t="str">
            <v xml:space="preserve">Bridge </v>
          </cell>
          <cell r="G1351" t="str">
            <v>USD</v>
          </cell>
        </row>
        <row r="1352">
          <cell r="C1352" t="str">
            <v>LA</v>
          </cell>
          <cell r="E1352" t="str">
            <v>Acquisition- Construction</v>
          </cell>
          <cell r="G1352" t="str">
            <v>USD</v>
          </cell>
        </row>
        <row r="1353">
          <cell r="C1353" t="str">
            <v>LA</v>
          </cell>
          <cell r="E1353" t="str">
            <v>Acquisition- Construction</v>
          </cell>
          <cell r="G1353" t="str">
            <v>USD</v>
          </cell>
        </row>
        <row r="1354">
          <cell r="C1354" t="str">
            <v>NY</v>
          </cell>
          <cell r="E1354" t="str">
            <v>Acquisition- Construction</v>
          </cell>
          <cell r="G1354" t="str">
            <v>USD</v>
          </cell>
        </row>
        <row r="1355">
          <cell r="C1355" t="str">
            <v>DAL</v>
          </cell>
          <cell r="E1355" t="str">
            <v>Refinance- Cash Out</v>
          </cell>
          <cell r="G1355" t="str">
            <v>USD</v>
          </cell>
        </row>
        <row r="1356">
          <cell r="C1356" t="str">
            <v>NY</v>
          </cell>
          <cell r="E1356" t="str">
            <v>Acquisition</v>
          </cell>
          <cell r="G1356" t="str">
            <v>USD</v>
          </cell>
        </row>
        <row r="1357">
          <cell r="C1357" t="str">
            <v>NY</v>
          </cell>
          <cell r="E1357" t="str">
            <v>Acquisition</v>
          </cell>
          <cell r="G1357" t="str">
            <v>USD</v>
          </cell>
        </row>
        <row r="1358">
          <cell r="C1358" t="str">
            <v>LA</v>
          </cell>
          <cell r="E1358" t="str">
            <v>Refinance- Cash Out</v>
          </cell>
          <cell r="G1358" t="str">
            <v>USD</v>
          </cell>
        </row>
      </sheetData>
      <sheetData sheetId="1"/>
      <sheetData sheetId="2"/>
      <sheetData sheetId="3"/>
      <sheetData sheetId="4"/>
      <sheetData sheetId="5"/>
      <sheetData sheetId="6">
        <row r="8">
          <cell r="F8" t="str">
            <v>16-0582</v>
          </cell>
        </row>
      </sheetData>
      <sheetData sheetId="7"/>
      <sheetData sheetId="8"/>
      <sheetData sheetId="9"/>
      <sheetData sheetId="10"/>
      <sheetData sheetId="11"/>
      <sheetData sheetId="1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List"/>
      <sheetName val="Deal"/>
      <sheetName val="Note"/>
      <sheetName val="Note_Ext"/>
      <sheetName val="Property"/>
      <sheetName val="Equity"/>
      <sheetName val="Deal Summary"/>
      <sheetName val="Deal Scorecards"/>
      <sheetName val="Specs"/>
      <sheetName val="Data Disctionary"/>
      <sheetName val="Deal Raw Data"/>
      <sheetName val="User Comments"/>
      <sheetName val="Sheet3"/>
      <sheetName val="Copy of Delphi_File_Version_1"/>
    </sheetNames>
    <sheetDataSet>
      <sheetData sheetId="0">
        <row r="2">
          <cell r="A2">
            <v>917</v>
          </cell>
        </row>
        <row r="6">
          <cell r="A6" t="str">
            <v>15-0006</v>
          </cell>
        </row>
        <row r="7">
          <cell r="A7" t="str">
            <v>15-0015</v>
          </cell>
        </row>
        <row r="8">
          <cell r="A8" t="str">
            <v>15-0021</v>
          </cell>
        </row>
        <row r="9">
          <cell r="A9" t="str">
            <v>15-0026</v>
          </cell>
        </row>
        <row r="10">
          <cell r="A10" t="str">
            <v>15-0050</v>
          </cell>
        </row>
        <row r="11">
          <cell r="A11" t="str">
            <v>15-0051</v>
          </cell>
        </row>
        <row r="12">
          <cell r="A12" t="str">
            <v>15-0059</v>
          </cell>
        </row>
        <row r="13">
          <cell r="A13" t="str">
            <v>15-0069</v>
          </cell>
        </row>
        <row r="14">
          <cell r="A14" t="str">
            <v>15-0103</v>
          </cell>
        </row>
        <row r="15">
          <cell r="A15" t="str">
            <v>15-0129</v>
          </cell>
        </row>
        <row r="16">
          <cell r="A16" t="str">
            <v>15-0140</v>
          </cell>
        </row>
        <row r="17">
          <cell r="A17" t="str">
            <v>15-0151</v>
          </cell>
        </row>
        <row r="18">
          <cell r="A18" t="str">
            <v>15-0183</v>
          </cell>
        </row>
        <row r="19">
          <cell r="A19" t="str">
            <v>15-0192</v>
          </cell>
        </row>
        <row r="20">
          <cell r="A20" t="str">
            <v>15-0204</v>
          </cell>
        </row>
        <row r="21">
          <cell r="A21" t="str">
            <v>15-0218</v>
          </cell>
        </row>
        <row r="22">
          <cell r="A22" t="str">
            <v>15-0219</v>
          </cell>
        </row>
        <row r="23">
          <cell r="A23" t="str">
            <v>15-0220</v>
          </cell>
        </row>
        <row r="24">
          <cell r="A24" t="str">
            <v>15-0244</v>
          </cell>
        </row>
        <row r="25">
          <cell r="A25" t="str">
            <v>15-0261</v>
          </cell>
        </row>
        <row r="26">
          <cell r="A26" t="str">
            <v>15-0296</v>
          </cell>
        </row>
        <row r="27">
          <cell r="A27" t="str">
            <v>15-0349</v>
          </cell>
        </row>
        <row r="28">
          <cell r="A28" t="str">
            <v>15-0365</v>
          </cell>
        </row>
        <row r="29">
          <cell r="A29" t="str">
            <v>15-0366</v>
          </cell>
        </row>
        <row r="30">
          <cell r="A30" t="str">
            <v>15-0419</v>
          </cell>
        </row>
        <row r="31">
          <cell r="A31" t="str">
            <v>15-0428</v>
          </cell>
        </row>
        <row r="32">
          <cell r="A32" t="str">
            <v>15-0446</v>
          </cell>
        </row>
        <row r="33">
          <cell r="A33" t="str">
            <v>15-0461</v>
          </cell>
        </row>
        <row r="34">
          <cell r="A34" t="str">
            <v>15-0464</v>
          </cell>
        </row>
        <row r="35">
          <cell r="A35" t="str">
            <v>15-0468</v>
          </cell>
        </row>
        <row r="36">
          <cell r="A36" t="str">
            <v>15-0525</v>
          </cell>
        </row>
        <row r="37">
          <cell r="A37" t="str">
            <v>15-0558</v>
          </cell>
        </row>
        <row r="38">
          <cell r="A38" t="str">
            <v>15-0560</v>
          </cell>
        </row>
        <row r="39">
          <cell r="A39" t="str">
            <v>15-0573</v>
          </cell>
        </row>
        <row r="40">
          <cell r="A40" t="str">
            <v>15-0577</v>
          </cell>
        </row>
        <row r="41">
          <cell r="A41" t="str">
            <v>15-0618</v>
          </cell>
        </row>
        <row r="42">
          <cell r="A42" t="str">
            <v>16-0006</v>
          </cell>
        </row>
        <row r="43">
          <cell r="A43" t="str">
            <v>16-0051</v>
          </cell>
        </row>
        <row r="44">
          <cell r="A44" t="str">
            <v>16-0125</v>
          </cell>
        </row>
        <row r="45">
          <cell r="A45" t="str">
            <v>16-0144</v>
          </cell>
        </row>
        <row r="46">
          <cell r="A46" t="str">
            <v>16-0149</v>
          </cell>
        </row>
        <row r="47">
          <cell r="A47" t="str">
            <v>16-0155</v>
          </cell>
        </row>
        <row r="48">
          <cell r="A48" t="str">
            <v>16-0197</v>
          </cell>
        </row>
        <row r="49">
          <cell r="A49" t="str">
            <v>16-0207</v>
          </cell>
        </row>
        <row r="50">
          <cell r="A50" t="str">
            <v>16-0208</v>
          </cell>
        </row>
        <row r="51">
          <cell r="A51" t="str">
            <v>16-0209</v>
          </cell>
        </row>
        <row r="52">
          <cell r="A52" t="str">
            <v>16-0211</v>
          </cell>
        </row>
        <row r="53">
          <cell r="A53" t="str">
            <v>16-0241</v>
          </cell>
        </row>
        <row r="54">
          <cell r="A54" t="str">
            <v>16-0242</v>
          </cell>
        </row>
        <row r="55">
          <cell r="A55" t="str">
            <v>16-0293</v>
          </cell>
        </row>
        <row r="56">
          <cell r="A56" t="str">
            <v>16-0305</v>
          </cell>
        </row>
        <row r="57">
          <cell r="A57" t="str">
            <v>16-0367</v>
          </cell>
        </row>
        <row r="58">
          <cell r="A58" t="str">
            <v>16-0426</v>
          </cell>
        </row>
        <row r="59">
          <cell r="A59" t="str">
            <v>16-0502</v>
          </cell>
        </row>
        <row r="60">
          <cell r="A60" t="str">
            <v>16-0504</v>
          </cell>
        </row>
        <row r="61">
          <cell r="A61" t="str">
            <v>16-0556</v>
          </cell>
        </row>
        <row r="62">
          <cell r="A62" t="str">
            <v>16-0582</v>
          </cell>
        </row>
        <row r="63">
          <cell r="A63" t="str">
            <v>16-0587</v>
          </cell>
        </row>
        <row r="64">
          <cell r="A64" t="str">
            <v>16-0638</v>
          </cell>
        </row>
        <row r="501">
          <cell r="A501" t="str">
            <v>15-0605</v>
          </cell>
        </row>
        <row r="502">
          <cell r="A502" t="str">
            <v>15-0608</v>
          </cell>
        </row>
        <row r="503">
          <cell r="A503" t="str">
            <v>15-0609</v>
          </cell>
        </row>
        <row r="504">
          <cell r="A504" t="str">
            <v>15-0610</v>
          </cell>
        </row>
        <row r="505">
          <cell r="A505" t="str">
            <v>15-0611</v>
          </cell>
        </row>
        <row r="506">
          <cell r="A506" t="str">
            <v>15-0613</v>
          </cell>
        </row>
        <row r="507">
          <cell r="A507" t="str">
            <v>15-0614</v>
          </cell>
        </row>
        <row r="508">
          <cell r="A508" t="str">
            <v>15-0615</v>
          </cell>
        </row>
        <row r="509">
          <cell r="A509" t="str">
            <v>15-0616</v>
          </cell>
        </row>
        <row r="510">
          <cell r="A510" t="str">
            <v>15-0617</v>
          </cell>
        </row>
        <row r="511">
          <cell r="A511" t="str">
            <v>15-0618</v>
          </cell>
        </row>
        <row r="512">
          <cell r="A512" t="str">
            <v>15-0619</v>
          </cell>
        </row>
        <row r="513">
          <cell r="A513" t="str">
            <v>15-0620</v>
          </cell>
        </row>
        <row r="514">
          <cell r="A514" t="str">
            <v>15-0621</v>
          </cell>
        </row>
        <row r="515">
          <cell r="A515" t="str">
            <v>15-0622</v>
          </cell>
        </row>
        <row r="516">
          <cell r="A516" t="str">
            <v>15-0623</v>
          </cell>
        </row>
        <row r="517">
          <cell r="A517" t="str">
            <v>15-0624</v>
          </cell>
        </row>
        <row r="518">
          <cell r="A518" t="str">
            <v>15-0625</v>
          </cell>
        </row>
        <row r="519">
          <cell r="A519" t="str">
            <v>15-0626</v>
          </cell>
        </row>
        <row r="520">
          <cell r="A520" t="str">
            <v>15-0627</v>
          </cell>
        </row>
        <row r="521">
          <cell r="A521" t="str">
            <v>15-0628</v>
          </cell>
        </row>
        <row r="522">
          <cell r="A522" t="str">
            <v>15-0629</v>
          </cell>
        </row>
        <row r="523">
          <cell r="A523" t="str">
            <v>15-0631</v>
          </cell>
        </row>
        <row r="524">
          <cell r="A524" t="str">
            <v>16-0001</v>
          </cell>
        </row>
        <row r="525">
          <cell r="A525" t="str">
            <v>16-0002</v>
          </cell>
        </row>
        <row r="526">
          <cell r="A526" t="str">
            <v>16-0003</v>
          </cell>
        </row>
        <row r="527">
          <cell r="A527" t="str">
            <v>16-0004</v>
          </cell>
        </row>
        <row r="528">
          <cell r="A528" t="str">
            <v>16-0005</v>
          </cell>
        </row>
        <row r="529">
          <cell r="A529" t="str">
            <v>16-0006</v>
          </cell>
        </row>
        <row r="530">
          <cell r="A530" t="str">
            <v>16-0007</v>
          </cell>
        </row>
        <row r="531">
          <cell r="A531" t="str">
            <v>16-0008</v>
          </cell>
        </row>
        <row r="532">
          <cell r="A532" t="str">
            <v>16-0009</v>
          </cell>
        </row>
        <row r="533">
          <cell r="A533" t="str">
            <v>16-0010</v>
          </cell>
        </row>
        <row r="534">
          <cell r="A534" t="str">
            <v>16-0011</v>
          </cell>
        </row>
        <row r="535">
          <cell r="A535" t="str">
            <v>16-0012</v>
          </cell>
        </row>
        <row r="536">
          <cell r="A536" t="str">
            <v>16-0013</v>
          </cell>
        </row>
        <row r="537">
          <cell r="A537" t="str">
            <v>16-0014</v>
          </cell>
        </row>
        <row r="538">
          <cell r="A538" t="str">
            <v>16-0015</v>
          </cell>
        </row>
        <row r="539">
          <cell r="A539" t="str">
            <v>16-0016</v>
          </cell>
        </row>
        <row r="540">
          <cell r="A540" t="str">
            <v>16-0018</v>
          </cell>
        </row>
        <row r="541">
          <cell r="A541" t="str">
            <v>16-0019</v>
          </cell>
        </row>
        <row r="542">
          <cell r="A542" t="str">
            <v>16-0020</v>
          </cell>
        </row>
        <row r="543">
          <cell r="A543" t="str">
            <v>16-0021</v>
          </cell>
        </row>
        <row r="544">
          <cell r="A544" t="str">
            <v>16-0022</v>
          </cell>
        </row>
        <row r="545">
          <cell r="A545" t="str">
            <v>16-0023</v>
          </cell>
        </row>
        <row r="546">
          <cell r="A546" t="str">
            <v>16-0024</v>
          </cell>
        </row>
        <row r="547">
          <cell r="A547" t="str">
            <v>16-0025</v>
          </cell>
        </row>
        <row r="548">
          <cell r="A548" t="str">
            <v>16-0026</v>
          </cell>
        </row>
        <row r="549">
          <cell r="A549" t="str">
            <v>16-0027</v>
          </cell>
        </row>
        <row r="550">
          <cell r="A550" t="str">
            <v>16-0028</v>
          </cell>
        </row>
        <row r="551">
          <cell r="A551" t="str">
            <v>16-0029</v>
          </cell>
        </row>
        <row r="552">
          <cell r="A552" t="str">
            <v>16-0030</v>
          </cell>
        </row>
        <row r="553">
          <cell r="A553" t="str">
            <v>16-0031</v>
          </cell>
        </row>
        <row r="554">
          <cell r="A554" t="str">
            <v>16-0034</v>
          </cell>
        </row>
        <row r="555">
          <cell r="A555" t="str">
            <v>16-0035</v>
          </cell>
        </row>
        <row r="556">
          <cell r="A556" t="str">
            <v>16-0036</v>
          </cell>
        </row>
        <row r="557">
          <cell r="A557" t="str">
            <v>16-0037</v>
          </cell>
        </row>
        <row r="558">
          <cell r="A558" t="str">
            <v>16-0038</v>
          </cell>
        </row>
        <row r="559">
          <cell r="A559" t="str">
            <v>16-0039</v>
          </cell>
        </row>
        <row r="560">
          <cell r="A560" t="str">
            <v>16-0040</v>
          </cell>
        </row>
        <row r="561">
          <cell r="A561" t="str">
            <v>16-0042</v>
          </cell>
        </row>
        <row r="562">
          <cell r="A562" t="str">
            <v>16-0043</v>
          </cell>
        </row>
        <row r="563">
          <cell r="A563" t="str">
            <v>16-0044</v>
          </cell>
        </row>
        <row r="564">
          <cell r="A564" t="str">
            <v>16-0045</v>
          </cell>
        </row>
        <row r="565">
          <cell r="A565" t="str">
            <v>16-0046</v>
          </cell>
        </row>
        <row r="566">
          <cell r="A566" t="str">
            <v>16-0047</v>
          </cell>
        </row>
        <row r="567">
          <cell r="A567" t="str">
            <v>16-0048</v>
          </cell>
        </row>
        <row r="568">
          <cell r="A568" t="str">
            <v>16-0049</v>
          </cell>
        </row>
        <row r="569">
          <cell r="A569" t="str">
            <v>16-0050</v>
          </cell>
        </row>
        <row r="570">
          <cell r="A570" t="str">
            <v>16-0051</v>
          </cell>
        </row>
        <row r="571">
          <cell r="A571" t="str">
            <v>16-0054</v>
          </cell>
        </row>
        <row r="572">
          <cell r="A572" t="str">
            <v>16-0055</v>
          </cell>
        </row>
        <row r="573">
          <cell r="A573" t="str">
            <v>16-0056</v>
          </cell>
        </row>
        <row r="574">
          <cell r="A574" t="str">
            <v>16-0057</v>
          </cell>
        </row>
        <row r="575">
          <cell r="A575" t="str">
            <v>16-0058</v>
          </cell>
        </row>
        <row r="576">
          <cell r="A576" t="str">
            <v>16-0059</v>
          </cell>
        </row>
        <row r="577">
          <cell r="A577" t="str">
            <v>16-0060</v>
          </cell>
        </row>
        <row r="578">
          <cell r="A578" t="str">
            <v>16-0061</v>
          </cell>
        </row>
        <row r="579">
          <cell r="A579" t="str">
            <v>16-0062</v>
          </cell>
        </row>
        <row r="580">
          <cell r="A580" t="str">
            <v>16-0063</v>
          </cell>
        </row>
        <row r="581">
          <cell r="A581" t="str">
            <v>16-0064</v>
          </cell>
        </row>
        <row r="582">
          <cell r="A582" t="str">
            <v>16-0065</v>
          </cell>
        </row>
        <row r="583">
          <cell r="A583" t="str">
            <v>16-0066</v>
          </cell>
        </row>
        <row r="584">
          <cell r="A584" t="str">
            <v>16-0067</v>
          </cell>
        </row>
        <row r="585">
          <cell r="A585" t="str">
            <v>16-0068</v>
          </cell>
        </row>
        <row r="586">
          <cell r="A586" t="str">
            <v>16-0069</v>
          </cell>
        </row>
        <row r="587">
          <cell r="A587" t="str">
            <v>16-0070</v>
          </cell>
        </row>
        <row r="588">
          <cell r="A588" t="str">
            <v>16-0071</v>
          </cell>
        </row>
        <row r="589">
          <cell r="A589" t="str">
            <v>16-0072</v>
          </cell>
        </row>
        <row r="590">
          <cell r="A590" t="str">
            <v>16-0073</v>
          </cell>
        </row>
        <row r="591">
          <cell r="A591" t="str">
            <v>16-0074</v>
          </cell>
        </row>
        <row r="592">
          <cell r="A592" t="str">
            <v>16-0075</v>
          </cell>
        </row>
        <row r="593">
          <cell r="A593" t="str">
            <v>16-0076</v>
          </cell>
        </row>
        <row r="594">
          <cell r="A594" t="str">
            <v>16-0077</v>
          </cell>
        </row>
        <row r="595">
          <cell r="A595" t="str">
            <v>16-0078</v>
          </cell>
        </row>
        <row r="596">
          <cell r="A596" t="str">
            <v>16-0079</v>
          </cell>
        </row>
        <row r="597">
          <cell r="A597" t="str">
            <v>16-0080</v>
          </cell>
        </row>
        <row r="598">
          <cell r="A598" t="str">
            <v>16-0081</v>
          </cell>
        </row>
        <row r="599">
          <cell r="A599" t="str">
            <v>16-0082</v>
          </cell>
        </row>
        <row r="600">
          <cell r="A600" t="str">
            <v>16-0083</v>
          </cell>
        </row>
        <row r="601">
          <cell r="A601" t="str">
            <v>16-0084</v>
          </cell>
        </row>
        <row r="602">
          <cell r="A602" t="str">
            <v>16-0085</v>
          </cell>
        </row>
        <row r="603">
          <cell r="A603" t="str">
            <v>16-0086</v>
          </cell>
        </row>
        <row r="604">
          <cell r="A604" t="str">
            <v>16-0087</v>
          </cell>
        </row>
        <row r="605">
          <cell r="A605" t="str">
            <v>16-0088</v>
          </cell>
        </row>
        <row r="606">
          <cell r="A606" t="str">
            <v>16-0089</v>
          </cell>
        </row>
        <row r="607">
          <cell r="A607" t="str">
            <v>16-0090</v>
          </cell>
        </row>
        <row r="608">
          <cell r="A608" t="str">
            <v>16-0091</v>
          </cell>
        </row>
        <row r="609">
          <cell r="A609" t="str">
            <v>16-0092</v>
          </cell>
        </row>
        <row r="610">
          <cell r="A610" t="str">
            <v>16-0093</v>
          </cell>
        </row>
        <row r="611">
          <cell r="A611" t="str">
            <v>16-0094</v>
          </cell>
        </row>
        <row r="612">
          <cell r="A612" t="str">
            <v>16-0096</v>
          </cell>
        </row>
        <row r="613">
          <cell r="A613" t="str">
            <v>16-0097</v>
          </cell>
        </row>
        <row r="614">
          <cell r="A614" t="str">
            <v>16-0098</v>
          </cell>
        </row>
        <row r="615">
          <cell r="A615" t="str">
            <v>16-0100</v>
          </cell>
        </row>
        <row r="616">
          <cell r="A616" t="str">
            <v>16-0101</v>
          </cell>
        </row>
        <row r="617">
          <cell r="A617" t="str">
            <v>16-0102</v>
          </cell>
        </row>
        <row r="618">
          <cell r="A618" t="str">
            <v>16-0103</v>
          </cell>
        </row>
        <row r="619">
          <cell r="A619" t="str">
            <v>16-0104</v>
          </cell>
        </row>
        <row r="620">
          <cell r="A620" t="str">
            <v>16-0105</v>
          </cell>
        </row>
        <row r="621">
          <cell r="A621" t="str">
            <v>16-0106</v>
          </cell>
        </row>
        <row r="622">
          <cell r="A622" t="str">
            <v>16-0107</v>
          </cell>
        </row>
        <row r="623">
          <cell r="A623" t="str">
            <v>16-0108</v>
          </cell>
        </row>
        <row r="624">
          <cell r="A624" t="str">
            <v>16-0109</v>
          </cell>
        </row>
        <row r="625">
          <cell r="A625" t="str">
            <v>16-0110</v>
          </cell>
        </row>
        <row r="626">
          <cell r="A626" t="str">
            <v>16-0111</v>
          </cell>
        </row>
        <row r="627">
          <cell r="A627" t="str">
            <v>16-0112</v>
          </cell>
        </row>
        <row r="628">
          <cell r="A628" t="str">
            <v>16-0113</v>
          </cell>
        </row>
        <row r="629">
          <cell r="A629" t="str">
            <v>16-0114</v>
          </cell>
        </row>
        <row r="630">
          <cell r="A630" t="str">
            <v>16-0115</v>
          </cell>
        </row>
        <row r="631">
          <cell r="A631" t="str">
            <v>16-0116</v>
          </cell>
        </row>
        <row r="632">
          <cell r="A632" t="str">
            <v>16-0117</v>
          </cell>
        </row>
        <row r="633">
          <cell r="A633" t="str">
            <v>16-0118</v>
          </cell>
        </row>
        <row r="634">
          <cell r="A634" t="str">
            <v>16-0119</v>
          </cell>
        </row>
        <row r="635">
          <cell r="A635" t="str">
            <v>16-0120</v>
          </cell>
        </row>
        <row r="636">
          <cell r="A636" t="str">
            <v>16-0121</v>
          </cell>
        </row>
        <row r="637">
          <cell r="A637" t="str">
            <v>16-0122</v>
          </cell>
        </row>
        <row r="638">
          <cell r="A638" t="str">
            <v>16-0123</v>
          </cell>
        </row>
        <row r="639">
          <cell r="A639" t="str">
            <v>16-0124</v>
          </cell>
        </row>
        <row r="640">
          <cell r="A640" t="str">
            <v>16-0125</v>
          </cell>
        </row>
        <row r="641">
          <cell r="A641" t="str">
            <v>16-0126</v>
          </cell>
        </row>
        <row r="642">
          <cell r="A642" t="str">
            <v>16-0127</v>
          </cell>
        </row>
        <row r="643">
          <cell r="A643" t="str">
            <v>16-0128</v>
          </cell>
        </row>
        <row r="644">
          <cell r="A644" t="str">
            <v>16-0129</v>
          </cell>
        </row>
        <row r="645">
          <cell r="A645" t="str">
            <v>16-0130</v>
          </cell>
        </row>
        <row r="646">
          <cell r="A646" t="str">
            <v>16-0131</v>
          </cell>
        </row>
        <row r="647">
          <cell r="A647" t="str">
            <v>16-0132</v>
          </cell>
        </row>
        <row r="648">
          <cell r="A648" t="str">
            <v>16-0133</v>
          </cell>
        </row>
        <row r="649">
          <cell r="A649" t="str">
            <v>16-0134</v>
          </cell>
        </row>
        <row r="650">
          <cell r="A650" t="str">
            <v>16-0135</v>
          </cell>
        </row>
        <row r="651">
          <cell r="A651" t="str">
            <v>16-0136</v>
          </cell>
        </row>
        <row r="652">
          <cell r="A652" t="str">
            <v>16-0137</v>
          </cell>
        </row>
        <row r="653">
          <cell r="A653" t="str">
            <v>16-0138</v>
          </cell>
        </row>
        <row r="654">
          <cell r="A654" t="str">
            <v>16-0139</v>
          </cell>
        </row>
        <row r="655">
          <cell r="A655" t="str">
            <v>16-0140</v>
          </cell>
        </row>
        <row r="656">
          <cell r="A656" t="str">
            <v>16-0141</v>
          </cell>
        </row>
        <row r="657">
          <cell r="A657" t="str">
            <v>16-0142</v>
          </cell>
        </row>
        <row r="658">
          <cell r="A658" t="str">
            <v>16-0143</v>
          </cell>
        </row>
        <row r="659">
          <cell r="A659" t="str">
            <v>16-0144</v>
          </cell>
        </row>
        <row r="660">
          <cell r="A660" t="str">
            <v>16-0145</v>
          </cell>
        </row>
        <row r="661">
          <cell r="A661" t="str">
            <v>16-0146</v>
          </cell>
        </row>
        <row r="662">
          <cell r="A662" t="str">
            <v>16-0147</v>
          </cell>
        </row>
        <row r="663">
          <cell r="A663" t="str">
            <v>16-0148</v>
          </cell>
        </row>
        <row r="664">
          <cell r="A664" t="str">
            <v>16-0149</v>
          </cell>
        </row>
        <row r="665">
          <cell r="A665" t="str">
            <v>16-0150</v>
          </cell>
        </row>
        <row r="666">
          <cell r="A666" t="str">
            <v>16-0151</v>
          </cell>
        </row>
        <row r="667">
          <cell r="A667" t="str">
            <v>16-0152</v>
          </cell>
        </row>
        <row r="668">
          <cell r="A668" t="str">
            <v>16-0153</v>
          </cell>
        </row>
        <row r="669">
          <cell r="A669" t="str">
            <v>16-0154</v>
          </cell>
        </row>
        <row r="670">
          <cell r="A670" t="str">
            <v>16-0155</v>
          </cell>
        </row>
        <row r="671">
          <cell r="A671" t="str">
            <v>16-0156</v>
          </cell>
        </row>
        <row r="672">
          <cell r="A672" t="str">
            <v>16-0157</v>
          </cell>
        </row>
        <row r="673">
          <cell r="A673" t="str">
            <v>16-0158</v>
          </cell>
        </row>
        <row r="674">
          <cell r="A674" t="str">
            <v>16-0159</v>
          </cell>
        </row>
        <row r="675">
          <cell r="A675" t="str">
            <v>16-0160</v>
          </cell>
        </row>
        <row r="676">
          <cell r="A676" t="str">
            <v>16-0161</v>
          </cell>
        </row>
        <row r="677">
          <cell r="A677" t="str">
            <v>16-0162</v>
          </cell>
        </row>
        <row r="678">
          <cell r="A678" t="str">
            <v>16-0163</v>
          </cell>
        </row>
        <row r="679">
          <cell r="A679" t="str">
            <v>16-0164</v>
          </cell>
        </row>
        <row r="680">
          <cell r="A680" t="str">
            <v>16-0165</v>
          </cell>
        </row>
        <row r="681">
          <cell r="A681" t="str">
            <v>16-0166</v>
          </cell>
        </row>
        <row r="682">
          <cell r="A682" t="str">
            <v>16-0167</v>
          </cell>
        </row>
        <row r="683">
          <cell r="A683" t="str">
            <v>16-0168</v>
          </cell>
        </row>
        <row r="684">
          <cell r="A684" t="str">
            <v>16-0169</v>
          </cell>
        </row>
        <row r="685">
          <cell r="A685" t="str">
            <v>16-0170</v>
          </cell>
        </row>
        <row r="686">
          <cell r="A686" t="str">
            <v>16-0171</v>
          </cell>
        </row>
        <row r="687">
          <cell r="A687" t="str">
            <v>16-0172</v>
          </cell>
        </row>
        <row r="688">
          <cell r="A688" t="str">
            <v>16-0173</v>
          </cell>
        </row>
        <row r="689">
          <cell r="A689" t="str">
            <v>16-0174</v>
          </cell>
        </row>
        <row r="690">
          <cell r="A690" t="str">
            <v>16-0175</v>
          </cell>
        </row>
        <row r="691">
          <cell r="A691" t="str">
            <v>16-0176</v>
          </cell>
        </row>
        <row r="692">
          <cell r="A692" t="str">
            <v>16-0177</v>
          </cell>
        </row>
        <row r="693">
          <cell r="A693" t="str">
            <v>16-0178</v>
          </cell>
        </row>
        <row r="694">
          <cell r="A694" t="str">
            <v>16-0179</v>
          </cell>
        </row>
        <row r="695">
          <cell r="A695" t="str">
            <v>16-0180</v>
          </cell>
        </row>
        <row r="696">
          <cell r="A696" t="str">
            <v>16-0181</v>
          </cell>
        </row>
        <row r="697">
          <cell r="A697" t="str">
            <v>16-0182</v>
          </cell>
        </row>
        <row r="698">
          <cell r="A698" t="str">
            <v>16-0183</v>
          </cell>
        </row>
        <row r="699">
          <cell r="A699" t="str">
            <v>16-0184</v>
          </cell>
        </row>
        <row r="700">
          <cell r="A700" t="str">
            <v>16-0185</v>
          </cell>
        </row>
        <row r="701">
          <cell r="A701" t="str">
            <v>16-0186</v>
          </cell>
        </row>
        <row r="702">
          <cell r="A702" t="str">
            <v>16-0187</v>
          </cell>
        </row>
        <row r="703">
          <cell r="A703" t="str">
            <v>16-0188</v>
          </cell>
        </row>
        <row r="704">
          <cell r="A704" t="str">
            <v>16-0189</v>
          </cell>
        </row>
        <row r="705">
          <cell r="A705" t="str">
            <v>16-0190</v>
          </cell>
        </row>
        <row r="706">
          <cell r="A706" t="str">
            <v>16-0191</v>
          </cell>
        </row>
        <row r="707">
          <cell r="A707" t="str">
            <v>16-0192</v>
          </cell>
        </row>
        <row r="708">
          <cell r="A708" t="str">
            <v>16-0193</v>
          </cell>
        </row>
        <row r="709">
          <cell r="A709" t="str">
            <v>16-0194</v>
          </cell>
        </row>
        <row r="710">
          <cell r="A710" t="str">
            <v>16-0195</v>
          </cell>
        </row>
        <row r="711">
          <cell r="A711" t="str">
            <v>16-0196</v>
          </cell>
        </row>
        <row r="712">
          <cell r="A712" t="str">
            <v>16-0197</v>
          </cell>
        </row>
        <row r="713">
          <cell r="A713" t="str">
            <v>16-0198</v>
          </cell>
        </row>
        <row r="714">
          <cell r="A714" t="str">
            <v>16-0199</v>
          </cell>
        </row>
        <row r="715">
          <cell r="A715" t="str">
            <v>16-0200</v>
          </cell>
        </row>
        <row r="716">
          <cell r="A716" t="str">
            <v>16-0201</v>
          </cell>
        </row>
        <row r="717">
          <cell r="A717" t="str">
            <v>16-0202</v>
          </cell>
        </row>
        <row r="718">
          <cell r="A718" t="str">
            <v>16-0203</v>
          </cell>
        </row>
        <row r="719">
          <cell r="A719" t="str">
            <v>16-0204</v>
          </cell>
        </row>
        <row r="720">
          <cell r="A720" t="str">
            <v>16-0205</v>
          </cell>
        </row>
        <row r="721">
          <cell r="A721" t="str">
            <v>16-0206</v>
          </cell>
        </row>
        <row r="722">
          <cell r="A722" t="str">
            <v>16-0207</v>
          </cell>
        </row>
        <row r="723">
          <cell r="A723" t="str">
            <v>16-0208</v>
          </cell>
        </row>
        <row r="724">
          <cell r="A724" t="str">
            <v>16-0209</v>
          </cell>
        </row>
        <row r="725">
          <cell r="A725" t="str">
            <v>16-0210</v>
          </cell>
        </row>
        <row r="726">
          <cell r="A726" t="str">
            <v>16-0211</v>
          </cell>
        </row>
        <row r="727">
          <cell r="A727" t="str">
            <v>16-0212</v>
          </cell>
        </row>
        <row r="728">
          <cell r="A728" t="str">
            <v>16-0213</v>
          </cell>
        </row>
        <row r="729">
          <cell r="A729" t="str">
            <v>16-0214</v>
          </cell>
        </row>
        <row r="730">
          <cell r="A730" t="str">
            <v>16-0215</v>
          </cell>
        </row>
        <row r="731">
          <cell r="A731" t="str">
            <v>16-0216</v>
          </cell>
        </row>
        <row r="732">
          <cell r="A732" t="str">
            <v>16-0217</v>
          </cell>
        </row>
        <row r="733">
          <cell r="A733" t="str">
            <v>16-0218</v>
          </cell>
        </row>
        <row r="734">
          <cell r="A734" t="str">
            <v>16-0219</v>
          </cell>
        </row>
        <row r="735">
          <cell r="A735" t="str">
            <v>16-0220</v>
          </cell>
        </row>
        <row r="736">
          <cell r="A736" t="str">
            <v>16-0221</v>
          </cell>
        </row>
        <row r="737">
          <cell r="A737" t="str">
            <v>16-0222</v>
          </cell>
        </row>
        <row r="738">
          <cell r="A738" t="str">
            <v>16-0223</v>
          </cell>
        </row>
        <row r="739">
          <cell r="A739" t="str">
            <v>16-0224</v>
          </cell>
        </row>
        <row r="740">
          <cell r="A740" t="str">
            <v>16-0225</v>
          </cell>
        </row>
        <row r="741">
          <cell r="A741" t="str">
            <v>16-0226</v>
          </cell>
        </row>
        <row r="742">
          <cell r="A742" t="str">
            <v>16-0227</v>
          </cell>
        </row>
        <row r="743">
          <cell r="A743" t="str">
            <v>16-0228</v>
          </cell>
        </row>
        <row r="744">
          <cell r="A744" t="str">
            <v>16-0229</v>
          </cell>
        </row>
        <row r="745">
          <cell r="A745" t="str">
            <v>16-0230</v>
          </cell>
        </row>
        <row r="746">
          <cell r="A746" t="str">
            <v>16-0231</v>
          </cell>
        </row>
        <row r="747">
          <cell r="A747" t="str">
            <v>16-0232</v>
          </cell>
        </row>
        <row r="748">
          <cell r="A748" t="str">
            <v>16-0233</v>
          </cell>
        </row>
        <row r="749">
          <cell r="A749" t="str">
            <v>16-0234</v>
          </cell>
        </row>
        <row r="750">
          <cell r="A750" t="str">
            <v>16-0235</v>
          </cell>
        </row>
        <row r="751">
          <cell r="A751" t="str">
            <v>16-0236</v>
          </cell>
        </row>
        <row r="752">
          <cell r="A752" t="str">
            <v>16-0237</v>
          </cell>
        </row>
        <row r="753">
          <cell r="A753" t="str">
            <v>16-0238</v>
          </cell>
        </row>
        <row r="754">
          <cell r="A754" t="str">
            <v>16-0239</v>
          </cell>
        </row>
        <row r="755">
          <cell r="A755" t="str">
            <v>16-0240</v>
          </cell>
        </row>
        <row r="756">
          <cell r="A756" t="str">
            <v>16-0241</v>
          </cell>
        </row>
        <row r="757">
          <cell r="A757" t="str">
            <v>16-0242</v>
          </cell>
        </row>
        <row r="758">
          <cell r="A758" t="str">
            <v>16-0243</v>
          </cell>
        </row>
        <row r="759">
          <cell r="A759" t="str">
            <v>16-0244</v>
          </cell>
        </row>
        <row r="760">
          <cell r="A760" t="str">
            <v>16-0245</v>
          </cell>
        </row>
        <row r="761">
          <cell r="A761" t="str">
            <v>16-0246</v>
          </cell>
        </row>
        <row r="762">
          <cell r="A762" t="str">
            <v>16-0247</v>
          </cell>
        </row>
        <row r="763">
          <cell r="A763" t="str">
            <v>16-0248</v>
          </cell>
        </row>
        <row r="764">
          <cell r="A764" t="str">
            <v>16-0249</v>
          </cell>
        </row>
        <row r="765">
          <cell r="A765" t="str">
            <v>16-0250</v>
          </cell>
        </row>
        <row r="766">
          <cell r="A766" t="str">
            <v>16-0251</v>
          </cell>
        </row>
        <row r="767">
          <cell r="A767" t="str">
            <v>16-0252</v>
          </cell>
        </row>
        <row r="768">
          <cell r="A768" t="str">
            <v>16-0253</v>
          </cell>
        </row>
        <row r="769">
          <cell r="A769" t="str">
            <v>16-0254</v>
          </cell>
        </row>
        <row r="770">
          <cell r="A770" t="str">
            <v>16-0255</v>
          </cell>
        </row>
        <row r="771">
          <cell r="A771" t="str">
            <v>16-0256</v>
          </cell>
        </row>
        <row r="772">
          <cell r="A772" t="str">
            <v>16-0257</v>
          </cell>
        </row>
        <row r="773">
          <cell r="A773" t="str">
            <v>16-0258</v>
          </cell>
        </row>
        <row r="774">
          <cell r="A774" t="str">
            <v>16-0259</v>
          </cell>
        </row>
        <row r="775">
          <cell r="A775" t="str">
            <v>16-0260</v>
          </cell>
        </row>
        <row r="776">
          <cell r="A776" t="str">
            <v>16-0261</v>
          </cell>
        </row>
        <row r="777">
          <cell r="A777" t="str">
            <v>16-0262</v>
          </cell>
        </row>
        <row r="778">
          <cell r="A778" t="str">
            <v>16-0263</v>
          </cell>
        </row>
        <row r="779">
          <cell r="A779" t="str">
            <v>16-0264</v>
          </cell>
        </row>
        <row r="780">
          <cell r="A780" t="str">
            <v>16-0265</v>
          </cell>
        </row>
        <row r="781">
          <cell r="A781" t="str">
            <v>16-0266</v>
          </cell>
        </row>
        <row r="782">
          <cell r="A782" t="str">
            <v>16-0267</v>
          </cell>
        </row>
        <row r="783">
          <cell r="A783" t="str">
            <v>16-0268</v>
          </cell>
        </row>
        <row r="784">
          <cell r="A784" t="str">
            <v>16-0269</v>
          </cell>
        </row>
        <row r="785">
          <cell r="A785" t="str">
            <v>16-0270</v>
          </cell>
        </row>
        <row r="786">
          <cell r="A786" t="str">
            <v>16-0271</v>
          </cell>
        </row>
        <row r="787">
          <cell r="A787" t="str">
            <v>16-0272</v>
          </cell>
        </row>
        <row r="788">
          <cell r="A788" t="str">
            <v>16-0273</v>
          </cell>
        </row>
        <row r="789">
          <cell r="A789" t="str">
            <v>16-0275</v>
          </cell>
        </row>
        <row r="790">
          <cell r="A790" t="str">
            <v>16-0276</v>
          </cell>
        </row>
        <row r="791">
          <cell r="A791" t="str">
            <v>16-0277</v>
          </cell>
        </row>
        <row r="792">
          <cell r="A792" t="str">
            <v>16-0278</v>
          </cell>
        </row>
        <row r="793">
          <cell r="A793" t="str">
            <v>16-0279</v>
          </cell>
        </row>
        <row r="794">
          <cell r="A794" t="str">
            <v>16-0280</v>
          </cell>
        </row>
        <row r="795">
          <cell r="A795" t="str">
            <v>16-0281</v>
          </cell>
        </row>
        <row r="796">
          <cell r="A796" t="str">
            <v>16-0282</v>
          </cell>
        </row>
        <row r="797">
          <cell r="A797" t="str">
            <v>16-0283</v>
          </cell>
        </row>
        <row r="798">
          <cell r="A798" t="str">
            <v>16-0284</v>
          </cell>
        </row>
        <row r="799">
          <cell r="A799" t="str">
            <v>16-0285</v>
          </cell>
        </row>
        <row r="800">
          <cell r="A800" t="str">
            <v>16-0286</v>
          </cell>
        </row>
        <row r="801">
          <cell r="A801" t="str">
            <v>16-0287</v>
          </cell>
        </row>
        <row r="802">
          <cell r="A802" t="str">
            <v>16-0288</v>
          </cell>
        </row>
        <row r="803">
          <cell r="A803" t="str">
            <v>16-0289</v>
          </cell>
        </row>
        <row r="804">
          <cell r="A804" t="str">
            <v>16-0290</v>
          </cell>
        </row>
        <row r="805">
          <cell r="A805" t="str">
            <v>16-0291</v>
          </cell>
        </row>
        <row r="806">
          <cell r="A806" t="str">
            <v>16-0292</v>
          </cell>
        </row>
        <row r="807">
          <cell r="A807" t="str">
            <v>16-0293</v>
          </cell>
        </row>
        <row r="808">
          <cell r="A808" t="str">
            <v>16-0294</v>
          </cell>
        </row>
        <row r="809">
          <cell r="A809" t="str">
            <v>16-0295</v>
          </cell>
        </row>
        <row r="810">
          <cell r="A810" t="str">
            <v>16-0296</v>
          </cell>
        </row>
        <row r="811">
          <cell r="A811" t="str">
            <v>16-0297</v>
          </cell>
        </row>
        <row r="812">
          <cell r="A812" t="str">
            <v>16-0298</v>
          </cell>
        </row>
        <row r="813">
          <cell r="A813" t="str">
            <v>16-0299</v>
          </cell>
        </row>
        <row r="814">
          <cell r="A814" t="str">
            <v>16-0300</v>
          </cell>
        </row>
        <row r="815">
          <cell r="A815" t="str">
            <v>16-0301</v>
          </cell>
        </row>
        <row r="816">
          <cell r="A816" t="str">
            <v>16-0302</v>
          </cell>
        </row>
        <row r="817">
          <cell r="A817" t="str">
            <v>16-0303</v>
          </cell>
        </row>
        <row r="818">
          <cell r="A818" t="str">
            <v>16-0304</v>
          </cell>
        </row>
        <row r="819">
          <cell r="A819" t="str">
            <v>16-0305</v>
          </cell>
        </row>
        <row r="820">
          <cell r="A820" t="str">
            <v>16-0306</v>
          </cell>
        </row>
        <row r="821">
          <cell r="A821" t="str">
            <v>16-0307</v>
          </cell>
        </row>
        <row r="822">
          <cell r="A822" t="str">
            <v>16-0308</v>
          </cell>
        </row>
        <row r="823">
          <cell r="A823" t="str">
            <v>16-0309</v>
          </cell>
        </row>
        <row r="824">
          <cell r="A824" t="str">
            <v>16-0310</v>
          </cell>
        </row>
        <row r="825">
          <cell r="A825" t="str">
            <v>16-0311</v>
          </cell>
        </row>
        <row r="826">
          <cell r="A826" t="str">
            <v>16-0312</v>
          </cell>
        </row>
        <row r="827">
          <cell r="A827" t="str">
            <v>16-0313</v>
          </cell>
        </row>
        <row r="828">
          <cell r="A828" t="str">
            <v>16-0314</v>
          </cell>
        </row>
        <row r="829">
          <cell r="A829" t="str">
            <v>16-0315</v>
          </cell>
        </row>
        <row r="830">
          <cell r="A830" t="str">
            <v>16-0316</v>
          </cell>
        </row>
        <row r="831">
          <cell r="A831" t="str">
            <v>16-0317</v>
          </cell>
        </row>
        <row r="832">
          <cell r="A832" t="str">
            <v>16-0318</v>
          </cell>
        </row>
        <row r="833">
          <cell r="A833" t="str">
            <v>16-0319</v>
          </cell>
        </row>
        <row r="834">
          <cell r="A834" t="str">
            <v>16-0320</v>
          </cell>
        </row>
        <row r="835">
          <cell r="A835" t="str">
            <v>16-0321</v>
          </cell>
        </row>
        <row r="836">
          <cell r="A836" t="str">
            <v>16-0322</v>
          </cell>
        </row>
        <row r="837">
          <cell r="A837" t="str">
            <v>16-0323</v>
          </cell>
        </row>
        <row r="838">
          <cell r="A838" t="str">
            <v>16-0324</v>
          </cell>
        </row>
        <row r="839">
          <cell r="A839" t="str">
            <v>16-0325</v>
          </cell>
        </row>
        <row r="840">
          <cell r="A840" t="str">
            <v>16-0326</v>
          </cell>
        </row>
        <row r="841">
          <cell r="A841" t="str">
            <v>16-0327</v>
          </cell>
        </row>
        <row r="842">
          <cell r="A842" t="str">
            <v>16-0328</v>
          </cell>
        </row>
        <row r="843">
          <cell r="A843" t="str">
            <v>16-0329</v>
          </cell>
        </row>
        <row r="844">
          <cell r="A844" t="str">
            <v>16-0330</v>
          </cell>
        </row>
        <row r="845">
          <cell r="A845" t="str">
            <v>16-0331</v>
          </cell>
        </row>
        <row r="846">
          <cell r="A846" t="str">
            <v>16-0332</v>
          </cell>
        </row>
        <row r="847">
          <cell r="A847" t="str">
            <v>16-0333</v>
          </cell>
        </row>
        <row r="848">
          <cell r="A848" t="str">
            <v>16-0334</v>
          </cell>
        </row>
        <row r="849">
          <cell r="A849" t="str">
            <v>16-0335</v>
          </cell>
        </row>
        <row r="850">
          <cell r="A850" t="str">
            <v>16-0336</v>
          </cell>
        </row>
        <row r="851">
          <cell r="A851" t="str">
            <v>16-0337</v>
          </cell>
        </row>
        <row r="852">
          <cell r="A852" t="str">
            <v>16-0338</v>
          </cell>
        </row>
        <row r="853">
          <cell r="A853" t="str">
            <v>16-0339</v>
          </cell>
        </row>
        <row r="854">
          <cell r="A854" t="str">
            <v>16-0340</v>
          </cell>
        </row>
        <row r="855">
          <cell r="A855" t="str">
            <v>16-0341</v>
          </cell>
        </row>
        <row r="856">
          <cell r="A856" t="str">
            <v>16-0342</v>
          </cell>
        </row>
        <row r="857">
          <cell r="A857" t="str">
            <v>16-0343</v>
          </cell>
        </row>
        <row r="858">
          <cell r="A858" t="str">
            <v>16-0344</v>
          </cell>
        </row>
        <row r="859">
          <cell r="A859" t="str">
            <v>16-0345</v>
          </cell>
        </row>
        <row r="860">
          <cell r="A860" t="str">
            <v>16-0346</v>
          </cell>
        </row>
        <row r="861">
          <cell r="A861" t="str">
            <v>16-0347</v>
          </cell>
        </row>
        <row r="862">
          <cell r="A862" t="str">
            <v>16-0348</v>
          </cell>
        </row>
        <row r="863">
          <cell r="A863" t="str">
            <v>16-0349</v>
          </cell>
        </row>
        <row r="864">
          <cell r="A864" t="str">
            <v>16-0350</v>
          </cell>
        </row>
        <row r="865">
          <cell r="A865" t="str">
            <v>16-0351</v>
          </cell>
        </row>
        <row r="866">
          <cell r="A866" t="str">
            <v>16-0352</v>
          </cell>
        </row>
        <row r="867">
          <cell r="A867" t="str">
            <v>16-0353</v>
          </cell>
        </row>
        <row r="868">
          <cell r="A868" t="str">
            <v>16-0354</v>
          </cell>
        </row>
        <row r="869">
          <cell r="A869" t="str">
            <v>16-0355</v>
          </cell>
        </row>
        <row r="870">
          <cell r="A870" t="str">
            <v>16-0356</v>
          </cell>
        </row>
        <row r="871">
          <cell r="A871" t="str">
            <v>16-0357</v>
          </cell>
        </row>
        <row r="872">
          <cell r="A872" t="str">
            <v>16-0358</v>
          </cell>
        </row>
        <row r="873">
          <cell r="A873" t="str">
            <v>16-0359</v>
          </cell>
        </row>
        <row r="874">
          <cell r="A874" t="str">
            <v>16-0360</v>
          </cell>
        </row>
        <row r="875">
          <cell r="A875" t="str">
            <v>16-0361</v>
          </cell>
        </row>
        <row r="876">
          <cell r="A876" t="str">
            <v>16-0363</v>
          </cell>
        </row>
        <row r="877">
          <cell r="A877" t="str">
            <v>16-0364</v>
          </cell>
        </row>
        <row r="878">
          <cell r="A878" t="str">
            <v>16-0365</v>
          </cell>
        </row>
        <row r="879">
          <cell r="A879" t="str">
            <v>16-0366</v>
          </cell>
        </row>
        <row r="880">
          <cell r="A880" t="str">
            <v>16-0367</v>
          </cell>
        </row>
        <row r="881">
          <cell r="A881" t="str">
            <v>16-0368</v>
          </cell>
        </row>
        <row r="882">
          <cell r="A882" t="str">
            <v>16-0369</v>
          </cell>
        </row>
        <row r="883">
          <cell r="A883" t="str">
            <v>16-0370</v>
          </cell>
        </row>
        <row r="884">
          <cell r="A884" t="str">
            <v>16-0371</v>
          </cell>
        </row>
        <row r="885">
          <cell r="A885" t="str">
            <v>16-0372</v>
          </cell>
        </row>
        <row r="886">
          <cell r="A886" t="str">
            <v>16-0373</v>
          </cell>
        </row>
        <row r="887">
          <cell r="A887" t="str">
            <v>16-0374</v>
          </cell>
        </row>
        <row r="888">
          <cell r="A888" t="str">
            <v>16-0375</v>
          </cell>
        </row>
        <row r="889">
          <cell r="A889" t="str">
            <v>16-0376</v>
          </cell>
        </row>
        <row r="890">
          <cell r="A890" t="str">
            <v>16-0377</v>
          </cell>
        </row>
        <row r="891">
          <cell r="A891" t="str">
            <v>16-0378</v>
          </cell>
        </row>
        <row r="892">
          <cell r="A892" t="str">
            <v>16-0379</v>
          </cell>
        </row>
        <row r="893">
          <cell r="A893" t="str">
            <v>16-0380</v>
          </cell>
        </row>
        <row r="894">
          <cell r="A894" t="str">
            <v>16-0381</v>
          </cell>
        </row>
        <row r="895">
          <cell r="A895" t="str">
            <v>16-0382</v>
          </cell>
        </row>
        <row r="896">
          <cell r="A896" t="str">
            <v>16-0383</v>
          </cell>
        </row>
        <row r="897">
          <cell r="A897" t="str">
            <v>16-0384</v>
          </cell>
        </row>
        <row r="898">
          <cell r="A898" t="str">
            <v>16-0385</v>
          </cell>
        </row>
        <row r="899">
          <cell r="A899" t="str">
            <v>16-0386</v>
          </cell>
        </row>
        <row r="900">
          <cell r="A900" t="str">
            <v>16-0387</v>
          </cell>
        </row>
        <row r="901">
          <cell r="A901" t="str">
            <v>16-0388</v>
          </cell>
        </row>
        <row r="902">
          <cell r="A902" t="str">
            <v>16-0389</v>
          </cell>
        </row>
        <row r="903">
          <cell r="A903" t="str">
            <v>16-0390</v>
          </cell>
        </row>
        <row r="904">
          <cell r="A904" t="str">
            <v>16-0391</v>
          </cell>
        </row>
        <row r="905">
          <cell r="A905" t="str">
            <v>16-0392</v>
          </cell>
        </row>
        <row r="906">
          <cell r="A906" t="str">
            <v>16-0393</v>
          </cell>
        </row>
        <row r="907">
          <cell r="A907" t="str">
            <v>16-0394</v>
          </cell>
        </row>
        <row r="908">
          <cell r="A908" t="str">
            <v>16-0395</v>
          </cell>
        </row>
        <row r="909">
          <cell r="A909" t="str">
            <v>16-0396</v>
          </cell>
        </row>
        <row r="910">
          <cell r="A910" t="str">
            <v>16-0397</v>
          </cell>
        </row>
        <row r="911">
          <cell r="A911" t="str">
            <v>16-0398</v>
          </cell>
        </row>
        <row r="912">
          <cell r="A912" t="str">
            <v>16-0399</v>
          </cell>
        </row>
        <row r="913">
          <cell r="A913" t="str">
            <v>16-0400</v>
          </cell>
        </row>
        <row r="914">
          <cell r="A914" t="str">
            <v>16-0401</v>
          </cell>
        </row>
        <row r="915">
          <cell r="A915" t="str">
            <v>16-0402</v>
          </cell>
        </row>
        <row r="916">
          <cell r="A916" t="str">
            <v>16-0403</v>
          </cell>
        </row>
        <row r="917">
          <cell r="A917" t="str">
            <v>16-0404</v>
          </cell>
        </row>
        <row r="918">
          <cell r="A918" t="str">
            <v>16-0405</v>
          </cell>
        </row>
        <row r="919">
          <cell r="A919" t="str">
            <v>16-0406</v>
          </cell>
        </row>
        <row r="920">
          <cell r="A920" t="str">
            <v>16-0407</v>
          </cell>
        </row>
        <row r="921">
          <cell r="A921" t="str">
            <v>16-0408</v>
          </cell>
        </row>
        <row r="922">
          <cell r="A922" t="str">
            <v>16-0409</v>
          </cell>
        </row>
        <row r="923">
          <cell r="A923" t="str">
            <v>16-0410</v>
          </cell>
        </row>
        <row r="924">
          <cell r="A924" t="str">
            <v>16-0411</v>
          </cell>
        </row>
        <row r="925">
          <cell r="A925" t="str">
            <v>16-0412</v>
          </cell>
        </row>
        <row r="926">
          <cell r="A926" t="str">
            <v>16-0413</v>
          </cell>
        </row>
        <row r="927">
          <cell r="A927" t="str">
            <v>16-0414</v>
          </cell>
        </row>
        <row r="928">
          <cell r="A928" t="str">
            <v>16-0415</v>
          </cell>
        </row>
        <row r="929">
          <cell r="A929" t="str">
            <v>16-0416</v>
          </cell>
        </row>
        <row r="930">
          <cell r="A930" t="str">
            <v>16-0417</v>
          </cell>
        </row>
        <row r="931">
          <cell r="A931" t="str">
            <v>16-0418</v>
          </cell>
        </row>
        <row r="932">
          <cell r="A932" t="str">
            <v>16-0419</v>
          </cell>
        </row>
        <row r="933">
          <cell r="A933" t="str">
            <v>16-0420</v>
          </cell>
        </row>
        <row r="934">
          <cell r="A934" t="str">
            <v>16-0421</v>
          </cell>
        </row>
        <row r="935">
          <cell r="A935" t="str">
            <v>16-0422</v>
          </cell>
        </row>
        <row r="936">
          <cell r="A936" t="str">
            <v>16-0423</v>
          </cell>
        </row>
        <row r="937">
          <cell r="A937" t="str">
            <v>16-0424</v>
          </cell>
        </row>
        <row r="938">
          <cell r="A938" t="str">
            <v>16-0425</v>
          </cell>
        </row>
        <row r="939">
          <cell r="A939" t="str">
            <v>16-0426</v>
          </cell>
        </row>
        <row r="940">
          <cell r="A940" t="str">
            <v>16-0427</v>
          </cell>
        </row>
        <row r="941">
          <cell r="A941" t="str">
            <v>16-0428</v>
          </cell>
        </row>
        <row r="942">
          <cell r="A942" t="str">
            <v>16-0429</v>
          </cell>
        </row>
        <row r="943">
          <cell r="A943" t="str">
            <v>16-0430</v>
          </cell>
        </row>
        <row r="944">
          <cell r="A944" t="str">
            <v>16-0431</v>
          </cell>
        </row>
        <row r="945">
          <cell r="A945" t="str">
            <v>16-0432</v>
          </cell>
        </row>
        <row r="946">
          <cell r="A946" t="str">
            <v>16-0433</v>
          </cell>
        </row>
        <row r="947">
          <cell r="A947" t="str">
            <v>16-0434</v>
          </cell>
        </row>
        <row r="948">
          <cell r="A948" t="str">
            <v>16-0435</v>
          </cell>
        </row>
        <row r="949">
          <cell r="A949" t="str">
            <v>16-0436</v>
          </cell>
        </row>
        <row r="950">
          <cell r="A950" t="str">
            <v>16-0437</v>
          </cell>
        </row>
        <row r="951">
          <cell r="A951" t="str">
            <v>16-0438</v>
          </cell>
        </row>
        <row r="952">
          <cell r="A952" t="str">
            <v>16-0439</v>
          </cell>
        </row>
        <row r="953">
          <cell r="A953" t="str">
            <v>16-0440</v>
          </cell>
        </row>
        <row r="954">
          <cell r="A954" t="str">
            <v>16-0441</v>
          </cell>
        </row>
        <row r="955">
          <cell r="A955" t="str">
            <v>16-0442</v>
          </cell>
        </row>
        <row r="956">
          <cell r="A956" t="str">
            <v>16-0443</v>
          </cell>
        </row>
        <row r="957">
          <cell r="A957" t="str">
            <v>16-0444</v>
          </cell>
        </row>
        <row r="958">
          <cell r="A958" t="str">
            <v>16-0445</v>
          </cell>
        </row>
        <row r="959">
          <cell r="A959" t="str">
            <v>16-0446</v>
          </cell>
        </row>
        <row r="960">
          <cell r="A960" t="str">
            <v>16-0447</v>
          </cell>
        </row>
        <row r="961">
          <cell r="A961" t="str">
            <v>16-0448</v>
          </cell>
        </row>
        <row r="962">
          <cell r="A962" t="str">
            <v>16-0449</v>
          </cell>
        </row>
        <row r="963">
          <cell r="A963" t="str">
            <v>16-0450</v>
          </cell>
        </row>
        <row r="964">
          <cell r="A964" t="str">
            <v>16-0451</v>
          </cell>
        </row>
        <row r="965">
          <cell r="A965" t="str">
            <v>16-0452</v>
          </cell>
        </row>
        <row r="966">
          <cell r="A966" t="str">
            <v>16-0453</v>
          </cell>
        </row>
        <row r="967">
          <cell r="A967" t="str">
            <v>16-0454</v>
          </cell>
        </row>
        <row r="968">
          <cell r="A968" t="str">
            <v>16-0455</v>
          </cell>
        </row>
        <row r="969">
          <cell r="A969" t="str">
            <v>16-0456</v>
          </cell>
        </row>
        <row r="970">
          <cell r="A970" t="str">
            <v>16-0457</v>
          </cell>
        </row>
        <row r="971">
          <cell r="A971" t="str">
            <v>16-0458</v>
          </cell>
        </row>
        <row r="972">
          <cell r="A972" t="str">
            <v>16-0459</v>
          </cell>
        </row>
        <row r="973">
          <cell r="A973" t="str">
            <v>16-0460</v>
          </cell>
        </row>
        <row r="974">
          <cell r="A974" t="str">
            <v>16-0461</v>
          </cell>
        </row>
        <row r="975">
          <cell r="A975" t="str">
            <v>16-0462</v>
          </cell>
        </row>
        <row r="976">
          <cell r="A976" t="str">
            <v>16-0463</v>
          </cell>
        </row>
        <row r="977">
          <cell r="A977" t="str">
            <v>16-0464</v>
          </cell>
        </row>
        <row r="978">
          <cell r="A978" t="str">
            <v>16-0465</v>
          </cell>
        </row>
        <row r="979">
          <cell r="A979" t="str">
            <v>16-0466</v>
          </cell>
        </row>
        <row r="980">
          <cell r="A980" t="str">
            <v>16-0467</v>
          </cell>
        </row>
        <row r="981">
          <cell r="A981" t="str">
            <v>16-0468</v>
          </cell>
        </row>
        <row r="982">
          <cell r="A982" t="str">
            <v>16-0469</v>
          </cell>
        </row>
        <row r="983">
          <cell r="A983" t="str">
            <v>16-0470</v>
          </cell>
        </row>
        <row r="984">
          <cell r="A984" t="str">
            <v>16-0471</v>
          </cell>
        </row>
        <row r="985">
          <cell r="A985" t="str">
            <v>16-0472</v>
          </cell>
        </row>
        <row r="986">
          <cell r="A986" t="str">
            <v>16-0473</v>
          </cell>
        </row>
        <row r="987">
          <cell r="A987" t="str">
            <v>16-0474</v>
          </cell>
        </row>
        <row r="988">
          <cell r="A988" t="str">
            <v>16-0475</v>
          </cell>
        </row>
        <row r="989">
          <cell r="A989" t="str">
            <v>16-0476</v>
          </cell>
        </row>
        <row r="990">
          <cell r="A990" t="str">
            <v>16-0477</v>
          </cell>
        </row>
        <row r="991">
          <cell r="A991" t="str">
            <v>16-0478</v>
          </cell>
        </row>
        <row r="992">
          <cell r="A992" t="str">
            <v>16-0479</v>
          </cell>
        </row>
        <row r="993">
          <cell r="A993" t="str">
            <v>16-0480</v>
          </cell>
        </row>
        <row r="994">
          <cell r="A994" t="str">
            <v>16-0481</v>
          </cell>
        </row>
        <row r="995">
          <cell r="A995" t="str">
            <v>16-0482</v>
          </cell>
        </row>
        <row r="996">
          <cell r="A996" t="str">
            <v>16-0483</v>
          </cell>
        </row>
        <row r="997">
          <cell r="A997" t="str">
            <v>16-0484</v>
          </cell>
        </row>
        <row r="998">
          <cell r="A998" t="str">
            <v>16-0485</v>
          </cell>
        </row>
        <row r="999">
          <cell r="A999" t="str">
            <v>16-0486</v>
          </cell>
        </row>
        <row r="1000">
          <cell r="A1000" t="str">
            <v>16-0487</v>
          </cell>
        </row>
        <row r="1001">
          <cell r="A1001" t="str">
            <v>16-0488</v>
          </cell>
        </row>
        <row r="1002">
          <cell r="A1002" t="str">
            <v>16-0489</v>
          </cell>
        </row>
        <row r="1003">
          <cell r="A1003" t="str">
            <v>16-0490</v>
          </cell>
        </row>
        <row r="1004">
          <cell r="A1004" t="str">
            <v>16-0491</v>
          </cell>
        </row>
        <row r="1005">
          <cell r="A1005" t="str">
            <v>16-0492</v>
          </cell>
        </row>
        <row r="1006">
          <cell r="A1006" t="str">
            <v>16-0493</v>
          </cell>
        </row>
        <row r="1007">
          <cell r="A1007" t="str">
            <v>16-0494</v>
          </cell>
        </row>
        <row r="1008">
          <cell r="A1008" t="str">
            <v>16-0495</v>
          </cell>
        </row>
        <row r="1009">
          <cell r="A1009" t="str">
            <v>16-0496</v>
          </cell>
        </row>
        <row r="1010">
          <cell r="A1010" t="str">
            <v>16-0497</v>
          </cell>
        </row>
        <row r="1011">
          <cell r="A1011" t="str">
            <v>16-0498</v>
          </cell>
        </row>
        <row r="1012">
          <cell r="A1012" t="str">
            <v>16-0499</v>
          </cell>
        </row>
        <row r="1013">
          <cell r="A1013" t="str">
            <v>16-0500</v>
          </cell>
        </row>
        <row r="1014">
          <cell r="A1014" t="str">
            <v>16-0501</v>
          </cell>
        </row>
        <row r="1015">
          <cell r="A1015" t="str">
            <v>16-0502</v>
          </cell>
        </row>
        <row r="1016">
          <cell r="A1016" t="str">
            <v>16-0503</v>
          </cell>
        </row>
        <row r="1017">
          <cell r="A1017" t="str">
            <v>16-0504</v>
          </cell>
        </row>
        <row r="1018">
          <cell r="A1018" t="str">
            <v>16-0505</v>
          </cell>
        </row>
        <row r="1019">
          <cell r="A1019" t="str">
            <v>16-0506</v>
          </cell>
        </row>
        <row r="1020">
          <cell r="A1020" t="str">
            <v>16-0507</v>
          </cell>
        </row>
        <row r="1021">
          <cell r="A1021" t="str">
            <v>16-0508</v>
          </cell>
        </row>
        <row r="1022">
          <cell r="A1022" t="str">
            <v>16-0509</v>
          </cell>
        </row>
        <row r="1023">
          <cell r="A1023" t="str">
            <v>16-0510</v>
          </cell>
        </row>
        <row r="1024">
          <cell r="A1024" t="str">
            <v>16-0511</v>
          </cell>
        </row>
        <row r="1025">
          <cell r="A1025" t="str">
            <v>16-0512</v>
          </cell>
        </row>
        <row r="1026">
          <cell r="A1026" t="str">
            <v>16-0513</v>
          </cell>
        </row>
        <row r="1027">
          <cell r="A1027" t="str">
            <v>16-0514</v>
          </cell>
        </row>
        <row r="1028">
          <cell r="A1028" t="str">
            <v>16-0515</v>
          </cell>
        </row>
        <row r="1029">
          <cell r="A1029" t="str">
            <v>16-0516</v>
          </cell>
        </row>
        <row r="1030">
          <cell r="A1030" t="str">
            <v>16-0517</v>
          </cell>
        </row>
        <row r="1031">
          <cell r="A1031" t="str">
            <v>16-0518</v>
          </cell>
        </row>
        <row r="1032">
          <cell r="A1032" t="str">
            <v>16-0519</v>
          </cell>
        </row>
        <row r="1033">
          <cell r="A1033" t="str">
            <v>16-0520</v>
          </cell>
        </row>
        <row r="1034">
          <cell r="A1034" t="str">
            <v>16-0521</v>
          </cell>
        </row>
        <row r="1035">
          <cell r="A1035" t="str">
            <v>16-0522</v>
          </cell>
        </row>
        <row r="1036">
          <cell r="A1036" t="str">
            <v>16-0523</v>
          </cell>
        </row>
        <row r="1037">
          <cell r="A1037" t="str">
            <v>16-0524</v>
          </cell>
        </row>
        <row r="1038">
          <cell r="A1038" t="str">
            <v>16-0525</v>
          </cell>
        </row>
        <row r="1039">
          <cell r="A1039" t="str">
            <v>16-0526</v>
          </cell>
        </row>
        <row r="1040">
          <cell r="A1040" t="str">
            <v>16-0527</v>
          </cell>
        </row>
        <row r="1041">
          <cell r="A1041" t="str">
            <v>16-0528</v>
          </cell>
        </row>
        <row r="1042">
          <cell r="A1042" t="str">
            <v>16-0529</v>
          </cell>
        </row>
        <row r="1043">
          <cell r="A1043" t="str">
            <v>16-0530</v>
          </cell>
        </row>
        <row r="1044">
          <cell r="A1044" t="str">
            <v>16-0531</v>
          </cell>
        </row>
        <row r="1045">
          <cell r="A1045" t="str">
            <v>16-0532</v>
          </cell>
        </row>
        <row r="1046">
          <cell r="A1046" t="str">
            <v>16-0533</v>
          </cell>
        </row>
        <row r="1047">
          <cell r="A1047" t="str">
            <v>16-0534</v>
          </cell>
        </row>
        <row r="1048">
          <cell r="A1048" t="str">
            <v>16-0535</v>
          </cell>
        </row>
        <row r="1049">
          <cell r="A1049" t="str">
            <v>16-0536</v>
          </cell>
        </row>
        <row r="1050">
          <cell r="A1050" t="str">
            <v>16-0537</v>
          </cell>
        </row>
        <row r="1051">
          <cell r="A1051" t="str">
            <v>16-0538</v>
          </cell>
        </row>
        <row r="1052">
          <cell r="A1052" t="str">
            <v>16-0539</v>
          </cell>
        </row>
        <row r="1053">
          <cell r="A1053" t="str">
            <v>16-0540</v>
          </cell>
        </row>
        <row r="1054">
          <cell r="A1054" t="str">
            <v>16-0541</v>
          </cell>
        </row>
        <row r="1055">
          <cell r="A1055" t="str">
            <v>16-0542</v>
          </cell>
        </row>
        <row r="1056">
          <cell r="A1056" t="str">
            <v>16-0543</v>
          </cell>
        </row>
        <row r="1057">
          <cell r="A1057" t="str">
            <v>16-0544</v>
          </cell>
        </row>
        <row r="1058">
          <cell r="A1058" t="str">
            <v>16-0545</v>
          </cell>
        </row>
        <row r="1059">
          <cell r="A1059" t="str">
            <v>16-0546</v>
          </cell>
        </row>
        <row r="1060">
          <cell r="A1060" t="str">
            <v>16-0547</v>
          </cell>
        </row>
        <row r="1061">
          <cell r="A1061" t="str">
            <v>16-0548</v>
          </cell>
        </row>
        <row r="1062">
          <cell r="A1062" t="str">
            <v>16-0549</v>
          </cell>
        </row>
        <row r="1063">
          <cell r="A1063" t="str">
            <v>16-0550</v>
          </cell>
        </row>
        <row r="1064">
          <cell r="A1064" t="str">
            <v>16-0551</v>
          </cell>
        </row>
        <row r="1065">
          <cell r="A1065" t="str">
            <v>16-0552</v>
          </cell>
        </row>
        <row r="1066">
          <cell r="A1066" t="str">
            <v>16-0553</v>
          </cell>
        </row>
        <row r="1067">
          <cell r="A1067" t="str">
            <v>16-0554</v>
          </cell>
        </row>
        <row r="1068">
          <cell r="A1068" t="str">
            <v>16-0555</v>
          </cell>
        </row>
        <row r="1069">
          <cell r="A1069" t="str">
            <v>16-0556</v>
          </cell>
        </row>
        <row r="1070">
          <cell r="A1070" t="str">
            <v>16-0557</v>
          </cell>
        </row>
        <row r="1071">
          <cell r="A1071" t="str">
            <v>16-0558</v>
          </cell>
        </row>
        <row r="1072">
          <cell r="A1072" t="str">
            <v>16-0559</v>
          </cell>
        </row>
        <row r="1073">
          <cell r="A1073" t="str">
            <v>16-0560</v>
          </cell>
        </row>
        <row r="1074">
          <cell r="A1074" t="str">
            <v>16-0561</v>
          </cell>
        </row>
        <row r="1075">
          <cell r="A1075" t="str">
            <v>16-0562</v>
          </cell>
        </row>
        <row r="1076">
          <cell r="A1076" t="str">
            <v>16-0563</v>
          </cell>
        </row>
        <row r="1077">
          <cell r="A1077" t="str">
            <v>16-0564</v>
          </cell>
        </row>
        <row r="1078">
          <cell r="A1078" t="str">
            <v>16-0565</v>
          </cell>
        </row>
        <row r="1079">
          <cell r="A1079" t="str">
            <v>16-0566</v>
          </cell>
        </row>
        <row r="1080">
          <cell r="A1080" t="str">
            <v>16-0567</v>
          </cell>
        </row>
        <row r="1081">
          <cell r="A1081" t="str">
            <v>16-0568</v>
          </cell>
        </row>
        <row r="1082">
          <cell r="A1082" t="str">
            <v>16-0569</v>
          </cell>
        </row>
        <row r="1083">
          <cell r="A1083" t="str">
            <v>16-0570</v>
          </cell>
        </row>
        <row r="1084">
          <cell r="A1084" t="str">
            <v>16-0571</v>
          </cell>
        </row>
        <row r="1085">
          <cell r="A1085" t="str">
            <v>16-0572</v>
          </cell>
        </row>
        <row r="1086">
          <cell r="A1086" t="str">
            <v>16-0573</v>
          </cell>
        </row>
        <row r="1087">
          <cell r="A1087" t="str">
            <v>16-0574</v>
          </cell>
        </row>
        <row r="1088">
          <cell r="A1088" t="str">
            <v>16-0575</v>
          </cell>
        </row>
        <row r="1089">
          <cell r="A1089" t="str">
            <v>16-0576</v>
          </cell>
        </row>
        <row r="1090">
          <cell r="A1090" t="str">
            <v>16-0577</v>
          </cell>
        </row>
        <row r="1091">
          <cell r="A1091" t="str">
            <v>16-0578</v>
          </cell>
        </row>
        <row r="1092">
          <cell r="A1092" t="str">
            <v>16-0579</v>
          </cell>
        </row>
        <row r="1093">
          <cell r="A1093" t="str">
            <v>16-0580</v>
          </cell>
        </row>
        <row r="1094">
          <cell r="A1094" t="str">
            <v>16-0581</v>
          </cell>
        </row>
        <row r="1095">
          <cell r="A1095" t="str">
            <v>16-0582</v>
          </cell>
        </row>
        <row r="1096">
          <cell r="A1096" t="str">
            <v>16-0583</v>
          </cell>
        </row>
        <row r="1097">
          <cell r="A1097" t="str">
            <v>16-0584</v>
          </cell>
        </row>
        <row r="1098">
          <cell r="A1098" t="str">
            <v>16-0585</v>
          </cell>
        </row>
        <row r="1099">
          <cell r="A1099" t="str">
            <v>16-0586</v>
          </cell>
        </row>
        <row r="1100">
          <cell r="A1100" t="str">
            <v>16-0587</v>
          </cell>
        </row>
        <row r="1101">
          <cell r="A1101" t="str">
            <v>16-0588</v>
          </cell>
        </row>
        <row r="1102">
          <cell r="A1102" t="str">
            <v>16-0589</v>
          </cell>
        </row>
        <row r="1103">
          <cell r="A1103" t="str">
            <v>16-0590</v>
          </cell>
        </row>
        <row r="1104">
          <cell r="A1104" t="str">
            <v>16-0591</v>
          </cell>
        </row>
        <row r="1105">
          <cell r="A1105" t="str">
            <v>16-0592</v>
          </cell>
        </row>
        <row r="1106">
          <cell r="A1106" t="str">
            <v>16-0593</v>
          </cell>
        </row>
        <row r="1107">
          <cell r="A1107" t="str">
            <v>16-0594</v>
          </cell>
        </row>
        <row r="1108">
          <cell r="A1108" t="str">
            <v>16-0595</v>
          </cell>
        </row>
        <row r="1109">
          <cell r="A1109" t="str">
            <v>16-0596</v>
          </cell>
        </row>
        <row r="1110">
          <cell r="A1110" t="str">
            <v>16-0597</v>
          </cell>
        </row>
        <row r="1111">
          <cell r="A1111" t="str">
            <v>16-0598</v>
          </cell>
        </row>
        <row r="1112">
          <cell r="A1112" t="str">
            <v>16-0599</v>
          </cell>
        </row>
        <row r="1113">
          <cell r="A1113" t="str">
            <v>16-0600</v>
          </cell>
        </row>
        <row r="1114">
          <cell r="A1114" t="str">
            <v>16-0601</v>
          </cell>
        </row>
        <row r="1115">
          <cell r="A1115" t="str">
            <v>16-0602</v>
          </cell>
        </row>
        <row r="1116">
          <cell r="A1116" t="str">
            <v>16-0603</v>
          </cell>
        </row>
        <row r="1117">
          <cell r="A1117" t="str">
            <v>16-0604</v>
          </cell>
        </row>
        <row r="1118">
          <cell r="A1118" t="str">
            <v>16-0605</v>
          </cell>
        </row>
        <row r="1119">
          <cell r="A1119" t="str">
            <v>16-0606</v>
          </cell>
        </row>
        <row r="1120">
          <cell r="A1120" t="str">
            <v>16-0607</v>
          </cell>
        </row>
        <row r="1121">
          <cell r="A1121" t="str">
            <v>16-0608</v>
          </cell>
        </row>
        <row r="1122">
          <cell r="A1122" t="str">
            <v>16-0609</v>
          </cell>
        </row>
        <row r="1123">
          <cell r="A1123" t="str">
            <v>16-0610</v>
          </cell>
        </row>
        <row r="1124">
          <cell r="A1124" t="str">
            <v>16-0611</v>
          </cell>
        </row>
        <row r="1125">
          <cell r="A1125" t="str">
            <v>16-0612</v>
          </cell>
        </row>
        <row r="1126">
          <cell r="A1126" t="str">
            <v>16-0613</v>
          </cell>
        </row>
        <row r="1127">
          <cell r="A1127" t="str">
            <v>16-0614</v>
          </cell>
        </row>
        <row r="1128">
          <cell r="A1128" t="str">
            <v>16-0615</v>
          </cell>
        </row>
        <row r="1129">
          <cell r="A1129" t="str">
            <v>16-0617</v>
          </cell>
        </row>
        <row r="1130">
          <cell r="A1130" t="str">
            <v>16-0618</v>
          </cell>
        </row>
        <row r="1131">
          <cell r="A1131" t="str">
            <v>16-0619</v>
          </cell>
        </row>
        <row r="1132">
          <cell r="A1132" t="str">
            <v>16-0620</v>
          </cell>
        </row>
        <row r="1133">
          <cell r="A1133" t="str">
            <v>16-0621</v>
          </cell>
        </row>
        <row r="1134">
          <cell r="A1134" t="str">
            <v>16-0622</v>
          </cell>
        </row>
        <row r="1135">
          <cell r="A1135" t="str">
            <v>16-0623</v>
          </cell>
        </row>
        <row r="1136">
          <cell r="A1136" t="str">
            <v>16-0624</v>
          </cell>
        </row>
        <row r="1137">
          <cell r="A1137" t="str">
            <v>16-0625</v>
          </cell>
        </row>
        <row r="1138">
          <cell r="A1138" t="str">
            <v>16-0626</v>
          </cell>
        </row>
        <row r="1139">
          <cell r="A1139" t="str">
            <v>16-0627</v>
          </cell>
        </row>
        <row r="1140">
          <cell r="A1140" t="str">
            <v>16-0628</v>
          </cell>
        </row>
        <row r="1141">
          <cell r="A1141" t="str">
            <v>16-0629</v>
          </cell>
        </row>
        <row r="1142">
          <cell r="A1142" t="str">
            <v>16-0630</v>
          </cell>
        </row>
        <row r="1143">
          <cell r="A1143" t="str">
            <v>16-0631</v>
          </cell>
        </row>
        <row r="1144">
          <cell r="A1144" t="str">
            <v>16-0632</v>
          </cell>
        </row>
        <row r="1145">
          <cell r="A1145" t="str">
            <v>16-0633</v>
          </cell>
        </row>
        <row r="1146">
          <cell r="A1146" t="str">
            <v>16-0634</v>
          </cell>
        </row>
        <row r="1147">
          <cell r="A1147" t="str">
            <v>16-0635</v>
          </cell>
        </row>
        <row r="1148">
          <cell r="A1148" t="str">
            <v>16-0636</v>
          </cell>
        </row>
        <row r="1149">
          <cell r="A1149" t="str">
            <v>16-0637</v>
          </cell>
        </row>
        <row r="1150">
          <cell r="A1150" t="str">
            <v>16-0638</v>
          </cell>
        </row>
        <row r="1151">
          <cell r="A1151" t="str">
            <v>16-0639</v>
          </cell>
        </row>
        <row r="1152">
          <cell r="A1152" t="str">
            <v>16-0640</v>
          </cell>
        </row>
        <row r="1153">
          <cell r="A1153" t="str">
            <v>16-0641</v>
          </cell>
        </row>
        <row r="1154">
          <cell r="A1154" t="str">
            <v>16-0642</v>
          </cell>
        </row>
        <row r="1155">
          <cell r="A1155" t="str">
            <v>16-0643</v>
          </cell>
        </row>
        <row r="1156">
          <cell r="A1156" t="str">
            <v>16-0644</v>
          </cell>
        </row>
        <row r="1157">
          <cell r="A1157" t="str">
            <v>16-0645</v>
          </cell>
        </row>
        <row r="1158">
          <cell r="A1158" t="str">
            <v>16-0646</v>
          </cell>
        </row>
        <row r="1159">
          <cell r="A1159" t="str">
            <v>16-0647</v>
          </cell>
        </row>
        <row r="1160">
          <cell r="A1160" t="str">
            <v>16-0648</v>
          </cell>
        </row>
        <row r="1161">
          <cell r="A1161" t="str">
            <v>16-0649</v>
          </cell>
        </row>
        <row r="1162">
          <cell r="A1162" t="str">
            <v>16-0650</v>
          </cell>
        </row>
        <row r="1163">
          <cell r="A1163" t="str">
            <v>16-0651</v>
          </cell>
        </row>
        <row r="1164">
          <cell r="A1164" t="str">
            <v>16-0652</v>
          </cell>
        </row>
        <row r="1165">
          <cell r="A1165" t="str">
            <v>16-0653</v>
          </cell>
        </row>
        <row r="1166">
          <cell r="A1166" t="str">
            <v>16-0654</v>
          </cell>
        </row>
        <row r="1167">
          <cell r="A1167" t="str">
            <v>16-0655</v>
          </cell>
        </row>
        <row r="1168">
          <cell r="A1168" t="str">
            <v>16-0656</v>
          </cell>
        </row>
        <row r="1169">
          <cell r="A1169" t="str">
            <v>16-0657</v>
          </cell>
        </row>
        <row r="1170">
          <cell r="A1170" t="str">
            <v>16-0658</v>
          </cell>
        </row>
        <row r="1171">
          <cell r="A1171" t="str">
            <v>16-0659</v>
          </cell>
        </row>
        <row r="1172">
          <cell r="A1172" t="str">
            <v>16-0660</v>
          </cell>
        </row>
        <row r="1173">
          <cell r="A1173" t="str">
            <v>16-0661</v>
          </cell>
        </row>
        <row r="1174">
          <cell r="A1174" t="str">
            <v>16-0662</v>
          </cell>
        </row>
        <row r="1175">
          <cell r="A1175" t="str">
            <v>16-0663</v>
          </cell>
        </row>
        <row r="1176">
          <cell r="A1176" t="str">
            <v>16-0664</v>
          </cell>
        </row>
        <row r="1177">
          <cell r="A1177" t="str">
            <v>16-0665</v>
          </cell>
        </row>
        <row r="1178">
          <cell r="A1178" t="str">
            <v>16-0666</v>
          </cell>
        </row>
        <row r="1179">
          <cell r="A1179" t="str">
            <v>16-0667</v>
          </cell>
        </row>
        <row r="1180">
          <cell r="A1180" t="str">
            <v>16-0668</v>
          </cell>
        </row>
        <row r="1181">
          <cell r="A1181" t="str">
            <v>16-0669</v>
          </cell>
        </row>
        <row r="1182">
          <cell r="A1182" t="str">
            <v>16-0670</v>
          </cell>
        </row>
        <row r="1183">
          <cell r="A1183" t="str">
            <v>16-0671</v>
          </cell>
        </row>
        <row r="1184">
          <cell r="A1184" t="str">
            <v>16-0672</v>
          </cell>
        </row>
        <row r="1185">
          <cell r="A1185" t="str">
            <v>16-0673</v>
          </cell>
        </row>
        <row r="1186">
          <cell r="A1186" t="str">
            <v>16-0674</v>
          </cell>
        </row>
        <row r="1187">
          <cell r="A1187" t="str">
            <v>16-0675</v>
          </cell>
        </row>
        <row r="1188">
          <cell r="A1188" t="str">
            <v>16-0676</v>
          </cell>
        </row>
        <row r="1189">
          <cell r="A1189" t="str">
            <v>16-0677</v>
          </cell>
        </row>
        <row r="1190">
          <cell r="A1190" t="str">
            <v>16-0678</v>
          </cell>
        </row>
        <row r="1191">
          <cell r="A1191" t="str">
            <v>16-0679</v>
          </cell>
        </row>
        <row r="1192">
          <cell r="A1192" t="str">
            <v>16-0680</v>
          </cell>
        </row>
        <row r="1193">
          <cell r="A1193" t="str">
            <v>16-0681</v>
          </cell>
        </row>
        <row r="1194">
          <cell r="A1194" t="str">
            <v>16-0682</v>
          </cell>
        </row>
        <row r="1195">
          <cell r="A1195" t="str">
            <v>16-0683</v>
          </cell>
        </row>
        <row r="1196">
          <cell r="A1196" t="str">
            <v>16-0684</v>
          </cell>
        </row>
        <row r="1197">
          <cell r="A1197" t="str">
            <v>16-0685</v>
          </cell>
        </row>
        <row r="1198">
          <cell r="A1198" t="str">
            <v>16-0686</v>
          </cell>
        </row>
        <row r="1199">
          <cell r="A1199" t="str">
            <v>16-0687</v>
          </cell>
        </row>
        <row r="1200">
          <cell r="A1200" t="str">
            <v>16-0688</v>
          </cell>
        </row>
        <row r="1201">
          <cell r="A1201" t="str">
            <v>16-0689</v>
          </cell>
        </row>
        <row r="1202">
          <cell r="A1202" t="str">
            <v>16-0690</v>
          </cell>
        </row>
        <row r="1203">
          <cell r="A1203" t="str">
            <v>16-0691</v>
          </cell>
        </row>
        <row r="1204">
          <cell r="A1204" t="str">
            <v>16-0692</v>
          </cell>
        </row>
        <row r="1205">
          <cell r="A1205" t="str">
            <v>16-0693</v>
          </cell>
        </row>
        <row r="1206">
          <cell r="A1206" t="str">
            <v>16-0694</v>
          </cell>
        </row>
        <row r="1207">
          <cell r="A1207" t="str">
            <v>16-0695</v>
          </cell>
        </row>
        <row r="1208">
          <cell r="A1208" t="str">
            <v>16-0696</v>
          </cell>
        </row>
        <row r="1209">
          <cell r="A1209" t="str">
            <v>16-0697</v>
          </cell>
        </row>
        <row r="1210">
          <cell r="A1210" t="str">
            <v>16-0698</v>
          </cell>
        </row>
        <row r="1211">
          <cell r="A1211" t="str">
            <v>16-0699</v>
          </cell>
        </row>
        <row r="1212">
          <cell r="A1212" t="str">
            <v>16-0700</v>
          </cell>
        </row>
        <row r="1213">
          <cell r="A1213" t="str">
            <v>16-0701</v>
          </cell>
        </row>
        <row r="1214">
          <cell r="A1214" t="str">
            <v>16-0702</v>
          </cell>
        </row>
        <row r="1215">
          <cell r="A1215" t="str">
            <v>16-0703</v>
          </cell>
        </row>
        <row r="1216">
          <cell r="A1216" t="str">
            <v>16-0704</v>
          </cell>
        </row>
        <row r="1217">
          <cell r="A1217" t="str">
            <v>16-0705</v>
          </cell>
        </row>
        <row r="1218">
          <cell r="A1218" t="str">
            <v>16-0706</v>
          </cell>
        </row>
        <row r="1219">
          <cell r="A1219" t="str">
            <v>16-0707</v>
          </cell>
        </row>
        <row r="1220">
          <cell r="A1220" t="str">
            <v>16-0708</v>
          </cell>
        </row>
        <row r="1221">
          <cell r="A1221" t="str">
            <v>16-0709</v>
          </cell>
        </row>
        <row r="1222">
          <cell r="A1222" t="str">
            <v>16-0710</v>
          </cell>
        </row>
        <row r="1223">
          <cell r="A1223" t="str">
            <v>16-0711</v>
          </cell>
        </row>
        <row r="1224">
          <cell r="A1224" t="str">
            <v>16-0712</v>
          </cell>
        </row>
        <row r="1225">
          <cell r="A1225" t="str">
            <v>16-0713</v>
          </cell>
        </row>
        <row r="1226">
          <cell r="A1226" t="str">
            <v>16-0714</v>
          </cell>
        </row>
        <row r="1227">
          <cell r="A1227" t="str">
            <v>16-0715</v>
          </cell>
        </row>
        <row r="1228">
          <cell r="A1228" t="str">
            <v>16-0716</v>
          </cell>
        </row>
        <row r="1229">
          <cell r="A1229" t="str">
            <v>16-0717</v>
          </cell>
        </row>
        <row r="1230">
          <cell r="A1230" t="str">
            <v>16-0718</v>
          </cell>
        </row>
        <row r="1231">
          <cell r="A1231" t="str">
            <v>16-0719</v>
          </cell>
        </row>
        <row r="1232">
          <cell r="A1232" t="str">
            <v>16-0720</v>
          </cell>
        </row>
        <row r="1233">
          <cell r="A1233" t="str">
            <v>16-0721</v>
          </cell>
        </row>
        <row r="1234">
          <cell r="A1234" t="str">
            <v>16-0722</v>
          </cell>
        </row>
        <row r="1235">
          <cell r="A1235" t="str">
            <v>16-0723</v>
          </cell>
        </row>
        <row r="1236">
          <cell r="A1236" t="str">
            <v>16-0724</v>
          </cell>
        </row>
        <row r="1237">
          <cell r="A1237" t="str">
            <v>16-0725</v>
          </cell>
        </row>
        <row r="1238">
          <cell r="A1238" t="str">
            <v>16-0726</v>
          </cell>
        </row>
        <row r="1239">
          <cell r="A1239" t="str">
            <v>16-0727</v>
          </cell>
        </row>
        <row r="1240">
          <cell r="A1240" t="str">
            <v>16-0728</v>
          </cell>
        </row>
        <row r="1241">
          <cell r="A1241" t="str">
            <v>16-0729</v>
          </cell>
        </row>
        <row r="1242">
          <cell r="A1242" t="str">
            <v>16-0730</v>
          </cell>
        </row>
        <row r="1243">
          <cell r="A1243" t="str">
            <v>16-0731</v>
          </cell>
        </row>
        <row r="1244">
          <cell r="A1244" t="str">
            <v>16-0732</v>
          </cell>
        </row>
        <row r="1245">
          <cell r="A1245" t="str">
            <v>16-0733</v>
          </cell>
        </row>
        <row r="1246">
          <cell r="A1246" t="str">
            <v>16-0734</v>
          </cell>
        </row>
        <row r="1247">
          <cell r="A1247" t="str">
            <v>16-0735</v>
          </cell>
        </row>
        <row r="1248">
          <cell r="A1248" t="str">
            <v>16-0736</v>
          </cell>
        </row>
        <row r="1249">
          <cell r="A1249" t="str">
            <v>16-0737</v>
          </cell>
        </row>
        <row r="1250">
          <cell r="A1250" t="str">
            <v>16-0738</v>
          </cell>
        </row>
        <row r="1251">
          <cell r="A1251" t="str">
            <v>16-0739</v>
          </cell>
        </row>
        <row r="1252">
          <cell r="A1252" t="str">
            <v>16-0740</v>
          </cell>
        </row>
        <row r="1253">
          <cell r="A1253" t="str">
            <v>16-0741</v>
          </cell>
        </row>
        <row r="1254">
          <cell r="A1254" t="str">
            <v>16-0742</v>
          </cell>
        </row>
        <row r="1255">
          <cell r="A1255" t="str">
            <v>16-0743</v>
          </cell>
        </row>
        <row r="1256">
          <cell r="A1256" t="str">
            <v>16-0744</v>
          </cell>
        </row>
        <row r="1257">
          <cell r="A1257" t="str">
            <v>16-0745</v>
          </cell>
        </row>
        <row r="1258">
          <cell r="A1258" t="str">
            <v>16-0746</v>
          </cell>
        </row>
        <row r="1259">
          <cell r="A1259" t="str">
            <v>16-0747</v>
          </cell>
        </row>
        <row r="1260">
          <cell r="A1260" t="str">
            <v>16-0748</v>
          </cell>
        </row>
        <row r="1261">
          <cell r="A1261" t="str">
            <v>16-0749</v>
          </cell>
        </row>
        <row r="1262">
          <cell r="A1262" t="str">
            <v>16-0750</v>
          </cell>
        </row>
        <row r="1263">
          <cell r="A1263" t="str">
            <v>16-0751</v>
          </cell>
        </row>
        <row r="1264">
          <cell r="A1264" t="str">
            <v>16-0752</v>
          </cell>
        </row>
        <row r="1265">
          <cell r="A1265" t="str">
            <v>16-0753</v>
          </cell>
        </row>
        <row r="1266">
          <cell r="A1266" t="str">
            <v>16-0754</v>
          </cell>
        </row>
        <row r="1267">
          <cell r="A1267" t="str">
            <v>16-0755</v>
          </cell>
        </row>
        <row r="1268">
          <cell r="A1268" t="str">
            <v>16-0756</v>
          </cell>
        </row>
        <row r="1269">
          <cell r="A1269" t="str">
            <v>16-0757</v>
          </cell>
        </row>
        <row r="1270">
          <cell r="A1270" t="str">
            <v>16-0758</v>
          </cell>
        </row>
        <row r="1271">
          <cell r="A1271" t="str">
            <v>16-0759</v>
          </cell>
        </row>
        <row r="1272">
          <cell r="A1272" t="str">
            <v>16-0760</v>
          </cell>
        </row>
        <row r="1273">
          <cell r="A1273" t="str">
            <v>16-0761</v>
          </cell>
        </row>
        <row r="1274">
          <cell r="A1274" t="str">
            <v>16-0762</v>
          </cell>
        </row>
        <row r="1275">
          <cell r="A1275" t="str">
            <v>16-0763</v>
          </cell>
        </row>
        <row r="1276">
          <cell r="A1276" t="str">
            <v>16-0764</v>
          </cell>
        </row>
        <row r="1277">
          <cell r="A1277" t="str">
            <v>16-0765</v>
          </cell>
        </row>
        <row r="1278">
          <cell r="A1278" t="str">
            <v>16-0766</v>
          </cell>
        </row>
        <row r="1279">
          <cell r="A1279" t="str">
            <v>16-0767</v>
          </cell>
        </row>
        <row r="1280">
          <cell r="A1280" t="str">
            <v>16-0768</v>
          </cell>
        </row>
        <row r="1281">
          <cell r="A1281" t="str">
            <v>16-0769</v>
          </cell>
        </row>
        <row r="1282">
          <cell r="A1282" t="str">
            <v>16-0770</v>
          </cell>
        </row>
        <row r="1283">
          <cell r="A1283" t="str">
            <v>16-0771</v>
          </cell>
        </row>
        <row r="1284">
          <cell r="A1284" t="str">
            <v>16-0772</v>
          </cell>
        </row>
        <row r="1285">
          <cell r="A1285" t="str">
            <v>16-0773</v>
          </cell>
        </row>
        <row r="1286">
          <cell r="A1286" t="str">
            <v>16-0774</v>
          </cell>
        </row>
        <row r="1287">
          <cell r="A1287" t="str">
            <v>16-0775</v>
          </cell>
        </row>
        <row r="1288">
          <cell r="A1288" t="str">
            <v>16-0776</v>
          </cell>
        </row>
        <row r="1289">
          <cell r="A1289" t="str">
            <v>16-0777</v>
          </cell>
        </row>
        <row r="1290">
          <cell r="A1290" t="str">
            <v>16-0778</v>
          </cell>
        </row>
        <row r="1291">
          <cell r="A1291" t="str">
            <v>16-0779</v>
          </cell>
        </row>
        <row r="1292">
          <cell r="A1292" t="str">
            <v>16-0780</v>
          </cell>
        </row>
        <row r="1293">
          <cell r="A1293" t="str">
            <v>16-0781</v>
          </cell>
        </row>
        <row r="1294">
          <cell r="A1294" t="str">
            <v>16-0782</v>
          </cell>
        </row>
        <row r="1295">
          <cell r="A1295" t="str">
            <v>16-0783</v>
          </cell>
        </row>
        <row r="1296">
          <cell r="A1296" t="str">
            <v>16-0784</v>
          </cell>
        </row>
        <row r="1297">
          <cell r="A1297" t="str">
            <v>16-0785</v>
          </cell>
        </row>
        <row r="1298">
          <cell r="A1298" t="str">
            <v>16-0786</v>
          </cell>
        </row>
        <row r="1299">
          <cell r="A1299" t="str">
            <v>16-0787</v>
          </cell>
        </row>
        <row r="1300">
          <cell r="A1300" t="str">
            <v>16-0788</v>
          </cell>
        </row>
        <row r="1301">
          <cell r="A1301" t="str">
            <v>16-0789</v>
          </cell>
        </row>
        <row r="1302">
          <cell r="A1302" t="str">
            <v>16-0790</v>
          </cell>
        </row>
        <row r="1303">
          <cell r="A1303" t="str">
            <v>16-0791</v>
          </cell>
        </row>
        <row r="1304">
          <cell r="A1304" t="str">
            <v>16-0792</v>
          </cell>
        </row>
        <row r="1305">
          <cell r="A1305" t="str">
            <v>16-0793</v>
          </cell>
        </row>
        <row r="1306">
          <cell r="A1306" t="str">
            <v>16-0794</v>
          </cell>
        </row>
        <row r="1307">
          <cell r="A1307" t="str">
            <v>16-0795</v>
          </cell>
        </row>
        <row r="1308">
          <cell r="A1308" t="str">
            <v>16-0796</v>
          </cell>
        </row>
        <row r="1309">
          <cell r="A1309" t="str">
            <v>16-0797</v>
          </cell>
        </row>
        <row r="1310">
          <cell r="A1310" t="str">
            <v>16-0798</v>
          </cell>
        </row>
        <row r="1311">
          <cell r="A1311" t="str">
            <v>16-0799</v>
          </cell>
        </row>
        <row r="1312">
          <cell r="A1312" t="str">
            <v>16-0800</v>
          </cell>
        </row>
        <row r="1313">
          <cell r="A1313" t="str">
            <v>16-0802</v>
          </cell>
        </row>
        <row r="1314">
          <cell r="A1314" t="str">
            <v>16-0803</v>
          </cell>
        </row>
        <row r="1315">
          <cell r="A1315" t="str">
            <v>16-0804</v>
          </cell>
        </row>
        <row r="1316">
          <cell r="A1316" t="str">
            <v>16-0805</v>
          </cell>
        </row>
        <row r="1317">
          <cell r="A1317" t="str">
            <v>16-0806</v>
          </cell>
        </row>
        <row r="1318">
          <cell r="A1318" t="str">
            <v>16-0807</v>
          </cell>
        </row>
        <row r="1319">
          <cell r="A1319" t="str">
            <v>16-0808</v>
          </cell>
        </row>
        <row r="1320">
          <cell r="A1320" t="str">
            <v>16-0809</v>
          </cell>
        </row>
        <row r="1321">
          <cell r="A1321" t="str">
            <v>16-0810</v>
          </cell>
        </row>
        <row r="1322">
          <cell r="A1322" t="str">
            <v>16-0811</v>
          </cell>
        </row>
        <row r="1323">
          <cell r="A1323" t="str">
            <v>16-0812</v>
          </cell>
        </row>
        <row r="1324">
          <cell r="A1324" t="str">
            <v>16-0813</v>
          </cell>
        </row>
        <row r="1325">
          <cell r="A1325" t="str">
            <v>16-0814</v>
          </cell>
        </row>
        <row r="1326">
          <cell r="A1326" t="str">
            <v>16-0815</v>
          </cell>
        </row>
        <row r="1327">
          <cell r="A1327" t="str">
            <v>16-0816</v>
          </cell>
        </row>
        <row r="1328">
          <cell r="A1328" t="str">
            <v>16-0817</v>
          </cell>
        </row>
        <row r="1329">
          <cell r="A1329" t="str">
            <v>16-0818</v>
          </cell>
        </row>
        <row r="1330">
          <cell r="A1330" t="str">
            <v>16-0819</v>
          </cell>
        </row>
        <row r="1331">
          <cell r="A1331" t="str">
            <v>16-0820</v>
          </cell>
        </row>
        <row r="1332">
          <cell r="A1332" t="str">
            <v>16-0821</v>
          </cell>
        </row>
        <row r="1333">
          <cell r="A1333" t="str">
            <v>16-0822</v>
          </cell>
        </row>
        <row r="1334">
          <cell r="A1334" t="str">
            <v>16-0823</v>
          </cell>
        </row>
        <row r="1335">
          <cell r="A1335" t="str">
            <v>16-0824</v>
          </cell>
        </row>
        <row r="1336">
          <cell r="A1336" t="str">
            <v>16-0825</v>
          </cell>
        </row>
        <row r="1337">
          <cell r="A1337" t="str">
            <v>16-0826</v>
          </cell>
        </row>
        <row r="1338">
          <cell r="A1338" t="str">
            <v>16-0827</v>
          </cell>
        </row>
        <row r="1339">
          <cell r="A1339" t="str">
            <v>16-0828</v>
          </cell>
        </row>
        <row r="1340">
          <cell r="A1340" t="str">
            <v>16-0829</v>
          </cell>
        </row>
        <row r="1341">
          <cell r="A1341" t="str">
            <v>16-0830</v>
          </cell>
        </row>
        <row r="1342">
          <cell r="A1342" t="str">
            <v>16-0831</v>
          </cell>
        </row>
        <row r="1343">
          <cell r="A1343" t="str">
            <v>16-0832</v>
          </cell>
        </row>
        <row r="1344">
          <cell r="A1344" t="str">
            <v>16-0833</v>
          </cell>
        </row>
        <row r="1345">
          <cell r="A1345" t="str">
            <v>16-0834</v>
          </cell>
        </row>
        <row r="1346">
          <cell r="A1346" t="str">
            <v>16-0835</v>
          </cell>
        </row>
        <row r="1347">
          <cell r="A1347" t="str">
            <v>16-0836</v>
          </cell>
        </row>
        <row r="1348">
          <cell r="A1348" t="str">
            <v>16-0837</v>
          </cell>
        </row>
        <row r="1349">
          <cell r="A1349" t="str">
            <v>16-0838</v>
          </cell>
        </row>
        <row r="1350">
          <cell r="A1350" t="str">
            <v>16-0839</v>
          </cell>
        </row>
        <row r="1351">
          <cell r="A1351" t="str">
            <v>16-0840</v>
          </cell>
        </row>
        <row r="1352">
          <cell r="A1352" t="str">
            <v>16-0841</v>
          </cell>
        </row>
        <row r="1353">
          <cell r="A1353" t="str">
            <v>16-0842</v>
          </cell>
        </row>
        <row r="1354">
          <cell r="A1354" t="str">
            <v>16-0843</v>
          </cell>
        </row>
        <row r="1355">
          <cell r="A1355" t="str">
            <v>16-0844</v>
          </cell>
        </row>
        <row r="1356">
          <cell r="A1356" t="str">
            <v>16-0845</v>
          </cell>
        </row>
        <row r="1357">
          <cell r="A1357" t="str">
            <v>16-0846</v>
          </cell>
        </row>
        <row r="1358">
          <cell r="A1358" t="str">
            <v>16-0847</v>
          </cell>
        </row>
      </sheetData>
      <sheetData sheetId="1">
        <row r="1">
          <cell r="C1">
            <v>4</v>
          </cell>
        </row>
      </sheetData>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C Data Sheet"/>
      <sheetName val="Change Back Up"/>
      <sheetName val="QC Contact"/>
    </sheetNames>
    <sheetDataSet>
      <sheetData sheetId="0"/>
      <sheetData sheetId="1"/>
      <sheetData sheetId="2">
        <row r="2">
          <cell r="A2" t="str">
            <v>David Ruiz</v>
          </cell>
        </row>
        <row r="3">
          <cell r="A3" t="str">
            <v>Lesa Bishop</v>
          </cell>
        </row>
        <row r="4">
          <cell r="A4" t="str">
            <v>Nancy Blank</v>
          </cell>
        </row>
        <row r="5">
          <cell r="A5" t="str">
            <v>Susan Iovino</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Overview"/>
      <sheetName val="Process Original"/>
      <sheetName val="Summary Issues"/>
      <sheetName val="Deal QC Tab"/>
      <sheetName val="Note Type"/>
      <sheetName val="User Roles SS"/>
      <sheetName val="Stategy Escrow Analysis Info"/>
      <sheetName val="Strategy Property Codes"/>
      <sheetName val="Strategy Addtl Names"/>
      <sheetName val="Additional Funding Pg"/>
      <sheetName val="Financing Source_Lender"/>
      <sheetName val="Pipeline Contacts"/>
      <sheetName val="Documentation"/>
      <sheetName val="Comment Format"/>
      <sheetName val="Fee Schedule"/>
      <sheetName val="Region"/>
      <sheetName val="Lists"/>
      <sheetName val="loan detail Custodi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3">
          <cell r="A3" t="str">
            <v>Complete</v>
          </cell>
        </row>
        <row r="4">
          <cell r="A4" t="str">
            <v>Follow-Up Needed</v>
          </cell>
        </row>
        <row r="5">
          <cell r="A5" t="str">
            <v>In-Process</v>
          </cell>
        </row>
        <row r="6">
          <cell r="A6" t="str">
            <v>N/A</v>
          </cell>
        </row>
      </sheetData>
      <sheetData sheetId="1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op Lists"/>
      <sheetName val="Investor Profile"/>
      <sheetName val="INPUT"/>
      <sheetName val="S&amp;U Recon"/>
      <sheetName val="Debt Stack Calcs-Optional"/>
      <sheetName val="Backshop Escrows-Requires Input"/>
      <sheetName val="Loan Settlement Stmt"/>
      <sheetName val="Delphi Capital Call"/>
      <sheetName val="Funding Instruction - Aflac US"/>
      <sheetName val="Funding Instruction - TRE ACR"/>
      <sheetName val="Budget-S&amp;U Codes Lookup"/>
      <sheetName val="Tax Information Worksheet"/>
      <sheetName val="Tax Reserve"/>
      <sheetName val="Insurance Reserve"/>
      <sheetName val="Project Budget Summary"/>
      <sheetName val="Contractor's Budget Detail"/>
      <sheetName val="COST REPORT"/>
      <sheetName val="Amort"/>
      <sheetName val="Financing Sources Defined"/>
      <sheetName val="Sheet1"/>
      <sheetName val="Sheet2"/>
      <sheetName val="Sheet3"/>
      <sheetName val="Floating Rate Amortization"/>
      <sheetName val="Sheet4"/>
      <sheetName val="Sheet5"/>
      <sheetName val="Sheet6"/>
    </sheetNames>
    <sheetDataSet>
      <sheetData sheetId="0">
        <row r="5">
          <cell r="H5" t="str">
            <v>Actual/360</v>
          </cell>
        </row>
      </sheetData>
      <sheetData sheetId="1">
        <row r="4">
          <cell r="A4" t="str">
            <v>TRE ACR</v>
          </cell>
        </row>
      </sheetData>
      <sheetData sheetId="2"/>
      <sheetData sheetId="3"/>
      <sheetData sheetId="4"/>
      <sheetData sheetId="5"/>
      <sheetData sheetId="6">
        <row r="154">
          <cell r="I154">
            <v>0</v>
          </cell>
        </row>
      </sheetData>
      <sheetData sheetId="7"/>
      <sheetData sheetId="8"/>
      <sheetData sheetId="9"/>
      <sheetData sheetId="10">
        <row r="7">
          <cell r="A7">
            <v>100</v>
          </cell>
        </row>
      </sheetData>
      <sheetData sheetId="11"/>
      <sheetData sheetId="12">
        <row r="41">
          <cell r="J41">
            <v>0</v>
          </cell>
        </row>
      </sheetData>
      <sheetData sheetId="13">
        <row r="33">
          <cell r="H33">
            <v>0</v>
          </cell>
        </row>
      </sheetData>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stor Profile"/>
      <sheetName val="INPUT"/>
      <sheetName val="Participation Splits"/>
      <sheetName val="S&amp;U Recon"/>
      <sheetName val="Drop Lists"/>
      <sheetName val="Debt Stack Calcs-Optional"/>
      <sheetName val="Backshop Escrows-Requires Input"/>
      <sheetName val="Loan Settlement Stmt"/>
      <sheetName val="Delphi Capital Call"/>
      <sheetName val="Funding Instruction - Aflac US"/>
      <sheetName val="Funding Instruction - TRE ACR"/>
      <sheetName val="Budget-S&amp;U Codes Lookup"/>
      <sheetName val="Tax Information Worksheet"/>
      <sheetName val="Tax Reserve"/>
      <sheetName val="Insurance Reserve"/>
      <sheetName val="Project Budget Summary"/>
      <sheetName val="Contractor's Budget Detail"/>
      <sheetName val="COST REPORT"/>
      <sheetName val="Amortization for Floating Rate"/>
      <sheetName val="Input Amortization-Fixed Rate "/>
      <sheetName val="Fixed Amortization Mort and Mez"/>
      <sheetName val="Fixed Amortization Single Note"/>
      <sheetName val="Site Visit Invoice"/>
      <sheetName val="Financing Sources Defined"/>
    </sheetNames>
    <sheetDataSet>
      <sheetData sheetId="0"/>
      <sheetData sheetId="1">
        <row r="179">
          <cell r="AC179" t="str">
            <v>RSLIC</v>
          </cell>
          <cell r="AD179" t="str">
            <v>SNCC</v>
          </cell>
          <cell r="AE179" t="str">
            <v>PIIC</v>
          </cell>
          <cell r="AF179" t="str">
            <v>TMR</v>
          </cell>
          <cell r="AG179" t="str">
            <v>HCC</v>
          </cell>
          <cell r="AH179" t="str">
            <v>USSIC</v>
          </cell>
          <cell r="AI179" t="str">
            <v>TMD-DL</v>
          </cell>
          <cell r="AJ179" t="str">
            <v>HAIH</v>
          </cell>
          <cell r="AK179" t="str">
            <v>OTHER 1 (Define)</v>
          </cell>
          <cell r="AL179" t="str">
            <v>OTHER 2 (Define)</v>
          </cell>
          <cell r="AM179" t="str">
            <v>Totals</v>
          </cell>
        </row>
        <row r="180">
          <cell r="AN180" t="str">
            <v>&lt;&lt; Balances to 100%</v>
          </cell>
        </row>
        <row r="210">
          <cell r="AC210">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stor Profile"/>
      <sheetName val="INPUT"/>
      <sheetName val="Participation Splits"/>
      <sheetName val="S&amp;U Recon"/>
      <sheetName val="Drop Lists"/>
      <sheetName val="Project Budget Summary"/>
      <sheetName val="Budget-S&amp;U Codes Lookup"/>
      <sheetName val="Loan Settlement Stmt"/>
      <sheetName val="Participation - Abacus"/>
      <sheetName val="Participation - ACSS"/>
      <sheetName val="A Note Sale-TBK Bank "/>
      <sheetName val="Immediate Repairs"/>
      <sheetName val="Debt Stack Calcs-Optional"/>
      <sheetName val="Backshop Escrows-Requires Input"/>
      <sheetName val="Delphi Capital Call"/>
      <sheetName val="Funding Instruction - Aflac US"/>
      <sheetName val="Funding Instruction - TRE ACR"/>
      <sheetName val="Funding Instruction - SILAC"/>
      <sheetName val="Tax Information Worksheet"/>
      <sheetName val="Tax Reserve"/>
      <sheetName val="Insurance Reserve"/>
      <sheetName val="Contractor's Budget Detail"/>
      <sheetName val="COST REPORT"/>
      <sheetName val="Amortization for Floating Rate"/>
      <sheetName val="Input Amortization-Fixed Rate "/>
      <sheetName val="Fixed Amortization Mort and Mez"/>
      <sheetName val="Fixed Amortization Single Note"/>
      <sheetName val="Financing Sources Defined"/>
    </sheetNames>
    <sheetDataSet>
      <sheetData sheetId="0"/>
      <sheetData sheetId="1">
        <row r="563">
          <cell r="E563" t="str">
            <v>The Bank of New York Mellon</v>
          </cell>
          <cell r="F563" t="str">
            <v>New York, NY</v>
          </cell>
          <cell r="G563" t="str">
            <v>021000018</v>
          </cell>
          <cell r="H563" t="str">
            <v>Delphi CRE Funding</v>
          </cell>
          <cell r="I563" t="str">
            <v>6948678400</v>
          </cell>
        </row>
      </sheetData>
      <sheetData sheetId="2"/>
      <sheetData sheetId="3"/>
      <sheetData sheetId="4"/>
      <sheetData sheetId="5"/>
      <sheetData sheetId="6"/>
      <sheetData sheetId="7">
        <row r="357">
          <cell r="A357" t="str">
            <v>Delphi CRE Funding LLC, a Delaware Limited Liability Company</v>
          </cell>
        </row>
        <row r="358">
          <cell r="A358" t="str">
            <v xml:space="preserve">    By:  ACORE Capital Mortgage, LP, a Delaware Limited Partnership, as Authorized Agent</v>
          </cell>
        </row>
        <row r="359">
          <cell r="A359" t="str">
            <v xml:space="preserve">        By:  ACORE Capital Mortgage GP, LLC, a Delaware Limited Liability Company, its General Partner</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Amort Mortg &amp; Mezz"/>
      <sheetName val="Amort Table Single Note"/>
    </sheetNames>
    <sheetDataSet>
      <sheetData sheetId="0" refreshError="1">
        <row r="7">
          <cell r="B7">
            <v>120</v>
          </cell>
        </row>
        <row r="8">
          <cell r="K8" t="str">
            <v>No</v>
          </cell>
        </row>
        <row r="12">
          <cell r="B12">
            <v>60450000</v>
          </cell>
        </row>
        <row r="13">
          <cell r="B13">
            <v>1550000</v>
          </cell>
          <cell r="K13">
            <v>0.12</v>
          </cell>
        </row>
        <row r="14">
          <cell r="K14">
            <v>4.2499999500000003E-2</v>
          </cell>
        </row>
        <row r="17">
          <cell r="B17">
            <v>10</v>
          </cell>
        </row>
      </sheetData>
      <sheetData sheetId="1" refreshError="1"/>
      <sheetData sheetId="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xed Amortization Mor and Mez"/>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Lilia Brent" id="{15A9ABD0-6E82-4934-8818-A501E546D772}" userId="S::lbrent@ACORECAPITAL.COM::04b2716d-9715-4865-8061-e9f584ba883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8" dT="2019-12-05T00:38:49.95" personId="{15A9ABD0-6E82-4934-8818-A501E546D772}" id="{4DE7C5A3-9C9D-4F88-BD07-D01648E771D1}">
    <text>if the IO period is at the end of the loan term, have it end 1 month prior to the maturity date since there will be principal due equal to the UPB (balloon payment)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19-12-05T00:38:49.95" personId="{15A9ABD0-6E82-4934-8818-A501E546D772}" id="{BC92A3BE-46AE-42F6-B695-D4FD69055643}">
    <text>if the IO period is at the end of the loan term, have it end 1 month prior to the maturity date since there will be principal due equal to the UPB (balloon payment)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6.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9.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9" Type="http://schemas.openxmlformats.org/officeDocument/2006/relationships/ctrlProp" Target="../ctrlProps/ctrlProp61.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trlProp" Target="../ctrlProps/ctrlProp77.xml"/><Relationship Id="rId63" Type="http://schemas.openxmlformats.org/officeDocument/2006/relationships/ctrlProp" Target="../ctrlProps/ctrlProp85.xml"/><Relationship Id="rId68" Type="http://schemas.openxmlformats.org/officeDocument/2006/relationships/ctrlProp" Target="../ctrlProps/ctrlProp90.xml"/><Relationship Id="rId76" Type="http://schemas.openxmlformats.org/officeDocument/2006/relationships/ctrlProp" Target="../ctrlProps/ctrlProp98.xml"/><Relationship Id="rId84" Type="http://schemas.openxmlformats.org/officeDocument/2006/relationships/comments" Target="../comments6.xml"/><Relationship Id="rId7" Type="http://schemas.openxmlformats.org/officeDocument/2006/relationships/ctrlProp" Target="../ctrlProps/ctrlProp29.xml"/><Relationship Id="rId71" Type="http://schemas.openxmlformats.org/officeDocument/2006/relationships/ctrlProp" Target="../ctrlProps/ctrlProp93.xml"/><Relationship Id="rId2" Type="http://schemas.openxmlformats.org/officeDocument/2006/relationships/drawing" Target="../drawings/drawing10.xml"/><Relationship Id="rId16" Type="http://schemas.openxmlformats.org/officeDocument/2006/relationships/ctrlProp" Target="../ctrlProps/ctrlProp38.xml"/><Relationship Id="rId29" Type="http://schemas.openxmlformats.org/officeDocument/2006/relationships/ctrlProp" Target="../ctrlProps/ctrlProp51.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8" Type="http://schemas.openxmlformats.org/officeDocument/2006/relationships/ctrlProp" Target="../ctrlProps/ctrlProp80.xml"/><Relationship Id="rId66" Type="http://schemas.openxmlformats.org/officeDocument/2006/relationships/ctrlProp" Target="../ctrlProps/ctrlProp88.xml"/><Relationship Id="rId74" Type="http://schemas.openxmlformats.org/officeDocument/2006/relationships/ctrlProp" Target="../ctrlProps/ctrlProp96.xml"/><Relationship Id="rId79" Type="http://schemas.openxmlformats.org/officeDocument/2006/relationships/ctrlProp" Target="../ctrlProps/ctrlProp101.xml"/><Relationship Id="rId5" Type="http://schemas.openxmlformats.org/officeDocument/2006/relationships/ctrlProp" Target="../ctrlProps/ctrlProp27.xml"/><Relationship Id="rId61" Type="http://schemas.openxmlformats.org/officeDocument/2006/relationships/ctrlProp" Target="../ctrlProps/ctrlProp83.xml"/><Relationship Id="rId82" Type="http://schemas.openxmlformats.org/officeDocument/2006/relationships/ctrlProp" Target="../ctrlProps/ctrlProp104.xml"/><Relationship Id="rId10" Type="http://schemas.openxmlformats.org/officeDocument/2006/relationships/ctrlProp" Target="../ctrlProps/ctrlProp32.xml"/><Relationship Id="rId19" Type="http://schemas.openxmlformats.org/officeDocument/2006/relationships/ctrlProp" Target="../ctrlProps/ctrlProp41.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60" Type="http://schemas.openxmlformats.org/officeDocument/2006/relationships/ctrlProp" Target="../ctrlProps/ctrlProp82.xml"/><Relationship Id="rId65" Type="http://schemas.openxmlformats.org/officeDocument/2006/relationships/ctrlProp" Target="../ctrlProps/ctrlProp87.xml"/><Relationship Id="rId73" Type="http://schemas.openxmlformats.org/officeDocument/2006/relationships/ctrlProp" Target="../ctrlProps/ctrlProp95.xml"/><Relationship Id="rId78" Type="http://schemas.openxmlformats.org/officeDocument/2006/relationships/ctrlProp" Target="../ctrlProps/ctrlProp100.xml"/><Relationship Id="rId81" Type="http://schemas.openxmlformats.org/officeDocument/2006/relationships/ctrlProp" Target="../ctrlProps/ctrlProp103.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56" Type="http://schemas.openxmlformats.org/officeDocument/2006/relationships/ctrlProp" Target="../ctrlProps/ctrlProp78.xml"/><Relationship Id="rId64" Type="http://schemas.openxmlformats.org/officeDocument/2006/relationships/ctrlProp" Target="../ctrlProps/ctrlProp86.xml"/><Relationship Id="rId69" Type="http://schemas.openxmlformats.org/officeDocument/2006/relationships/ctrlProp" Target="../ctrlProps/ctrlProp91.xml"/><Relationship Id="rId77" Type="http://schemas.openxmlformats.org/officeDocument/2006/relationships/ctrlProp" Target="../ctrlProps/ctrlProp99.xml"/><Relationship Id="rId8" Type="http://schemas.openxmlformats.org/officeDocument/2006/relationships/ctrlProp" Target="../ctrlProps/ctrlProp30.xml"/><Relationship Id="rId51" Type="http://schemas.openxmlformats.org/officeDocument/2006/relationships/ctrlProp" Target="../ctrlProps/ctrlProp73.xml"/><Relationship Id="rId72" Type="http://schemas.openxmlformats.org/officeDocument/2006/relationships/ctrlProp" Target="../ctrlProps/ctrlProp94.xml"/><Relationship Id="rId80" Type="http://schemas.openxmlformats.org/officeDocument/2006/relationships/ctrlProp" Target="../ctrlProps/ctrlProp102.xml"/><Relationship Id="rId3" Type="http://schemas.openxmlformats.org/officeDocument/2006/relationships/vmlDrawing" Target="../drawings/vmlDrawing8.v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59" Type="http://schemas.openxmlformats.org/officeDocument/2006/relationships/ctrlProp" Target="../ctrlProps/ctrlProp81.xml"/><Relationship Id="rId67" Type="http://schemas.openxmlformats.org/officeDocument/2006/relationships/ctrlProp" Target="../ctrlProps/ctrlProp89.xml"/><Relationship Id="rId20" Type="http://schemas.openxmlformats.org/officeDocument/2006/relationships/ctrlProp" Target="../ctrlProps/ctrlProp42.xml"/><Relationship Id="rId41" Type="http://schemas.openxmlformats.org/officeDocument/2006/relationships/ctrlProp" Target="../ctrlProps/ctrlProp63.xml"/><Relationship Id="rId54" Type="http://schemas.openxmlformats.org/officeDocument/2006/relationships/ctrlProp" Target="../ctrlProps/ctrlProp76.xml"/><Relationship Id="rId62" Type="http://schemas.openxmlformats.org/officeDocument/2006/relationships/ctrlProp" Target="../ctrlProps/ctrlProp84.xml"/><Relationship Id="rId70" Type="http://schemas.openxmlformats.org/officeDocument/2006/relationships/ctrlProp" Target="../ctrlProps/ctrlProp92.xml"/><Relationship Id="rId75" Type="http://schemas.openxmlformats.org/officeDocument/2006/relationships/ctrlProp" Target="../ctrlProps/ctrlProp97.xml"/><Relationship Id="rId83" Type="http://schemas.openxmlformats.org/officeDocument/2006/relationships/ctrlProp" Target="../ctrlProps/ctrlProp105.xml"/><Relationship Id="rId1" Type="http://schemas.openxmlformats.org/officeDocument/2006/relationships/printerSettings" Target="../printerSettings/printerSettings16.bin"/><Relationship Id="rId6" Type="http://schemas.openxmlformats.org/officeDocument/2006/relationships/ctrlProp" Target="../ctrlProps/ctrlProp28.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57" Type="http://schemas.openxmlformats.org/officeDocument/2006/relationships/ctrlProp" Target="../ctrlProps/ctrlProp7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vestorProfile">
    <tabColor rgb="FF00B0F0"/>
  </sheetPr>
  <dimension ref="A1:I22"/>
  <sheetViews>
    <sheetView workbookViewId="0">
      <selection activeCell="B23" sqref="B23"/>
    </sheetView>
  </sheetViews>
  <sheetFormatPr defaultRowHeight="15"/>
  <cols>
    <col min="1" max="1" width="36.5703125" style="7" customWidth="1"/>
    <col min="2" max="2" width="19.5703125" style="7" bestFit="1" customWidth="1"/>
    <col min="3" max="3" width="16.42578125" style="7" customWidth="1"/>
    <col min="4" max="4" width="16.5703125" style="7" customWidth="1"/>
    <col min="5" max="5" width="14.42578125" style="7" customWidth="1"/>
    <col min="6" max="6" width="17.42578125" style="7" customWidth="1"/>
    <col min="7" max="8" width="20.42578125" style="7" customWidth="1"/>
  </cols>
  <sheetData>
    <row r="1" spans="1:8" ht="15.75" thickBot="1">
      <c r="A1" s="4" t="s">
        <v>0</v>
      </c>
      <c r="B1" s="5"/>
      <c r="C1" s="6"/>
      <c r="D1" s="6"/>
      <c r="E1" s="6"/>
      <c r="F1" s="6"/>
    </row>
    <row r="2" spans="1:8">
      <c r="A2" s="8"/>
      <c r="B2" s="9"/>
      <c r="C2" s="10"/>
      <c r="D2" s="10"/>
      <c r="E2" s="10"/>
      <c r="F2" s="1065"/>
      <c r="G2" s="11"/>
      <c r="H2" s="11"/>
    </row>
    <row r="3" spans="1:8" ht="42" customHeight="1">
      <c r="A3" s="12" t="s">
        <v>1</v>
      </c>
      <c r="B3" s="13" t="s">
        <v>2</v>
      </c>
      <c r="C3" s="13" t="s">
        <v>3</v>
      </c>
      <c r="D3" s="13" t="s">
        <v>4</v>
      </c>
      <c r="E3" s="13" t="s">
        <v>5</v>
      </c>
      <c r="F3" s="1066" t="s">
        <v>6</v>
      </c>
      <c r="G3" s="14"/>
      <c r="H3" s="14"/>
    </row>
    <row r="4" spans="1:8">
      <c r="A4" s="15" t="s">
        <v>7</v>
      </c>
      <c r="B4" s="16" t="s">
        <v>8</v>
      </c>
      <c r="C4" s="17" t="s">
        <v>9</v>
      </c>
      <c r="D4" s="17" t="s">
        <v>10</v>
      </c>
      <c r="E4" s="1966">
        <f>MAX($F$20,IF($B$20&gt;=$E$21,$F$21,$F$20+(($B$20-$E$20)*$H$20)))</f>
        <v>5.0000000000000001E-3</v>
      </c>
      <c r="F4" s="1067" t="s">
        <v>11</v>
      </c>
    </row>
    <row r="5" spans="1:8">
      <c r="A5" s="15" t="s">
        <v>12</v>
      </c>
      <c r="B5" s="16" t="s">
        <v>8</v>
      </c>
      <c r="C5" s="17" t="s">
        <v>9</v>
      </c>
      <c r="D5" s="17" t="s">
        <v>10</v>
      </c>
      <c r="E5" s="1966">
        <f>MAX($F$20,IF($B$20&gt;=$E$21,$F$21,$F$20+(($B$20-$E$20)*$H$20)))</f>
        <v>5.0000000000000001E-3</v>
      </c>
      <c r="F5" s="1067" t="s">
        <v>11</v>
      </c>
    </row>
    <row r="6" spans="1:8">
      <c r="A6" s="15" t="s">
        <v>13</v>
      </c>
      <c r="B6" s="16" t="s">
        <v>14</v>
      </c>
      <c r="C6" s="17" t="s">
        <v>10</v>
      </c>
      <c r="D6" s="17" t="s">
        <v>10</v>
      </c>
      <c r="E6" s="1965">
        <v>0</v>
      </c>
      <c r="F6" s="1067" t="s">
        <v>15</v>
      </c>
      <c r="G6" s="18"/>
      <c r="H6" s="18"/>
    </row>
    <row r="7" spans="1:8">
      <c r="A7" s="15" t="s">
        <v>16</v>
      </c>
      <c r="B7" s="16" t="s">
        <v>17</v>
      </c>
      <c r="C7" s="17" t="s">
        <v>10</v>
      </c>
      <c r="D7" s="17" t="s">
        <v>10</v>
      </c>
      <c r="E7" s="1965">
        <v>0</v>
      </c>
      <c r="F7" s="1067" t="s">
        <v>15</v>
      </c>
      <c r="G7" s="18"/>
      <c r="H7" s="18"/>
    </row>
    <row r="8" spans="1:8">
      <c r="A8" s="15" t="s">
        <v>18</v>
      </c>
      <c r="B8" s="16" t="s">
        <v>17</v>
      </c>
      <c r="C8" s="17" t="s">
        <v>10</v>
      </c>
      <c r="D8" s="17" t="s">
        <v>10</v>
      </c>
      <c r="E8" s="1965"/>
      <c r="F8" s="1067" t="s">
        <v>15</v>
      </c>
      <c r="G8" s="18"/>
      <c r="H8" s="18"/>
    </row>
    <row r="9" spans="1:8">
      <c r="A9" s="15" t="s">
        <v>19</v>
      </c>
      <c r="B9" s="16" t="s">
        <v>17</v>
      </c>
      <c r="C9" s="17" t="s">
        <v>10</v>
      </c>
      <c r="D9" s="17" t="s">
        <v>10</v>
      </c>
      <c r="E9" s="1965">
        <v>1</v>
      </c>
      <c r="F9" s="1067" t="s">
        <v>15</v>
      </c>
    </row>
    <row r="10" spans="1:8" ht="45">
      <c r="A10" s="15" t="s">
        <v>20</v>
      </c>
      <c r="B10" s="16" t="s">
        <v>8</v>
      </c>
      <c r="C10" s="17" t="s">
        <v>10</v>
      </c>
      <c r="D10" s="17" t="s">
        <v>10</v>
      </c>
      <c r="E10" s="1965" t="s">
        <v>21</v>
      </c>
      <c r="F10" s="1067" t="s">
        <v>22</v>
      </c>
    </row>
    <row r="11" spans="1:8">
      <c r="A11" s="15" t="s">
        <v>23</v>
      </c>
      <c r="B11" s="16" t="s">
        <v>17</v>
      </c>
      <c r="C11" s="17" t="s">
        <v>10</v>
      </c>
      <c r="D11" s="17" t="s">
        <v>10</v>
      </c>
      <c r="E11" s="1965"/>
      <c r="F11" s="1067" t="s">
        <v>15</v>
      </c>
    </row>
    <row r="12" spans="1:8">
      <c r="A12" s="15" t="s">
        <v>820</v>
      </c>
      <c r="B12" s="16" t="s">
        <v>17</v>
      </c>
      <c r="C12" s="17" t="s">
        <v>10</v>
      </c>
      <c r="D12" s="17" t="s">
        <v>10</v>
      </c>
      <c r="E12" s="1965"/>
      <c r="F12" s="1067" t="s">
        <v>15</v>
      </c>
    </row>
    <row r="13" spans="1:8">
      <c r="A13" s="15" t="s">
        <v>2466</v>
      </c>
      <c r="B13" s="16" t="s">
        <v>17</v>
      </c>
      <c r="C13" s="17" t="s">
        <v>10</v>
      </c>
      <c r="D13" s="17" t="s">
        <v>10</v>
      </c>
      <c r="E13" s="1965"/>
      <c r="F13" s="1067" t="s">
        <v>15</v>
      </c>
    </row>
    <row r="14" spans="1:8">
      <c r="A14" s="15" t="s">
        <v>2465</v>
      </c>
      <c r="B14" s="16" t="s">
        <v>17</v>
      </c>
      <c r="C14" s="17" t="s">
        <v>10</v>
      </c>
      <c r="D14" s="17" t="s">
        <v>10</v>
      </c>
      <c r="E14" s="1965"/>
      <c r="F14" s="1067" t="s">
        <v>15</v>
      </c>
    </row>
    <row r="15" spans="1:8">
      <c r="A15" s="15"/>
      <c r="B15" s="16"/>
      <c r="C15" s="17"/>
      <c r="D15" s="17"/>
      <c r="E15" s="1965"/>
      <c r="F15" s="1067"/>
    </row>
    <row r="16" spans="1:8">
      <c r="A16" s="2445"/>
      <c r="B16" s="2446"/>
      <c r="C16" s="2447"/>
      <c r="D16" s="2447"/>
      <c r="E16" s="2448"/>
      <c r="F16" s="2449"/>
    </row>
    <row r="17" spans="1:9" ht="15.75" thickBot="1">
      <c r="C17" s="1463"/>
      <c r="D17" s="1463"/>
      <c r="E17" s="1463"/>
      <c r="F17" s="1463"/>
    </row>
    <row r="18" spans="1:9">
      <c r="E18" s="1968" t="s">
        <v>25</v>
      </c>
      <c r="F18" s="2418"/>
      <c r="G18" s="2418"/>
      <c r="H18" s="2421"/>
    </row>
    <row r="19" spans="1:9" ht="30.75" thickBot="1">
      <c r="E19" s="1969" t="s">
        <v>26</v>
      </c>
      <c r="F19" s="7" t="s">
        <v>27</v>
      </c>
      <c r="G19" s="1463" t="s">
        <v>28</v>
      </c>
      <c r="H19" s="1345" t="s">
        <v>29</v>
      </c>
    </row>
    <row r="20" spans="1:9" ht="45.75" thickBot="1">
      <c r="A20" s="1963" t="s">
        <v>30</v>
      </c>
      <c r="B20" s="1964">
        <f>INPUT!M216</f>
        <v>0</v>
      </c>
      <c r="C20" s="7" t="s">
        <v>31</v>
      </c>
      <c r="D20" s="1967"/>
      <c r="E20" s="1970">
        <v>3.4000000000000002E-2</v>
      </c>
      <c r="F20" s="1971">
        <v>5.0000000000000001E-3</v>
      </c>
      <c r="G20" s="1972">
        <f>F21-F20</f>
        <v>2.4999999999999996E-3</v>
      </c>
      <c r="H20" s="1973">
        <f>(G20/(E21-E20))</f>
        <v>1.2500000000000031</v>
      </c>
      <c r="I20" s="416"/>
    </row>
    <row r="21" spans="1:9" ht="15.75" thickBot="1">
      <c r="A21" s="19"/>
      <c r="E21" s="1974">
        <v>3.5999999999999997E-2</v>
      </c>
      <c r="F21" s="1975">
        <v>7.4999999999999997E-3</v>
      </c>
      <c r="G21" s="2419"/>
      <c r="H21" s="2422"/>
    </row>
    <row r="22" spans="1:9">
      <c r="F22" s="1962"/>
    </row>
  </sheetData>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'Drop Lists'!$AH$4:$AH$13</xm:f>
          </x14:formula1>
          <xm:sqref>A4:A6</xm:sqref>
        </x14:dataValidation>
        <x14:dataValidation type="list" allowBlank="1" showInputMessage="1" showErrorMessage="1" xr:uid="{588A80A0-25D4-4049-AE5B-73FF6499A472}">
          <x14:formula1>
            <xm:f>'Drop Lists'!$AH$4:$AH$20</xm:f>
          </x14:formula1>
          <xm:sqref>A7:A16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heet">
    <tabColor rgb="FFFB8605"/>
  </sheetPr>
  <dimension ref="A1:BQ671"/>
  <sheetViews>
    <sheetView topLeftCell="A99" zoomScale="80" zoomScaleNormal="80" workbookViewId="0">
      <pane xSplit="1" topLeftCell="B1" activePane="topRight" state="frozen"/>
      <selection activeCell="A147" sqref="A147"/>
      <selection pane="topRight" activeCell="E130" sqref="E130"/>
    </sheetView>
  </sheetViews>
  <sheetFormatPr defaultColWidth="9.42578125" defaultRowHeight="15" outlineLevelRow="1"/>
  <cols>
    <col min="1" max="1" width="57.5703125" customWidth="1"/>
    <col min="2" max="2" width="32.5703125" customWidth="1"/>
    <col min="3" max="3" width="30.42578125" customWidth="1"/>
    <col min="4" max="4" width="31.5703125" style="135" customWidth="1"/>
    <col min="5" max="5" width="19.42578125" style="135" customWidth="1"/>
    <col min="6" max="6" width="20.5703125" customWidth="1"/>
    <col min="7" max="7" width="21" customWidth="1"/>
    <col min="8" max="8" width="38.5703125" customWidth="1"/>
    <col min="9" max="9" width="18.5703125" customWidth="1"/>
    <col min="10" max="10" width="23.5703125" customWidth="1"/>
    <col min="11" max="11" width="25.42578125" customWidth="1"/>
    <col min="12" max="12" width="25.5703125" customWidth="1"/>
    <col min="13" max="13" width="29.42578125" customWidth="1"/>
    <col min="14" max="14" width="24.5703125" customWidth="1"/>
    <col min="15" max="15" width="29" customWidth="1"/>
    <col min="16" max="16" width="26" customWidth="1"/>
    <col min="17" max="18" width="24.5703125" customWidth="1"/>
    <col min="19" max="19" width="17.5703125" customWidth="1"/>
    <col min="20" max="20" width="20.5703125" customWidth="1"/>
    <col min="21" max="22" width="18.42578125" customWidth="1"/>
    <col min="23" max="23" width="16.42578125" customWidth="1"/>
    <col min="24" max="24" width="29" customWidth="1"/>
    <col min="25" max="25" width="19.5703125" customWidth="1"/>
    <col min="26" max="27" width="16.5703125" customWidth="1"/>
    <col min="28" max="28" width="17.42578125" customWidth="1"/>
    <col min="29" max="29" width="19" customWidth="1"/>
    <col min="30" max="30" width="37.42578125" customWidth="1"/>
    <col min="31" max="31" width="23" customWidth="1"/>
    <col min="32" max="32" width="27.5703125" customWidth="1"/>
    <col min="33" max="33" width="28" customWidth="1"/>
    <col min="34" max="34" width="18.5703125" customWidth="1"/>
    <col min="35" max="40" width="18.42578125" customWidth="1"/>
    <col min="41" max="41" width="22.5703125" customWidth="1"/>
    <col min="42" max="42" width="20" customWidth="1"/>
    <col min="43" max="43" width="17.5703125" customWidth="1"/>
    <col min="44" max="44" width="24" customWidth="1"/>
    <col min="45" max="45" width="18" customWidth="1"/>
    <col min="46" max="47" width="17.42578125" customWidth="1"/>
    <col min="48" max="48" width="18.5703125" customWidth="1"/>
    <col min="49" max="49" width="16.5703125" customWidth="1"/>
    <col min="50" max="50" width="20" customWidth="1"/>
    <col min="51" max="51" width="16.42578125" customWidth="1"/>
    <col min="52" max="52" width="19.5703125" customWidth="1"/>
    <col min="53" max="53" width="14.42578125" customWidth="1"/>
    <col min="54" max="56" width="19.5703125" customWidth="1"/>
    <col min="57" max="57" width="15.42578125" customWidth="1"/>
    <col min="58" max="58" width="19.5703125" customWidth="1"/>
    <col min="59" max="59" width="14" style="789" customWidth="1"/>
    <col min="60" max="60" width="19.5703125" customWidth="1"/>
    <col min="61" max="61" width="15.42578125" customWidth="1"/>
    <col min="62" max="62" width="19.5703125" customWidth="1"/>
    <col min="63" max="63" width="17.5703125" customWidth="1"/>
    <col min="64" max="68" width="19.5703125" customWidth="1"/>
    <col min="69" max="69" width="22.42578125" customWidth="1"/>
    <col min="70" max="70" width="21.42578125" customWidth="1"/>
    <col min="71" max="71" width="29.42578125" customWidth="1"/>
    <col min="72" max="72" width="40.5703125" customWidth="1"/>
    <col min="73" max="73" width="20.5703125" customWidth="1"/>
    <col min="74" max="74" width="36.5703125" customWidth="1"/>
  </cols>
  <sheetData>
    <row r="1" spans="1:68" ht="31.5">
      <c r="A1" s="649" t="s">
        <v>32</v>
      </c>
      <c r="B1" s="100"/>
      <c r="C1" s="100"/>
      <c r="D1" s="1216"/>
      <c r="E1" s="100"/>
      <c r="F1" s="100"/>
      <c r="G1" s="100"/>
      <c r="H1" s="100"/>
      <c r="I1" s="100"/>
      <c r="J1" s="100"/>
      <c r="K1" s="100"/>
      <c r="L1" s="100"/>
      <c r="M1" s="100"/>
      <c r="N1" s="1216"/>
      <c r="O1" s="152"/>
      <c r="P1" s="152"/>
      <c r="Q1" s="468"/>
      <c r="R1" s="468"/>
      <c r="S1" s="469"/>
      <c r="T1" s="469"/>
      <c r="U1" s="469"/>
      <c r="V1" s="469"/>
      <c r="W1" s="469"/>
      <c r="X1" s="469"/>
      <c r="Y1" s="469"/>
      <c r="Z1" s="469"/>
      <c r="AA1" s="469"/>
      <c r="AB1" s="469"/>
      <c r="AC1" s="469"/>
      <c r="AD1" s="469"/>
      <c r="AE1" s="468"/>
      <c r="AF1" s="468"/>
      <c r="AG1" s="468"/>
      <c r="AH1" s="468"/>
      <c r="AI1" s="468"/>
      <c r="AJ1" s="468"/>
      <c r="AK1" s="468"/>
      <c r="AL1" s="468"/>
      <c r="AM1" s="468"/>
      <c r="AN1" s="468"/>
      <c r="AO1" s="468"/>
      <c r="AP1" s="468"/>
      <c r="AQ1" s="468"/>
      <c r="AR1" s="468"/>
      <c r="AS1" s="468"/>
      <c r="AT1" s="468"/>
      <c r="AU1" s="468"/>
      <c r="AV1" s="468"/>
      <c r="AW1" s="468"/>
      <c r="AX1" s="468"/>
      <c r="AY1" s="468"/>
      <c r="AZ1" s="468"/>
      <c r="BA1" s="468"/>
      <c r="BB1" s="468"/>
      <c r="BC1" s="468"/>
      <c r="BD1" s="468"/>
      <c r="BE1" s="468"/>
      <c r="BF1" s="468"/>
      <c r="BG1" s="1556"/>
      <c r="BH1" s="468"/>
      <c r="BI1" s="468"/>
      <c r="BJ1" s="468"/>
      <c r="BK1" s="468"/>
      <c r="BL1" s="468"/>
      <c r="BM1" s="468"/>
      <c r="BN1" s="468"/>
      <c r="BO1" s="468"/>
      <c r="BP1" s="468"/>
    </row>
    <row r="2" spans="1:68" ht="86.45" customHeight="1" thickBot="1">
      <c r="A2" s="1153" t="s">
        <v>33</v>
      </c>
      <c r="B2" s="1479" t="s">
        <v>719</v>
      </c>
      <c r="C2" s="468"/>
      <c r="D2" s="655"/>
      <c r="E2" s="655"/>
      <c r="F2" s="468"/>
      <c r="G2" s="468"/>
      <c r="H2" s="468"/>
      <c r="I2" s="468"/>
      <c r="J2" s="468"/>
      <c r="K2" s="468"/>
      <c r="L2" s="468"/>
      <c r="M2" s="468"/>
      <c r="N2" s="468"/>
      <c r="O2" s="468"/>
      <c r="P2" s="468"/>
      <c r="Q2" s="468"/>
      <c r="R2" s="468"/>
      <c r="S2" s="470"/>
      <c r="T2" s="470"/>
      <c r="U2" s="470"/>
      <c r="V2" s="470"/>
      <c r="W2" s="470"/>
      <c r="X2" s="470"/>
      <c r="Y2" s="470"/>
      <c r="Z2" s="470"/>
      <c r="AA2" s="470"/>
      <c r="AB2" s="470"/>
      <c r="AC2" s="470"/>
      <c r="AD2" s="470"/>
      <c r="AE2" s="468"/>
      <c r="AF2" s="468"/>
      <c r="AG2" s="468"/>
      <c r="AH2" s="468"/>
      <c r="AI2" s="468"/>
      <c r="AJ2" s="468"/>
      <c r="AK2" s="468"/>
      <c r="AL2" s="468"/>
      <c r="AM2" s="468"/>
      <c r="AN2" s="468"/>
      <c r="AO2" s="468"/>
      <c r="AP2" s="468"/>
      <c r="AQ2" s="468"/>
      <c r="AR2" s="468"/>
      <c r="AS2" s="468"/>
      <c r="AT2" s="468"/>
      <c r="AU2" s="468"/>
      <c r="AV2" s="468"/>
      <c r="AW2" s="468"/>
      <c r="AX2" s="468"/>
      <c r="AY2" s="468"/>
      <c r="AZ2" s="468"/>
      <c r="BA2" s="468"/>
      <c r="BB2" s="468"/>
      <c r="BC2" s="468"/>
      <c r="BD2" s="468"/>
      <c r="BE2" s="468"/>
      <c r="BF2" s="468"/>
      <c r="BG2" s="1556"/>
      <c r="BH2" s="468"/>
      <c r="BI2" s="468"/>
      <c r="BJ2" s="468"/>
      <c r="BK2" s="468"/>
      <c r="BL2" s="468"/>
      <c r="BM2" s="468"/>
      <c r="BN2" s="468"/>
      <c r="BO2" s="468"/>
      <c r="BP2" s="468"/>
    </row>
    <row r="3" spans="1:68" ht="12.75" customHeight="1">
      <c r="A3" s="2517" t="s">
        <v>34</v>
      </c>
      <c r="B3" s="2518"/>
      <c r="C3" s="2518"/>
      <c r="D3" s="2518"/>
      <c r="E3" s="2518"/>
      <c r="F3" s="2518"/>
      <c r="G3" s="2518"/>
      <c r="H3" s="2518"/>
      <c r="I3" s="2518"/>
      <c r="J3" s="2518"/>
      <c r="K3" s="2518"/>
      <c r="L3" s="2518"/>
      <c r="M3" s="2518"/>
      <c r="N3" s="2518"/>
      <c r="O3" s="2518"/>
      <c r="P3" s="2519"/>
      <c r="Q3" s="470"/>
      <c r="R3" s="470"/>
      <c r="S3" s="472"/>
      <c r="T3" s="472"/>
      <c r="U3" s="472"/>
      <c r="V3" s="472"/>
      <c r="W3" s="472"/>
      <c r="X3" s="472"/>
      <c r="Y3" s="472"/>
      <c r="Z3" s="472"/>
      <c r="AA3" s="472"/>
      <c r="AB3" s="472"/>
      <c r="AC3" s="472"/>
      <c r="AD3" s="472"/>
      <c r="AE3" s="468"/>
      <c r="AF3" s="468"/>
      <c r="AG3" s="468"/>
      <c r="AH3" s="468"/>
      <c r="AI3" s="468"/>
      <c r="AJ3" s="468"/>
      <c r="AK3" s="468"/>
      <c r="AL3" s="468"/>
      <c r="AM3" s="468"/>
      <c r="AN3" s="468"/>
      <c r="AO3" s="468"/>
      <c r="AP3" s="468"/>
      <c r="AQ3" s="468"/>
      <c r="AR3" s="468"/>
      <c r="AS3" s="468"/>
      <c r="AT3" s="468"/>
      <c r="AU3" s="468"/>
      <c r="AV3" s="468"/>
      <c r="AW3" s="468"/>
      <c r="AX3" s="468"/>
      <c r="AY3" s="468"/>
      <c r="AZ3" s="468"/>
      <c r="BA3" s="468"/>
      <c r="BB3" s="468"/>
      <c r="BC3" s="468"/>
      <c r="BD3" s="468"/>
      <c r="BE3" s="468"/>
      <c r="BF3" s="468"/>
      <c r="BG3" s="1556"/>
      <c r="BH3" s="468"/>
      <c r="BI3" s="468"/>
      <c r="BJ3" s="468"/>
      <c r="BK3" s="468"/>
      <c r="BL3" s="468"/>
      <c r="BM3" s="468"/>
      <c r="BN3" s="468"/>
      <c r="BO3" s="468"/>
      <c r="BP3" s="468"/>
    </row>
    <row r="4" spans="1:68">
      <c r="A4" s="2520"/>
      <c r="B4" s="2521"/>
      <c r="C4" s="2521"/>
      <c r="D4" s="2521"/>
      <c r="E4" s="2521"/>
      <c r="F4" s="2521"/>
      <c r="G4" s="2521"/>
      <c r="H4" s="2521"/>
      <c r="I4" s="2521"/>
      <c r="J4" s="2521"/>
      <c r="K4" s="2521"/>
      <c r="L4" s="2521"/>
      <c r="M4" s="2521"/>
      <c r="N4" s="2521"/>
      <c r="O4" s="2521"/>
      <c r="P4" s="2522"/>
      <c r="Q4" s="470"/>
      <c r="R4" s="470"/>
      <c r="S4" s="472"/>
      <c r="T4" s="472"/>
      <c r="U4" s="472"/>
      <c r="V4" s="472"/>
      <c r="W4" s="472"/>
      <c r="X4" s="472"/>
      <c r="Y4" s="472"/>
      <c r="Z4" s="472"/>
      <c r="AA4" s="472"/>
      <c r="AB4" s="472"/>
      <c r="AC4" s="472"/>
      <c r="AD4" s="472"/>
      <c r="AE4" s="468"/>
      <c r="AF4" s="468"/>
      <c r="AG4" s="468"/>
      <c r="AH4" s="468"/>
      <c r="AI4" s="468"/>
      <c r="AJ4" s="468"/>
      <c r="AK4" s="468"/>
      <c r="AL4" s="468"/>
      <c r="AM4" s="468"/>
      <c r="AN4" s="468"/>
      <c r="AO4" s="468"/>
      <c r="AP4" s="468"/>
      <c r="AQ4" s="468"/>
      <c r="AR4" s="468"/>
      <c r="AS4" s="468"/>
      <c r="AT4" s="468"/>
      <c r="AU4" s="468"/>
      <c r="AV4" s="468"/>
      <c r="AW4" s="468"/>
      <c r="AX4" s="468"/>
      <c r="AY4" s="468"/>
      <c r="AZ4" s="468"/>
      <c r="BA4" s="468"/>
      <c r="BB4" s="468"/>
      <c r="BC4" s="468"/>
      <c r="BD4" s="468"/>
      <c r="BE4" s="468"/>
      <c r="BF4" s="468"/>
      <c r="BG4" s="1556"/>
      <c r="BH4" s="468"/>
      <c r="BI4" s="468"/>
      <c r="BJ4" s="468"/>
      <c r="BK4" s="468"/>
      <c r="BL4" s="468"/>
      <c r="BM4" s="468"/>
      <c r="BN4" s="468"/>
      <c r="BO4" s="468"/>
      <c r="BP4" s="468"/>
    </row>
    <row r="5" spans="1:68">
      <c r="A5" s="2520"/>
      <c r="B5" s="2521"/>
      <c r="C5" s="2521"/>
      <c r="D5" s="2521"/>
      <c r="E5" s="2521"/>
      <c r="F5" s="2521"/>
      <c r="G5" s="2521"/>
      <c r="H5" s="2521"/>
      <c r="I5" s="2521"/>
      <c r="J5" s="2521"/>
      <c r="K5" s="2521"/>
      <c r="L5" s="2521"/>
      <c r="M5" s="2521"/>
      <c r="N5" s="2521"/>
      <c r="O5" s="2521"/>
      <c r="P5" s="2522"/>
      <c r="Q5" s="470"/>
      <c r="R5" s="470"/>
      <c r="S5" s="472"/>
      <c r="T5" s="472"/>
      <c r="U5" s="472"/>
      <c r="V5" s="472"/>
      <c r="W5" s="472"/>
      <c r="X5" s="472"/>
      <c r="Y5" s="472"/>
      <c r="Z5" s="472"/>
      <c r="AA5" s="472"/>
      <c r="AB5" s="472"/>
      <c r="AC5" s="472"/>
      <c r="AD5" s="472"/>
      <c r="AE5" s="468"/>
      <c r="AF5" s="468"/>
      <c r="AG5" s="468"/>
      <c r="AH5" s="468"/>
      <c r="AI5" s="468"/>
      <c r="AJ5" s="468"/>
      <c r="AK5" s="468"/>
      <c r="AL5" s="468"/>
      <c r="AM5" s="468"/>
      <c r="AN5" s="468"/>
      <c r="AO5" s="468"/>
      <c r="AP5" s="468"/>
      <c r="AQ5" s="468"/>
      <c r="AR5" s="468"/>
      <c r="AS5" s="468"/>
      <c r="AT5" s="468"/>
      <c r="AU5" s="468"/>
      <c r="AV5" s="468"/>
      <c r="AW5" s="468"/>
      <c r="AX5" s="468"/>
      <c r="AY5" s="468"/>
      <c r="AZ5" s="468"/>
      <c r="BA5" s="468"/>
      <c r="BB5" s="468"/>
      <c r="BC5" s="468"/>
      <c r="BD5" s="468"/>
      <c r="BE5" s="468"/>
      <c r="BF5" s="468"/>
      <c r="BG5" s="1556"/>
      <c r="BH5" s="468"/>
      <c r="BI5" s="468"/>
      <c r="BJ5" s="468"/>
      <c r="BK5" s="468"/>
      <c r="BL5" s="468"/>
      <c r="BM5" s="468"/>
      <c r="BN5" s="468"/>
      <c r="BO5" s="468"/>
      <c r="BP5" s="468"/>
    </row>
    <row r="6" spans="1:68">
      <c r="A6" s="2520"/>
      <c r="B6" s="2521"/>
      <c r="C6" s="2521"/>
      <c r="D6" s="2521"/>
      <c r="E6" s="2521"/>
      <c r="F6" s="2521"/>
      <c r="G6" s="2521"/>
      <c r="H6" s="2521"/>
      <c r="I6" s="2521"/>
      <c r="J6" s="2521"/>
      <c r="K6" s="2521"/>
      <c r="L6" s="2521"/>
      <c r="M6" s="2521"/>
      <c r="N6" s="2521"/>
      <c r="O6" s="2521"/>
      <c r="P6" s="2522"/>
      <c r="Q6" s="470"/>
      <c r="R6" s="470"/>
      <c r="S6" s="472"/>
      <c r="T6" s="472"/>
      <c r="U6" s="472"/>
      <c r="V6" s="472"/>
      <c r="W6" s="472"/>
      <c r="X6" s="472"/>
      <c r="Y6" s="472"/>
      <c r="Z6" s="472"/>
      <c r="AA6" s="472"/>
      <c r="AB6" s="472"/>
      <c r="AC6" s="472"/>
      <c r="AD6" s="472"/>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1556"/>
      <c r="BH6" s="468"/>
      <c r="BI6" s="468"/>
      <c r="BJ6" s="468"/>
      <c r="BK6" s="468"/>
      <c r="BL6" s="468"/>
      <c r="BM6" s="468"/>
      <c r="BN6" s="468"/>
      <c r="BO6" s="468"/>
      <c r="BP6" s="468"/>
    </row>
    <row r="7" spans="1:68" ht="15.75" thickBot="1">
      <c r="A7" s="2523"/>
      <c r="B7" s="2524"/>
      <c r="C7" s="2524"/>
      <c r="D7" s="2524"/>
      <c r="E7" s="2524"/>
      <c r="F7" s="2524"/>
      <c r="G7" s="2524"/>
      <c r="H7" s="2524"/>
      <c r="I7" s="2524"/>
      <c r="J7" s="2524"/>
      <c r="K7" s="2524"/>
      <c r="L7" s="2524"/>
      <c r="M7" s="2524"/>
      <c r="N7" s="2524"/>
      <c r="O7" s="2524"/>
      <c r="P7" s="2525"/>
      <c r="Q7" s="470"/>
      <c r="R7" s="470"/>
      <c r="S7" s="472"/>
      <c r="T7" s="472"/>
      <c r="U7" s="472"/>
      <c r="V7" s="472"/>
      <c r="W7" s="472"/>
      <c r="X7" s="472"/>
      <c r="Y7" s="472"/>
      <c r="Z7" s="472"/>
      <c r="AA7" s="472"/>
      <c r="AB7" s="472"/>
      <c r="AC7" s="472"/>
      <c r="AD7" s="472"/>
      <c r="AE7" s="468"/>
      <c r="AF7" s="468"/>
      <c r="AG7" s="468"/>
      <c r="AH7" s="468"/>
      <c r="AI7" s="468"/>
      <c r="AJ7" s="468"/>
      <c r="AK7" s="468"/>
      <c r="AL7" s="468"/>
      <c r="AM7" s="468"/>
      <c r="AN7" s="468"/>
      <c r="AO7" s="468"/>
      <c r="AP7" s="468"/>
      <c r="AQ7" s="468"/>
      <c r="AR7" s="468"/>
      <c r="AS7" s="468"/>
      <c r="AT7" s="468"/>
      <c r="AU7" s="468"/>
      <c r="AV7" s="468"/>
      <c r="AW7" s="468"/>
      <c r="AX7" s="468"/>
      <c r="AY7" s="468"/>
      <c r="AZ7" s="468"/>
      <c r="BA7" s="468"/>
      <c r="BB7" s="468"/>
      <c r="BC7" s="468"/>
      <c r="BD7" s="468"/>
      <c r="BE7" s="468"/>
      <c r="BF7" s="468"/>
      <c r="BG7" s="1556"/>
      <c r="BH7" s="468"/>
      <c r="BI7" s="468"/>
      <c r="BJ7" s="468"/>
      <c r="BK7" s="468"/>
      <c r="BL7" s="468"/>
      <c r="BM7" s="468"/>
      <c r="BN7" s="468"/>
      <c r="BO7" s="468"/>
      <c r="BP7" s="468"/>
    </row>
    <row r="8" spans="1:68" ht="15.75" thickBot="1">
      <c r="A8" s="473"/>
      <c r="B8" s="473"/>
      <c r="C8" s="473"/>
      <c r="D8" s="1351"/>
      <c r="E8" s="1351"/>
      <c r="F8" s="473"/>
      <c r="G8" s="473"/>
      <c r="H8" s="473"/>
      <c r="I8" s="473"/>
      <c r="J8" s="473"/>
      <c r="K8" s="473"/>
      <c r="L8" s="473"/>
      <c r="M8" s="473"/>
      <c r="N8" s="473"/>
      <c r="O8" s="473"/>
      <c r="P8" s="473"/>
      <c r="Q8" s="470"/>
      <c r="R8" s="470"/>
      <c r="S8" s="472"/>
      <c r="T8" s="472"/>
      <c r="U8" s="472"/>
      <c r="V8" s="472"/>
      <c r="W8" s="472"/>
      <c r="X8" s="472"/>
      <c r="Y8" s="472"/>
      <c r="Z8" s="472"/>
      <c r="AA8" s="472"/>
      <c r="AB8" s="472"/>
      <c r="AC8" s="472"/>
      <c r="AD8" s="472"/>
      <c r="AE8" s="468"/>
      <c r="AF8" s="468"/>
      <c r="AG8" s="468"/>
      <c r="AH8" s="468"/>
      <c r="AI8" s="468"/>
      <c r="AJ8" s="468"/>
      <c r="AK8" s="468"/>
      <c r="AL8" s="468"/>
      <c r="AM8" s="468"/>
      <c r="AN8" s="468"/>
      <c r="AO8" s="468"/>
      <c r="AP8" s="468"/>
      <c r="AQ8" s="468"/>
      <c r="AR8" s="468"/>
      <c r="AS8" s="468"/>
      <c r="AT8" s="468"/>
      <c r="AU8" s="468"/>
      <c r="AV8" s="468"/>
      <c r="AW8" s="468"/>
      <c r="AX8" s="468"/>
      <c r="AY8" s="468"/>
      <c r="AZ8" s="468"/>
      <c r="BA8" s="468"/>
      <c r="BB8" s="468"/>
      <c r="BC8" s="468"/>
      <c r="BD8" s="468"/>
      <c r="BE8" s="468"/>
      <c r="BF8" s="468"/>
      <c r="BG8" s="1556"/>
      <c r="BH8" s="468"/>
      <c r="BI8" s="468"/>
      <c r="BJ8" s="468"/>
      <c r="BK8" s="468"/>
      <c r="BL8" s="468"/>
      <c r="BM8" s="468"/>
      <c r="BN8" s="468"/>
      <c r="BO8" s="468"/>
      <c r="BP8" s="468"/>
    </row>
    <row r="9" spans="1:68" ht="27" thickBot="1">
      <c r="A9" s="474" t="s">
        <v>35</v>
      </c>
      <c r="B9" s="475"/>
      <c r="C9" s="475"/>
      <c r="D9" s="1352"/>
      <c r="E9" s="1351"/>
      <c r="F9" s="473"/>
      <c r="G9" s="473"/>
      <c r="H9" s="473"/>
      <c r="I9" s="871"/>
      <c r="J9" s="473"/>
      <c r="K9" s="473"/>
      <c r="L9" s="473"/>
      <c r="M9" s="473"/>
      <c r="N9" s="473"/>
      <c r="O9" s="473"/>
      <c r="P9" s="473"/>
      <c r="Q9" s="470"/>
      <c r="R9" s="470"/>
      <c r="S9" s="472"/>
      <c r="T9" s="472"/>
      <c r="U9" s="472"/>
      <c r="V9" s="472"/>
      <c r="W9" s="472"/>
      <c r="X9" s="472"/>
      <c r="Y9" s="472"/>
      <c r="Z9" s="472"/>
      <c r="AA9" s="472"/>
      <c r="AB9" s="472"/>
      <c r="AC9" s="472"/>
      <c r="AD9" s="472"/>
      <c r="AE9" s="468"/>
      <c r="AF9" s="468"/>
      <c r="AG9" s="468"/>
      <c r="AH9" s="468"/>
      <c r="AI9" s="468"/>
      <c r="AJ9" s="468"/>
      <c r="AK9" s="468"/>
      <c r="AL9" s="468"/>
      <c r="AM9" s="468"/>
      <c r="AN9" s="468"/>
      <c r="AO9" s="468"/>
      <c r="AP9" s="468"/>
      <c r="AQ9" s="468"/>
      <c r="AR9" s="468"/>
      <c r="AS9" s="468"/>
      <c r="AT9" s="468"/>
      <c r="AU9" s="468"/>
      <c r="AV9" s="468"/>
      <c r="AW9" s="468"/>
      <c r="AX9" s="468"/>
      <c r="AY9" s="468"/>
      <c r="AZ9" s="468"/>
      <c r="BA9" s="468"/>
      <c r="BB9" s="468"/>
      <c r="BC9" s="468"/>
      <c r="BD9" s="468"/>
      <c r="BE9" s="468"/>
      <c r="BF9" s="468"/>
      <c r="BG9" s="1556"/>
      <c r="BH9" s="468"/>
      <c r="BI9" s="468"/>
      <c r="BJ9" s="468"/>
      <c r="BK9" s="468"/>
      <c r="BL9" s="468"/>
      <c r="BM9" s="468"/>
      <c r="BN9" s="468"/>
      <c r="BO9" s="468"/>
      <c r="BP9" s="468"/>
    </row>
    <row r="10" spans="1:68">
      <c r="A10" s="473"/>
      <c r="B10" s="473"/>
      <c r="C10" s="473"/>
      <c r="D10" s="1351"/>
      <c r="E10" s="1351"/>
      <c r="F10" s="473"/>
      <c r="G10" s="473"/>
      <c r="H10" s="473"/>
      <c r="I10" s="473"/>
      <c r="J10" s="473"/>
      <c r="K10" s="473"/>
      <c r="L10" s="473"/>
      <c r="M10" s="473"/>
      <c r="N10" s="473"/>
      <c r="O10" s="473"/>
      <c r="P10" s="473"/>
      <c r="Q10" s="470"/>
      <c r="R10" s="470"/>
      <c r="S10" s="472"/>
      <c r="T10" s="472"/>
      <c r="U10" s="472"/>
      <c r="V10" s="472"/>
      <c r="W10" s="472"/>
      <c r="X10" s="472"/>
      <c r="Y10" s="472"/>
      <c r="Z10" s="472"/>
      <c r="AA10" s="472"/>
      <c r="AB10" s="472"/>
      <c r="AC10" s="472"/>
      <c r="AD10" s="472"/>
      <c r="AE10" s="468"/>
      <c r="AF10" s="468"/>
      <c r="AG10" s="468"/>
      <c r="AH10" s="468"/>
      <c r="AI10" s="468"/>
      <c r="AJ10" s="468"/>
      <c r="AK10" s="468"/>
      <c r="AL10" s="468"/>
      <c r="AM10" s="468"/>
      <c r="AN10" s="468"/>
      <c r="AO10" s="468"/>
      <c r="AP10" s="468"/>
      <c r="AQ10" s="468"/>
      <c r="AR10" s="468"/>
      <c r="AS10" s="468"/>
      <c r="AT10" s="468"/>
      <c r="AU10" s="468"/>
      <c r="AV10" s="468"/>
      <c r="AW10" s="468"/>
      <c r="AX10" s="468"/>
      <c r="AY10" s="468"/>
      <c r="AZ10" s="468"/>
      <c r="BA10" s="468"/>
      <c r="BB10" s="468"/>
      <c r="BC10" s="468"/>
      <c r="BD10" s="468"/>
      <c r="BE10" s="468"/>
      <c r="BF10" s="468"/>
      <c r="BG10" s="1556"/>
      <c r="BH10" s="468"/>
      <c r="BI10" s="468"/>
      <c r="BJ10" s="468"/>
      <c r="BK10" s="468"/>
      <c r="BL10" s="468"/>
      <c r="BM10" s="468"/>
      <c r="BN10" s="468"/>
      <c r="BO10" s="468"/>
      <c r="BP10" s="468"/>
    </row>
    <row r="11" spans="1:68" ht="15.75" thickBot="1">
      <c r="A11" s="473"/>
      <c r="B11" s="473"/>
      <c r="C11" s="473"/>
      <c r="D11" s="1351"/>
      <c r="E11" s="1351"/>
      <c r="F11" s="473"/>
      <c r="G11" s="473"/>
      <c r="H11" s="473"/>
      <c r="I11" s="473"/>
      <c r="J11" s="473"/>
      <c r="K11" s="473"/>
      <c r="L11" s="473"/>
      <c r="M11" s="473"/>
      <c r="N11" s="473"/>
      <c r="O11" s="473"/>
      <c r="P11" s="473"/>
      <c r="Q11" s="470"/>
      <c r="R11" s="470"/>
      <c r="S11" s="472"/>
      <c r="T11" s="472"/>
      <c r="U11" s="472"/>
      <c r="V11" s="472"/>
      <c r="W11" s="472"/>
      <c r="X11" s="472"/>
      <c r="Y11" s="472"/>
      <c r="Z11" s="472"/>
      <c r="AA11" s="472"/>
      <c r="AB11" s="472"/>
      <c r="AC11" s="472"/>
      <c r="AD11" s="472"/>
      <c r="AE11" s="468"/>
      <c r="AF11" s="468"/>
      <c r="AG11" s="468"/>
      <c r="AH11" s="468"/>
      <c r="AI11" s="468"/>
      <c r="AJ11" s="468"/>
      <c r="AK11" s="468"/>
      <c r="AL11" s="468"/>
      <c r="AM11" s="468"/>
      <c r="AN11" s="468"/>
      <c r="AO11" s="468"/>
      <c r="AP11" s="468"/>
      <c r="AQ11" s="468"/>
      <c r="AR11" s="468"/>
      <c r="AS11" s="468"/>
      <c r="AT11" s="468"/>
      <c r="AU11" s="468"/>
      <c r="AV11" s="468"/>
      <c r="AW11" s="468"/>
      <c r="AX11" s="468"/>
      <c r="AY11" s="468"/>
      <c r="AZ11" s="468"/>
      <c r="BA11" s="468"/>
      <c r="BB11" s="468"/>
      <c r="BC11" s="468"/>
      <c r="BD11" s="468"/>
      <c r="BE11" s="468"/>
      <c r="BF11" s="468"/>
      <c r="BG11" s="1556"/>
      <c r="BH11" s="468"/>
      <c r="BI11" s="468"/>
      <c r="BJ11" s="468"/>
      <c r="BK11" s="468"/>
      <c r="BL11" s="468"/>
      <c r="BM11" s="468"/>
      <c r="BN11" s="468"/>
      <c r="BO11" s="468"/>
      <c r="BP11" s="468"/>
    </row>
    <row r="12" spans="1:68" ht="19.5" thickBot="1">
      <c r="A12" s="1138" t="s">
        <v>36</v>
      </c>
      <c r="B12" s="1136"/>
      <c r="C12" s="1136"/>
      <c r="D12" s="1353"/>
      <c r="E12" s="1353"/>
      <c r="F12" s="1136"/>
      <c r="G12" s="1136"/>
      <c r="H12" s="1136"/>
      <c r="I12" s="1136"/>
      <c r="J12" s="1136"/>
      <c r="K12" s="1136"/>
      <c r="L12" s="1136"/>
      <c r="M12" s="1136"/>
      <c r="N12" s="1136"/>
      <c r="O12" s="1136"/>
      <c r="P12" s="1137"/>
      <c r="Q12" s="470"/>
      <c r="R12" s="470"/>
      <c r="S12" s="470"/>
      <c r="T12" s="470"/>
      <c r="U12" s="470"/>
      <c r="V12" s="470"/>
      <c r="W12" s="470"/>
      <c r="X12" s="470"/>
      <c r="Y12" s="470"/>
      <c r="Z12" s="470"/>
      <c r="AA12" s="470"/>
      <c r="AB12" s="470"/>
      <c r="AC12" s="470"/>
      <c r="AD12" s="470"/>
      <c r="AE12" s="468"/>
      <c r="AF12" s="468"/>
      <c r="AG12" s="468"/>
      <c r="AH12" s="468"/>
      <c r="AI12" s="468"/>
      <c r="AJ12" s="468"/>
      <c r="AK12" s="468"/>
      <c r="AL12" s="468"/>
      <c r="AM12" s="468"/>
      <c r="AN12" s="468"/>
      <c r="AO12" s="468"/>
      <c r="AP12" s="468"/>
      <c r="AQ12" s="468"/>
      <c r="AR12" s="468"/>
      <c r="AS12" s="468"/>
      <c r="AT12" s="468"/>
      <c r="AU12" s="468"/>
      <c r="AV12" s="468"/>
      <c r="AW12" s="468"/>
      <c r="AX12" s="468"/>
      <c r="AY12" s="468"/>
      <c r="AZ12" s="468"/>
      <c r="BA12" s="468"/>
      <c r="BB12" s="468"/>
      <c r="BC12" s="468"/>
      <c r="BD12" s="468"/>
      <c r="BE12" s="468"/>
      <c r="BF12" s="468"/>
      <c r="BG12" s="1556"/>
      <c r="BH12" s="468"/>
      <c r="BI12" s="468"/>
      <c r="BJ12" s="468"/>
      <c r="BK12" s="468"/>
      <c r="BL12" s="468"/>
      <c r="BM12" s="468"/>
      <c r="BN12" s="468"/>
      <c r="BO12" s="468"/>
      <c r="BP12" s="468"/>
    </row>
    <row r="13" spans="1:68">
      <c r="A13" s="477"/>
      <c r="B13" s="468"/>
      <c r="C13" s="468"/>
      <c r="D13" s="655"/>
      <c r="E13" s="655"/>
      <c r="F13" s="468"/>
      <c r="G13" s="468"/>
      <c r="H13" s="468"/>
      <c r="I13" s="468"/>
      <c r="J13" s="468"/>
      <c r="K13" s="468"/>
      <c r="L13" s="468"/>
      <c r="M13" s="468"/>
      <c r="N13" s="468"/>
      <c r="O13" s="468"/>
      <c r="P13" s="468"/>
      <c r="Q13" s="470"/>
      <c r="R13" s="470"/>
      <c r="S13" s="470"/>
      <c r="T13" s="470"/>
      <c r="U13" s="470"/>
      <c r="V13" s="470"/>
      <c r="W13" s="470"/>
      <c r="X13" s="470"/>
      <c r="Y13" s="470"/>
      <c r="Z13" s="470"/>
      <c r="AA13" s="470"/>
      <c r="AB13" s="470"/>
      <c r="AC13" s="470"/>
      <c r="AD13" s="470"/>
      <c r="AE13" s="468"/>
      <c r="AF13" s="468"/>
      <c r="AG13" s="468"/>
      <c r="AH13" s="468"/>
      <c r="AI13" s="468"/>
      <c r="AJ13" s="468"/>
      <c r="AK13" s="468"/>
      <c r="AL13" s="468"/>
      <c r="AM13" s="468"/>
      <c r="AN13" s="468"/>
      <c r="AO13" s="468"/>
      <c r="AP13" s="468"/>
      <c r="AQ13" s="468"/>
      <c r="AR13" s="468"/>
      <c r="AS13" s="468"/>
      <c r="AT13" s="468"/>
      <c r="AU13" s="468"/>
      <c r="AV13" s="468"/>
      <c r="AW13" s="468"/>
      <c r="AX13" s="468"/>
      <c r="AY13" s="468"/>
      <c r="AZ13" s="468"/>
      <c r="BA13" s="468"/>
      <c r="BB13" s="468"/>
      <c r="BC13" s="468"/>
      <c r="BD13" s="468"/>
      <c r="BE13" s="468"/>
      <c r="BF13" s="468"/>
      <c r="BG13" s="1556"/>
      <c r="BH13" s="468"/>
      <c r="BI13" s="468"/>
      <c r="BJ13" s="468"/>
      <c r="BK13" s="468"/>
      <c r="BL13" s="468"/>
      <c r="BM13" s="468"/>
      <c r="BN13" s="468"/>
      <c r="BO13" s="468"/>
      <c r="BP13" s="468"/>
    </row>
    <row r="14" spans="1:68" ht="20.25" customHeight="1">
      <c r="A14" s="2413" t="s">
        <v>37</v>
      </c>
      <c r="B14" s="2413"/>
      <c r="C14" s="2413"/>
      <c r="D14" s="1354"/>
      <c r="E14" s="1537" t="s">
        <v>4176</v>
      </c>
      <c r="F14" s="468"/>
      <c r="G14" s="468"/>
      <c r="H14" s="468"/>
      <c r="I14" s="468"/>
      <c r="J14" s="468"/>
      <c r="K14" s="468"/>
      <c r="L14" s="468"/>
      <c r="M14" s="468"/>
      <c r="N14" s="468"/>
      <c r="O14" s="468"/>
      <c r="P14" s="468"/>
      <c r="Q14" s="470"/>
      <c r="R14" s="470"/>
      <c r="S14" s="470"/>
      <c r="T14" s="470"/>
      <c r="U14" s="470"/>
      <c r="V14" s="470"/>
      <c r="W14" s="470"/>
      <c r="X14" s="470"/>
      <c r="Y14" s="470"/>
      <c r="Z14" s="470"/>
      <c r="AA14" s="470"/>
      <c r="AB14" s="470"/>
      <c r="AC14" s="470"/>
      <c r="AD14" s="470"/>
      <c r="AE14" s="468"/>
      <c r="AF14" s="468"/>
      <c r="AG14" s="468"/>
      <c r="AH14" s="468"/>
      <c r="AI14" s="468"/>
      <c r="AJ14" s="468"/>
      <c r="AK14" s="468"/>
      <c r="AL14" s="468"/>
      <c r="AM14" s="468"/>
      <c r="AN14" s="468"/>
      <c r="AO14" s="468"/>
      <c r="AP14" s="468"/>
      <c r="AQ14" s="468"/>
      <c r="AR14" s="468"/>
      <c r="AS14" s="468"/>
      <c r="AT14" s="468"/>
      <c r="AU14" s="468"/>
      <c r="AV14" s="468"/>
      <c r="AW14" s="468"/>
      <c r="AX14" s="468"/>
      <c r="AY14" s="468"/>
      <c r="AZ14" s="468"/>
      <c r="BA14" s="468"/>
      <c r="BB14" s="468"/>
      <c r="BC14" s="468"/>
      <c r="BD14" s="468"/>
      <c r="BE14" s="468"/>
      <c r="BF14" s="468"/>
      <c r="BG14" s="1556"/>
      <c r="BH14" s="468"/>
      <c r="BI14" s="468"/>
      <c r="BJ14" s="468"/>
      <c r="BK14" s="468"/>
      <c r="BL14" s="468"/>
      <c r="BM14" s="468"/>
      <c r="BN14" s="468"/>
      <c r="BO14" s="468"/>
      <c r="BP14" s="468"/>
    </row>
    <row r="15" spans="1:68" ht="20.25" customHeight="1">
      <c r="A15" s="2413" t="s">
        <v>38</v>
      </c>
      <c r="B15" s="2413"/>
      <c r="C15" s="2413"/>
      <c r="D15" s="1354"/>
      <c r="E15" s="1537" t="s">
        <v>707</v>
      </c>
      <c r="F15" s="468"/>
      <c r="G15" s="468"/>
      <c r="H15" s="468"/>
      <c r="I15" s="468"/>
      <c r="J15" s="468"/>
      <c r="K15" s="468"/>
      <c r="L15" s="468"/>
      <c r="M15" s="468"/>
      <c r="N15" s="468"/>
      <c r="O15" s="468"/>
      <c r="P15" s="468"/>
      <c r="Q15" s="470"/>
      <c r="R15" s="470"/>
      <c r="S15" s="470"/>
      <c r="T15" s="470"/>
      <c r="U15" s="470"/>
      <c r="V15" s="470"/>
      <c r="W15" s="470"/>
      <c r="X15" s="470"/>
      <c r="Y15" s="470"/>
      <c r="Z15" s="470"/>
      <c r="AA15" s="470"/>
      <c r="AB15" s="470"/>
      <c r="AC15" s="470"/>
      <c r="AD15" s="470"/>
      <c r="AE15" s="468"/>
      <c r="AF15" s="468"/>
      <c r="AG15" s="468"/>
      <c r="AH15" s="468"/>
      <c r="AI15" s="468"/>
      <c r="AJ15" s="468"/>
      <c r="AK15" s="468"/>
      <c r="AL15" s="468"/>
      <c r="AM15" s="468"/>
      <c r="AN15" s="468"/>
      <c r="AO15" s="468"/>
      <c r="AP15" s="468"/>
      <c r="AQ15" s="468"/>
      <c r="AR15" s="468"/>
      <c r="AS15" s="468"/>
      <c r="AT15" s="468"/>
      <c r="AU15" s="468"/>
      <c r="AV15" s="468"/>
      <c r="AW15" s="468"/>
      <c r="AX15" s="468"/>
      <c r="AY15" s="468"/>
      <c r="AZ15" s="468"/>
      <c r="BA15" s="468"/>
      <c r="BB15" s="468"/>
      <c r="BC15" s="468"/>
      <c r="BD15" s="468"/>
      <c r="BE15" s="468"/>
      <c r="BF15" s="468"/>
      <c r="BG15" s="1556"/>
      <c r="BH15" s="468"/>
      <c r="BI15" s="468"/>
      <c r="BJ15" s="468"/>
      <c r="BK15" s="468"/>
      <c r="BL15" s="468"/>
      <c r="BM15" s="468"/>
      <c r="BN15" s="468"/>
      <c r="BO15" s="468"/>
      <c r="BP15" s="468"/>
    </row>
    <row r="16" spans="1:68" ht="20.25" customHeight="1">
      <c r="A16" s="2413" t="s">
        <v>39</v>
      </c>
      <c r="B16" s="2413"/>
      <c r="C16" s="2413"/>
      <c r="D16" s="1354"/>
      <c r="E16" s="1538" t="s">
        <v>4177</v>
      </c>
      <c r="F16" s="1056"/>
      <c r="G16" s="1056"/>
      <c r="H16" s="468"/>
      <c r="I16" s="468"/>
      <c r="J16" s="468"/>
      <c r="K16" s="468"/>
      <c r="L16" s="468"/>
      <c r="M16" s="468"/>
      <c r="N16" s="468"/>
      <c r="O16" s="468"/>
      <c r="P16" s="468"/>
      <c r="Q16" s="470"/>
      <c r="R16" s="470"/>
      <c r="S16" s="470"/>
      <c r="T16" s="470"/>
      <c r="U16" s="470"/>
      <c r="V16" s="470"/>
      <c r="W16" s="470"/>
      <c r="X16" s="470"/>
      <c r="Y16" s="470"/>
      <c r="Z16" s="470"/>
      <c r="AA16" s="470"/>
      <c r="AB16" s="470"/>
      <c r="AC16" s="470"/>
      <c r="AD16" s="470"/>
      <c r="AE16" s="468"/>
      <c r="AF16" s="468"/>
      <c r="AG16" s="468"/>
      <c r="AH16" s="468"/>
      <c r="AI16" s="468"/>
      <c r="AJ16" s="468"/>
      <c r="AK16" s="468"/>
      <c r="AL16" s="468"/>
      <c r="AM16" s="468"/>
      <c r="AN16" s="468"/>
      <c r="AO16" s="468"/>
      <c r="AP16" s="468"/>
      <c r="AQ16" s="468"/>
      <c r="AR16" s="468"/>
      <c r="AS16" s="468"/>
      <c r="AT16" s="468"/>
      <c r="AU16" s="468"/>
      <c r="AV16" s="468"/>
      <c r="AW16" s="468"/>
      <c r="AX16" s="468"/>
      <c r="AY16" s="468"/>
      <c r="AZ16" s="468"/>
      <c r="BA16" s="468"/>
      <c r="BB16" s="468"/>
      <c r="BC16" s="468"/>
      <c r="BD16" s="468"/>
      <c r="BE16" s="468"/>
      <c r="BF16" s="468"/>
      <c r="BG16" s="1556"/>
      <c r="BH16" s="468"/>
      <c r="BI16" s="468"/>
      <c r="BJ16" s="468"/>
      <c r="BK16" s="468"/>
      <c r="BL16" s="468"/>
      <c r="BM16" s="468"/>
      <c r="BN16" s="468"/>
      <c r="BO16" s="468"/>
      <c r="BP16" s="468"/>
    </row>
    <row r="17" spans="1:68" ht="20.25" customHeight="1" thickBot="1">
      <c r="A17" s="20" t="s">
        <v>40</v>
      </c>
      <c r="B17" s="20"/>
      <c r="C17" s="20"/>
      <c r="D17" s="100"/>
      <c r="E17" s="1539" t="s">
        <v>2470</v>
      </c>
      <c r="F17" s="468"/>
      <c r="G17" s="468"/>
      <c r="H17" s="349" t="s">
        <v>41</v>
      </c>
      <c r="I17" s="20"/>
      <c r="J17" s="20"/>
      <c r="K17" s="20"/>
      <c r="L17" s="468"/>
      <c r="M17" s="468"/>
      <c r="N17" s="468"/>
      <c r="O17" s="468"/>
      <c r="P17" s="468"/>
      <c r="Q17" s="470"/>
      <c r="R17" s="470"/>
      <c r="S17" s="470"/>
      <c r="T17" s="470"/>
      <c r="U17" s="470"/>
      <c r="V17" s="470"/>
      <c r="W17" s="470"/>
      <c r="X17" s="470"/>
      <c r="Y17" s="470"/>
      <c r="Z17" s="470"/>
      <c r="AA17" s="470"/>
      <c r="AB17" s="470"/>
      <c r="AC17" s="470"/>
      <c r="AD17" s="470"/>
      <c r="AE17" s="468"/>
      <c r="AF17" s="468"/>
      <c r="AG17" s="468"/>
      <c r="AH17" s="468"/>
      <c r="AI17" s="468"/>
      <c r="AJ17" s="468"/>
      <c r="AK17" s="468"/>
      <c r="AL17" s="468"/>
      <c r="AM17" s="468"/>
      <c r="AN17" s="468"/>
      <c r="AO17" s="468"/>
      <c r="AP17" s="468"/>
      <c r="AQ17" s="468"/>
      <c r="AR17" s="468"/>
      <c r="AS17" s="468"/>
      <c r="AT17" s="468"/>
      <c r="AU17" s="468"/>
      <c r="AV17" s="468"/>
      <c r="AW17" s="468"/>
      <c r="AX17" s="468"/>
      <c r="AY17" s="468"/>
      <c r="AZ17" s="468"/>
      <c r="BA17" s="468"/>
      <c r="BB17" s="468"/>
      <c r="BC17" s="468"/>
      <c r="BD17" s="468"/>
      <c r="BE17" s="468"/>
      <c r="BF17" s="468"/>
      <c r="BG17" s="1556"/>
      <c r="BH17" s="468"/>
      <c r="BI17" s="468"/>
      <c r="BJ17" s="468"/>
      <c r="BK17" s="468"/>
      <c r="BL17" s="468"/>
      <c r="BM17" s="468"/>
      <c r="BN17" s="468"/>
      <c r="BO17" s="468"/>
      <c r="BP17" s="468"/>
    </row>
    <row r="18" spans="1:68" ht="20.25" customHeight="1" thickBot="1">
      <c r="A18" s="1138" t="s">
        <v>42</v>
      </c>
      <c r="B18" s="1136"/>
      <c r="C18" s="1136"/>
      <c r="D18" s="1353"/>
      <c r="E18" s="1353"/>
      <c r="F18" s="1136"/>
      <c r="G18" s="1136"/>
      <c r="H18" s="1136"/>
      <c r="I18" s="1136"/>
      <c r="J18" s="1136"/>
      <c r="K18" s="1136"/>
      <c r="L18" s="1136"/>
      <c r="M18" s="1136"/>
      <c r="N18" s="1136"/>
      <c r="O18" s="1136"/>
      <c r="P18" s="1137"/>
      <c r="Q18" s="470"/>
      <c r="R18" s="470"/>
      <c r="S18" s="470"/>
      <c r="T18" s="470"/>
      <c r="U18" s="470"/>
      <c r="V18" s="470"/>
      <c r="W18" s="470"/>
      <c r="X18" s="470"/>
      <c r="Y18" s="470"/>
      <c r="Z18" s="470"/>
      <c r="AA18" s="470"/>
      <c r="AB18" s="470"/>
      <c r="AC18" s="470"/>
      <c r="AD18" s="470"/>
      <c r="AE18" s="468"/>
      <c r="AF18" s="468"/>
      <c r="AG18" s="468"/>
      <c r="AH18" s="468"/>
      <c r="AI18" s="468"/>
      <c r="AJ18" s="468"/>
      <c r="AK18" s="468"/>
      <c r="AL18" s="468"/>
      <c r="AM18" s="468"/>
      <c r="AN18" s="468"/>
      <c r="AO18" s="468"/>
      <c r="AP18" s="468"/>
      <c r="AQ18" s="468"/>
      <c r="AR18" s="468"/>
      <c r="AS18" s="468"/>
      <c r="AT18" s="468"/>
      <c r="AU18" s="468"/>
      <c r="AV18" s="468"/>
      <c r="AW18" s="468"/>
      <c r="AX18" s="468"/>
      <c r="AY18" s="468"/>
      <c r="AZ18" s="468"/>
      <c r="BA18" s="468"/>
      <c r="BB18" s="468"/>
      <c r="BC18" s="468"/>
      <c r="BD18" s="468"/>
      <c r="BE18" s="468"/>
      <c r="BF18" s="468"/>
      <c r="BG18" s="1556"/>
      <c r="BH18" s="468"/>
      <c r="BI18" s="468"/>
      <c r="BJ18" s="468"/>
      <c r="BK18" s="468"/>
      <c r="BL18" s="468"/>
      <c r="BM18" s="468"/>
      <c r="BN18" s="468"/>
      <c r="BO18" s="468"/>
      <c r="BP18" s="468"/>
    </row>
    <row r="19" spans="1:68" ht="20.25" customHeight="1">
      <c r="A19" s="468"/>
      <c r="B19" s="468"/>
      <c r="C19" s="468"/>
      <c r="D19" s="655"/>
      <c r="E19" s="1139" t="s">
        <v>43</v>
      </c>
      <c r="F19" s="1140" t="s">
        <v>44</v>
      </c>
      <c r="G19" s="1140" t="s">
        <v>45</v>
      </c>
      <c r="H19" s="1140" t="s">
        <v>46</v>
      </c>
      <c r="I19" s="1140" t="s">
        <v>47</v>
      </c>
      <c r="J19" s="1140" t="s">
        <v>48</v>
      </c>
      <c r="K19" s="1141" t="s">
        <v>49</v>
      </c>
      <c r="L19" s="1141" t="s">
        <v>50</v>
      </c>
      <c r="M19" s="1141" t="s">
        <v>51</v>
      </c>
      <c r="N19" s="1141" t="s">
        <v>52</v>
      </c>
      <c r="O19" s="468"/>
      <c r="P19" s="468"/>
      <c r="Q19" s="470"/>
      <c r="R19" s="470"/>
      <c r="S19" s="470"/>
      <c r="T19" s="470"/>
      <c r="U19" s="470"/>
      <c r="V19" s="470"/>
      <c r="W19" s="470"/>
      <c r="X19" s="470"/>
      <c r="Y19" s="470"/>
      <c r="Z19" s="470"/>
      <c r="AA19" s="470"/>
      <c r="AB19" s="470"/>
      <c r="AC19" s="470"/>
      <c r="AD19" s="470"/>
      <c r="AE19" s="468"/>
      <c r="AF19" s="468"/>
      <c r="AG19" s="468"/>
      <c r="AH19" s="468"/>
      <c r="AI19" s="468"/>
      <c r="AJ19" s="468"/>
      <c r="AK19" s="468"/>
      <c r="AL19" s="468"/>
      <c r="AM19" s="468"/>
      <c r="AN19" s="468"/>
      <c r="AO19" s="468"/>
      <c r="AP19" s="468"/>
      <c r="AQ19" s="468"/>
      <c r="AR19" s="468"/>
      <c r="AS19" s="468"/>
      <c r="AT19" s="468"/>
      <c r="AU19" s="468"/>
      <c r="AV19" s="468"/>
      <c r="AW19" s="468"/>
      <c r="AX19" s="468"/>
      <c r="AY19" s="468"/>
      <c r="AZ19" s="468"/>
      <c r="BA19" s="468"/>
      <c r="BB19" s="468"/>
      <c r="BC19" s="468"/>
      <c r="BD19" s="468"/>
      <c r="BE19" s="468"/>
      <c r="BF19" s="468"/>
      <c r="BG19" s="1556"/>
      <c r="BH19" s="468"/>
      <c r="BI19" s="468"/>
      <c r="BJ19" s="468"/>
      <c r="BK19" s="468"/>
      <c r="BL19" s="468"/>
      <c r="BM19" s="468"/>
      <c r="BN19" s="468"/>
      <c r="BO19" s="468"/>
      <c r="BP19" s="468"/>
    </row>
    <row r="20" spans="1:68" ht="45.75" customHeight="1">
      <c r="A20" s="2483" t="s">
        <v>53</v>
      </c>
      <c r="B20" s="2484"/>
      <c r="C20" s="2484"/>
      <c r="D20" s="2484"/>
      <c r="E20" s="1540"/>
      <c r="F20" s="1541"/>
      <c r="G20" s="1541"/>
      <c r="H20" s="1541"/>
      <c r="I20" s="1541"/>
      <c r="J20" s="1541"/>
      <c r="K20" s="1542"/>
      <c r="L20" s="1542"/>
      <c r="M20" s="1543"/>
      <c r="N20" s="1542"/>
      <c r="O20" s="468"/>
      <c r="P20" s="468"/>
      <c r="Q20" s="470"/>
      <c r="R20" s="470"/>
      <c r="S20" s="470"/>
      <c r="T20" s="470"/>
      <c r="U20" s="470"/>
      <c r="V20" s="470"/>
      <c r="W20" s="470"/>
      <c r="X20" s="470"/>
      <c r="Y20" s="470"/>
      <c r="Z20" s="470"/>
      <c r="AA20" s="470"/>
      <c r="AB20" s="470"/>
      <c r="AC20" s="470"/>
      <c r="AD20" s="470"/>
      <c r="AE20" s="468"/>
      <c r="AF20" s="468"/>
      <c r="AG20" s="468"/>
      <c r="AH20" s="468"/>
      <c r="AI20" s="468"/>
      <c r="AJ20" s="468"/>
      <c r="AK20" s="468"/>
      <c r="AL20" s="468"/>
      <c r="AM20" s="468"/>
      <c r="AN20" s="468"/>
      <c r="AO20" s="468"/>
      <c r="AP20" s="468"/>
      <c r="AQ20" s="468"/>
      <c r="AR20" s="468"/>
      <c r="AS20" s="468"/>
      <c r="AT20" s="468"/>
      <c r="AU20" s="468"/>
      <c r="AV20" s="468"/>
      <c r="AW20" s="468"/>
      <c r="AX20" s="468"/>
      <c r="AY20" s="468"/>
      <c r="AZ20" s="468"/>
      <c r="BA20" s="468"/>
      <c r="BB20" s="468"/>
      <c r="BC20" s="468"/>
      <c r="BD20" s="468"/>
      <c r="BE20" s="468"/>
      <c r="BF20" s="468"/>
      <c r="BG20" s="1556"/>
      <c r="BH20" s="468"/>
      <c r="BI20" s="468"/>
      <c r="BJ20" s="468"/>
      <c r="BK20" s="468"/>
      <c r="BL20" s="468"/>
      <c r="BM20" s="468"/>
      <c r="BN20" s="468"/>
      <c r="BO20" s="468"/>
      <c r="BP20" s="468"/>
    </row>
    <row r="21" spans="1:68" ht="45.75" customHeight="1" thickBot="1">
      <c r="A21" s="2483" t="s">
        <v>54</v>
      </c>
      <c r="B21" s="2484"/>
      <c r="C21" s="2484"/>
      <c r="D21" s="2484"/>
      <c r="E21" s="1540"/>
      <c r="F21" s="1541"/>
      <c r="G21" s="1541"/>
      <c r="H21" s="1541"/>
      <c r="I21" s="1541"/>
      <c r="J21" s="1541"/>
      <c r="K21" s="1542"/>
      <c r="L21" s="1542"/>
      <c r="M21" s="1543"/>
      <c r="N21" s="1542"/>
      <c r="O21" s="468"/>
      <c r="P21" s="468"/>
      <c r="Q21" s="470"/>
      <c r="R21" s="470"/>
      <c r="S21" s="470"/>
      <c r="T21" s="470"/>
      <c r="U21" s="470"/>
      <c r="V21" s="470"/>
      <c r="W21" s="470"/>
      <c r="X21" s="470"/>
      <c r="Y21" s="470"/>
      <c r="Z21" s="470"/>
      <c r="AA21" s="470"/>
      <c r="AB21" s="470"/>
      <c r="AC21" s="470"/>
      <c r="AD21" s="470"/>
      <c r="AE21" s="468"/>
      <c r="AF21" s="468"/>
      <c r="AG21" s="468"/>
      <c r="AH21" s="468"/>
      <c r="AI21" s="468"/>
      <c r="AJ21" s="468"/>
      <c r="AK21" s="468"/>
      <c r="AL21" s="468"/>
      <c r="AM21" s="468"/>
      <c r="AN21" s="468"/>
      <c r="AO21" s="468"/>
      <c r="AP21" s="468"/>
      <c r="AQ21" s="468"/>
      <c r="AR21" s="468"/>
      <c r="AS21" s="468"/>
      <c r="AT21" s="468"/>
      <c r="AU21" s="468"/>
      <c r="AV21" s="468"/>
      <c r="AW21" s="468"/>
      <c r="AX21" s="468"/>
      <c r="AY21" s="468"/>
      <c r="AZ21" s="468"/>
      <c r="BA21" s="468"/>
      <c r="BB21" s="468"/>
      <c r="BC21" s="468"/>
      <c r="BD21" s="468"/>
      <c r="BE21" s="468"/>
      <c r="BF21" s="468"/>
      <c r="BG21" s="1556"/>
      <c r="BH21" s="468"/>
      <c r="BI21" s="468"/>
      <c r="BJ21" s="468"/>
      <c r="BK21" s="468"/>
      <c r="BL21" s="468"/>
      <c r="BM21" s="468"/>
      <c r="BN21" s="468"/>
      <c r="BO21" s="468"/>
      <c r="BP21" s="468"/>
    </row>
    <row r="22" spans="1:68" ht="69.75" customHeight="1" thickBot="1">
      <c r="A22" s="2487" t="s">
        <v>55</v>
      </c>
      <c r="B22" s="2488"/>
      <c r="C22" s="2488"/>
      <c r="D22" s="2488"/>
      <c r="E22" s="2488"/>
      <c r="F22" s="2488"/>
      <c r="G22" s="2488"/>
      <c r="H22" s="2488"/>
      <c r="I22" s="2488"/>
      <c r="J22" s="2488"/>
      <c r="K22" s="2488"/>
      <c r="L22" s="2488"/>
      <c r="M22" s="2488"/>
      <c r="N22" s="2489"/>
      <c r="O22" s="1302"/>
      <c r="P22" s="1302"/>
      <c r="Q22" s="1302"/>
      <c r="R22" s="1303"/>
      <c r="S22" s="470"/>
      <c r="T22" s="470"/>
      <c r="U22" s="470"/>
      <c r="V22" s="470"/>
      <c r="W22" s="470"/>
      <c r="X22" s="470"/>
      <c r="Y22" s="470"/>
      <c r="Z22" s="470"/>
      <c r="AA22" s="470"/>
      <c r="AB22" s="470"/>
      <c r="AC22" s="470"/>
      <c r="AD22" s="470"/>
      <c r="AE22" s="468"/>
      <c r="AF22" s="468"/>
      <c r="AG22" s="468"/>
      <c r="AH22" s="468"/>
      <c r="AI22" s="468"/>
      <c r="AJ22" s="468"/>
      <c r="AK22" s="468"/>
      <c r="AL22" s="468"/>
      <c r="AM22" s="468"/>
      <c r="AN22" s="468"/>
      <c r="AO22" s="468"/>
      <c r="AP22" s="468"/>
      <c r="AQ22" s="468"/>
      <c r="AR22" s="468"/>
      <c r="AS22" s="468"/>
      <c r="AT22" s="468"/>
      <c r="AU22" s="468"/>
      <c r="AV22" s="468"/>
      <c r="AW22" s="468"/>
      <c r="AX22" s="468"/>
      <c r="AY22" s="468"/>
      <c r="AZ22" s="468"/>
      <c r="BA22" s="468"/>
      <c r="BB22" s="468"/>
      <c r="BC22" s="468"/>
      <c r="BD22" s="468"/>
      <c r="BE22" s="468"/>
      <c r="BF22" s="468"/>
      <c r="BG22" s="1556"/>
      <c r="BH22" s="468"/>
      <c r="BI22" s="468"/>
      <c r="BJ22" s="468"/>
      <c r="BK22" s="468"/>
      <c r="BL22" s="468"/>
      <c r="BM22" s="468"/>
      <c r="BN22" s="468"/>
      <c r="BO22" s="468"/>
      <c r="BP22" s="468"/>
    </row>
    <row r="23" spans="1:68" ht="69.75" customHeight="1">
      <c r="A23" s="1339"/>
      <c r="B23" s="1339"/>
      <c r="C23" s="1339"/>
      <c r="D23" s="1355"/>
      <c r="E23" s="1356" t="s">
        <v>56</v>
      </c>
      <c r="F23" s="1329" t="s">
        <v>57</v>
      </c>
      <c r="G23" s="1330" t="s">
        <v>58</v>
      </c>
      <c r="H23" s="1331" t="s">
        <v>59</v>
      </c>
      <c r="I23" s="2512" t="s">
        <v>60</v>
      </c>
      <c r="J23" s="2513"/>
      <c r="K23" s="2513"/>
      <c r="L23" s="2532" t="s">
        <v>61</v>
      </c>
      <c r="M23" s="2513"/>
      <c r="N23" s="2533"/>
      <c r="O23" s="407"/>
      <c r="P23" s="407"/>
      <c r="Q23" s="407"/>
      <c r="R23" s="1301"/>
      <c r="S23" s="470"/>
      <c r="T23" s="470"/>
      <c r="U23" s="470"/>
      <c r="V23" s="470"/>
      <c r="W23" s="470"/>
      <c r="X23" s="470"/>
      <c r="Y23" s="470"/>
      <c r="Z23" s="470"/>
      <c r="AA23" s="470"/>
      <c r="AB23" s="470"/>
      <c r="AC23" s="470"/>
      <c r="AD23" s="470"/>
      <c r="AE23" s="468"/>
      <c r="AF23" s="468"/>
      <c r="AG23" s="468"/>
      <c r="AH23" s="468"/>
      <c r="AI23" s="468"/>
      <c r="AJ23" s="468"/>
      <c r="AK23" s="468"/>
      <c r="AL23" s="468"/>
      <c r="AM23" s="468"/>
      <c r="AN23" s="468"/>
      <c r="AO23" s="468"/>
      <c r="AP23" s="468"/>
      <c r="AQ23" s="468"/>
      <c r="AR23" s="468"/>
      <c r="AS23" s="468"/>
      <c r="AT23" s="468"/>
      <c r="AU23" s="468"/>
      <c r="AV23" s="468"/>
      <c r="AW23" s="468"/>
      <c r="AX23" s="468"/>
      <c r="AY23" s="468"/>
      <c r="AZ23" s="468"/>
      <c r="BA23" s="468"/>
      <c r="BB23" s="468"/>
      <c r="BC23" s="468"/>
      <c r="BD23" s="468"/>
      <c r="BE23" s="468"/>
      <c r="BF23" s="468"/>
      <c r="BG23" s="1556"/>
      <c r="BH23" s="468"/>
      <c r="BI23" s="468"/>
      <c r="BJ23" s="468"/>
      <c r="BK23" s="468"/>
      <c r="BL23" s="468"/>
      <c r="BM23" s="468"/>
      <c r="BN23" s="468"/>
      <c r="BO23" s="468"/>
      <c r="BP23" s="468"/>
    </row>
    <row r="24" spans="1:68" ht="30.6" customHeight="1" thickBot="1">
      <c r="A24" s="1057" t="s">
        <v>62</v>
      </c>
      <c r="B24" s="2413"/>
      <c r="C24" s="2413"/>
      <c r="D24" s="1354"/>
      <c r="E24" s="1544" t="s">
        <v>2471</v>
      </c>
      <c r="F24" s="1545"/>
      <c r="G24" s="1545" t="s">
        <v>672</v>
      </c>
      <c r="H24" s="1546" t="s">
        <v>678</v>
      </c>
      <c r="I24" s="1547"/>
      <c r="J24" s="1304"/>
      <c r="K24" s="1305"/>
      <c r="L24" s="1407" t="str">
        <f>IF(I24="",IF(E24="","",IF(H24="Trust",E24,E24&amp;",  a "&amp;G24&amp;" "&amp;H24)),I24)</f>
        <v>PV1 Properties, LLC ,  a Delaware LLC</v>
      </c>
      <c r="M24" s="1210"/>
      <c r="N24" s="1211"/>
      <c r="O24" s="468"/>
      <c r="P24" s="468"/>
      <c r="Q24" s="468"/>
      <c r="R24" s="468"/>
      <c r="S24" s="470"/>
      <c r="T24" s="470"/>
      <c r="U24" s="470"/>
      <c r="V24" s="470"/>
      <c r="W24" s="470"/>
      <c r="X24" s="470"/>
      <c r="Y24" s="470"/>
      <c r="Z24" s="470"/>
      <c r="AA24" s="470"/>
      <c r="AB24" s="470"/>
      <c r="AC24" s="470"/>
      <c r="AD24" s="470"/>
      <c r="AE24" s="468"/>
      <c r="AF24" s="468"/>
      <c r="AG24" s="468"/>
      <c r="AH24" s="468"/>
      <c r="AI24" s="468"/>
      <c r="AJ24" s="468"/>
      <c r="AK24" s="468"/>
      <c r="AL24" s="468"/>
      <c r="AM24" s="468"/>
      <c r="AN24" s="468"/>
      <c r="AO24" s="468"/>
      <c r="AP24" s="468"/>
      <c r="AQ24" s="468"/>
      <c r="AR24" s="468"/>
      <c r="AS24" s="468"/>
      <c r="AT24" s="468"/>
      <c r="AU24" s="468"/>
      <c r="AV24" s="468"/>
      <c r="AW24" s="468"/>
      <c r="AX24" s="468"/>
      <c r="AY24" s="468"/>
      <c r="AZ24" s="468"/>
      <c r="BA24" s="468"/>
      <c r="BB24" s="468"/>
      <c r="BC24" s="468"/>
      <c r="BD24" s="468"/>
      <c r="BE24" s="468"/>
      <c r="BF24" s="468"/>
      <c r="BG24" s="1556"/>
      <c r="BH24" s="468"/>
      <c r="BI24" s="468"/>
      <c r="BJ24" s="468"/>
      <c r="BK24" s="468"/>
      <c r="BL24" s="468"/>
      <c r="BM24" s="468"/>
      <c r="BN24" s="468"/>
      <c r="BO24" s="468"/>
      <c r="BP24" s="468"/>
    </row>
    <row r="25" spans="1:68" ht="30.6" customHeight="1" thickBot="1">
      <c r="A25" s="1058" t="s">
        <v>63</v>
      </c>
      <c r="B25" s="2413"/>
      <c r="C25" s="2413"/>
      <c r="D25" s="1354"/>
      <c r="E25" s="1544" t="s">
        <v>2472</v>
      </c>
      <c r="F25" s="1545"/>
      <c r="G25" s="1545" t="s">
        <v>672</v>
      </c>
      <c r="H25" s="1546" t="s">
        <v>678</v>
      </c>
      <c r="I25" s="1548"/>
      <c r="J25" s="1306"/>
      <c r="K25" s="1307"/>
      <c r="L25" s="1407" t="str">
        <f t="shared" ref="L25:L88" si="0">IF(I25="",IF(E25="","",IF(H25="Trust",E25,E25&amp;",  a "&amp;G25&amp;" "&amp;H25)),I25)</f>
        <v>SWRCM FG I, LLC ,  a Delaware LLC</v>
      </c>
      <c r="M25" s="1212"/>
      <c r="N25" s="1213"/>
      <c r="O25" s="468"/>
      <c r="P25" s="468"/>
      <c r="Q25" s="468"/>
      <c r="R25" s="468"/>
      <c r="S25" s="470"/>
      <c r="T25" s="470"/>
      <c r="U25" s="470"/>
      <c r="V25" s="470"/>
      <c r="W25" s="470"/>
      <c r="X25" s="470"/>
      <c r="Y25" s="470"/>
      <c r="Z25" s="470"/>
      <c r="AA25" s="470"/>
      <c r="AB25" s="470"/>
      <c r="AC25" s="470"/>
      <c r="AD25" s="470"/>
      <c r="AE25" s="468"/>
      <c r="AF25" s="468"/>
      <c r="AG25" s="468"/>
      <c r="AH25" s="468"/>
      <c r="AI25" s="468"/>
      <c r="AJ25" s="468"/>
      <c r="AK25" s="468"/>
      <c r="AL25" s="468"/>
      <c r="AM25" s="468"/>
      <c r="AN25" s="468"/>
      <c r="AO25" s="468"/>
      <c r="AP25" s="468"/>
      <c r="AQ25" s="468"/>
      <c r="AR25" s="468"/>
      <c r="AS25" s="468"/>
      <c r="AT25" s="468"/>
      <c r="AU25" s="468"/>
      <c r="AV25" s="468"/>
      <c r="AW25" s="468"/>
      <c r="AX25" s="468"/>
      <c r="AY25" s="468"/>
      <c r="AZ25" s="468"/>
      <c r="BA25" s="468"/>
      <c r="BB25" s="468"/>
      <c r="BC25" s="468"/>
      <c r="BD25" s="468"/>
      <c r="BE25" s="468"/>
      <c r="BF25" s="468"/>
      <c r="BG25" s="1556"/>
      <c r="BH25" s="468"/>
      <c r="BI25" s="468"/>
      <c r="BJ25" s="468"/>
      <c r="BK25" s="468"/>
      <c r="BL25" s="468"/>
      <c r="BM25" s="468"/>
      <c r="BN25" s="468"/>
      <c r="BO25" s="468"/>
      <c r="BP25" s="468"/>
    </row>
    <row r="26" spans="1:68" ht="30.6" customHeight="1" thickBot="1">
      <c r="A26" s="1058" t="s">
        <v>64</v>
      </c>
      <c r="B26" s="2413"/>
      <c r="C26" s="2413"/>
      <c r="D26" s="1354"/>
      <c r="E26" s="1544" t="s">
        <v>2473</v>
      </c>
      <c r="F26" s="1545"/>
      <c r="G26" s="1545" t="s">
        <v>672</v>
      </c>
      <c r="H26" s="1546" t="s">
        <v>678</v>
      </c>
      <c r="I26" s="1548"/>
      <c r="J26" s="1306"/>
      <c r="K26" s="1307"/>
      <c r="L26" s="1407" t="str">
        <f t="shared" si="0"/>
        <v>SWRCM FG II, LLC ,  a Delaware LLC</v>
      </c>
      <c r="M26" s="1212"/>
      <c r="N26" s="1213"/>
      <c r="O26" s="468"/>
      <c r="P26" s="468"/>
      <c r="Q26" s="468"/>
      <c r="R26" s="468"/>
      <c r="S26" s="470"/>
      <c r="T26" s="470"/>
      <c r="U26" s="470"/>
      <c r="V26" s="470"/>
      <c r="W26" s="470"/>
      <c r="X26" s="470"/>
      <c r="Y26" s="470"/>
      <c r="Z26" s="470"/>
      <c r="AA26" s="470"/>
      <c r="AB26" s="470"/>
      <c r="AC26" s="470"/>
      <c r="AD26" s="470"/>
      <c r="AE26" s="468"/>
      <c r="AF26" s="468"/>
      <c r="AG26" s="468"/>
      <c r="AH26" s="468"/>
      <c r="AI26" s="468"/>
      <c r="AJ26" s="468"/>
      <c r="AK26" s="468"/>
      <c r="AL26" s="468"/>
      <c r="AM26" s="468"/>
      <c r="AN26" s="468"/>
      <c r="AO26" s="468"/>
      <c r="AP26" s="468"/>
      <c r="AQ26" s="468"/>
      <c r="AR26" s="468"/>
      <c r="AS26" s="468"/>
      <c r="AT26" s="468"/>
      <c r="AU26" s="468"/>
      <c r="AV26" s="468"/>
      <c r="AW26" s="468"/>
      <c r="AX26" s="468"/>
      <c r="AY26" s="468"/>
      <c r="AZ26" s="468"/>
      <c r="BA26" s="468"/>
      <c r="BB26" s="468"/>
      <c r="BC26" s="468"/>
      <c r="BD26" s="468"/>
      <c r="BE26" s="468"/>
      <c r="BF26" s="468"/>
      <c r="BG26" s="1556"/>
      <c r="BH26" s="468"/>
      <c r="BI26" s="468"/>
      <c r="BJ26" s="468"/>
      <c r="BK26" s="468"/>
      <c r="BL26" s="468"/>
      <c r="BM26" s="468"/>
      <c r="BN26" s="468"/>
      <c r="BO26" s="468"/>
      <c r="BP26" s="468"/>
    </row>
    <row r="27" spans="1:68" ht="30.6" customHeight="1" thickBot="1">
      <c r="A27" s="1058" t="s">
        <v>65</v>
      </c>
      <c r="B27" s="2413"/>
      <c r="C27" s="2413"/>
      <c r="D27" s="1354"/>
      <c r="E27" s="1544"/>
      <c r="F27" s="1545"/>
      <c r="G27" s="1545"/>
      <c r="H27" s="1546"/>
      <c r="I27" s="1548"/>
      <c r="J27" s="1306"/>
      <c r="K27" s="1307"/>
      <c r="L27" s="1407" t="str">
        <f t="shared" si="0"/>
        <v/>
      </c>
      <c r="M27" s="1212"/>
      <c r="N27" s="1213"/>
      <c r="O27" s="468"/>
      <c r="P27" s="468"/>
      <c r="Q27" s="468"/>
      <c r="R27" s="468"/>
      <c r="S27" s="470"/>
      <c r="T27" s="470"/>
      <c r="U27" s="470"/>
      <c r="V27" s="470"/>
      <c r="W27" s="470"/>
      <c r="X27" s="470"/>
      <c r="Y27" s="470"/>
      <c r="Z27" s="470"/>
      <c r="AA27" s="470"/>
      <c r="AB27" s="470"/>
      <c r="AC27" s="470"/>
      <c r="AD27" s="470"/>
      <c r="AE27" s="468"/>
      <c r="AF27" s="468"/>
      <c r="AG27" s="468"/>
      <c r="AH27" s="468"/>
      <c r="AI27" s="468"/>
      <c r="AJ27" s="468"/>
      <c r="AK27" s="468"/>
      <c r="AL27" s="468"/>
      <c r="AM27" s="468"/>
      <c r="AN27" s="468"/>
      <c r="AO27" s="468"/>
      <c r="AP27" s="468"/>
      <c r="AQ27" s="468"/>
      <c r="AR27" s="468"/>
      <c r="AS27" s="468"/>
      <c r="AT27" s="468"/>
      <c r="AU27" s="468"/>
      <c r="AV27" s="468"/>
      <c r="AW27" s="468"/>
      <c r="AX27" s="468"/>
      <c r="AY27" s="468"/>
      <c r="AZ27" s="468"/>
      <c r="BA27" s="468"/>
      <c r="BB27" s="468"/>
      <c r="BC27" s="468"/>
      <c r="BD27" s="468"/>
      <c r="BE27" s="468"/>
      <c r="BF27" s="468"/>
      <c r="BG27" s="1556"/>
      <c r="BH27" s="468"/>
      <c r="BI27" s="468"/>
      <c r="BJ27" s="468"/>
      <c r="BK27" s="468"/>
      <c r="BL27" s="468"/>
      <c r="BM27" s="468"/>
      <c r="BN27" s="468"/>
      <c r="BO27" s="468"/>
      <c r="BP27" s="468"/>
    </row>
    <row r="28" spans="1:68" ht="30.6" customHeight="1" thickBot="1">
      <c r="A28" s="1058" t="s">
        <v>66</v>
      </c>
      <c r="B28" s="2413"/>
      <c r="C28" s="2413"/>
      <c r="D28" s="1354"/>
      <c r="E28" s="1544"/>
      <c r="F28" s="1545"/>
      <c r="G28" s="1545"/>
      <c r="H28" s="1546"/>
      <c r="I28" s="1548"/>
      <c r="J28" s="1306"/>
      <c r="K28" s="1307"/>
      <c r="L28" s="1407" t="str">
        <f t="shared" si="0"/>
        <v/>
      </c>
      <c r="M28" s="1212"/>
      <c r="N28" s="1213"/>
      <c r="O28" s="468"/>
      <c r="P28" s="468"/>
      <c r="Q28" s="468"/>
      <c r="R28" s="468"/>
      <c r="S28" s="470"/>
      <c r="T28" s="470"/>
      <c r="U28" s="470"/>
      <c r="V28" s="470"/>
      <c r="W28" s="470"/>
      <c r="X28" s="470"/>
      <c r="Y28" s="470"/>
      <c r="Z28" s="470"/>
      <c r="AA28" s="470"/>
      <c r="AB28" s="470"/>
      <c r="AC28" s="470"/>
      <c r="AD28" s="470"/>
      <c r="AE28" s="468"/>
      <c r="AF28" s="468"/>
      <c r="AG28" s="468"/>
      <c r="AH28" s="468"/>
      <c r="AI28" s="468"/>
      <c r="AJ28" s="468"/>
      <c r="AK28" s="468"/>
      <c r="AL28" s="468"/>
      <c r="AM28" s="468"/>
      <c r="AN28" s="468"/>
      <c r="AO28" s="468"/>
      <c r="AP28" s="468"/>
      <c r="AQ28" s="468"/>
      <c r="AR28" s="468"/>
      <c r="AS28" s="468"/>
      <c r="AT28" s="468"/>
      <c r="AU28" s="468"/>
      <c r="AV28" s="468"/>
      <c r="AW28" s="468"/>
      <c r="AX28" s="468"/>
      <c r="AY28" s="468"/>
      <c r="AZ28" s="468"/>
      <c r="BA28" s="468"/>
      <c r="BB28" s="468"/>
      <c r="BC28" s="468"/>
      <c r="BD28" s="468"/>
      <c r="BE28" s="468"/>
      <c r="BF28" s="468"/>
      <c r="BG28" s="1556"/>
      <c r="BH28" s="468"/>
      <c r="BI28" s="468"/>
      <c r="BJ28" s="468"/>
      <c r="BK28" s="468"/>
      <c r="BL28" s="468"/>
      <c r="BM28" s="468"/>
      <c r="BN28" s="468"/>
      <c r="BO28" s="468"/>
      <c r="BP28" s="468"/>
    </row>
    <row r="29" spans="1:68" ht="30.6" hidden="1" customHeight="1" outlineLevel="1" thickBot="1">
      <c r="A29" s="1058" t="s">
        <v>67</v>
      </c>
      <c r="B29" s="2413"/>
      <c r="C29" s="2413"/>
      <c r="D29" s="1354"/>
      <c r="E29" s="1544"/>
      <c r="F29" s="1545"/>
      <c r="G29" s="1545"/>
      <c r="H29" s="1546"/>
      <c r="I29" s="1548"/>
      <c r="J29" s="1306"/>
      <c r="K29" s="1307"/>
      <c r="L29" s="1407" t="str">
        <f t="shared" si="0"/>
        <v/>
      </c>
      <c r="M29" s="1212"/>
      <c r="N29" s="1213"/>
      <c r="O29" s="468"/>
      <c r="P29" s="468"/>
      <c r="Q29" s="468"/>
      <c r="R29" s="468"/>
      <c r="S29" s="470"/>
      <c r="T29" s="470"/>
      <c r="U29" s="470"/>
      <c r="V29" s="470"/>
      <c r="W29" s="470"/>
      <c r="X29" s="470"/>
      <c r="Y29" s="470"/>
      <c r="Z29" s="470"/>
      <c r="AA29" s="470"/>
      <c r="AB29" s="470"/>
      <c r="AC29" s="470"/>
      <c r="AD29" s="470"/>
      <c r="AE29" s="468"/>
      <c r="AF29" s="468"/>
      <c r="AG29" s="468"/>
      <c r="AH29" s="468"/>
      <c r="AI29" s="468"/>
      <c r="AJ29" s="468"/>
      <c r="AK29" s="468"/>
      <c r="AL29" s="468"/>
      <c r="AM29" s="468"/>
      <c r="AN29" s="468"/>
      <c r="AO29" s="468"/>
      <c r="AP29" s="468"/>
      <c r="AQ29" s="468"/>
      <c r="AR29" s="468"/>
      <c r="AS29" s="468"/>
      <c r="AT29" s="468"/>
      <c r="AU29" s="468"/>
      <c r="AV29" s="468"/>
      <c r="AW29" s="468"/>
      <c r="AX29" s="468"/>
      <c r="AY29" s="468"/>
      <c r="AZ29" s="468"/>
      <c r="BA29" s="468"/>
      <c r="BB29" s="468"/>
      <c r="BC29" s="468"/>
      <c r="BD29" s="468"/>
      <c r="BE29" s="468"/>
      <c r="BF29" s="468"/>
      <c r="BG29" s="1556"/>
      <c r="BH29" s="468"/>
      <c r="BI29" s="468"/>
      <c r="BJ29" s="468"/>
      <c r="BK29" s="468"/>
      <c r="BL29" s="468"/>
      <c r="BM29" s="468"/>
      <c r="BN29" s="468"/>
      <c r="BO29" s="468"/>
      <c r="BP29" s="468"/>
    </row>
    <row r="30" spans="1:68" ht="30.6" hidden="1" customHeight="1" outlineLevel="1" thickBot="1">
      <c r="A30" s="1058" t="s">
        <v>68</v>
      </c>
      <c r="B30" s="2413"/>
      <c r="C30" s="2413"/>
      <c r="D30" s="1354"/>
      <c r="E30" s="1544"/>
      <c r="F30" s="1545"/>
      <c r="G30" s="1545"/>
      <c r="H30" s="1546"/>
      <c r="I30" s="1548"/>
      <c r="J30" s="1306"/>
      <c r="K30" s="1307"/>
      <c r="L30" s="1407" t="str">
        <f t="shared" si="0"/>
        <v/>
      </c>
      <c r="M30" s="1212"/>
      <c r="N30" s="1213"/>
      <c r="O30" s="468"/>
      <c r="P30" s="468"/>
      <c r="Q30" s="468"/>
      <c r="R30" s="468"/>
      <c r="S30" s="470"/>
      <c r="T30" s="470"/>
      <c r="U30" s="470"/>
      <c r="V30" s="470"/>
      <c r="W30" s="470"/>
      <c r="X30" s="470"/>
      <c r="Y30" s="470"/>
      <c r="Z30" s="470"/>
      <c r="AA30" s="470"/>
      <c r="AB30" s="470"/>
      <c r="AC30" s="470"/>
      <c r="AD30" s="470"/>
      <c r="AE30" s="468"/>
      <c r="AF30" s="468"/>
      <c r="AG30" s="468"/>
      <c r="AH30" s="468"/>
      <c r="AI30" s="468"/>
      <c r="AJ30" s="468"/>
      <c r="AK30" s="468"/>
      <c r="AL30" s="468"/>
      <c r="AM30" s="468"/>
      <c r="AN30" s="468"/>
      <c r="AO30" s="468"/>
      <c r="AP30" s="468"/>
      <c r="AQ30" s="468"/>
      <c r="AR30" s="468"/>
      <c r="AS30" s="468"/>
      <c r="AT30" s="468"/>
      <c r="AU30" s="468"/>
      <c r="AV30" s="468"/>
      <c r="AW30" s="468"/>
      <c r="AX30" s="468"/>
      <c r="AY30" s="468"/>
      <c r="AZ30" s="468"/>
      <c r="BA30" s="468"/>
      <c r="BB30" s="468"/>
      <c r="BC30" s="468"/>
      <c r="BD30" s="468"/>
      <c r="BE30" s="468"/>
      <c r="BF30" s="468"/>
      <c r="BG30" s="1556"/>
      <c r="BH30" s="468"/>
      <c r="BI30" s="468"/>
      <c r="BJ30" s="468"/>
      <c r="BK30" s="468"/>
      <c r="BL30" s="468"/>
      <c r="BM30" s="468"/>
      <c r="BN30" s="468"/>
      <c r="BO30" s="468"/>
      <c r="BP30" s="468"/>
    </row>
    <row r="31" spans="1:68" ht="30.6" hidden="1" customHeight="1" outlineLevel="1" thickBot="1">
      <c r="A31" s="1058" t="s">
        <v>69</v>
      </c>
      <c r="B31" s="2413"/>
      <c r="C31" s="2413"/>
      <c r="D31" s="1354"/>
      <c r="E31" s="1544"/>
      <c r="F31" s="1545"/>
      <c r="G31" s="1545"/>
      <c r="H31" s="1546"/>
      <c r="I31" s="1548"/>
      <c r="J31" s="1306"/>
      <c r="K31" s="1307"/>
      <c r="L31" s="1407" t="str">
        <f t="shared" si="0"/>
        <v/>
      </c>
      <c r="M31" s="1212"/>
      <c r="N31" s="1213"/>
      <c r="O31" s="468"/>
      <c r="P31" s="468"/>
      <c r="Q31" s="468"/>
      <c r="R31" s="468"/>
      <c r="S31" s="470"/>
      <c r="T31" s="470"/>
      <c r="U31" s="470"/>
      <c r="V31" s="470"/>
      <c r="W31" s="470"/>
      <c r="X31" s="470"/>
      <c r="Y31" s="470"/>
      <c r="Z31" s="470"/>
      <c r="AA31" s="470"/>
      <c r="AB31" s="470"/>
      <c r="AC31" s="470"/>
      <c r="AD31" s="470"/>
      <c r="AE31" s="468"/>
      <c r="AF31" s="468"/>
      <c r="AG31" s="468"/>
      <c r="AH31" s="468"/>
      <c r="AI31" s="468"/>
      <c r="AJ31" s="468"/>
      <c r="AK31" s="468"/>
      <c r="AL31" s="468"/>
      <c r="AM31" s="468"/>
      <c r="AN31" s="468"/>
      <c r="AO31" s="468"/>
      <c r="AP31" s="468"/>
      <c r="AQ31" s="468"/>
      <c r="AR31" s="468"/>
      <c r="AS31" s="468"/>
      <c r="AT31" s="468"/>
      <c r="AU31" s="468"/>
      <c r="AV31" s="468"/>
      <c r="AW31" s="468"/>
      <c r="AX31" s="468"/>
      <c r="AY31" s="468"/>
      <c r="AZ31" s="468"/>
      <c r="BA31" s="468"/>
      <c r="BB31" s="468"/>
      <c r="BC31" s="468"/>
      <c r="BD31" s="468"/>
      <c r="BE31" s="468"/>
      <c r="BF31" s="468"/>
      <c r="BG31" s="1556"/>
      <c r="BH31" s="468"/>
      <c r="BI31" s="468"/>
      <c r="BJ31" s="468"/>
      <c r="BK31" s="468"/>
      <c r="BL31" s="468"/>
      <c r="BM31" s="468"/>
      <c r="BN31" s="468"/>
      <c r="BO31" s="468"/>
      <c r="BP31" s="468"/>
    </row>
    <row r="32" spans="1:68" ht="30.6" hidden="1" customHeight="1" outlineLevel="1" thickBot="1">
      <c r="A32" s="1058" t="s">
        <v>70</v>
      </c>
      <c r="B32" s="2413"/>
      <c r="C32" s="2413"/>
      <c r="D32" s="1354"/>
      <c r="E32" s="1544"/>
      <c r="F32" s="1545"/>
      <c r="G32" s="1545"/>
      <c r="H32" s="1546"/>
      <c r="I32" s="1548"/>
      <c r="J32" s="1306"/>
      <c r="K32" s="1307"/>
      <c r="L32" s="1407" t="str">
        <f t="shared" si="0"/>
        <v/>
      </c>
      <c r="M32" s="1212"/>
      <c r="N32" s="1213"/>
      <c r="O32" s="468"/>
      <c r="P32" s="468"/>
      <c r="Q32" s="468"/>
      <c r="R32" s="468"/>
      <c r="S32" s="470"/>
      <c r="T32" s="470"/>
      <c r="U32" s="470"/>
      <c r="V32" s="470"/>
      <c r="W32" s="470"/>
      <c r="X32" s="470"/>
      <c r="Y32" s="470"/>
      <c r="Z32" s="470"/>
      <c r="AA32" s="470"/>
      <c r="AB32" s="470"/>
      <c r="AC32" s="470"/>
      <c r="AD32" s="470"/>
      <c r="AE32" s="468"/>
      <c r="AF32" s="468"/>
      <c r="AG32" s="468"/>
      <c r="AH32" s="468"/>
      <c r="AI32" s="468"/>
      <c r="AJ32" s="468"/>
      <c r="AK32" s="468"/>
      <c r="AL32" s="468"/>
      <c r="AM32" s="468"/>
      <c r="AN32" s="468"/>
      <c r="AO32" s="468"/>
      <c r="AP32" s="468"/>
      <c r="AQ32" s="468"/>
      <c r="AR32" s="468"/>
      <c r="AS32" s="468"/>
      <c r="AT32" s="468"/>
      <c r="AU32" s="468"/>
      <c r="AV32" s="468"/>
      <c r="AW32" s="468"/>
      <c r="AX32" s="468"/>
      <c r="AY32" s="468"/>
      <c r="AZ32" s="468"/>
      <c r="BA32" s="468"/>
      <c r="BB32" s="468"/>
      <c r="BC32" s="468"/>
      <c r="BD32" s="468"/>
      <c r="BE32" s="468"/>
      <c r="BF32" s="468"/>
      <c r="BG32" s="1556"/>
      <c r="BH32" s="468"/>
      <c r="BI32" s="468"/>
      <c r="BJ32" s="468"/>
      <c r="BK32" s="468"/>
      <c r="BL32" s="468"/>
      <c r="BM32" s="468"/>
      <c r="BN32" s="468"/>
      <c r="BO32" s="468"/>
      <c r="BP32" s="468"/>
    </row>
    <row r="33" spans="1:68" ht="30.6" hidden="1" customHeight="1" outlineLevel="1" thickBot="1">
      <c r="A33" s="1058" t="s">
        <v>71</v>
      </c>
      <c r="B33" s="2413"/>
      <c r="C33" s="2413"/>
      <c r="D33" s="1354"/>
      <c r="E33" s="1544"/>
      <c r="F33" s="1545"/>
      <c r="G33" s="1545"/>
      <c r="H33" s="1546"/>
      <c r="I33" s="1548"/>
      <c r="J33" s="1306"/>
      <c r="K33" s="1307"/>
      <c r="L33" s="1407" t="str">
        <f t="shared" si="0"/>
        <v/>
      </c>
      <c r="M33" s="1212"/>
      <c r="N33" s="1213"/>
      <c r="O33" s="468"/>
      <c r="P33" s="468"/>
      <c r="Q33" s="468"/>
      <c r="R33" s="468"/>
      <c r="S33" s="470"/>
      <c r="T33" s="470"/>
      <c r="U33" s="470"/>
      <c r="V33" s="470"/>
      <c r="W33" s="470"/>
      <c r="X33" s="470"/>
      <c r="Y33" s="470"/>
      <c r="Z33" s="470"/>
      <c r="AA33" s="470"/>
      <c r="AB33" s="470"/>
      <c r="AC33" s="470"/>
      <c r="AD33" s="470"/>
      <c r="AE33" s="468"/>
      <c r="AF33" s="468"/>
      <c r="AG33" s="468"/>
      <c r="AH33" s="468"/>
      <c r="AI33" s="468"/>
      <c r="AJ33" s="468"/>
      <c r="AK33" s="468"/>
      <c r="AL33" s="468"/>
      <c r="AM33" s="468"/>
      <c r="AN33" s="468"/>
      <c r="AO33" s="468"/>
      <c r="AP33" s="468"/>
      <c r="AQ33" s="468"/>
      <c r="AR33" s="468"/>
      <c r="AS33" s="468"/>
      <c r="AT33" s="468"/>
      <c r="AU33" s="468"/>
      <c r="AV33" s="468"/>
      <c r="AW33" s="468"/>
      <c r="AX33" s="468"/>
      <c r="AY33" s="468"/>
      <c r="AZ33" s="468"/>
      <c r="BA33" s="468"/>
      <c r="BB33" s="468"/>
      <c r="BC33" s="468"/>
      <c r="BD33" s="468"/>
      <c r="BE33" s="468"/>
      <c r="BF33" s="468"/>
      <c r="BG33" s="1556"/>
      <c r="BH33" s="468"/>
      <c r="BI33" s="468"/>
      <c r="BJ33" s="468"/>
      <c r="BK33" s="468"/>
      <c r="BL33" s="468"/>
      <c r="BM33" s="468"/>
      <c r="BN33" s="468"/>
      <c r="BO33" s="468"/>
      <c r="BP33" s="468"/>
    </row>
    <row r="34" spans="1:68" ht="30.6" customHeight="1" collapsed="1" thickBot="1">
      <c r="A34" s="1058" t="s">
        <v>72</v>
      </c>
      <c r="B34" s="2413"/>
      <c r="C34" s="2413"/>
      <c r="D34" s="1354"/>
      <c r="E34" s="1544"/>
      <c r="F34" s="1545"/>
      <c r="G34" s="1545"/>
      <c r="H34" s="1546"/>
      <c r="I34" s="1548"/>
      <c r="J34" s="1306"/>
      <c r="K34" s="1307"/>
      <c r="L34" s="1407" t="str">
        <f t="shared" si="0"/>
        <v/>
      </c>
      <c r="M34" s="1212"/>
      <c r="N34" s="1213"/>
      <c r="O34" s="468"/>
      <c r="P34" s="468"/>
      <c r="Q34" s="468"/>
      <c r="R34" s="468"/>
      <c r="S34" s="470"/>
      <c r="T34" s="470"/>
      <c r="U34" s="470"/>
      <c r="V34" s="470"/>
      <c r="W34" s="470"/>
      <c r="X34" s="470"/>
      <c r="Y34" s="470"/>
      <c r="Z34" s="470"/>
      <c r="AA34" s="470"/>
      <c r="AB34" s="470"/>
      <c r="AC34" s="470"/>
      <c r="AD34" s="470"/>
      <c r="AE34" s="468"/>
      <c r="AF34" s="468"/>
      <c r="AG34" s="468"/>
      <c r="AH34" s="468"/>
      <c r="AI34" s="468"/>
      <c r="AJ34" s="468"/>
      <c r="AK34" s="468"/>
      <c r="AL34" s="468"/>
      <c r="AM34" s="468"/>
      <c r="AN34" s="468"/>
      <c r="AO34" s="468"/>
      <c r="AP34" s="468"/>
      <c r="AQ34" s="468"/>
      <c r="AR34" s="468"/>
      <c r="AS34" s="468"/>
      <c r="AT34" s="468"/>
      <c r="AU34" s="468"/>
      <c r="AV34" s="468"/>
      <c r="AW34" s="468"/>
      <c r="AX34" s="468"/>
      <c r="AY34" s="468"/>
      <c r="AZ34" s="468"/>
      <c r="BA34" s="468"/>
      <c r="BB34" s="468"/>
      <c r="BC34" s="468"/>
      <c r="BD34" s="468"/>
      <c r="BE34" s="468"/>
      <c r="BF34" s="468"/>
      <c r="BG34" s="1556"/>
      <c r="BH34" s="468"/>
      <c r="BI34" s="468"/>
      <c r="BJ34" s="468"/>
      <c r="BK34" s="468"/>
      <c r="BL34" s="468"/>
      <c r="BM34" s="468"/>
      <c r="BN34" s="468"/>
      <c r="BO34" s="468"/>
      <c r="BP34" s="468"/>
    </row>
    <row r="35" spans="1:68" ht="30.6" hidden="1" customHeight="1" outlineLevel="1" thickBot="1">
      <c r="A35" s="1058" t="s">
        <v>73</v>
      </c>
      <c r="B35" s="2413"/>
      <c r="C35" s="2413"/>
      <c r="D35" s="1354"/>
      <c r="E35" s="1544"/>
      <c r="F35" s="1545"/>
      <c r="G35" s="1545"/>
      <c r="H35" s="1546"/>
      <c r="I35" s="1548"/>
      <c r="J35" s="1306"/>
      <c r="K35" s="1307"/>
      <c r="L35" s="1407" t="str">
        <f t="shared" si="0"/>
        <v/>
      </c>
      <c r="M35" s="1212"/>
      <c r="N35" s="1213"/>
      <c r="O35" s="468"/>
      <c r="P35" s="468"/>
      <c r="Q35" s="468"/>
      <c r="R35" s="468"/>
      <c r="S35" s="470"/>
      <c r="T35" s="470"/>
      <c r="U35" s="470"/>
      <c r="V35" s="470"/>
      <c r="W35" s="470"/>
      <c r="X35" s="470"/>
      <c r="Y35" s="470"/>
      <c r="Z35" s="470"/>
      <c r="AA35" s="470"/>
      <c r="AB35" s="470"/>
      <c r="AC35" s="470"/>
      <c r="AD35" s="470"/>
      <c r="AE35" s="468"/>
      <c r="AF35" s="468"/>
      <c r="AG35" s="468"/>
      <c r="AH35" s="468"/>
      <c r="AI35" s="468"/>
      <c r="AJ35" s="468"/>
      <c r="AK35" s="468"/>
      <c r="AL35" s="468"/>
      <c r="AM35" s="468"/>
      <c r="AN35" s="468"/>
      <c r="AO35" s="468"/>
      <c r="AP35" s="468"/>
      <c r="AQ35" s="468"/>
      <c r="AR35" s="468"/>
      <c r="AS35" s="468"/>
      <c r="AT35" s="468"/>
      <c r="AU35" s="468"/>
      <c r="AV35" s="468"/>
      <c r="AW35" s="468"/>
      <c r="AX35" s="468"/>
      <c r="AY35" s="468"/>
      <c r="AZ35" s="468"/>
      <c r="BA35" s="468"/>
      <c r="BB35" s="468"/>
      <c r="BC35" s="468"/>
      <c r="BD35" s="468"/>
      <c r="BE35" s="468"/>
      <c r="BF35" s="468"/>
      <c r="BG35" s="1556"/>
      <c r="BH35" s="468"/>
      <c r="BI35" s="468"/>
      <c r="BJ35" s="468"/>
      <c r="BK35" s="468"/>
      <c r="BL35" s="468"/>
      <c r="BM35" s="468"/>
      <c r="BN35" s="468"/>
      <c r="BO35" s="468"/>
      <c r="BP35" s="468"/>
    </row>
    <row r="36" spans="1:68" ht="30.6" hidden="1" customHeight="1" outlineLevel="1" thickBot="1">
      <c r="A36" s="1058" t="s">
        <v>74</v>
      </c>
      <c r="B36" s="2413"/>
      <c r="C36" s="2413"/>
      <c r="D36" s="1354"/>
      <c r="E36" s="1544"/>
      <c r="F36" s="1545"/>
      <c r="G36" s="1545"/>
      <c r="H36" s="1546"/>
      <c r="I36" s="1548"/>
      <c r="J36" s="1306"/>
      <c r="K36" s="1307"/>
      <c r="L36" s="1407" t="str">
        <f t="shared" si="0"/>
        <v/>
      </c>
      <c r="M36" s="1212"/>
      <c r="N36" s="1213"/>
      <c r="O36" s="468"/>
      <c r="P36" s="468"/>
      <c r="Q36" s="468"/>
      <c r="R36" s="468"/>
      <c r="S36" s="470"/>
      <c r="T36" s="470"/>
      <c r="U36" s="470"/>
      <c r="V36" s="470"/>
      <c r="W36" s="470"/>
      <c r="X36" s="470"/>
      <c r="Y36" s="470"/>
      <c r="Z36" s="470"/>
      <c r="AA36" s="470"/>
      <c r="AB36" s="470"/>
      <c r="AC36" s="470"/>
      <c r="AD36" s="470"/>
      <c r="AE36" s="468"/>
      <c r="AF36" s="468"/>
      <c r="AG36" s="468"/>
      <c r="AH36" s="468"/>
      <c r="AI36" s="468"/>
      <c r="AJ36" s="468"/>
      <c r="AK36" s="468"/>
      <c r="AL36" s="468"/>
      <c r="AM36" s="468"/>
      <c r="AN36" s="468"/>
      <c r="AO36" s="468"/>
      <c r="AP36" s="468"/>
      <c r="AQ36" s="468"/>
      <c r="AR36" s="468"/>
      <c r="AS36" s="468"/>
      <c r="AT36" s="468"/>
      <c r="AU36" s="468"/>
      <c r="AV36" s="468"/>
      <c r="AW36" s="468"/>
      <c r="AX36" s="468"/>
      <c r="AY36" s="468"/>
      <c r="AZ36" s="468"/>
      <c r="BA36" s="468"/>
      <c r="BB36" s="468"/>
      <c r="BC36" s="468"/>
      <c r="BD36" s="468"/>
      <c r="BE36" s="468"/>
      <c r="BF36" s="468"/>
      <c r="BG36" s="1556"/>
      <c r="BH36" s="468"/>
      <c r="BI36" s="468"/>
      <c r="BJ36" s="468"/>
      <c r="BK36" s="468"/>
      <c r="BL36" s="468"/>
      <c r="BM36" s="468"/>
      <c r="BN36" s="468"/>
      <c r="BO36" s="468"/>
      <c r="BP36" s="468"/>
    </row>
    <row r="37" spans="1:68" ht="30.6" hidden="1" customHeight="1" outlineLevel="1" thickBot="1">
      <c r="A37" s="1058" t="s">
        <v>75</v>
      </c>
      <c r="B37" s="2413"/>
      <c r="C37" s="2413"/>
      <c r="D37" s="1354"/>
      <c r="E37" s="1544"/>
      <c r="F37" s="1545"/>
      <c r="G37" s="1545"/>
      <c r="H37" s="1546"/>
      <c r="I37" s="1548"/>
      <c r="J37" s="1306"/>
      <c r="K37" s="1307"/>
      <c r="L37" s="1407" t="str">
        <f t="shared" si="0"/>
        <v/>
      </c>
      <c r="M37" s="1212"/>
      <c r="N37" s="1213"/>
      <c r="O37" s="468"/>
      <c r="P37" s="468"/>
      <c r="Q37" s="468"/>
      <c r="R37" s="468"/>
      <c r="S37" s="470"/>
      <c r="T37" s="470"/>
      <c r="U37" s="470"/>
      <c r="V37" s="470"/>
      <c r="W37" s="470"/>
      <c r="X37" s="470"/>
      <c r="Y37" s="470"/>
      <c r="Z37" s="470"/>
      <c r="AA37" s="470"/>
      <c r="AB37" s="470"/>
      <c r="AC37" s="470"/>
      <c r="AD37" s="470"/>
      <c r="AE37" s="468"/>
      <c r="AF37" s="468"/>
      <c r="AG37" s="468"/>
      <c r="AH37" s="468"/>
      <c r="AI37" s="468"/>
      <c r="AJ37" s="468"/>
      <c r="AK37" s="468"/>
      <c r="AL37" s="468"/>
      <c r="AM37" s="468"/>
      <c r="AN37" s="468"/>
      <c r="AO37" s="468"/>
      <c r="AP37" s="468"/>
      <c r="AQ37" s="468"/>
      <c r="AR37" s="468"/>
      <c r="AS37" s="468"/>
      <c r="AT37" s="468"/>
      <c r="AU37" s="468"/>
      <c r="AV37" s="468"/>
      <c r="AW37" s="468"/>
      <c r="AX37" s="468"/>
      <c r="AY37" s="468"/>
      <c r="AZ37" s="468"/>
      <c r="BA37" s="468"/>
      <c r="BB37" s="468"/>
      <c r="BC37" s="468"/>
      <c r="BD37" s="468"/>
      <c r="BE37" s="468"/>
      <c r="BF37" s="468"/>
      <c r="BG37" s="1556"/>
      <c r="BH37" s="468"/>
      <c r="BI37" s="468"/>
      <c r="BJ37" s="468"/>
      <c r="BK37" s="468"/>
      <c r="BL37" s="468"/>
      <c r="BM37" s="468"/>
      <c r="BN37" s="468"/>
      <c r="BO37" s="468"/>
      <c r="BP37" s="468"/>
    </row>
    <row r="38" spans="1:68" ht="30.6" hidden="1" customHeight="1" outlineLevel="1" thickBot="1">
      <c r="A38" s="1058" t="s">
        <v>76</v>
      </c>
      <c r="B38" s="2413"/>
      <c r="C38" s="2413"/>
      <c r="D38" s="1354"/>
      <c r="E38" s="1544"/>
      <c r="F38" s="1545"/>
      <c r="G38" s="1545"/>
      <c r="H38" s="1546"/>
      <c r="I38" s="1548"/>
      <c r="J38" s="1306"/>
      <c r="K38" s="1307"/>
      <c r="L38" s="1407" t="str">
        <f t="shared" si="0"/>
        <v/>
      </c>
      <c r="M38" s="1212"/>
      <c r="N38" s="1213"/>
      <c r="O38" s="468"/>
      <c r="P38" s="468"/>
      <c r="Q38" s="468"/>
      <c r="R38" s="468"/>
      <c r="S38" s="470"/>
      <c r="T38" s="470"/>
      <c r="U38" s="470"/>
      <c r="V38" s="470"/>
      <c r="W38" s="470"/>
      <c r="X38" s="470"/>
      <c r="Y38" s="470"/>
      <c r="Z38" s="470"/>
      <c r="AA38" s="470"/>
      <c r="AB38" s="470"/>
      <c r="AC38" s="470"/>
      <c r="AD38" s="470"/>
      <c r="AE38" s="468"/>
      <c r="AF38" s="468"/>
      <c r="AG38" s="468"/>
      <c r="AH38" s="468"/>
      <c r="AI38" s="468"/>
      <c r="AJ38" s="468"/>
      <c r="AK38" s="468"/>
      <c r="AL38" s="468"/>
      <c r="AM38" s="468"/>
      <c r="AN38" s="468"/>
      <c r="AO38" s="468"/>
      <c r="AP38" s="468"/>
      <c r="AQ38" s="468"/>
      <c r="AR38" s="468"/>
      <c r="AS38" s="468"/>
      <c r="AT38" s="468"/>
      <c r="AU38" s="468"/>
      <c r="AV38" s="468"/>
      <c r="AW38" s="468"/>
      <c r="AX38" s="468"/>
      <c r="AY38" s="468"/>
      <c r="AZ38" s="468"/>
      <c r="BA38" s="468"/>
      <c r="BB38" s="468"/>
      <c r="BC38" s="468"/>
      <c r="BD38" s="468"/>
      <c r="BE38" s="468"/>
      <c r="BF38" s="468"/>
      <c r="BG38" s="1556"/>
      <c r="BH38" s="468"/>
      <c r="BI38" s="468"/>
      <c r="BJ38" s="468"/>
      <c r="BK38" s="468"/>
      <c r="BL38" s="468"/>
      <c r="BM38" s="468"/>
      <c r="BN38" s="468"/>
      <c r="BO38" s="468"/>
      <c r="BP38" s="468"/>
    </row>
    <row r="39" spans="1:68" ht="30.6" hidden="1" customHeight="1" outlineLevel="1" thickBot="1">
      <c r="A39" s="1058" t="s">
        <v>77</v>
      </c>
      <c r="B39" s="2413"/>
      <c r="C39" s="2413"/>
      <c r="D39" s="1354"/>
      <c r="E39" s="1544"/>
      <c r="F39" s="1545"/>
      <c r="G39" s="1545"/>
      <c r="H39" s="1546"/>
      <c r="I39" s="1548"/>
      <c r="J39" s="1306"/>
      <c r="K39" s="1307"/>
      <c r="L39" s="1407" t="str">
        <f t="shared" si="0"/>
        <v/>
      </c>
      <c r="M39" s="1212"/>
      <c r="N39" s="1213"/>
      <c r="O39" s="468"/>
      <c r="P39" s="468"/>
      <c r="Q39" s="468"/>
      <c r="R39" s="468"/>
      <c r="S39" s="470"/>
      <c r="T39" s="470"/>
      <c r="U39" s="470"/>
      <c r="V39" s="470"/>
      <c r="W39" s="470"/>
      <c r="X39" s="470"/>
      <c r="Y39" s="470"/>
      <c r="Z39" s="470"/>
      <c r="AA39" s="470"/>
      <c r="AB39" s="470"/>
      <c r="AC39" s="470"/>
      <c r="AD39" s="470"/>
      <c r="AE39" s="468"/>
      <c r="AF39" s="468"/>
      <c r="AG39" s="468"/>
      <c r="AH39" s="468"/>
      <c r="AI39" s="468"/>
      <c r="AJ39" s="468"/>
      <c r="AK39" s="468"/>
      <c r="AL39" s="468"/>
      <c r="AM39" s="468"/>
      <c r="AN39" s="468"/>
      <c r="AO39" s="468"/>
      <c r="AP39" s="468"/>
      <c r="AQ39" s="468"/>
      <c r="AR39" s="468"/>
      <c r="AS39" s="468"/>
      <c r="AT39" s="468"/>
      <c r="AU39" s="468"/>
      <c r="AV39" s="468"/>
      <c r="AW39" s="468"/>
      <c r="AX39" s="468"/>
      <c r="AY39" s="468"/>
      <c r="AZ39" s="468"/>
      <c r="BA39" s="468"/>
      <c r="BB39" s="468"/>
      <c r="BC39" s="468"/>
      <c r="BD39" s="468"/>
      <c r="BE39" s="468"/>
      <c r="BF39" s="468"/>
      <c r="BG39" s="1556"/>
      <c r="BH39" s="468"/>
      <c r="BI39" s="468"/>
      <c r="BJ39" s="468"/>
      <c r="BK39" s="468"/>
      <c r="BL39" s="468"/>
      <c r="BM39" s="468"/>
      <c r="BN39" s="468"/>
      <c r="BO39" s="468"/>
      <c r="BP39" s="468"/>
    </row>
    <row r="40" spans="1:68" ht="30.6" hidden="1" customHeight="1" outlineLevel="1" thickBot="1">
      <c r="A40" s="1058" t="s">
        <v>78</v>
      </c>
      <c r="B40" s="2413"/>
      <c r="C40" s="2413"/>
      <c r="D40" s="1354"/>
      <c r="E40" s="1544"/>
      <c r="F40" s="1545"/>
      <c r="G40" s="1545"/>
      <c r="H40" s="1546"/>
      <c r="I40" s="1548"/>
      <c r="J40" s="1306"/>
      <c r="K40" s="1307"/>
      <c r="L40" s="1407" t="str">
        <f t="shared" si="0"/>
        <v/>
      </c>
      <c r="M40" s="1212"/>
      <c r="N40" s="1213"/>
      <c r="O40" s="468"/>
      <c r="P40" s="468"/>
      <c r="Q40" s="468"/>
      <c r="R40" s="468"/>
      <c r="S40" s="470"/>
      <c r="T40" s="470"/>
      <c r="U40" s="470"/>
      <c r="V40" s="470"/>
      <c r="W40" s="470"/>
      <c r="X40" s="470"/>
      <c r="Y40" s="470"/>
      <c r="Z40" s="470"/>
      <c r="AA40" s="470"/>
      <c r="AB40" s="470"/>
      <c r="AC40" s="470"/>
      <c r="AD40" s="470"/>
      <c r="AE40" s="468"/>
      <c r="AF40" s="468"/>
      <c r="AG40" s="468"/>
      <c r="AH40" s="468"/>
      <c r="AI40" s="468"/>
      <c r="AJ40" s="468"/>
      <c r="AK40" s="468"/>
      <c r="AL40" s="468"/>
      <c r="AM40" s="468"/>
      <c r="AN40" s="468"/>
      <c r="AO40" s="468"/>
      <c r="AP40" s="468"/>
      <c r="AQ40" s="468"/>
      <c r="AR40" s="468"/>
      <c r="AS40" s="468"/>
      <c r="AT40" s="468"/>
      <c r="AU40" s="468"/>
      <c r="AV40" s="468"/>
      <c r="AW40" s="468"/>
      <c r="AX40" s="468"/>
      <c r="AY40" s="468"/>
      <c r="AZ40" s="468"/>
      <c r="BA40" s="468"/>
      <c r="BB40" s="468"/>
      <c r="BC40" s="468"/>
      <c r="BD40" s="468"/>
      <c r="BE40" s="468"/>
      <c r="BF40" s="468"/>
      <c r="BG40" s="1556"/>
      <c r="BH40" s="468"/>
      <c r="BI40" s="468"/>
      <c r="BJ40" s="468"/>
      <c r="BK40" s="468"/>
      <c r="BL40" s="468"/>
      <c r="BM40" s="468"/>
      <c r="BN40" s="468"/>
      <c r="BO40" s="468"/>
      <c r="BP40" s="468"/>
    </row>
    <row r="41" spans="1:68" ht="30.6" hidden="1" customHeight="1" outlineLevel="1" thickBot="1">
      <c r="A41" s="1058" t="s">
        <v>79</v>
      </c>
      <c r="B41" s="2413"/>
      <c r="C41" s="2413"/>
      <c r="D41" s="1354"/>
      <c r="E41" s="1544"/>
      <c r="F41" s="1545"/>
      <c r="G41" s="1545"/>
      <c r="H41" s="1546"/>
      <c r="I41" s="1548"/>
      <c r="J41" s="1306"/>
      <c r="K41" s="1307"/>
      <c r="L41" s="1407" t="str">
        <f t="shared" si="0"/>
        <v/>
      </c>
      <c r="M41" s="1212"/>
      <c r="N41" s="1213"/>
      <c r="O41" s="468"/>
      <c r="P41" s="468"/>
      <c r="Q41" s="468"/>
      <c r="R41" s="468"/>
      <c r="S41" s="470"/>
      <c r="T41" s="470"/>
      <c r="U41" s="470"/>
      <c r="V41" s="470"/>
      <c r="W41" s="470"/>
      <c r="X41" s="470"/>
      <c r="Y41" s="470"/>
      <c r="Z41" s="470"/>
      <c r="AA41" s="470"/>
      <c r="AB41" s="470"/>
      <c r="AC41" s="470"/>
      <c r="AD41" s="470"/>
      <c r="AE41" s="468"/>
      <c r="AF41" s="468"/>
      <c r="AG41" s="468"/>
      <c r="AH41" s="468"/>
      <c r="AI41" s="468"/>
      <c r="AJ41" s="468"/>
      <c r="AK41" s="468"/>
      <c r="AL41" s="468"/>
      <c r="AM41" s="468"/>
      <c r="AN41" s="468"/>
      <c r="AO41" s="468"/>
      <c r="AP41" s="468"/>
      <c r="AQ41" s="468"/>
      <c r="AR41" s="468"/>
      <c r="AS41" s="468"/>
      <c r="AT41" s="468"/>
      <c r="AU41" s="468"/>
      <c r="AV41" s="468"/>
      <c r="AW41" s="468"/>
      <c r="AX41" s="468"/>
      <c r="AY41" s="468"/>
      <c r="AZ41" s="468"/>
      <c r="BA41" s="468"/>
      <c r="BB41" s="468"/>
      <c r="BC41" s="468"/>
      <c r="BD41" s="468"/>
      <c r="BE41" s="468"/>
      <c r="BF41" s="468"/>
      <c r="BG41" s="1556"/>
      <c r="BH41" s="468"/>
      <c r="BI41" s="468"/>
      <c r="BJ41" s="468"/>
      <c r="BK41" s="468"/>
      <c r="BL41" s="468"/>
      <c r="BM41" s="468"/>
      <c r="BN41" s="468"/>
      <c r="BO41" s="468"/>
      <c r="BP41" s="468"/>
    </row>
    <row r="42" spans="1:68" ht="30.6" hidden="1" customHeight="1" outlineLevel="1" thickBot="1">
      <c r="A42" s="1058" t="s">
        <v>80</v>
      </c>
      <c r="B42" s="2413"/>
      <c r="C42" s="2413"/>
      <c r="D42" s="1354"/>
      <c r="E42" s="1544"/>
      <c r="F42" s="1545"/>
      <c r="G42" s="1545"/>
      <c r="H42" s="1546"/>
      <c r="I42" s="1548"/>
      <c r="J42" s="1306"/>
      <c r="K42" s="1307"/>
      <c r="L42" s="1407" t="str">
        <f t="shared" si="0"/>
        <v/>
      </c>
      <c r="M42" s="1212"/>
      <c r="N42" s="1213"/>
      <c r="O42" s="468"/>
      <c r="P42" s="468"/>
      <c r="Q42" s="468"/>
      <c r="R42" s="468"/>
      <c r="S42" s="470"/>
      <c r="T42" s="470"/>
      <c r="U42" s="470"/>
      <c r="V42" s="470"/>
      <c r="W42" s="470"/>
      <c r="X42" s="470"/>
      <c r="Y42" s="470"/>
      <c r="Z42" s="470"/>
      <c r="AA42" s="470"/>
      <c r="AB42" s="470"/>
      <c r="AC42" s="470"/>
      <c r="AD42" s="470"/>
      <c r="AE42" s="468"/>
      <c r="AF42" s="468"/>
      <c r="AG42" s="468"/>
      <c r="AH42" s="468"/>
      <c r="AI42" s="468"/>
      <c r="AJ42" s="468"/>
      <c r="AK42" s="468"/>
      <c r="AL42" s="468"/>
      <c r="AM42" s="468"/>
      <c r="AN42" s="468"/>
      <c r="AO42" s="468"/>
      <c r="AP42" s="468"/>
      <c r="AQ42" s="468"/>
      <c r="AR42" s="468"/>
      <c r="AS42" s="468"/>
      <c r="AT42" s="468"/>
      <c r="AU42" s="468"/>
      <c r="AV42" s="468"/>
      <c r="AW42" s="468"/>
      <c r="AX42" s="468"/>
      <c r="AY42" s="468"/>
      <c r="AZ42" s="468"/>
      <c r="BA42" s="468"/>
      <c r="BB42" s="468"/>
      <c r="BC42" s="468"/>
      <c r="BD42" s="468"/>
      <c r="BE42" s="468"/>
      <c r="BF42" s="468"/>
      <c r="BG42" s="1556"/>
      <c r="BH42" s="468"/>
      <c r="BI42" s="468"/>
      <c r="BJ42" s="468"/>
      <c r="BK42" s="468"/>
      <c r="BL42" s="468"/>
      <c r="BM42" s="468"/>
      <c r="BN42" s="468"/>
      <c r="BO42" s="468"/>
      <c r="BP42" s="468"/>
    </row>
    <row r="43" spans="1:68" ht="30.6" hidden="1" customHeight="1" outlineLevel="1" thickBot="1">
      <c r="A43" s="1058" t="s">
        <v>81</v>
      </c>
      <c r="B43" s="2413"/>
      <c r="C43" s="2413"/>
      <c r="D43" s="1354"/>
      <c r="E43" s="1544"/>
      <c r="F43" s="1545"/>
      <c r="G43" s="1545"/>
      <c r="H43" s="1546"/>
      <c r="I43" s="1548"/>
      <c r="J43" s="1306"/>
      <c r="K43" s="1307"/>
      <c r="L43" s="1407" t="str">
        <f t="shared" si="0"/>
        <v/>
      </c>
      <c r="M43" s="1212"/>
      <c r="N43" s="1213"/>
      <c r="O43" s="468"/>
      <c r="P43" s="468"/>
      <c r="Q43" s="468"/>
      <c r="R43" s="468"/>
      <c r="S43" s="470"/>
      <c r="T43" s="470"/>
      <c r="U43" s="470"/>
      <c r="V43" s="470"/>
      <c r="W43" s="470"/>
      <c r="X43" s="470"/>
      <c r="Y43" s="470"/>
      <c r="Z43" s="470"/>
      <c r="AA43" s="470"/>
      <c r="AB43" s="470"/>
      <c r="AC43" s="470"/>
      <c r="AD43" s="470"/>
      <c r="AE43" s="468"/>
      <c r="AF43" s="468"/>
      <c r="AG43" s="468"/>
      <c r="AH43" s="468"/>
      <c r="AI43" s="468"/>
      <c r="AJ43" s="468"/>
      <c r="AK43" s="468"/>
      <c r="AL43" s="468"/>
      <c r="AM43" s="468"/>
      <c r="AN43" s="468"/>
      <c r="AO43" s="468"/>
      <c r="AP43" s="468"/>
      <c r="AQ43" s="468"/>
      <c r="AR43" s="468"/>
      <c r="AS43" s="468"/>
      <c r="AT43" s="468"/>
      <c r="AU43" s="468"/>
      <c r="AV43" s="468"/>
      <c r="AW43" s="468"/>
      <c r="AX43" s="468"/>
      <c r="AY43" s="468"/>
      <c r="AZ43" s="468"/>
      <c r="BA43" s="468"/>
      <c r="BB43" s="468"/>
      <c r="BC43" s="468"/>
      <c r="BD43" s="468"/>
      <c r="BE43" s="468"/>
      <c r="BF43" s="468"/>
      <c r="BG43" s="1556"/>
      <c r="BH43" s="468"/>
      <c r="BI43" s="468"/>
      <c r="BJ43" s="468"/>
      <c r="BK43" s="468"/>
      <c r="BL43" s="468"/>
      <c r="BM43" s="468"/>
      <c r="BN43" s="468"/>
      <c r="BO43" s="468"/>
      <c r="BP43" s="468"/>
    </row>
    <row r="44" spans="1:68" ht="30.6" customHeight="1" collapsed="1" thickBot="1">
      <c r="A44" s="1058" t="s">
        <v>82</v>
      </c>
      <c r="B44" s="2413"/>
      <c r="C44" s="2413"/>
      <c r="D44" s="1354"/>
      <c r="E44" s="1544"/>
      <c r="F44" s="1545"/>
      <c r="G44" s="1545"/>
      <c r="H44" s="1546"/>
      <c r="I44" s="1548"/>
      <c r="J44" s="1306"/>
      <c r="K44" s="1307"/>
      <c r="L44" s="1407" t="str">
        <f t="shared" si="0"/>
        <v/>
      </c>
      <c r="M44" s="1212"/>
      <c r="N44" s="1213"/>
      <c r="O44" s="468"/>
      <c r="P44" s="468"/>
      <c r="Q44" s="468"/>
      <c r="R44" s="468"/>
      <c r="S44" s="470"/>
      <c r="T44" s="470"/>
      <c r="U44" s="470"/>
      <c r="V44" s="470"/>
      <c r="W44" s="470"/>
      <c r="X44" s="470"/>
      <c r="Y44" s="470"/>
      <c r="Z44" s="470"/>
      <c r="AA44" s="470"/>
      <c r="AB44" s="470"/>
      <c r="AC44" s="470"/>
      <c r="AD44" s="470"/>
      <c r="AE44" s="468"/>
      <c r="AF44" s="468"/>
      <c r="AG44" s="468"/>
      <c r="AH44" s="468"/>
      <c r="AI44" s="468"/>
      <c r="AJ44" s="468"/>
      <c r="AK44" s="468"/>
      <c r="AL44" s="468"/>
      <c r="AM44" s="468"/>
      <c r="AN44" s="468"/>
      <c r="AO44" s="468"/>
      <c r="AP44" s="468"/>
      <c r="AQ44" s="468"/>
      <c r="AR44" s="468"/>
      <c r="AS44" s="468"/>
      <c r="AT44" s="468"/>
      <c r="AU44" s="468"/>
      <c r="AV44" s="468"/>
      <c r="AW44" s="468"/>
      <c r="AX44" s="468"/>
      <c r="AY44" s="468"/>
      <c r="AZ44" s="468"/>
      <c r="BA44" s="468"/>
      <c r="BB44" s="468"/>
      <c r="BC44" s="468"/>
      <c r="BD44" s="468"/>
      <c r="BE44" s="468"/>
      <c r="BF44" s="468"/>
      <c r="BG44" s="1556"/>
      <c r="BH44" s="468"/>
      <c r="BI44" s="468"/>
      <c r="BJ44" s="468"/>
      <c r="BK44" s="468"/>
      <c r="BL44" s="468"/>
      <c r="BM44" s="468"/>
      <c r="BN44" s="468"/>
      <c r="BO44" s="468"/>
      <c r="BP44" s="468"/>
    </row>
    <row r="45" spans="1:68" ht="30.6" hidden="1" customHeight="1" outlineLevel="1" thickBot="1">
      <c r="A45" s="1058" t="s">
        <v>83</v>
      </c>
      <c r="B45" s="2413"/>
      <c r="C45" s="2413"/>
      <c r="D45" s="1354"/>
      <c r="E45" s="1544"/>
      <c r="F45" s="1545"/>
      <c r="G45" s="1545"/>
      <c r="H45" s="1546"/>
      <c r="I45" s="1548"/>
      <c r="J45" s="1306"/>
      <c r="K45" s="1307"/>
      <c r="L45" s="1407" t="str">
        <f t="shared" si="0"/>
        <v/>
      </c>
      <c r="M45" s="1212"/>
      <c r="N45" s="1213"/>
      <c r="O45" s="468"/>
      <c r="P45" s="468"/>
      <c r="Q45" s="468"/>
      <c r="R45" s="468"/>
      <c r="S45" s="470"/>
      <c r="T45" s="470"/>
      <c r="U45" s="470"/>
      <c r="V45" s="470"/>
      <c r="W45" s="470"/>
      <c r="X45" s="470"/>
      <c r="Y45" s="470"/>
      <c r="Z45" s="470"/>
      <c r="AA45" s="470"/>
      <c r="AB45" s="470"/>
      <c r="AC45" s="470"/>
      <c r="AD45" s="470"/>
      <c r="AE45" s="468"/>
      <c r="AF45" s="468"/>
      <c r="AG45" s="468"/>
      <c r="AH45" s="468"/>
      <c r="AI45" s="468"/>
      <c r="AJ45" s="468"/>
      <c r="AK45" s="468"/>
      <c r="AL45" s="468"/>
      <c r="AM45" s="468"/>
      <c r="AN45" s="468"/>
      <c r="AO45" s="468"/>
      <c r="AP45" s="468"/>
      <c r="AQ45" s="468"/>
      <c r="AR45" s="468"/>
      <c r="AS45" s="468"/>
      <c r="AT45" s="468"/>
      <c r="AU45" s="468"/>
      <c r="AV45" s="468"/>
      <c r="AW45" s="468"/>
      <c r="AX45" s="468"/>
      <c r="AY45" s="468"/>
      <c r="AZ45" s="468"/>
      <c r="BA45" s="468"/>
      <c r="BB45" s="468"/>
      <c r="BC45" s="468"/>
      <c r="BD45" s="468"/>
      <c r="BE45" s="468"/>
      <c r="BF45" s="468"/>
      <c r="BG45" s="1556"/>
      <c r="BH45" s="468"/>
      <c r="BI45" s="468"/>
      <c r="BJ45" s="468"/>
      <c r="BK45" s="468"/>
      <c r="BL45" s="468"/>
      <c r="BM45" s="468"/>
      <c r="BN45" s="468"/>
      <c r="BO45" s="468"/>
      <c r="BP45" s="468"/>
    </row>
    <row r="46" spans="1:68" ht="30.6" hidden="1" customHeight="1" outlineLevel="1" thickBot="1">
      <c r="A46" s="1058" t="s">
        <v>84</v>
      </c>
      <c r="B46" s="2413"/>
      <c r="C46" s="2413"/>
      <c r="D46" s="1354"/>
      <c r="E46" s="1544"/>
      <c r="F46" s="1545"/>
      <c r="G46" s="1545"/>
      <c r="H46" s="1546"/>
      <c r="I46" s="1548"/>
      <c r="J46" s="1306"/>
      <c r="K46" s="1307"/>
      <c r="L46" s="1407" t="str">
        <f t="shared" si="0"/>
        <v/>
      </c>
      <c r="M46" s="1212"/>
      <c r="N46" s="1213"/>
      <c r="O46" s="468"/>
      <c r="P46" s="468"/>
      <c r="Q46" s="468"/>
      <c r="R46" s="468"/>
      <c r="S46" s="470"/>
      <c r="T46" s="470"/>
      <c r="U46" s="470"/>
      <c r="V46" s="470"/>
      <c r="W46" s="470"/>
      <c r="X46" s="470"/>
      <c r="Y46" s="470"/>
      <c r="Z46" s="470"/>
      <c r="AA46" s="470"/>
      <c r="AB46" s="470"/>
      <c r="AC46" s="470"/>
      <c r="AD46" s="470"/>
      <c r="AE46" s="468"/>
      <c r="AF46" s="468"/>
      <c r="AG46" s="468"/>
      <c r="AH46" s="468"/>
      <c r="AI46" s="468"/>
      <c r="AJ46" s="468"/>
      <c r="AK46" s="468"/>
      <c r="AL46" s="468"/>
      <c r="AM46" s="468"/>
      <c r="AN46" s="468"/>
      <c r="AO46" s="468"/>
      <c r="AP46" s="468"/>
      <c r="AQ46" s="468"/>
      <c r="AR46" s="468"/>
      <c r="AS46" s="468"/>
      <c r="AT46" s="468"/>
      <c r="AU46" s="468"/>
      <c r="AV46" s="468"/>
      <c r="AW46" s="468"/>
      <c r="AX46" s="468"/>
      <c r="AY46" s="468"/>
      <c r="AZ46" s="468"/>
      <c r="BA46" s="468"/>
      <c r="BB46" s="468"/>
      <c r="BC46" s="468"/>
      <c r="BD46" s="468"/>
      <c r="BE46" s="468"/>
      <c r="BF46" s="468"/>
      <c r="BG46" s="1556"/>
      <c r="BH46" s="468"/>
      <c r="BI46" s="468"/>
      <c r="BJ46" s="468"/>
      <c r="BK46" s="468"/>
      <c r="BL46" s="468"/>
      <c r="BM46" s="468"/>
      <c r="BN46" s="468"/>
      <c r="BO46" s="468"/>
      <c r="BP46" s="468"/>
    </row>
    <row r="47" spans="1:68" ht="30.6" hidden="1" customHeight="1" outlineLevel="1" thickBot="1">
      <c r="A47" s="1058" t="s">
        <v>85</v>
      </c>
      <c r="B47" s="2413"/>
      <c r="C47" s="2413"/>
      <c r="D47" s="1354"/>
      <c r="E47" s="1544"/>
      <c r="F47" s="1545"/>
      <c r="G47" s="1545"/>
      <c r="H47" s="1546"/>
      <c r="I47" s="1548"/>
      <c r="J47" s="1306"/>
      <c r="K47" s="1307"/>
      <c r="L47" s="1407" t="str">
        <f t="shared" si="0"/>
        <v/>
      </c>
      <c r="M47" s="1212"/>
      <c r="N47" s="1213"/>
      <c r="O47" s="468"/>
      <c r="P47" s="468"/>
      <c r="Q47" s="468"/>
      <c r="R47" s="468"/>
      <c r="S47" s="470"/>
      <c r="T47" s="470"/>
      <c r="U47" s="470"/>
      <c r="V47" s="470"/>
      <c r="W47" s="470"/>
      <c r="X47" s="470"/>
      <c r="Y47" s="470"/>
      <c r="Z47" s="470"/>
      <c r="AA47" s="470"/>
      <c r="AB47" s="470"/>
      <c r="AC47" s="470"/>
      <c r="AD47" s="470"/>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c r="BC47" s="468"/>
      <c r="BD47" s="468"/>
      <c r="BE47" s="468"/>
      <c r="BF47" s="468"/>
      <c r="BG47" s="1556"/>
      <c r="BH47" s="468"/>
      <c r="BI47" s="468"/>
      <c r="BJ47" s="468"/>
      <c r="BK47" s="468"/>
      <c r="BL47" s="468"/>
      <c r="BM47" s="468"/>
      <c r="BN47" s="468"/>
      <c r="BO47" s="468"/>
      <c r="BP47" s="468"/>
    </row>
    <row r="48" spans="1:68" ht="30.6" hidden="1" customHeight="1" outlineLevel="1" thickBot="1">
      <c r="A48" s="1058" t="s">
        <v>86</v>
      </c>
      <c r="B48" s="2413"/>
      <c r="C48" s="2413"/>
      <c r="D48" s="1354"/>
      <c r="E48" s="1544"/>
      <c r="F48" s="1545"/>
      <c r="G48" s="1545"/>
      <c r="H48" s="1546"/>
      <c r="I48" s="1548"/>
      <c r="J48" s="1306"/>
      <c r="K48" s="1307"/>
      <c r="L48" s="1407" t="str">
        <f t="shared" si="0"/>
        <v/>
      </c>
      <c r="M48" s="1212"/>
      <c r="N48" s="1213"/>
      <c r="O48" s="468"/>
      <c r="P48" s="468"/>
      <c r="Q48" s="468"/>
      <c r="R48" s="468"/>
      <c r="S48" s="470"/>
      <c r="T48" s="470"/>
      <c r="U48" s="470"/>
      <c r="V48" s="470"/>
      <c r="W48" s="470"/>
      <c r="X48" s="470"/>
      <c r="Y48" s="470"/>
      <c r="Z48" s="470"/>
      <c r="AA48" s="470"/>
      <c r="AB48" s="470"/>
      <c r="AC48" s="470"/>
      <c r="AD48" s="470"/>
      <c r="AE48" s="468"/>
      <c r="AF48" s="468"/>
      <c r="AG48" s="468"/>
      <c r="AH48" s="468"/>
      <c r="AI48" s="468"/>
      <c r="AJ48" s="468"/>
      <c r="AK48" s="468"/>
      <c r="AL48" s="468"/>
      <c r="AM48" s="468"/>
      <c r="AN48" s="468"/>
      <c r="AO48" s="468"/>
      <c r="AP48" s="468"/>
      <c r="AQ48" s="468"/>
      <c r="AR48" s="468"/>
      <c r="AS48" s="468"/>
      <c r="AT48" s="468"/>
      <c r="AU48" s="468"/>
      <c r="AV48" s="468"/>
      <c r="AW48" s="468"/>
      <c r="AX48" s="468"/>
      <c r="AY48" s="468"/>
      <c r="AZ48" s="468"/>
      <c r="BA48" s="468"/>
      <c r="BB48" s="468"/>
      <c r="BC48" s="468"/>
      <c r="BD48" s="468"/>
      <c r="BE48" s="468"/>
      <c r="BF48" s="468"/>
      <c r="BG48" s="1556"/>
      <c r="BH48" s="468"/>
      <c r="BI48" s="468"/>
      <c r="BJ48" s="468"/>
      <c r="BK48" s="468"/>
      <c r="BL48" s="468"/>
      <c r="BM48" s="468"/>
      <c r="BN48" s="468"/>
      <c r="BO48" s="468"/>
      <c r="BP48" s="468"/>
    </row>
    <row r="49" spans="1:68" ht="30.6" hidden="1" customHeight="1" outlineLevel="1" thickBot="1">
      <c r="A49" s="1058" t="s">
        <v>87</v>
      </c>
      <c r="B49" s="2413"/>
      <c r="C49" s="2413"/>
      <c r="D49" s="1354"/>
      <c r="E49" s="1544"/>
      <c r="F49" s="1545"/>
      <c r="G49" s="1545"/>
      <c r="H49" s="1546"/>
      <c r="I49" s="1548"/>
      <c r="J49" s="1306"/>
      <c r="K49" s="1307"/>
      <c r="L49" s="1407" t="str">
        <f t="shared" si="0"/>
        <v/>
      </c>
      <c r="M49" s="1212"/>
      <c r="N49" s="1213"/>
      <c r="O49" s="468"/>
      <c r="P49" s="468"/>
      <c r="Q49" s="468"/>
      <c r="R49" s="468"/>
      <c r="S49" s="470"/>
      <c r="T49" s="470"/>
      <c r="U49" s="470"/>
      <c r="V49" s="470"/>
      <c r="W49" s="470"/>
      <c r="X49" s="470"/>
      <c r="Y49" s="470"/>
      <c r="Z49" s="470"/>
      <c r="AA49" s="470"/>
      <c r="AB49" s="470"/>
      <c r="AC49" s="470"/>
      <c r="AD49" s="470"/>
      <c r="AE49" s="468"/>
      <c r="AF49" s="468"/>
      <c r="AG49" s="468"/>
      <c r="AH49" s="468"/>
      <c r="AI49" s="468"/>
      <c r="AJ49" s="468"/>
      <c r="AK49" s="468"/>
      <c r="AL49" s="468"/>
      <c r="AM49" s="468"/>
      <c r="AN49" s="468"/>
      <c r="AO49" s="468"/>
      <c r="AP49" s="468"/>
      <c r="AQ49" s="468"/>
      <c r="AR49" s="468"/>
      <c r="AS49" s="468"/>
      <c r="AT49" s="468"/>
      <c r="AU49" s="468"/>
      <c r="AV49" s="468"/>
      <c r="AW49" s="468"/>
      <c r="AX49" s="468"/>
      <c r="AY49" s="468"/>
      <c r="AZ49" s="468"/>
      <c r="BA49" s="468"/>
      <c r="BB49" s="468"/>
      <c r="BC49" s="468"/>
      <c r="BD49" s="468"/>
      <c r="BE49" s="468"/>
      <c r="BF49" s="468"/>
      <c r="BG49" s="1556"/>
      <c r="BH49" s="468"/>
      <c r="BI49" s="468"/>
      <c r="BJ49" s="468"/>
      <c r="BK49" s="468"/>
      <c r="BL49" s="468"/>
      <c r="BM49" s="468"/>
      <c r="BN49" s="468"/>
      <c r="BO49" s="468"/>
      <c r="BP49" s="468"/>
    </row>
    <row r="50" spans="1:68" ht="30.6" hidden="1" customHeight="1" outlineLevel="1" thickBot="1">
      <c r="A50" s="1058" t="s">
        <v>88</v>
      </c>
      <c r="B50" s="2413"/>
      <c r="C50" s="2413"/>
      <c r="D50" s="1354"/>
      <c r="E50" s="1544"/>
      <c r="F50" s="1545"/>
      <c r="G50" s="1545"/>
      <c r="H50" s="1546"/>
      <c r="I50" s="1548"/>
      <c r="J50" s="1306"/>
      <c r="K50" s="1307"/>
      <c r="L50" s="1407" t="str">
        <f t="shared" si="0"/>
        <v/>
      </c>
      <c r="M50" s="1212"/>
      <c r="N50" s="1213"/>
      <c r="O50" s="468"/>
      <c r="P50" s="468"/>
      <c r="Q50" s="468"/>
      <c r="R50" s="468"/>
      <c r="S50" s="470"/>
      <c r="T50" s="470"/>
      <c r="U50" s="470"/>
      <c r="V50" s="470"/>
      <c r="W50" s="470"/>
      <c r="X50" s="470"/>
      <c r="Y50" s="470"/>
      <c r="Z50" s="470"/>
      <c r="AA50" s="470"/>
      <c r="AB50" s="470"/>
      <c r="AC50" s="470"/>
      <c r="AD50" s="470"/>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8"/>
      <c r="BC50" s="468"/>
      <c r="BD50" s="468"/>
      <c r="BE50" s="468"/>
      <c r="BF50" s="468"/>
      <c r="BG50" s="1556"/>
      <c r="BH50" s="468"/>
      <c r="BI50" s="468"/>
      <c r="BJ50" s="468"/>
      <c r="BK50" s="468"/>
      <c r="BL50" s="468"/>
      <c r="BM50" s="468"/>
      <c r="BN50" s="468"/>
      <c r="BO50" s="468"/>
      <c r="BP50" s="468"/>
    </row>
    <row r="51" spans="1:68" ht="30.6" hidden="1" customHeight="1" outlineLevel="1" thickBot="1">
      <c r="A51" s="1058" t="s">
        <v>89</v>
      </c>
      <c r="B51" s="2413"/>
      <c r="C51" s="2413"/>
      <c r="D51" s="1354"/>
      <c r="E51" s="1544"/>
      <c r="F51" s="1545"/>
      <c r="G51" s="1545"/>
      <c r="H51" s="1546"/>
      <c r="I51" s="1548"/>
      <c r="J51" s="1306"/>
      <c r="K51" s="1307"/>
      <c r="L51" s="1407" t="str">
        <f t="shared" si="0"/>
        <v/>
      </c>
      <c r="M51" s="1212"/>
      <c r="N51" s="1213"/>
      <c r="O51" s="468"/>
      <c r="P51" s="468"/>
      <c r="Q51" s="468"/>
      <c r="R51" s="468"/>
      <c r="S51" s="470"/>
      <c r="T51" s="470"/>
      <c r="U51" s="470"/>
      <c r="V51" s="470"/>
      <c r="W51" s="470"/>
      <c r="X51" s="470"/>
      <c r="Y51" s="470"/>
      <c r="Z51" s="470"/>
      <c r="AA51" s="470"/>
      <c r="AB51" s="470"/>
      <c r="AC51" s="470"/>
      <c r="AD51" s="470"/>
      <c r="AE51" s="468"/>
      <c r="AF51" s="468"/>
      <c r="AG51" s="468"/>
      <c r="AH51" s="468"/>
      <c r="AI51" s="468"/>
      <c r="AJ51" s="468"/>
      <c r="AK51" s="468"/>
      <c r="AL51" s="468"/>
      <c r="AM51" s="468"/>
      <c r="AN51" s="468"/>
      <c r="AO51" s="468"/>
      <c r="AP51" s="468"/>
      <c r="AQ51" s="468"/>
      <c r="AR51" s="468"/>
      <c r="AS51" s="468"/>
      <c r="AT51" s="468"/>
      <c r="AU51" s="468"/>
      <c r="AV51" s="468"/>
      <c r="AW51" s="468"/>
      <c r="AX51" s="468"/>
      <c r="AY51" s="468"/>
      <c r="AZ51" s="468"/>
      <c r="BA51" s="468"/>
      <c r="BB51" s="468"/>
      <c r="BC51" s="468"/>
      <c r="BD51" s="468"/>
      <c r="BE51" s="468"/>
      <c r="BF51" s="468"/>
      <c r="BG51" s="1556"/>
      <c r="BH51" s="468"/>
      <c r="BI51" s="468"/>
      <c r="BJ51" s="468"/>
      <c r="BK51" s="468"/>
      <c r="BL51" s="468"/>
      <c r="BM51" s="468"/>
      <c r="BN51" s="468"/>
      <c r="BO51" s="468"/>
      <c r="BP51" s="468"/>
    </row>
    <row r="52" spans="1:68" ht="30.6" hidden="1" customHeight="1" outlineLevel="1" thickBot="1">
      <c r="A52" s="1058" t="s">
        <v>90</v>
      </c>
      <c r="B52" s="2413"/>
      <c r="C52" s="2413"/>
      <c r="D52" s="1354"/>
      <c r="E52" s="1544"/>
      <c r="F52" s="1545"/>
      <c r="G52" s="1545"/>
      <c r="H52" s="1546"/>
      <c r="I52" s="1548"/>
      <c r="J52" s="1306"/>
      <c r="K52" s="1307"/>
      <c r="L52" s="1407" t="str">
        <f t="shared" si="0"/>
        <v/>
      </c>
      <c r="M52" s="1212"/>
      <c r="N52" s="1213"/>
      <c r="O52" s="468"/>
      <c r="P52" s="468"/>
      <c r="Q52" s="468"/>
      <c r="R52" s="468"/>
      <c r="S52" s="470"/>
      <c r="T52" s="470"/>
      <c r="U52" s="470"/>
      <c r="V52" s="470"/>
      <c r="W52" s="470"/>
      <c r="X52" s="470"/>
      <c r="Y52" s="470"/>
      <c r="Z52" s="470"/>
      <c r="AA52" s="470"/>
      <c r="AB52" s="470"/>
      <c r="AC52" s="470"/>
      <c r="AD52" s="470"/>
      <c r="AE52" s="468"/>
      <c r="AF52" s="468"/>
      <c r="AG52" s="468"/>
      <c r="AH52" s="468"/>
      <c r="AI52" s="468"/>
      <c r="AJ52" s="468"/>
      <c r="AK52" s="468"/>
      <c r="AL52" s="468"/>
      <c r="AM52" s="468"/>
      <c r="AN52" s="468"/>
      <c r="AO52" s="468"/>
      <c r="AP52" s="468"/>
      <c r="AQ52" s="468"/>
      <c r="AR52" s="468"/>
      <c r="AS52" s="468"/>
      <c r="AT52" s="468"/>
      <c r="AU52" s="468"/>
      <c r="AV52" s="468"/>
      <c r="AW52" s="468"/>
      <c r="AX52" s="468"/>
      <c r="AY52" s="468"/>
      <c r="AZ52" s="468"/>
      <c r="BA52" s="468"/>
      <c r="BB52" s="468"/>
      <c r="BC52" s="468"/>
      <c r="BD52" s="468"/>
      <c r="BE52" s="468"/>
      <c r="BF52" s="468"/>
      <c r="BG52" s="1556"/>
      <c r="BH52" s="468"/>
      <c r="BI52" s="468"/>
      <c r="BJ52" s="468"/>
      <c r="BK52" s="468"/>
      <c r="BL52" s="468"/>
      <c r="BM52" s="468"/>
      <c r="BN52" s="468"/>
      <c r="BO52" s="468"/>
      <c r="BP52" s="468"/>
    </row>
    <row r="53" spans="1:68" ht="30.6" hidden="1" customHeight="1" outlineLevel="1" thickBot="1">
      <c r="A53" s="1058" t="s">
        <v>91</v>
      </c>
      <c r="B53" s="2413"/>
      <c r="C53" s="2413"/>
      <c r="D53" s="1354"/>
      <c r="E53" s="1544"/>
      <c r="F53" s="1545"/>
      <c r="G53" s="1545"/>
      <c r="H53" s="1546"/>
      <c r="I53" s="1548"/>
      <c r="J53" s="1306"/>
      <c r="K53" s="1307"/>
      <c r="L53" s="1407" t="str">
        <f t="shared" si="0"/>
        <v/>
      </c>
      <c r="M53" s="1212"/>
      <c r="N53" s="1213"/>
      <c r="O53" s="468"/>
      <c r="P53" s="468"/>
      <c r="Q53" s="468"/>
      <c r="R53" s="468"/>
      <c r="S53" s="470"/>
      <c r="T53" s="470"/>
      <c r="U53" s="470"/>
      <c r="V53" s="470"/>
      <c r="W53" s="470"/>
      <c r="X53" s="470"/>
      <c r="Y53" s="470"/>
      <c r="Z53" s="470"/>
      <c r="AA53" s="470"/>
      <c r="AB53" s="470"/>
      <c r="AC53" s="470"/>
      <c r="AD53" s="470"/>
      <c r="AE53" s="468"/>
      <c r="AF53" s="468"/>
      <c r="AG53" s="468"/>
      <c r="AH53" s="468"/>
      <c r="AI53" s="468"/>
      <c r="AJ53" s="468"/>
      <c r="AK53" s="468"/>
      <c r="AL53" s="468"/>
      <c r="AM53" s="468"/>
      <c r="AN53" s="468"/>
      <c r="AO53" s="468"/>
      <c r="AP53" s="468"/>
      <c r="AQ53" s="468"/>
      <c r="AR53" s="468"/>
      <c r="AS53" s="468"/>
      <c r="AT53" s="468"/>
      <c r="AU53" s="468"/>
      <c r="AV53" s="468"/>
      <c r="AW53" s="468"/>
      <c r="AX53" s="468"/>
      <c r="AY53" s="468"/>
      <c r="AZ53" s="468"/>
      <c r="BA53" s="468"/>
      <c r="BB53" s="468"/>
      <c r="BC53" s="468"/>
      <c r="BD53" s="468"/>
      <c r="BE53" s="468"/>
      <c r="BF53" s="468"/>
      <c r="BG53" s="1556"/>
      <c r="BH53" s="468"/>
      <c r="BI53" s="468"/>
      <c r="BJ53" s="468"/>
      <c r="BK53" s="468"/>
      <c r="BL53" s="468"/>
      <c r="BM53" s="468"/>
      <c r="BN53" s="468"/>
      <c r="BO53" s="468"/>
      <c r="BP53" s="468"/>
    </row>
    <row r="54" spans="1:68" ht="30.6" customHeight="1" collapsed="1" thickBot="1">
      <c r="A54" s="1058" t="s">
        <v>92</v>
      </c>
      <c r="B54" s="2413"/>
      <c r="C54" s="2413"/>
      <c r="D54" s="1354"/>
      <c r="E54" s="1544"/>
      <c r="F54" s="1545"/>
      <c r="G54" s="1545"/>
      <c r="H54" s="1546"/>
      <c r="I54" s="1548"/>
      <c r="J54" s="1306"/>
      <c r="K54" s="1307"/>
      <c r="L54" s="1407" t="str">
        <f t="shared" si="0"/>
        <v/>
      </c>
      <c r="M54" s="1212"/>
      <c r="N54" s="1213"/>
      <c r="O54" s="468"/>
      <c r="P54" s="468"/>
      <c r="Q54" s="468"/>
      <c r="R54" s="468"/>
      <c r="S54" s="470"/>
      <c r="T54" s="470"/>
      <c r="U54" s="470"/>
      <c r="V54" s="470"/>
      <c r="W54" s="470"/>
      <c r="X54" s="470"/>
      <c r="Y54" s="470"/>
      <c r="Z54" s="470"/>
      <c r="AA54" s="470"/>
      <c r="AB54" s="470"/>
      <c r="AC54" s="470"/>
      <c r="AD54" s="470"/>
      <c r="AE54" s="468"/>
      <c r="AF54" s="468"/>
      <c r="AG54" s="468"/>
      <c r="AH54" s="468"/>
      <c r="AI54" s="468"/>
      <c r="AJ54" s="468"/>
      <c r="AK54" s="468"/>
      <c r="AL54" s="468"/>
      <c r="AM54" s="468"/>
      <c r="AN54" s="468"/>
      <c r="AO54" s="468"/>
      <c r="AP54" s="468"/>
      <c r="AQ54" s="468"/>
      <c r="AR54" s="468"/>
      <c r="AS54" s="468"/>
      <c r="AT54" s="468"/>
      <c r="AU54" s="468"/>
      <c r="AV54" s="468"/>
      <c r="AW54" s="468"/>
      <c r="AX54" s="468"/>
      <c r="AY54" s="468"/>
      <c r="AZ54" s="468"/>
      <c r="BA54" s="468"/>
      <c r="BB54" s="468"/>
      <c r="BC54" s="468"/>
      <c r="BD54" s="468"/>
      <c r="BE54" s="468"/>
      <c r="BF54" s="468"/>
      <c r="BG54" s="1556"/>
      <c r="BH54" s="468"/>
      <c r="BI54" s="468"/>
      <c r="BJ54" s="468"/>
      <c r="BK54" s="468"/>
      <c r="BL54" s="468"/>
      <c r="BM54" s="468"/>
      <c r="BN54" s="468"/>
      <c r="BO54" s="468"/>
      <c r="BP54" s="468"/>
    </row>
    <row r="55" spans="1:68" ht="30.6" customHeight="1" thickBot="1">
      <c r="A55" s="1058" t="s">
        <v>93</v>
      </c>
      <c r="B55" s="2413"/>
      <c r="C55" s="2413"/>
      <c r="D55" s="1354"/>
      <c r="E55" s="1544"/>
      <c r="F55" s="1545"/>
      <c r="G55" s="1545"/>
      <c r="H55" s="1546"/>
      <c r="I55" s="1548"/>
      <c r="J55" s="1306"/>
      <c r="K55" s="1307"/>
      <c r="L55" s="1407" t="str">
        <f t="shared" si="0"/>
        <v/>
      </c>
      <c r="M55" s="1212"/>
      <c r="N55" s="1213"/>
      <c r="O55" s="468"/>
      <c r="P55" s="468"/>
      <c r="Q55" s="468"/>
      <c r="R55" s="468"/>
      <c r="S55" s="470"/>
      <c r="T55" s="470"/>
      <c r="U55" s="470"/>
      <c r="V55" s="470"/>
      <c r="W55" s="470"/>
      <c r="X55" s="470"/>
      <c r="Y55" s="470"/>
      <c r="Z55" s="470"/>
      <c r="AA55" s="470"/>
      <c r="AB55" s="470"/>
      <c r="AC55" s="470"/>
      <c r="AD55" s="470"/>
      <c r="AE55" s="468"/>
      <c r="AF55" s="468"/>
      <c r="AG55" s="468"/>
      <c r="AH55" s="468"/>
      <c r="AI55" s="468"/>
      <c r="AJ55" s="468"/>
      <c r="AK55" s="468"/>
      <c r="AL55" s="468"/>
      <c r="AM55" s="468"/>
      <c r="AN55" s="468"/>
      <c r="AO55" s="468"/>
      <c r="AP55" s="468"/>
      <c r="AQ55" s="468"/>
      <c r="AR55" s="468"/>
      <c r="AS55" s="468"/>
      <c r="AT55" s="468"/>
      <c r="AU55" s="468"/>
      <c r="AV55" s="468"/>
      <c r="AW55" s="468"/>
      <c r="AX55" s="468"/>
      <c r="AY55" s="468"/>
      <c r="AZ55" s="468"/>
      <c r="BA55" s="468"/>
      <c r="BB55" s="468"/>
      <c r="BC55" s="468"/>
      <c r="BD55" s="468"/>
      <c r="BE55" s="468"/>
      <c r="BF55" s="468"/>
      <c r="BG55" s="1556"/>
      <c r="BH55" s="468"/>
      <c r="BI55" s="468"/>
      <c r="BJ55" s="468"/>
      <c r="BK55" s="468"/>
      <c r="BL55" s="468"/>
      <c r="BM55" s="468"/>
      <c r="BN55" s="468"/>
      <c r="BO55" s="468"/>
      <c r="BP55" s="468"/>
    </row>
    <row r="56" spans="1:68" ht="30.6" hidden="1" customHeight="1" outlineLevel="1" thickBot="1">
      <c r="A56" s="1058" t="s">
        <v>94</v>
      </c>
      <c r="B56" s="2413"/>
      <c r="C56" s="2413"/>
      <c r="D56" s="1354"/>
      <c r="E56" s="1544"/>
      <c r="F56" s="1545"/>
      <c r="G56" s="1545"/>
      <c r="H56" s="1546"/>
      <c r="I56" s="1548"/>
      <c r="J56" s="1306"/>
      <c r="K56" s="1307"/>
      <c r="L56" s="1407" t="str">
        <f t="shared" si="0"/>
        <v/>
      </c>
      <c r="M56" s="1212"/>
      <c r="N56" s="1213"/>
      <c r="O56" s="468"/>
      <c r="P56" s="468"/>
      <c r="Q56" s="468"/>
      <c r="R56" s="468"/>
      <c r="S56" s="470"/>
      <c r="T56" s="470"/>
      <c r="U56" s="470"/>
      <c r="V56" s="470"/>
      <c r="W56" s="470"/>
      <c r="X56" s="470"/>
      <c r="Y56" s="470"/>
      <c r="Z56" s="470"/>
      <c r="AA56" s="470"/>
      <c r="AB56" s="470"/>
      <c r="AC56" s="470"/>
      <c r="AD56" s="470"/>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8"/>
      <c r="BC56" s="468"/>
      <c r="BD56" s="468"/>
      <c r="BE56" s="468"/>
      <c r="BF56" s="468"/>
      <c r="BG56" s="1556"/>
      <c r="BH56" s="468"/>
      <c r="BI56" s="468"/>
      <c r="BJ56" s="468"/>
      <c r="BK56" s="468"/>
      <c r="BL56" s="468"/>
      <c r="BM56" s="468"/>
      <c r="BN56" s="468"/>
      <c r="BO56" s="468"/>
      <c r="BP56" s="468"/>
    </row>
    <row r="57" spans="1:68" ht="30.6" hidden="1" customHeight="1" outlineLevel="1" thickBot="1">
      <c r="A57" s="1058" t="s">
        <v>95</v>
      </c>
      <c r="B57" s="2413"/>
      <c r="C57" s="2413"/>
      <c r="D57" s="1354"/>
      <c r="E57" s="1544"/>
      <c r="F57" s="1545"/>
      <c r="G57" s="1545"/>
      <c r="H57" s="1546"/>
      <c r="I57" s="1548"/>
      <c r="J57" s="1306"/>
      <c r="K57" s="1307"/>
      <c r="L57" s="1407" t="str">
        <f t="shared" si="0"/>
        <v/>
      </c>
      <c r="M57" s="1212"/>
      <c r="N57" s="1213"/>
      <c r="O57" s="468"/>
      <c r="P57" s="468"/>
      <c r="Q57" s="468"/>
      <c r="R57" s="468"/>
      <c r="S57" s="470"/>
      <c r="T57" s="470"/>
      <c r="U57" s="470"/>
      <c r="V57" s="470"/>
      <c r="W57" s="470"/>
      <c r="X57" s="470"/>
      <c r="Y57" s="470"/>
      <c r="Z57" s="470"/>
      <c r="AA57" s="470"/>
      <c r="AB57" s="470"/>
      <c r="AC57" s="470"/>
      <c r="AD57" s="470"/>
      <c r="AE57" s="468"/>
      <c r="AF57" s="468"/>
      <c r="AG57" s="468"/>
      <c r="AH57" s="468"/>
      <c r="AI57" s="468"/>
      <c r="AJ57" s="468"/>
      <c r="AK57" s="468"/>
      <c r="AL57" s="468"/>
      <c r="AM57" s="468"/>
      <c r="AN57" s="468"/>
      <c r="AO57" s="468"/>
      <c r="AP57" s="468"/>
      <c r="AQ57" s="468"/>
      <c r="AR57" s="468"/>
      <c r="AS57" s="468"/>
      <c r="AT57" s="468"/>
      <c r="AU57" s="468"/>
      <c r="AV57" s="468"/>
      <c r="AW57" s="468"/>
      <c r="AX57" s="468"/>
      <c r="AY57" s="468"/>
      <c r="AZ57" s="468"/>
      <c r="BA57" s="468"/>
      <c r="BB57" s="468"/>
      <c r="BC57" s="468"/>
      <c r="BD57" s="468"/>
      <c r="BE57" s="468"/>
      <c r="BF57" s="468"/>
      <c r="BG57" s="1556"/>
      <c r="BH57" s="468"/>
      <c r="BI57" s="468"/>
      <c r="BJ57" s="468"/>
      <c r="BK57" s="468"/>
      <c r="BL57" s="468"/>
      <c r="BM57" s="468"/>
      <c r="BN57" s="468"/>
      <c r="BO57" s="468"/>
      <c r="BP57" s="468"/>
    </row>
    <row r="58" spans="1:68" ht="30.6" hidden="1" customHeight="1" outlineLevel="1" thickBot="1">
      <c r="A58" s="1058" t="s">
        <v>96</v>
      </c>
      <c r="B58" s="2413"/>
      <c r="C58" s="2413"/>
      <c r="D58" s="1354"/>
      <c r="E58" s="1544"/>
      <c r="F58" s="1545"/>
      <c r="G58" s="1545"/>
      <c r="H58" s="1546"/>
      <c r="I58" s="1548"/>
      <c r="J58" s="1306"/>
      <c r="K58" s="1307"/>
      <c r="L58" s="1407" t="str">
        <f t="shared" si="0"/>
        <v/>
      </c>
      <c r="M58" s="1212"/>
      <c r="N58" s="1213"/>
      <c r="O58" s="468"/>
      <c r="P58" s="468"/>
      <c r="Q58" s="468"/>
      <c r="R58" s="468"/>
      <c r="S58" s="470"/>
      <c r="T58" s="470"/>
      <c r="U58" s="470"/>
      <c r="V58" s="470"/>
      <c r="W58" s="470"/>
      <c r="X58" s="470"/>
      <c r="Y58" s="470"/>
      <c r="Z58" s="470"/>
      <c r="AA58" s="470"/>
      <c r="AB58" s="470"/>
      <c r="AC58" s="470"/>
      <c r="AD58" s="470"/>
      <c r="AE58" s="468"/>
      <c r="AF58" s="468"/>
      <c r="AG58" s="468"/>
      <c r="AH58" s="468"/>
      <c r="AI58" s="468"/>
      <c r="AJ58" s="468"/>
      <c r="AK58" s="468"/>
      <c r="AL58" s="468"/>
      <c r="AM58" s="468"/>
      <c r="AN58" s="468"/>
      <c r="AO58" s="468"/>
      <c r="AP58" s="468"/>
      <c r="AQ58" s="468"/>
      <c r="AR58" s="468"/>
      <c r="AS58" s="468"/>
      <c r="AT58" s="468"/>
      <c r="AU58" s="468"/>
      <c r="AV58" s="468"/>
      <c r="AW58" s="468"/>
      <c r="AX58" s="468"/>
      <c r="AY58" s="468"/>
      <c r="AZ58" s="468"/>
      <c r="BA58" s="468"/>
      <c r="BB58" s="468"/>
      <c r="BC58" s="468"/>
      <c r="BD58" s="468"/>
      <c r="BE58" s="468"/>
      <c r="BF58" s="468"/>
      <c r="BG58" s="1556"/>
      <c r="BH58" s="468"/>
      <c r="BI58" s="468"/>
      <c r="BJ58" s="468"/>
      <c r="BK58" s="468"/>
      <c r="BL58" s="468"/>
      <c r="BM58" s="468"/>
      <c r="BN58" s="468"/>
      <c r="BO58" s="468"/>
      <c r="BP58" s="468"/>
    </row>
    <row r="59" spans="1:68" ht="30.6" hidden="1" customHeight="1" outlineLevel="1" thickBot="1">
      <c r="A59" s="1058" t="s">
        <v>97</v>
      </c>
      <c r="B59" s="2413"/>
      <c r="C59" s="2413"/>
      <c r="D59" s="1354"/>
      <c r="E59" s="1544"/>
      <c r="F59" s="1545"/>
      <c r="G59" s="1545"/>
      <c r="H59" s="1546"/>
      <c r="I59" s="1548"/>
      <c r="J59" s="1306"/>
      <c r="K59" s="1307"/>
      <c r="L59" s="1407" t="str">
        <f t="shared" si="0"/>
        <v/>
      </c>
      <c r="M59" s="1212"/>
      <c r="N59" s="1213"/>
      <c r="O59" s="468"/>
      <c r="P59" s="468"/>
      <c r="Q59" s="468"/>
      <c r="R59" s="468"/>
      <c r="S59" s="470"/>
      <c r="T59" s="470"/>
      <c r="U59" s="470"/>
      <c r="V59" s="470"/>
      <c r="W59" s="470"/>
      <c r="X59" s="470"/>
      <c r="Y59" s="470"/>
      <c r="Z59" s="470"/>
      <c r="AA59" s="470"/>
      <c r="AB59" s="470"/>
      <c r="AC59" s="470"/>
      <c r="AD59" s="470"/>
      <c r="AE59" s="468"/>
      <c r="AF59" s="468"/>
      <c r="AG59" s="468"/>
      <c r="AH59" s="468"/>
      <c r="AI59" s="468"/>
      <c r="AJ59" s="468"/>
      <c r="AK59" s="468"/>
      <c r="AL59" s="468"/>
      <c r="AM59" s="468"/>
      <c r="AN59" s="468"/>
      <c r="AO59" s="468"/>
      <c r="AP59" s="468"/>
      <c r="AQ59" s="468"/>
      <c r="AR59" s="468"/>
      <c r="AS59" s="468"/>
      <c r="AT59" s="468"/>
      <c r="AU59" s="468"/>
      <c r="AV59" s="468"/>
      <c r="AW59" s="468"/>
      <c r="AX59" s="468"/>
      <c r="AY59" s="468"/>
      <c r="AZ59" s="468"/>
      <c r="BA59" s="468"/>
      <c r="BB59" s="468"/>
      <c r="BC59" s="468"/>
      <c r="BD59" s="468"/>
      <c r="BE59" s="468"/>
      <c r="BF59" s="468"/>
      <c r="BG59" s="1556"/>
      <c r="BH59" s="468"/>
      <c r="BI59" s="468"/>
      <c r="BJ59" s="468"/>
      <c r="BK59" s="468"/>
      <c r="BL59" s="468"/>
      <c r="BM59" s="468"/>
      <c r="BN59" s="468"/>
      <c r="BO59" s="468"/>
      <c r="BP59" s="468"/>
    </row>
    <row r="60" spans="1:68" ht="30.6" hidden="1" customHeight="1" outlineLevel="1" thickBot="1">
      <c r="A60" s="1058" t="s">
        <v>98</v>
      </c>
      <c r="B60" s="2413"/>
      <c r="C60" s="2413"/>
      <c r="D60" s="1354"/>
      <c r="E60" s="1544"/>
      <c r="F60" s="1545"/>
      <c r="G60" s="1545"/>
      <c r="H60" s="1546"/>
      <c r="I60" s="1548"/>
      <c r="J60" s="1306"/>
      <c r="K60" s="1307"/>
      <c r="L60" s="1407" t="str">
        <f t="shared" si="0"/>
        <v/>
      </c>
      <c r="M60" s="1212"/>
      <c r="N60" s="1213"/>
      <c r="O60" s="468"/>
      <c r="P60" s="468"/>
      <c r="Q60" s="468"/>
      <c r="R60" s="468"/>
      <c r="S60" s="470"/>
      <c r="T60" s="470"/>
      <c r="U60" s="470"/>
      <c r="V60" s="470"/>
      <c r="W60" s="470"/>
      <c r="X60" s="470"/>
      <c r="Y60" s="470"/>
      <c r="Z60" s="470"/>
      <c r="AA60" s="470"/>
      <c r="AB60" s="470"/>
      <c r="AC60" s="470"/>
      <c r="AD60" s="470"/>
      <c r="AE60" s="468"/>
      <c r="AF60" s="468"/>
      <c r="AG60" s="468"/>
      <c r="AH60" s="468"/>
      <c r="AI60" s="468"/>
      <c r="AJ60" s="468"/>
      <c r="AK60" s="468"/>
      <c r="AL60" s="468"/>
      <c r="AM60" s="468"/>
      <c r="AN60" s="468"/>
      <c r="AO60" s="468"/>
      <c r="AP60" s="468"/>
      <c r="AQ60" s="468"/>
      <c r="AR60" s="468"/>
      <c r="AS60" s="468"/>
      <c r="AT60" s="468"/>
      <c r="AU60" s="468"/>
      <c r="AV60" s="468"/>
      <c r="AW60" s="468"/>
      <c r="AX60" s="468"/>
      <c r="AY60" s="468"/>
      <c r="AZ60" s="468"/>
      <c r="BA60" s="468"/>
      <c r="BB60" s="468"/>
      <c r="BC60" s="468"/>
      <c r="BD60" s="468"/>
      <c r="BE60" s="468"/>
      <c r="BF60" s="468"/>
      <c r="BG60" s="1556"/>
      <c r="BH60" s="468"/>
      <c r="BI60" s="468"/>
      <c r="BJ60" s="468"/>
      <c r="BK60" s="468"/>
      <c r="BL60" s="468"/>
      <c r="BM60" s="468"/>
      <c r="BN60" s="468"/>
      <c r="BO60" s="468"/>
      <c r="BP60" s="468"/>
    </row>
    <row r="61" spans="1:68" ht="30.6" hidden="1" customHeight="1" outlineLevel="1" thickBot="1">
      <c r="A61" s="1058" t="s">
        <v>99</v>
      </c>
      <c r="B61" s="2413"/>
      <c r="C61" s="2413"/>
      <c r="D61" s="1354"/>
      <c r="E61" s="1544"/>
      <c r="F61" s="1545"/>
      <c r="G61" s="1545"/>
      <c r="H61" s="1546"/>
      <c r="I61" s="1548"/>
      <c r="J61" s="1306"/>
      <c r="K61" s="1307"/>
      <c r="L61" s="1407" t="str">
        <f t="shared" si="0"/>
        <v/>
      </c>
      <c r="M61" s="1212"/>
      <c r="N61" s="1213"/>
      <c r="O61" s="468"/>
      <c r="P61" s="468"/>
      <c r="Q61" s="468"/>
      <c r="R61" s="468"/>
      <c r="S61" s="470"/>
      <c r="T61" s="470"/>
      <c r="U61" s="470"/>
      <c r="V61" s="470"/>
      <c r="W61" s="470"/>
      <c r="X61" s="470"/>
      <c r="Y61" s="470"/>
      <c r="Z61" s="470"/>
      <c r="AA61" s="470"/>
      <c r="AB61" s="470"/>
      <c r="AC61" s="470"/>
      <c r="AD61" s="470"/>
      <c r="AE61" s="468"/>
      <c r="AF61" s="468"/>
      <c r="AG61" s="468"/>
      <c r="AH61" s="468"/>
      <c r="AI61" s="468"/>
      <c r="AJ61" s="468"/>
      <c r="AK61" s="468"/>
      <c r="AL61" s="468"/>
      <c r="AM61" s="468"/>
      <c r="AN61" s="468"/>
      <c r="AO61" s="468"/>
      <c r="AP61" s="468"/>
      <c r="AQ61" s="468"/>
      <c r="AR61" s="468"/>
      <c r="AS61" s="468"/>
      <c r="AT61" s="468"/>
      <c r="AU61" s="468"/>
      <c r="AV61" s="468"/>
      <c r="AW61" s="468"/>
      <c r="AX61" s="468"/>
      <c r="AY61" s="468"/>
      <c r="AZ61" s="468"/>
      <c r="BA61" s="468"/>
      <c r="BB61" s="468"/>
      <c r="BC61" s="468"/>
      <c r="BD61" s="468"/>
      <c r="BE61" s="468"/>
      <c r="BF61" s="468"/>
      <c r="BG61" s="1556"/>
      <c r="BH61" s="468"/>
      <c r="BI61" s="468"/>
      <c r="BJ61" s="468"/>
      <c r="BK61" s="468"/>
      <c r="BL61" s="468"/>
      <c r="BM61" s="468"/>
      <c r="BN61" s="468"/>
      <c r="BO61" s="468"/>
      <c r="BP61" s="468"/>
    </row>
    <row r="62" spans="1:68" ht="30.6" hidden="1" customHeight="1" outlineLevel="1" thickBot="1">
      <c r="A62" s="1058" t="s">
        <v>100</v>
      </c>
      <c r="B62" s="2413"/>
      <c r="C62" s="2413"/>
      <c r="D62" s="1354"/>
      <c r="E62" s="1544"/>
      <c r="F62" s="1545"/>
      <c r="G62" s="1545"/>
      <c r="H62" s="1546"/>
      <c r="I62" s="1548"/>
      <c r="J62" s="1306"/>
      <c r="K62" s="1307"/>
      <c r="L62" s="1407" t="str">
        <f t="shared" si="0"/>
        <v/>
      </c>
      <c r="M62" s="1212"/>
      <c r="N62" s="1213"/>
      <c r="O62" s="468"/>
      <c r="P62" s="468"/>
      <c r="Q62" s="468"/>
      <c r="R62" s="468"/>
      <c r="S62" s="470"/>
      <c r="T62" s="470"/>
      <c r="U62" s="470"/>
      <c r="V62" s="470"/>
      <c r="W62" s="470"/>
      <c r="X62" s="470"/>
      <c r="Y62" s="470"/>
      <c r="Z62" s="470"/>
      <c r="AA62" s="470"/>
      <c r="AB62" s="470"/>
      <c r="AC62" s="470"/>
      <c r="AD62" s="470"/>
      <c r="AE62" s="468"/>
      <c r="AF62" s="468"/>
      <c r="AG62" s="468"/>
      <c r="AH62" s="468"/>
      <c r="AI62" s="468"/>
      <c r="AJ62" s="468"/>
      <c r="AK62" s="468"/>
      <c r="AL62" s="468"/>
      <c r="AM62" s="468"/>
      <c r="AN62" s="468"/>
      <c r="AO62" s="468"/>
      <c r="AP62" s="468"/>
      <c r="AQ62" s="468"/>
      <c r="AR62" s="468"/>
      <c r="AS62" s="468"/>
      <c r="AT62" s="468"/>
      <c r="AU62" s="468"/>
      <c r="AV62" s="468"/>
      <c r="AW62" s="468"/>
      <c r="AX62" s="468"/>
      <c r="AY62" s="468"/>
      <c r="AZ62" s="468"/>
      <c r="BA62" s="468"/>
      <c r="BB62" s="468"/>
      <c r="BC62" s="468"/>
      <c r="BD62" s="468"/>
      <c r="BE62" s="468"/>
      <c r="BF62" s="468"/>
      <c r="BG62" s="1556"/>
      <c r="BH62" s="468"/>
      <c r="BI62" s="468"/>
      <c r="BJ62" s="468"/>
      <c r="BK62" s="468"/>
      <c r="BL62" s="468"/>
      <c r="BM62" s="468"/>
      <c r="BN62" s="468"/>
      <c r="BO62" s="468"/>
      <c r="BP62" s="468"/>
    </row>
    <row r="63" spans="1:68" ht="30.6" hidden="1" customHeight="1" outlineLevel="1" thickBot="1">
      <c r="A63" s="1058" t="s">
        <v>101</v>
      </c>
      <c r="B63" s="2413"/>
      <c r="C63" s="2413"/>
      <c r="D63" s="1354"/>
      <c r="E63" s="1544"/>
      <c r="F63" s="1545"/>
      <c r="G63" s="1545"/>
      <c r="H63" s="1546"/>
      <c r="I63" s="1548"/>
      <c r="J63" s="1306"/>
      <c r="K63" s="1307"/>
      <c r="L63" s="1407" t="str">
        <f t="shared" si="0"/>
        <v/>
      </c>
      <c r="M63" s="1212"/>
      <c r="N63" s="1213"/>
      <c r="O63" s="468"/>
      <c r="P63" s="468"/>
      <c r="Q63" s="468"/>
      <c r="R63" s="468"/>
      <c r="S63" s="470"/>
      <c r="T63" s="470"/>
      <c r="U63" s="470"/>
      <c r="V63" s="470"/>
      <c r="W63" s="470"/>
      <c r="X63" s="470"/>
      <c r="Y63" s="470"/>
      <c r="Z63" s="470"/>
      <c r="AA63" s="470"/>
      <c r="AB63" s="470"/>
      <c r="AC63" s="470"/>
      <c r="AD63" s="470"/>
      <c r="AE63" s="468"/>
      <c r="AF63" s="468"/>
      <c r="AG63" s="468"/>
      <c r="AH63" s="468"/>
      <c r="AI63" s="468"/>
      <c r="AJ63" s="468"/>
      <c r="AK63" s="468"/>
      <c r="AL63" s="468"/>
      <c r="AM63" s="468"/>
      <c r="AN63" s="468"/>
      <c r="AO63" s="468"/>
      <c r="AP63" s="468"/>
      <c r="AQ63" s="468"/>
      <c r="AR63" s="468"/>
      <c r="AS63" s="468"/>
      <c r="AT63" s="468"/>
      <c r="AU63" s="468"/>
      <c r="AV63" s="468"/>
      <c r="AW63" s="468"/>
      <c r="AX63" s="468"/>
      <c r="AY63" s="468"/>
      <c r="AZ63" s="468"/>
      <c r="BA63" s="468"/>
      <c r="BB63" s="468"/>
      <c r="BC63" s="468"/>
      <c r="BD63" s="468"/>
      <c r="BE63" s="468"/>
      <c r="BF63" s="468"/>
      <c r="BG63" s="1556"/>
      <c r="BH63" s="468"/>
      <c r="BI63" s="468"/>
      <c r="BJ63" s="468"/>
      <c r="BK63" s="468"/>
      <c r="BL63" s="468"/>
      <c r="BM63" s="468"/>
      <c r="BN63" s="468"/>
      <c r="BO63" s="468"/>
      <c r="BP63" s="468"/>
    </row>
    <row r="64" spans="1:68" ht="30.6" hidden="1" customHeight="1" outlineLevel="1" thickBot="1">
      <c r="A64" s="1058" t="s">
        <v>102</v>
      </c>
      <c r="B64" s="2413"/>
      <c r="C64" s="2413"/>
      <c r="D64" s="1354"/>
      <c r="E64" s="1544"/>
      <c r="F64" s="1545"/>
      <c r="G64" s="1545"/>
      <c r="H64" s="1546"/>
      <c r="I64" s="1548"/>
      <c r="J64" s="1306"/>
      <c r="K64" s="1307"/>
      <c r="L64" s="1407" t="str">
        <f t="shared" si="0"/>
        <v/>
      </c>
      <c r="M64" s="1212"/>
      <c r="N64" s="1213"/>
      <c r="O64" s="468"/>
      <c r="P64" s="468"/>
      <c r="Q64" s="468"/>
      <c r="R64" s="468"/>
      <c r="S64" s="470"/>
      <c r="T64" s="470"/>
      <c r="U64" s="470"/>
      <c r="V64" s="470"/>
      <c r="W64" s="470"/>
      <c r="X64" s="470"/>
      <c r="Y64" s="470"/>
      <c r="Z64" s="470"/>
      <c r="AA64" s="470"/>
      <c r="AB64" s="470"/>
      <c r="AC64" s="470"/>
      <c r="AD64" s="470"/>
      <c r="AE64" s="468"/>
      <c r="AF64" s="468"/>
      <c r="AG64" s="468"/>
      <c r="AH64" s="468"/>
      <c r="AI64" s="468"/>
      <c r="AJ64" s="468"/>
      <c r="AK64" s="468"/>
      <c r="AL64" s="468"/>
      <c r="AM64" s="468"/>
      <c r="AN64" s="468"/>
      <c r="AO64" s="468"/>
      <c r="AP64" s="468"/>
      <c r="AQ64" s="468"/>
      <c r="AR64" s="468"/>
      <c r="AS64" s="468"/>
      <c r="AT64" s="468"/>
      <c r="AU64" s="468"/>
      <c r="AV64" s="468"/>
      <c r="AW64" s="468"/>
      <c r="AX64" s="468"/>
      <c r="AY64" s="468"/>
      <c r="AZ64" s="468"/>
      <c r="BA64" s="468"/>
      <c r="BB64" s="468"/>
      <c r="BC64" s="468"/>
      <c r="BD64" s="468"/>
      <c r="BE64" s="468"/>
      <c r="BF64" s="468"/>
      <c r="BG64" s="1556"/>
      <c r="BH64" s="468"/>
      <c r="BI64" s="468"/>
      <c r="BJ64" s="468"/>
      <c r="BK64" s="468"/>
      <c r="BL64" s="468"/>
      <c r="BM64" s="468"/>
      <c r="BN64" s="468"/>
      <c r="BO64" s="468"/>
      <c r="BP64" s="468"/>
    </row>
    <row r="65" spans="1:68" ht="30.6" hidden="1" customHeight="1" outlineLevel="1" thickBot="1">
      <c r="A65" s="1058" t="s">
        <v>103</v>
      </c>
      <c r="B65" s="2413"/>
      <c r="C65" s="2413"/>
      <c r="D65" s="1354"/>
      <c r="E65" s="1544"/>
      <c r="F65" s="1545"/>
      <c r="G65" s="1545"/>
      <c r="H65" s="1546"/>
      <c r="I65" s="1548"/>
      <c r="J65" s="1306"/>
      <c r="K65" s="1307"/>
      <c r="L65" s="1407" t="str">
        <f t="shared" si="0"/>
        <v/>
      </c>
      <c r="M65" s="1212"/>
      <c r="N65" s="1213"/>
      <c r="O65" s="468"/>
      <c r="P65" s="468"/>
      <c r="Q65" s="468"/>
      <c r="R65" s="468"/>
      <c r="S65" s="470"/>
      <c r="T65" s="470"/>
      <c r="U65" s="470"/>
      <c r="V65" s="470"/>
      <c r="W65" s="470"/>
      <c r="X65" s="470"/>
      <c r="Y65" s="470"/>
      <c r="Z65" s="470"/>
      <c r="AA65" s="470"/>
      <c r="AB65" s="470"/>
      <c r="AC65" s="470"/>
      <c r="AD65" s="470"/>
      <c r="AE65" s="468"/>
      <c r="AF65" s="468"/>
      <c r="AG65" s="468"/>
      <c r="AH65" s="468"/>
      <c r="AI65" s="468"/>
      <c r="AJ65" s="468"/>
      <c r="AK65" s="468"/>
      <c r="AL65" s="468"/>
      <c r="AM65" s="468"/>
      <c r="AN65" s="468"/>
      <c r="AO65" s="468"/>
      <c r="AP65" s="468"/>
      <c r="AQ65" s="468"/>
      <c r="AR65" s="468"/>
      <c r="AS65" s="468"/>
      <c r="AT65" s="468"/>
      <c r="AU65" s="468"/>
      <c r="AV65" s="468"/>
      <c r="AW65" s="468"/>
      <c r="AX65" s="468"/>
      <c r="AY65" s="468"/>
      <c r="AZ65" s="468"/>
      <c r="BA65" s="468"/>
      <c r="BB65" s="468"/>
      <c r="BC65" s="468"/>
      <c r="BD65" s="468"/>
      <c r="BE65" s="468"/>
      <c r="BF65" s="468"/>
      <c r="BG65" s="1556"/>
      <c r="BH65" s="468"/>
      <c r="BI65" s="468"/>
      <c r="BJ65" s="468"/>
      <c r="BK65" s="468"/>
      <c r="BL65" s="468"/>
      <c r="BM65" s="468"/>
      <c r="BN65" s="468"/>
      <c r="BO65" s="468"/>
      <c r="BP65" s="468"/>
    </row>
    <row r="66" spans="1:68" ht="30.6" hidden="1" customHeight="1" outlineLevel="1" thickBot="1">
      <c r="A66" s="1058" t="s">
        <v>104</v>
      </c>
      <c r="B66" s="2413"/>
      <c r="C66" s="2413"/>
      <c r="D66" s="1354"/>
      <c r="E66" s="1544"/>
      <c r="F66" s="1545"/>
      <c r="G66" s="1545"/>
      <c r="H66" s="1546"/>
      <c r="I66" s="1548"/>
      <c r="J66" s="1306"/>
      <c r="K66" s="1307"/>
      <c r="L66" s="1407" t="str">
        <f t="shared" si="0"/>
        <v/>
      </c>
      <c r="M66" s="1212"/>
      <c r="N66" s="1213"/>
      <c r="O66" s="468"/>
      <c r="P66" s="468"/>
      <c r="Q66" s="468"/>
      <c r="R66" s="468"/>
      <c r="S66" s="470"/>
      <c r="T66" s="470"/>
      <c r="U66" s="470"/>
      <c r="V66" s="470"/>
      <c r="W66" s="470"/>
      <c r="X66" s="470"/>
      <c r="Y66" s="470"/>
      <c r="Z66" s="470"/>
      <c r="AA66" s="470"/>
      <c r="AB66" s="470"/>
      <c r="AC66" s="470"/>
      <c r="AD66" s="470"/>
      <c r="AE66" s="468"/>
      <c r="AF66" s="468"/>
      <c r="AG66" s="468"/>
      <c r="AH66" s="468"/>
      <c r="AI66" s="468"/>
      <c r="AJ66" s="468"/>
      <c r="AK66" s="468"/>
      <c r="AL66" s="468"/>
      <c r="AM66" s="468"/>
      <c r="AN66" s="468"/>
      <c r="AO66" s="468"/>
      <c r="AP66" s="468"/>
      <c r="AQ66" s="468"/>
      <c r="AR66" s="468"/>
      <c r="AS66" s="468"/>
      <c r="AT66" s="468"/>
      <c r="AU66" s="468"/>
      <c r="AV66" s="468"/>
      <c r="AW66" s="468"/>
      <c r="AX66" s="468"/>
      <c r="AY66" s="468"/>
      <c r="AZ66" s="468"/>
      <c r="BA66" s="468"/>
      <c r="BB66" s="468"/>
      <c r="BC66" s="468"/>
      <c r="BD66" s="468"/>
      <c r="BE66" s="468"/>
      <c r="BF66" s="468"/>
      <c r="BG66" s="1556"/>
      <c r="BH66" s="468"/>
      <c r="BI66" s="468"/>
      <c r="BJ66" s="468"/>
      <c r="BK66" s="468"/>
      <c r="BL66" s="468"/>
      <c r="BM66" s="468"/>
      <c r="BN66" s="468"/>
      <c r="BO66" s="468"/>
      <c r="BP66" s="468"/>
    </row>
    <row r="67" spans="1:68" ht="30.6" hidden="1" customHeight="1" outlineLevel="1" thickBot="1">
      <c r="A67" s="1058" t="s">
        <v>105</v>
      </c>
      <c r="B67" s="2413"/>
      <c r="C67" s="2413"/>
      <c r="D67" s="1354"/>
      <c r="E67" s="1544"/>
      <c r="F67" s="1545"/>
      <c r="G67" s="1545"/>
      <c r="H67" s="1546"/>
      <c r="I67" s="1548"/>
      <c r="J67" s="1306"/>
      <c r="K67" s="1307"/>
      <c r="L67" s="1407" t="str">
        <f t="shared" si="0"/>
        <v/>
      </c>
      <c r="M67" s="1212"/>
      <c r="N67" s="1213"/>
      <c r="O67" s="468"/>
      <c r="P67" s="468"/>
      <c r="Q67" s="468"/>
      <c r="R67" s="468"/>
      <c r="S67" s="470"/>
      <c r="T67" s="470"/>
      <c r="U67" s="470"/>
      <c r="V67" s="470"/>
      <c r="W67" s="470"/>
      <c r="X67" s="470"/>
      <c r="Y67" s="470"/>
      <c r="Z67" s="470"/>
      <c r="AA67" s="470"/>
      <c r="AB67" s="470"/>
      <c r="AC67" s="470"/>
      <c r="AD67" s="470"/>
      <c r="AE67" s="468"/>
      <c r="AF67" s="468"/>
      <c r="AG67" s="468"/>
      <c r="AH67" s="468"/>
      <c r="AI67" s="468"/>
      <c r="AJ67" s="468"/>
      <c r="AK67" s="468"/>
      <c r="AL67" s="468"/>
      <c r="AM67" s="468"/>
      <c r="AN67" s="468"/>
      <c r="AO67" s="468"/>
      <c r="AP67" s="468"/>
      <c r="AQ67" s="468"/>
      <c r="AR67" s="468"/>
      <c r="AS67" s="468"/>
      <c r="AT67" s="468"/>
      <c r="AU67" s="468"/>
      <c r="AV67" s="468"/>
      <c r="AW67" s="468"/>
      <c r="AX67" s="468"/>
      <c r="AY67" s="468"/>
      <c r="AZ67" s="468"/>
      <c r="BA67" s="468"/>
      <c r="BB67" s="468"/>
      <c r="BC67" s="468"/>
      <c r="BD67" s="468"/>
      <c r="BE67" s="468"/>
      <c r="BF67" s="468"/>
      <c r="BG67" s="1556"/>
      <c r="BH67" s="468"/>
      <c r="BI67" s="468"/>
      <c r="BJ67" s="468"/>
      <c r="BK67" s="468"/>
      <c r="BL67" s="468"/>
      <c r="BM67" s="468"/>
      <c r="BN67" s="468"/>
      <c r="BO67" s="468"/>
      <c r="BP67" s="468"/>
    </row>
    <row r="68" spans="1:68" ht="30.6" hidden="1" customHeight="1" outlineLevel="1" thickBot="1">
      <c r="A68" s="1058" t="s">
        <v>106</v>
      </c>
      <c r="B68" s="2413"/>
      <c r="C68" s="2413"/>
      <c r="D68" s="1354"/>
      <c r="E68" s="1544"/>
      <c r="F68" s="1545"/>
      <c r="G68" s="1545"/>
      <c r="H68" s="1546"/>
      <c r="I68" s="1548"/>
      <c r="J68" s="1306"/>
      <c r="K68" s="1307"/>
      <c r="L68" s="1407" t="str">
        <f t="shared" si="0"/>
        <v/>
      </c>
      <c r="M68" s="1212"/>
      <c r="N68" s="1213"/>
      <c r="O68" s="468"/>
      <c r="P68" s="468"/>
      <c r="Q68" s="468"/>
      <c r="R68" s="468"/>
      <c r="S68" s="470"/>
      <c r="T68" s="470"/>
      <c r="U68" s="470"/>
      <c r="V68" s="470"/>
      <c r="W68" s="470"/>
      <c r="X68" s="470"/>
      <c r="Y68" s="470"/>
      <c r="Z68" s="470"/>
      <c r="AA68" s="470"/>
      <c r="AB68" s="470"/>
      <c r="AC68" s="470"/>
      <c r="AD68" s="470"/>
      <c r="AE68" s="468"/>
      <c r="AF68" s="468"/>
      <c r="AG68" s="468"/>
      <c r="AH68" s="468"/>
      <c r="AI68" s="468"/>
      <c r="AJ68" s="468"/>
      <c r="AK68" s="468"/>
      <c r="AL68" s="468"/>
      <c r="AM68" s="468"/>
      <c r="AN68" s="468"/>
      <c r="AO68" s="468"/>
      <c r="AP68" s="468"/>
      <c r="AQ68" s="468"/>
      <c r="AR68" s="468"/>
      <c r="AS68" s="468"/>
      <c r="AT68" s="468"/>
      <c r="AU68" s="468"/>
      <c r="AV68" s="468"/>
      <c r="AW68" s="468"/>
      <c r="AX68" s="468"/>
      <c r="AY68" s="468"/>
      <c r="AZ68" s="468"/>
      <c r="BA68" s="468"/>
      <c r="BB68" s="468"/>
      <c r="BC68" s="468"/>
      <c r="BD68" s="468"/>
      <c r="BE68" s="468"/>
      <c r="BF68" s="468"/>
      <c r="BG68" s="1556"/>
      <c r="BH68" s="468"/>
      <c r="BI68" s="468"/>
      <c r="BJ68" s="468"/>
      <c r="BK68" s="468"/>
      <c r="BL68" s="468"/>
      <c r="BM68" s="468"/>
      <c r="BN68" s="468"/>
      <c r="BO68" s="468"/>
      <c r="BP68" s="468"/>
    </row>
    <row r="69" spans="1:68" ht="30.6" hidden="1" customHeight="1" outlineLevel="1" thickBot="1">
      <c r="A69" s="1058" t="s">
        <v>107</v>
      </c>
      <c r="B69" s="2413"/>
      <c r="C69" s="2413"/>
      <c r="D69" s="1354"/>
      <c r="E69" s="1544"/>
      <c r="F69" s="1545"/>
      <c r="G69" s="1545"/>
      <c r="H69" s="1546"/>
      <c r="I69" s="1548"/>
      <c r="J69" s="1306"/>
      <c r="K69" s="1307"/>
      <c r="L69" s="1407" t="str">
        <f t="shared" si="0"/>
        <v/>
      </c>
      <c r="M69" s="1212"/>
      <c r="N69" s="1213"/>
      <c r="O69" s="468"/>
      <c r="P69" s="468"/>
      <c r="Q69" s="468"/>
      <c r="R69" s="468"/>
      <c r="S69" s="470"/>
      <c r="T69" s="470"/>
      <c r="U69" s="470"/>
      <c r="V69" s="470"/>
      <c r="W69" s="470"/>
      <c r="X69" s="470"/>
      <c r="Y69" s="470"/>
      <c r="Z69" s="470"/>
      <c r="AA69" s="470"/>
      <c r="AB69" s="470"/>
      <c r="AC69" s="470"/>
      <c r="AD69" s="470"/>
      <c r="AE69" s="468"/>
      <c r="AF69" s="468"/>
      <c r="AG69" s="468"/>
      <c r="AH69" s="468"/>
      <c r="AI69" s="468"/>
      <c r="AJ69" s="468"/>
      <c r="AK69" s="468"/>
      <c r="AL69" s="468"/>
      <c r="AM69" s="468"/>
      <c r="AN69" s="468"/>
      <c r="AO69" s="468"/>
      <c r="AP69" s="468"/>
      <c r="AQ69" s="468"/>
      <c r="AR69" s="468"/>
      <c r="AS69" s="468"/>
      <c r="AT69" s="468"/>
      <c r="AU69" s="468"/>
      <c r="AV69" s="468"/>
      <c r="AW69" s="468"/>
      <c r="AX69" s="468"/>
      <c r="AY69" s="468"/>
      <c r="AZ69" s="468"/>
      <c r="BA69" s="468"/>
      <c r="BB69" s="468"/>
      <c r="BC69" s="468"/>
      <c r="BD69" s="468"/>
      <c r="BE69" s="468"/>
      <c r="BF69" s="468"/>
      <c r="BG69" s="1556"/>
      <c r="BH69" s="468"/>
      <c r="BI69" s="468"/>
      <c r="BJ69" s="468"/>
      <c r="BK69" s="468"/>
      <c r="BL69" s="468"/>
      <c r="BM69" s="468"/>
      <c r="BN69" s="468"/>
      <c r="BO69" s="468"/>
      <c r="BP69" s="468"/>
    </row>
    <row r="70" spans="1:68" ht="30.6" hidden="1" customHeight="1" outlineLevel="1" thickBot="1">
      <c r="A70" s="1058" t="s">
        <v>108</v>
      </c>
      <c r="B70" s="2413"/>
      <c r="C70" s="2413"/>
      <c r="D70" s="1354"/>
      <c r="E70" s="1544"/>
      <c r="F70" s="1545"/>
      <c r="G70" s="1545"/>
      <c r="H70" s="1546"/>
      <c r="I70" s="1548"/>
      <c r="J70" s="1306"/>
      <c r="K70" s="1307"/>
      <c r="L70" s="1407" t="str">
        <f t="shared" si="0"/>
        <v/>
      </c>
      <c r="M70" s="1212"/>
      <c r="N70" s="1213"/>
      <c r="O70" s="468"/>
      <c r="P70" s="468"/>
      <c r="Q70" s="468"/>
      <c r="R70" s="468"/>
      <c r="S70" s="470"/>
      <c r="T70" s="470"/>
      <c r="U70" s="470"/>
      <c r="V70" s="470"/>
      <c r="W70" s="470"/>
      <c r="X70" s="470"/>
      <c r="Y70" s="470"/>
      <c r="Z70" s="470"/>
      <c r="AA70" s="470"/>
      <c r="AB70" s="470"/>
      <c r="AC70" s="470"/>
      <c r="AD70" s="470"/>
      <c r="AE70" s="468"/>
      <c r="AF70" s="468"/>
      <c r="AG70" s="468"/>
      <c r="AH70" s="468"/>
      <c r="AI70" s="468"/>
      <c r="AJ70" s="468"/>
      <c r="AK70" s="468"/>
      <c r="AL70" s="468"/>
      <c r="AM70" s="468"/>
      <c r="AN70" s="468"/>
      <c r="AO70" s="468"/>
      <c r="AP70" s="468"/>
      <c r="AQ70" s="468"/>
      <c r="AR70" s="468"/>
      <c r="AS70" s="468"/>
      <c r="AT70" s="468"/>
      <c r="AU70" s="468"/>
      <c r="AV70" s="468"/>
      <c r="AW70" s="468"/>
      <c r="AX70" s="468"/>
      <c r="AY70" s="468"/>
      <c r="AZ70" s="468"/>
      <c r="BA70" s="468"/>
      <c r="BB70" s="468"/>
      <c r="BC70" s="468"/>
      <c r="BD70" s="468"/>
      <c r="BE70" s="468"/>
      <c r="BF70" s="468"/>
      <c r="BG70" s="1556"/>
      <c r="BH70" s="468"/>
      <c r="BI70" s="468"/>
      <c r="BJ70" s="468"/>
      <c r="BK70" s="468"/>
      <c r="BL70" s="468"/>
      <c r="BM70" s="468"/>
      <c r="BN70" s="468"/>
      <c r="BO70" s="468"/>
      <c r="BP70" s="468"/>
    </row>
    <row r="71" spans="1:68" ht="30.6" hidden="1" customHeight="1" outlineLevel="1" thickBot="1">
      <c r="A71" s="1058" t="s">
        <v>109</v>
      </c>
      <c r="B71" s="2413"/>
      <c r="C71" s="2413"/>
      <c r="D71" s="1354"/>
      <c r="E71" s="1544"/>
      <c r="F71" s="1545"/>
      <c r="G71" s="1545"/>
      <c r="H71" s="1546"/>
      <c r="I71" s="1548"/>
      <c r="J71" s="1306"/>
      <c r="K71" s="1307"/>
      <c r="L71" s="1407" t="str">
        <f t="shared" si="0"/>
        <v/>
      </c>
      <c r="M71" s="1212"/>
      <c r="N71" s="1213"/>
      <c r="O71" s="468"/>
      <c r="P71" s="468"/>
      <c r="Q71" s="468"/>
      <c r="R71" s="468"/>
      <c r="S71" s="470"/>
      <c r="T71" s="470"/>
      <c r="U71" s="470"/>
      <c r="V71" s="470"/>
      <c r="W71" s="470"/>
      <c r="X71" s="470"/>
      <c r="Y71" s="470"/>
      <c r="Z71" s="470"/>
      <c r="AA71" s="470"/>
      <c r="AB71" s="470"/>
      <c r="AC71" s="470"/>
      <c r="AD71" s="470"/>
      <c r="AE71" s="468"/>
      <c r="AF71" s="468"/>
      <c r="AG71" s="468"/>
      <c r="AH71" s="468"/>
      <c r="AI71" s="468"/>
      <c r="AJ71" s="468"/>
      <c r="AK71" s="468"/>
      <c r="AL71" s="468"/>
      <c r="AM71" s="468"/>
      <c r="AN71" s="468"/>
      <c r="AO71" s="468"/>
      <c r="AP71" s="468"/>
      <c r="AQ71" s="468"/>
      <c r="AR71" s="468"/>
      <c r="AS71" s="468"/>
      <c r="AT71" s="468"/>
      <c r="AU71" s="468"/>
      <c r="AV71" s="468"/>
      <c r="AW71" s="468"/>
      <c r="AX71" s="468"/>
      <c r="AY71" s="468"/>
      <c r="AZ71" s="468"/>
      <c r="BA71" s="468"/>
      <c r="BB71" s="468"/>
      <c r="BC71" s="468"/>
      <c r="BD71" s="468"/>
      <c r="BE71" s="468"/>
      <c r="BF71" s="468"/>
      <c r="BG71" s="1556"/>
      <c r="BH71" s="468"/>
      <c r="BI71" s="468"/>
      <c r="BJ71" s="468"/>
      <c r="BK71" s="468"/>
      <c r="BL71" s="468"/>
      <c r="BM71" s="468"/>
      <c r="BN71" s="468"/>
      <c r="BO71" s="468"/>
      <c r="BP71" s="468"/>
    </row>
    <row r="72" spans="1:68" ht="30.6" hidden="1" customHeight="1" outlineLevel="1" thickBot="1">
      <c r="A72" s="1058" t="s">
        <v>110</v>
      </c>
      <c r="B72" s="2413"/>
      <c r="C72" s="2413"/>
      <c r="D72" s="1354"/>
      <c r="E72" s="1544"/>
      <c r="F72" s="1545"/>
      <c r="G72" s="1545"/>
      <c r="H72" s="1546"/>
      <c r="I72" s="1548"/>
      <c r="J72" s="1306"/>
      <c r="K72" s="1307"/>
      <c r="L72" s="1407" t="str">
        <f t="shared" si="0"/>
        <v/>
      </c>
      <c r="M72" s="1212"/>
      <c r="N72" s="1213"/>
      <c r="O72" s="468"/>
      <c r="P72" s="468"/>
      <c r="Q72" s="468"/>
      <c r="R72" s="468"/>
      <c r="S72" s="470"/>
      <c r="T72" s="470"/>
      <c r="U72" s="470"/>
      <c r="V72" s="470"/>
      <c r="W72" s="470"/>
      <c r="X72" s="470"/>
      <c r="Y72" s="470"/>
      <c r="Z72" s="470"/>
      <c r="AA72" s="470"/>
      <c r="AB72" s="470"/>
      <c r="AC72" s="470"/>
      <c r="AD72" s="470"/>
      <c r="AE72" s="468"/>
      <c r="AF72" s="468"/>
      <c r="AG72" s="468"/>
      <c r="AH72" s="468"/>
      <c r="AI72" s="468"/>
      <c r="AJ72" s="468"/>
      <c r="AK72" s="468"/>
      <c r="AL72" s="468"/>
      <c r="AM72" s="468"/>
      <c r="AN72" s="468"/>
      <c r="AO72" s="468"/>
      <c r="AP72" s="468"/>
      <c r="AQ72" s="468"/>
      <c r="AR72" s="468"/>
      <c r="AS72" s="468"/>
      <c r="AT72" s="468"/>
      <c r="AU72" s="468"/>
      <c r="AV72" s="468"/>
      <c r="AW72" s="468"/>
      <c r="AX72" s="468"/>
      <c r="AY72" s="468"/>
      <c r="AZ72" s="468"/>
      <c r="BA72" s="468"/>
      <c r="BB72" s="468"/>
      <c r="BC72" s="468"/>
      <c r="BD72" s="468"/>
      <c r="BE72" s="468"/>
      <c r="BF72" s="468"/>
      <c r="BG72" s="1556"/>
      <c r="BH72" s="468"/>
      <c r="BI72" s="468"/>
      <c r="BJ72" s="468"/>
      <c r="BK72" s="468"/>
      <c r="BL72" s="468"/>
      <c r="BM72" s="468"/>
      <c r="BN72" s="468"/>
      <c r="BO72" s="468"/>
      <c r="BP72" s="468"/>
    </row>
    <row r="73" spans="1:68" ht="30.6" customHeight="1" collapsed="1" thickBot="1">
      <c r="A73" s="1058" t="s">
        <v>111</v>
      </c>
      <c r="B73" s="2413"/>
      <c r="C73" s="2413"/>
      <c r="D73" s="1354"/>
      <c r="E73" s="1544"/>
      <c r="F73" s="1545"/>
      <c r="G73" s="1545"/>
      <c r="H73" s="1546"/>
      <c r="I73" s="1548"/>
      <c r="J73" s="1306"/>
      <c r="K73" s="1307"/>
      <c r="L73" s="1407" t="str">
        <f t="shared" si="0"/>
        <v/>
      </c>
      <c r="M73" s="1212"/>
      <c r="N73" s="1213"/>
      <c r="O73" s="468"/>
      <c r="P73" s="468"/>
      <c r="Q73" s="468"/>
      <c r="R73" s="468"/>
      <c r="S73" s="470"/>
      <c r="T73" s="470"/>
      <c r="U73" s="470"/>
      <c r="V73" s="470"/>
      <c r="W73" s="470"/>
      <c r="X73" s="470"/>
      <c r="Y73" s="470"/>
      <c r="Z73" s="470"/>
      <c r="AA73" s="470"/>
      <c r="AB73" s="470"/>
      <c r="AC73" s="470"/>
      <c r="AD73" s="470"/>
      <c r="AE73" s="468"/>
      <c r="AF73" s="468"/>
      <c r="AG73" s="468"/>
      <c r="AH73" s="468"/>
      <c r="AI73" s="468"/>
      <c r="AJ73" s="468"/>
      <c r="AK73" s="468"/>
      <c r="AL73" s="468"/>
      <c r="AM73" s="468"/>
      <c r="AN73" s="468"/>
      <c r="AO73" s="468"/>
      <c r="AP73" s="468"/>
      <c r="AQ73" s="468"/>
      <c r="AR73" s="468"/>
      <c r="AS73" s="468"/>
      <c r="AT73" s="468"/>
      <c r="AU73" s="468"/>
      <c r="AV73" s="468"/>
      <c r="AW73" s="468"/>
      <c r="AX73" s="468"/>
      <c r="AY73" s="468"/>
      <c r="AZ73" s="468"/>
      <c r="BA73" s="468"/>
      <c r="BB73" s="468"/>
      <c r="BC73" s="468"/>
      <c r="BD73" s="468"/>
      <c r="BE73" s="468"/>
      <c r="BF73" s="468"/>
      <c r="BG73" s="1556"/>
      <c r="BH73" s="468"/>
      <c r="BI73" s="468"/>
      <c r="BJ73" s="468"/>
      <c r="BK73" s="468"/>
      <c r="BL73" s="468"/>
      <c r="BM73" s="468"/>
      <c r="BN73" s="468"/>
      <c r="BO73" s="468"/>
      <c r="BP73" s="468"/>
    </row>
    <row r="74" spans="1:68" ht="30.6" customHeight="1" thickBot="1">
      <c r="A74" s="1057" t="s">
        <v>112</v>
      </c>
      <c r="B74" s="2413"/>
      <c r="C74" s="2413"/>
      <c r="D74" s="1354"/>
      <c r="E74" s="1544" t="s">
        <v>2474</v>
      </c>
      <c r="F74" s="1545"/>
      <c r="G74" s="1545" t="s">
        <v>672</v>
      </c>
      <c r="H74" s="1546" t="s">
        <v>678</v>
      </c>
      <c r="I74" s="1548"/>
      <c r="J74" s="1306"/>
      <c r="K74" s="1307"/>
      <c r="L74" s="1407" t="str">
        <f t="shared" si="0"/>
        <v>PV1 Properties Member, LLC,  a Delaware LLC</v>
      </c>
      <c r="M74" s="1212"/>
      <c r="N74" s="1213"/>
      <c r="O74" s="468"/>
      <c r="P74" s="468"/>
      <c r="Q74" s="468"/>
      <c r="R74" s="468"/>
      <c r="S74" s="470"/>
      <c r="T74" s="470"/>
      <c r="U74" s="470"/>
      <c r="V74" s="470"/>
      <c r="W74" s="470"/>
      <c r="X74" s="470"/>
      <c r="Y74" s="470"/>
      <c r="Z74" s="470"/>
      <c r="AA74" s="470"/>
      <c r="AB74" s="470"/>
      <c r="AC74" s="470"/>
      <c r="AD74" s="470"/>
      <c r="AE74" s="468"/>
      <c r="AF74" s="468"/>
      <c r="AG74" s="468"/>
      <c r="AH74" s="468"/>
      <c r="AI74" s="468"/>
      <c r="AJ74" s="468"/>
      <c r="AK74" s="468"/>
      <c r="AL74" s="468"/>
      <c r="AM74" s="468"/>
      <c r="AN74" s="468"/>
      <c r="AO74" s="468"/>
      <c r="AP74" s="468"/>
      <c r="AQ74" s="468"/>
      <c r="AR74" s="468"/>
      <c r="AS74" s="468"/>
      <c r="AT74" s="468"/>
      <c r="AU74" s="468"/>
      <c r="AV74" s="468"/>
      <c r="AW74" s="468"/>
      <c r="AX74" s="468"/>
      <c r="AY74" s="468"/>
      <c r="AZ74" s="468"/>
      <c r="BA74" s="468"/>
      <c r="BB74" s="468"/>
      <c r="BC74" s="468"/>
      <c r="BD74" s="468"/>
      <c r="BE74" s="468"/>
      <c r="BF74" s="468"/>
      <c r="BG74" s="1556"/>
      <c r="BH74" s="468"/>
      <c r="BI74" s="468"/>
      <c r="BJ74" s="468"/>
      <c r="BK74" s="468"/>
      <c r="BL74" s="468"/>
      <c r="BM74" s="468"/>
      <c r="BN74" s="468"/>
      <c r="BO74" s="468"/>
      <c r="BP74" s="468"/>
    </row>
    <row r="75" spans="1:68" ht="30.6" customHeight="1" thickBot="1">
      <c r="A75" s="1058" t="s">
        <v>113</v>
      </c>
      <c r="B75" s="2413"/>
      <c r="C75" s="2413"/>
      <c r="D75" s="1354"/>
      <c r="E75" s="1544" t="s">
        <v>2475</v>
      </c>
      <c r="F75" s="1545"/>
      <c r="G75" s="1545" t="s">
        <v>672</v>
      </c>
      <c r="H75" s="1546" t="s">
        <v>678</v>
      </c>
      <c r="I75" s="1548"/>
      <c r="J75" s="1306"/>
      <c r="K75" s="1307"/>
      <c r="L75" s="1407" t="str">
        <f t="shared" si="0"/>
        <v>SWRCM FG Member, LLC,  a Delaware LLC</v>
      </c>
      <c r="M75" s="1212"/>
      <c r="N75" s="1213"/>
      <c r="O75" s="468"/>
      <c r="P75" s="468"/>
      <c r="Q75" s="468"/>
      <c r="R75" s="468"/>
      <c r="S75" s="470"/>
      <c r="T75" s="470"/>
      <c r="U75" s="470"/>
      <c r="V75" s="470"/>
      <c r="W75" s="470"/>
      <c r="X75" s="470"/>
      <c r="Y75" s="470"/>
      <c r="Z75" s="470"/>
      <c r="AA75" s="470"/>
      <c r="AB75" s="470"/>
      <c r="AC75" s="470"/>
      <c r="AD75" s="470"/>
      <c r="AE75" s="468"/>
      <c r="AF75" s="468"/>
      <c r="AG75" s="468"/>
      <c r="AH75" s="468"/>
      <c r="AI75" s="468"/>
      <c r="AJ75" s="468"/>
      <c r="AK75" s="468"/>
      <c r="AL75" s="468"/>
      <c r="AM75" s="468"/>
      <c r="AN75" s="468"/>
      <c r="AO75" s="468"/>
      <c r="AP75" s="468"/>
      <c r="AQ75" s="468"/>
      <c r="AR75" s="468"/>
      <c r="AS75" s="468"/>
      <c r="AT75" s="468"/>
      <c r="AU75" s="468"/>
      <c r="AV75" s="468"/>
      <c r="AW75" s="468"/>
      <c r="AX75" s="468"/>
      <c r="AY75" s="468"/>
      <c r="AZ75" s="468"/>
      <c r="BA75" s="468"/>
      <c r="BB75" s="468"/>
      <c r="BC75" s="468"/>
      <c r="BD75" s="468"/>
      <c r="BE75" s="468"/>
      <c r="BF75" s="468"/>
      <c r="BG75" s="1556"/>
      <c r="BH75" s="468"/>
      <c r="BI75" s="468"/>
      <c r="BJ75" s="468"/>
      <c r="BK75" s="468"/>
      <c r="BL75" s="468"/>
      <c r="BM75" s="468"/>
      <c r="BN75" s="468"/>
      <c r="BO75" s="468"/>
      <c r="BP75" s="468"/>
    </row>
    <row r="76" spans="1:68" ht="30.6" customHeight="1" thickBot="1">
      <c r="A76" s="1058" t="s">
        <v>114</v>
      </c>
      <c r="B76" s="2413"/>
      <c r="C76" s="2413"/>
      <c r="D76" s="1354"/>
      <c r="E76" s="1544"/>
      <c r="F76" s="1545"/>
      <c r="G76" s="1545"/>
      <c r="H76" s="1546"/>
      <c r="I76" s="1548"/>
      <c r="J76" s="1306"/>
      <c r="K76" s="1307"/>
      <c r="L76" s="1407" t="str">
        <f t="shared" si="0"/>
        <v/>
      </c>
      <c r="M76" s="1212"/>
      <c r="N76" s="1213"/>
      <c r="O76" s="468"/>
      <c r="P76" s="468"/>
      <c r="Q76" s="468"/>
      <c r="R76" s="468"/>
      <c r="S76" s="470"/>
      <c r="T76" s="470"/>
      <c r="U76" s="470"/>
      <c r="V76" s="470"/>
      <c r="W76" s="470"/>
      <c r="X76" s="470"/>
      <c r="Y76" s="470"/>
      <c r="Z76" s="470"/>
      <c r="AA76" s="470"/>
      <c r="AB76" s="470"/>
      <c r="AC76" s="470"/>
      <c r="AD76" s="470"/>
      <c r="AE76" s="468"/>
      <c r="AF76" s="468"/>
      <c r="AG76" s="468"/>
      <c r="AH76" s="468"/>
      <c r="AI76" s="468"/>
      <c r="AJ76" s="468"/>
      <c r="AK76" s="468"/>
      <c r="AL76" s="468"/>
      <c r="AM76" s="468"/>
      <c r="AN76" s="468"/>
      <c r="AO76" s="468"/>
      <c r="AP76" s="468"/>
      <c r="AQ76" s="468"/>
      <c r="AR76" s="468"/>
      <c r="AS76" s="468"/>
      <c r="AT76" s="468"/>
      <c r="AU76" s="468"/>
      <c r="AV76" s="468"/>
      <c r="AW76" s="468"/>
      <c r="AX76" s="468"/>
      <c r="AY76" s="468"/>
      <c r="AZ76" s="468"/>
      <c r="BA76" s="468"/>
      <c r="BB76" s="468"/>
      <c r="BC76" s="468"/>
      <c r="BD76" s="468"/>
      <c r="BE76" s="468"/>
      <c r="BF76" s="468"/>
      <c r="BG76" s="1556"/>
      <c r="BH76" s="468"/>
      <c r="BI76" s="468"/>
      <c r="BJ76" s="468"/>
      <c r="BK76" s="468"/>
      <c r="BL76" s="468"/>
      <c r="BM76" s="468"/>
      <c r="BN76" s="468"/>
      <c r="BO76" s="468"/>
      <c r="BP76" s="468"/>
    </row>
    <row r="77" spans="1:68" ht="30.6" customHeight="1" thickBot="1">
      <c r="A77" s="1058" t="s">
        <v>115</v>
      </c>
      <c r="B77" s="2413"/>
      <c r="C77" s="2413"/>
      <c r="D77" s="1354"/>
      <c r="E77" s="1544"/>
      <c r="F77" s="1545"/>
      <c r="G77" s="1545"/>
      <c r="H77" s="1546"/>
      <c r="I77" s="1548"/>
      <c r="J77" s="1306"/>
      <c r="K77" s="1307"/>
      <c r="L77" s="1407" t="str">
        <f t="shared" si="0"/>
        <v/>
      </c>
      <c r="M77" s="1212"/>
      <c r="N77" s="1213"/>
      <c r="O77" s="468"/>
      <c r="P77" s="468"/>
      <c r="Q77" s="468"/>
      <c r="R77" s="468"/>
      <c r="S77" s="470"/>
      <c r="T77" s="470"/>
      <c r="U77" s="470"/>
      <c r="V77" s="470"/>
      <c r="W77" s="470"/>
      <c r="X77" s="470"/>
      <c r="Y77" s="470"/>
      <c r="Z77" s="470"/>
      <c r="AA77" s="470"/>
      <c r="AB77" s="470"/>
      <c r="AC77" s="470"/>
      <c r="AD77" s="470"/>
      <c r="AE77" s="468"/>
      <c r="AF77" s="468"/>
      <c r="AG77" s="468"/>
      <c r="AH77" s="468"/>
      <c r="AI77" s="468"/>
      <c r="AJ77" s="468"/>
      <c r="AK77" s="468"/>
      <c r="AL77" s="468"/>
      <c r="AM77" s="468"/>
      <c r="AN77" s="468"/>
      <c r="AO77" s="468"/>
      <c r="AP77" s="468"/>
      <c r="AQ77" s="468"/>
      <c r="AR77" s="468"/>
      <c r="AS77" s="468"/>
      <c r="AT77" s="468"/>
      <c r="AU77" s="468"/>
      <c r="AV77" s="468"/>
      <c r="AW77" s="468"/>
      <c r="AX77" s="468"/>
      <c r="AY77" s="468"/>
      <c r="AZ77" s="468"/>
      <c r="BA77" s="468"/>
      <c r="BB77" s="468"/>
      <c r="BC77" s="468"/>
      <c r="BD77" s="468"/>
      <c r="BE77" s="468"/>
      <c r="BF77" s="468"/>
      <c r="BG77" s="1556"/>
      <c r="BH77" s="468"/>
      <c r="BI77" s="468"/>
      <c r="BJ77" s="468"/>
      <c r="BK77" s="468"/>
      <c r="BL77" s="468"/>
      <c r="BM77" s="468"/>
      <c r="BN77" s="468"/>
      <c r="BO77" s="468"/>
      <c r="BP77" s="468"/>
    </row>
    <row r="78" spans="1:68" ht="30.6" customHeight="1" thickBot="1">
      <c r="A78" s="1058" t="s">
        <v>116</v>
      </c>
      <c r="B78" s="2413"/>
      <c r="C78" s="2413"/>
      <c r="D78" s="1354"/>
      <c r="E78" s="1544"/>
      <c r="F78" s="1545"/>
      <c r="G78" s="1545"/>
      <c r="H78" s="1546"/>
      <c r="I78" s="1548"/>
      <c r="J78" s="1306"/>
      <c r="K78" s="1307"/>
      <c r="L78" s="1407" t="str">
        <f t="shared" si="0"/>
        <v/>
      </c>
      <c r="M78" s="1212"/>
      <c r="N78" s="1213"/>
      <c r="O78" s="468"/>
      <c r="P78" s="468"/>
      <c r="Q78" s="468"/>
      <c r="R78" s="468"/>
      <c r="S78" s="470"/>
      <c r="T78" s="470"/>
      <c r="U78" s="470"/>
      <c r="V78" s="470"/>
      <c r="W78" s="470"/>
      <c r="X78" s="470"/>
      <c r="Y78" s="470"/>
      <c r="Z78" s="470"/>
      <c r="AA78" s="470"/>
      <c r="AB78" s="470"/>
      <c r="AC78" s="470"/>
      <c r="AD78" s="470"/>
      <c r="AE78" s="468"/>
      <c r="AF78" s="468"/>
      <c r="AG78" s="468"/>
      <c r="AH78" s="468"/>
      <c r="AI78" s="468"/>
      <c r="AJ78" s="468"/>
      <c r="AK78" s="468"/>
      <c r="AL78" s="468"/>
      <c r="AM78" s="468"/>
      <c r="AN78" s="468"/>
      <c r="AO78" s="468"/>
      <c r="AP78" s="468"/>
      <c r="AQ78" s="468"/>
      <c r="AR78" s="468"/>
      <c r="AS78" s="468"/>
      <c r="AT78" s="468"/>
      <c r="AU78" s="468"/>
      <c r="AV78" s="468"/>
      <c r="AW78" s="468"/>
      <c r="AX78" s="468"/>
      <c r="AY78" s="468"/>
      <c r="AZ78" s="468"/>
      <c r="BA78" s="468"/>
      <c r="BB78" s="468"/>
      <c r="BC78" s="468"/>
      <c r="BD78" s="468"/>
      <c r="BE78" s="468"/>
      <c r="BF78" s="468"/>
      <c r="BG78" s="1556"/>
      <c r="BH78" s="468"/>
      <c r="BI78" s="468"/>
      <c r="BJ78" s="468"/>
      <c r="BK78" s="468"/>
      <c r="BL78" s="468"/>
      <c r="BM78" s="468"/>
      <c r="BN78" s="468"/>
      <c r="BO78" s="468"/>
      <c r="BP78" s="468"/>
    </row>
    <row r="79" spans="1:68" ht="30.6" hidden="1" customHeight="1" outlineLevel="1" thickBot="1">
      <c r="A79" s="1058" t="s">
        <v>117</v>
      </c>
      <c r="B79" s="2413"/>
      <c r="C79" s="2413"/>
      <c r="D79" s="1354"/>
      <c r="E79" s="1544"/>
      <c r="F79" s="1545"/>
      <c r="G79" s="1545"/>
      <c r="H79" s="1546"/>
      <c r="I79" s="1548"/>
      <c r="J79" s="1306"/>
      <c r="K79" s="1307"/>
      <c r="L79" s="1407" t="str">
        <f t="shared" si="0"/>
        <v/>
      </c>
      <c r="M79" s="1212"/>
      <c r="N79" s="1213"/>
      <c r="O79" s="468"/>
      <c r="P79" s="468"/>
      <c r="Q79" s="468"/>
      <c r="R79" s="468"/>
      <c r="S79" s="470"/>
      <c r="T79" s="470"/>
      <c r="U79" s="470"/>
      <c r="V79" s="470"/>
      <c r="W79" s="470"/>
      <c r="X79" s="470"/>
      <c r="Y79" s="470"/>
      <c r="Z79" s="470"/>
      <c r="AA79" s="470"/>
      <c r="AB79" s="470"/>
      <c r="AC79" s="470"/>
      <c r="AD79" s="470"/>
      <c r="AE79" s="468"/>
      <c r="AF79" s="468"/>
      <c r="AG79" s="468"/>
      <c r="AH79" s="468"/>
      <c r="AI79" s="468"/>
      <c r="AJ79" s="468"/>
      <c r="AK79" s="468"/>
      <c r="AL79" s="468"/>
      <c r="AM79" s="468"/>
      <c r="AN79" s="468"/>
      <c r="AO79" s="468"/>
      <c r="AP79" s="468"/>
      <c r="AQ79" s="468"/>
      <c r="AR79" s="468"/>
      <c r="AS79" s="468"/>
      <c r="AT79" s="468"/>
      <c r="AU79" s="468"/>
      <c r="AV79" s="468"/>
      <c r="AW79" s="468"/>
      <c r="AX79" s="468"/>
      <c r="AY79" s="468"/>
      <c r="AZ79" s="468"/>
      <c r="BA79" s="468"/>
      <c r="BB79" s="468"/>
      <c r="BC79" s="468"/>
      <c r="BD79" s="468"/>
      <c r="BE79" s="468"/>
      <c r="BF79" s="468"/>
      <c r="BG79" s="1556"/>
      <c r="BH79" s="468"/>
      <c r="BI79" s="468"/>
      <c r="BJ79" s="468"/>
      <c r="BK79" s="468"/>
      <c r="BL79" s="468"/>
      <c r="BM79" s="468"/>
      <c r="BN79" s="468"/>
      <c r="BO79" s="468"/>
      <c r="BP79" s="468"/>
    </row>
    <row r="80" spans="1:68" ht="30.6" hidden="1" customHeight="1" outlineLevel="1" thickBot="1">
      <c r="A80" s="1058" t="s">
        <v>118</v>
      </c>
      <c r="B80" s="2413"/>
      <c r="C80" s="2413"/>
      <c r="D80" s="1354"/>
      <c r="E80" s="1544"/>
      <c r="F80" s="1545"/>
      <c r="G80" s="1545"/>
      <c r="H80" s="1546"/>
      <c r="I80" s="1548"/>
      <c r="J80" s="1306"/>
      <c r="K80" s="1307"/>
      <c r="L80" s="1407" t="str">
        <f t="shared" si="0"/>
        <v/>
      </c>
      <c r="M80" s="1212"/>
      <c r="N80" s="1213"/>
      <c r="O80" s="468"/>
      <c r="P80" s="468"/>
      <c r="Q80" s="468"/>
      <c r="R80" s="468"/>
      <c r="S80" s="470"/>
      <c r="T80" s="470"/>
      <c r="U80" s="470"/>
      <c r="V80" s="470"/>
      <c r="W80" s="470"/>
      <c r="X80" s="470"/>
      <c r="Y80" s="470"/>
      <c r="Z80" s="470"/>
      <c r="AA80" s="470"/>
      <c r="AB80" s="470"/>
      <c r="AC80" s="470"/>
      <c r="AD80" s="470"/>
      <c r="AE80" s="468"/>
      <c r="AF80" s="468"/>
      <c r="AG80" s="468"/>
      <c r="AH80" s="468"/>
      <c r="AI80" s="468"/>
      <c r="AJ80" s="468"/>
      <c r="AK80" s="468"/>
      <c r="AL80" s="468"/>
      <c r="AM80" s="468"/>
      <c r="AN80" s="468"/>
      <c r="AO80" s="468"/>
      <c r="AP80" s="468"/>
      <c r="AQ80" s="468"/>
      <c r="AR80" s="468"/>
      <c r="AS80" s="468"/>
      <c r="AT80" s="468"/>
      <c r="AU80" s="468"/>
      <c r="AV80" s="468"/>
      <c r="AW80" s="468"/>
      <c r="AX80" s="468"/>
      <c r="AY80" s="468"/>
      <c r="AZ80" s="468"/>
      <c r="BA80" s="468"/>
      <c r="BB80" s="468"/>
      <c r="BC80" s="468"/>
      <c r="BD80" s="468"/>
      <c r="BE80" s="468"/>
      <c r="BF80" s="468"/>
      <c r="BG80" s="1556"/>
      <c r="BH80" s="468"/>
      <c r="BI80" s="468"/>
      <c r="BJ80" s="468"/>
      <c r="BK80" s="468"/>
      <c r="BL80" s="468"/>
      <c r="BM80" s="468"/>
      <c r="BN80" s="468"/>
      <c r="BO80" s="468"/>
      <c r="BP80" s="468"/>
    </row>
    <row r="81" spans="1:68" ht="30.6" hidden="1" customHeight="1" outlineLevel="1" thickBot="1">
      <c r="A81" s="1058" t="s">
        <v>119</v>
      </c>
      <c r="B81" s="2413"/>
      <c r="C81" s="2413"/>
      <c r="D81" s="1354"/>
      <c r="E81" s="1544"/>
      <c r="F81" s="1545"/>
      <c r="G81" s="1545"/>
      <c r="H81" s="1546"/>
      <c r="I81" s="1548"/>
      <c r="J81" s="1306"/>
      <c r="K81" s="1307"/>
      <c r="L81" s="1407" t="str">
        <f t="shared" si="0"/>
        <v/>
      </c>
      <c r="M81" s="1212"/>
      <c r="N81" s="1213"/>
      <c r="O81" s="468"/>
      <c r="P81" s="468"/>
      <c r="Q81" s="468"/>
      <c r="R81" s="468"/>
      <c r="S81" s="470"/>
      <c r="T81" s="470"/>
      <c r="U81" s="470"/>
      <c r="V81" s="470"/>
      <c r="W81" s="470"/>
      <c r="X81" s="470"/>
      <c r="Y81" s="470"/>
      <c r="Z81" s="470"/>
      <c r="AA81" s="470"/>
      <c r="AB81" s="470"/>
      <c r="AC81" s="470"/>
      <c r="AD81" s="470"/>
      <c r="AE81" s="468"/>
      <c r="AF81" s="468"/>
      <c r="AG81" s="468"/>
      <c r="AH81" s="468"/>
      <c r="AI81" s="468"/>
      <c r="AJ81" s="468"/>
      <c r="AK81" s="468"/>
      <c r="AL81" s="468"/>
      <c r="AM81" s="468"/>
      <c r="AN81" s="468"/>
      <c r="AO81" s="468"/>
      <c r="AP81" s="468"/>
      <c r="AQ81" s="468"/>
      <c r="AR81" s="468"/>
      <c r="AS81" s="468"/>
      <c r="AT81" s="468"/>
      <c r="AU81" s="468"/>
      <c r="AV81" s="468"/>
      <c r="AW81" s="468"/>
      <c r="AX81" s="468"/>
      <c r="AY81" s="468"/>
      <c r="AZ81" s="468"/>
      <c r="BA81" s="468"/>
      <c r="BB81" s="468"/>
      <c r="BC81" s="468"/>
      <c r="BD81" s="468"/>
      <c r="BE81" s="468"/>
      <c r="BF81" s="468"/>
      <c r="BG81" s="1556"/>
      <c r="BH81" s="468"/>
      <c r="BI81" s="468"/>
      <c r="BJ81" s="468"/>
      <c r="BK81" s="468"/>
      <c r="BL81" s="468"/>
      <c r="BM81" s="468"/>
      <c r="BN81" s="468"/>
      <c r="BO81" s="468"/>
      <c r="BP81" s="468"/>
    </row>
    <row r="82" spans="1:68" ht="30.6" hidden="1" customHeight="1" outlineLevel="1" thickBot="1">
      <c r="A82" s="1058" t="s">
        <v>120</v>
      </c>
      <c r="B82" s="2413"/>
      <c r="C82" s="2413"/>
      <c r="D82" s="1354"/>
      <c r="E82" s="1544"/>
      <c r="F82" s="1545"/>
      <c r="G82" s="1545"/>
      <c r="H82" s="1546"/>
      <c r="I82" s="1548"/>
      <c r="J82" s="1306"/>
      <c r="K82" s="1307"/>
      <c r="L82" s="1407" t="str">
        <f t="shared" si="0"/>
        <v/>
      </c>
      <c r="M82" s="1212"/>
      <c r="N82" s="1213"/>
      <c r="O82" s="468"/>
      <c r="P82" s="468"/>
      <c r="Q82" s="468"/>
      <c r="R82" s="468"/>
      <c r="S82" s="470"/>
      <c r="T82" s="470"/>
      <c r="U82" s="470"/>
      <c r="V82" s="470"/>
      <c r="W82" s="470"/>
      <c r="X82" s="470"/>
      <c r="Y82" s="470"/>
      <c r="Z82" s="470"/>
      <c r="AA82" s="470"/>
      <c r="AB82" s="470"/>
      <c r="AC82" s="470"/>
      <c r="AD82" s="470"/>
      <c r="AE82" s="468"/>
      <c r="AF82" s="468"/>
      <c r="AG82" s="468"/>
      <c r="AH82" s="468"/>
      <c r="AI82" s="468"/>
      <c r="AJ82" s="468"/>
      <c r="AK82" s="468"/>
      <c r="AL82" s="468"/>
      <c r="AM82" s="468"/>
      <c r="AN82" s="468"/>
      <c r="AO82" s="468"/>
      <c r="AP82" s="468"/>
      <c r="AQ82" s="468"/>
      <c r="AR82" s="468"/>
      <c r="AS82" s="468"/>
      <c r="AT82" s="468"/>
      <c r="AU82" s="468"/>
      <c r="AV82" s="468"/>
      <c r="AW82" s="468"/>
      <c r="AX82" s="468"/>
      <c r="AY82" s="468"/>
      <c r="AZ82" s="468"/>
      <c r="BA82" s="468"/>
      <c r="BB82" s="468"/>
      <c r="BC82" s="468"/>
      <c r="BD82" s="468"/>
      <c r="BE82" s="468"/>
      <c r="BF82" s="468"/>
      <c r="BG82" s="1556"/>
      <c r="BH82" s="468"/>
      <c r="BI82" s="468"/>
      <c r="BJ82" s="468"/>
      <c r="BK82" s="468"/>
      <c r="BL82" s="468"/>
      <c r="BM82" s="468"/>
      <c r="BN82" s="468"/>
      <c r="BO82" s="468"/>
      <c r="BP82" s="468"/>
    </row>
    <row r="83" spans="1:68" ht="30.6" hidden="1" customHeight="1" outlineLevel="1" thickBot="1">
      <c r="A83" s="1058" t="s">
        <v>121</v>
      </c>
      <c r="B83" s="2413"/>
      <c r="C83" s="2413"/>
      <c r="D83" s="1354"/>
      <c r="E83" s="1544"/>
      <c r="F83" s="1545"/>
      <c r="G83" s="1545"/>
      <c r="H83" s="1546"/>
      <c r="I83" s="1548"/>
      <c r="J83" s="1306"/>
      <c r="K83" s="1307"/>
      <c r="L83" s="1407" t="str">
        <f t="shared" si="0"/>
        <v/>
      </c>
      <c r="M83" s="1212"/>
      <c r="N83" s="1213"/>
      <c r="O83" s="468"/>
      <c r="P83" s="468"/>
      <c r="Q83" s="468"/>
      <c r="R83" s="468"/>
      <c r="S83" s="470"/>
      <c r="T83" s="470"/>
      <c r="U83" s="470"/>
      <c r="V83" s="470"/>
      <c r="W83" s="470"/>
      <c r="X83" s="470"/>
      <c r="Y83" s="470"/>
      <c r="Z83" s="470"/>
      <c r="AA83" s="470"/>
      <c r="AB83" s="470"/>
      <c r="AC83" s="470"/>
      <c r="AD83" s="470"/>
      <c r="AE83" s="468"/>
      <c r="AF83" s="468"/>
      <c r="AG83" s="468"/>
      <c r="AH83" s="468"/>
      <c r="AI83" s="468"/>
      <c r="AJ83" s="468"/>
      <c r="AK83" s="468"/>
      <c r="AL83" s="468"/>
      <c r="AM83" s="468"/>
      <c r="AN83" s="468"/>
      <c r="AO83" s="468"/>
      <c r="AP83" s="468"/>
      <c r="AQ83" s="468"/>
      <c r="AR83" s="468"/>
      <c r="AS83" s="468"/>
      <c r="AT83" s="468"/>
      <c r="AU83" s="468"/>
      <c r="AV83" s="468"/>
      <c r="AW83" s="468"/>
      <c r="AX83" s="468"/>
      <c r="AY83" s="468"/>
      <c r="AZ83" s="468"/>
      <c r="BA83" s="468"/>
      <c r="BB83" s="468"/>
      <c r="BC83" s="468"/>
      <c r="BD83" s="468"/>
      <c r="BE83" s="468"/>
      <c r="BF83" s="468"/>
      <c r="BG83" s="1556"/>
      <c r="BH83" s="468"/>
      <c r="BI83" s="468"/>
      <c r="BJ83" s="468"/>
      <c r="BK83" s="468"/>
      <c r="BL83" s="468"/>
      <c r="BM83" s="468"/>
      <c r="BN83" s="468"/>
      <c r="BO83" s="468"/>
      <c r="BP83" s="468"/>
    </row>
    <row r="84" spans="1:68" ht="30.6" hidden="1" customHeight="1" outlineLevel="1" thickBot="1">
      <c r="A84" s="1058" t="s">
        <v>122</v>
      </c>
      <c r="B84" s="2413"/>
      <c r="C84" s="2413"/>
      <c r="D84" s="1354"/>
      <c r="E84" s="1544"/>
      <c r="F84" s="1545"/>
      <c r="G84" s="1545"/>
      <c r="H84" s="1546"/>
      <c r="I84" s="1548"/>
      <c r="J84" s="1306"/>
      <c r="K84" s="1307"/>
      <c r="L84" s="1407" t="str">
        <f t="shared" si="0"/>
        <v/>
      </c>
      <c r="M84" s="1212"/>
      <c r="N84" s="1213"/>
      <c r="O84" s="468"/>
      <c r="P84" s="468"/>
      <c r="Q84" s="468"/>
      <c r="R84" s="468"/>
      <c r="S84" s="470"/>
      <c r="T84" s="470"/>
      <c r="U84" s="470"/>
      <c r="V84" s="470"/>
      <c r="W84" s="470"/>
      <c r="X84" s="470"/>
      <c r="Y84" s="470"/>
      <c r="Z84" s="470"/>
      <c r="AA84" s="470"/>
      <c r="AB84" s="470"/>
      <c r="AC84" s="470"/>
      <c r="AD84" s="470"/>
      <c r="AE84" s="468"/>
      <c r="AF84" s="468"/>
      <c r="AG84" s="468"/>
      <c r="AH84" s="468"/>
      <c r="AI84" s="468"/>
      <c r="AJ84" s="468"/>
      <c r="AK84" s="468"/>
      <c r="AL84" s="468"/>
      <c r="AM84" s="468"/>
      <c r="AN84" s="468"/>
      <c r="AO84" s="468"/>
      <c r="AP84" s="468"/>
      <c r="AQ84" s="468"/>
      <c r="AR84" s="468"/>
      <c r="AS84" s="468"/>
      <c r="AT84" s="468"/>
      <c r="AU84" s="468"/>
      <c r="AV84" s="468"/>
      <c r="AW84" s="468"/>
      <c r="AX84" s="468"/>
      <c r="AY84" s="468"/>
      <c r="AZ84" s="468"/>
      <c r="BA84" s="468"/>
      <c r="BB84" s="468"/>
      <c r="BC84" s="468"/>
      <c r="BD84" s="468"/>
      <c r="BE84" s="468"/>
      <c r="BF84" s="468"/>
      <c r="BG84" s="1556"/>
      <c r="BH84" s="468"/>
      <c r="BI84" s="468"/>
      <c r="BJ84" s="468"/>
      <c r="BK84" s="468"/>
      <c r="BL84" s="468"/>
      <c r="BM84" s="468"/>
      <c r="BN84" s="468"/>
      <c r="BO84" s="468"/>
      <c r="BP84" s="468"/>
    </row>
    <row r="85" spans="1:68" ht="30.6" hidden="1" customHeight="1" outlineLevel="1" thickBot="1">
      <c r="A85" s="1058" t="s">
        <v>123</v>
      </c>
      <c r="B85" s="2413"/>
      <c r="C85" s="2413"/>
      <c r="D85" s="1354"/>
      <c r="E85" s="1544"/>
      <c r="F85" s="1545"/>
      <c r="G85" s="1545"/>
      <c r="H85" s="1546"/>
      <c r="I85" s="1548"/>
      <c r="J85" s="1306"/>
      <c r="K85" s="1307"/>
      <c r="L85" s="1407" t="str">
        <f t="shared" si="0"/>
        <v/>
      </c>
      <c r="M85" s="1212"/>
      <c r="N85" s="1213"/>
      <c r="O85" s="468"/>
      <c r="P85" s="468"/>
      <c r="Q85" s="468"/>
      <c r="R85" s="468"/>
      <c r="S85" s="470"/>
      <c r="T85" s="470"/>
      <c r="U85" s="470"/>
      <c r="V85" s="470"/>
      <c r="W85" s="470"/>
      <c r="X85" s="470"/>
      <c r="Y85" s="470"/>
      <c r="Z85" s="470"/>
      <c r="AA85" s="470"/>
      <c r="AB85" s="470"/>
      <c r="AC85" s="470"/>
      <c r="AD85" s="470"/>
      <c r="AE85" s="468"/>
      <c r="AF85" s="468"/>
      <c r="AG85" s="468"/>
      <c r="AH85" s="468"/>
      <c r="AI85" s="468"/>
      <c r="AJ85" s="468"/>
      <c r="AK85" s="468"/>
      <c r="AL85" s="468"/>
      <c r="AM85" s="468"/>
      <c r="AN85" s="468"/>
      <c r="AO85" s="468"/>
      <c r="AP85" s="468"/>
      <c r="AQ85" s="468"/>
      <c r="AR85" s="468"/>
      <c r="AS85" s="468"/>
      <c r="AT85" s="468"/>
      <c r="AU85" s="468"/>
      <c r="AV85" s="468"/>
      <c r="AW85" s="468"/>
      <c r="AX85" s="468"/>
      <c r="AY85" s="468"/>
      <c r="AZ85" s="468"/>
      <c r="BA85" s="468"/>
      <c r="BB85" s="468"/>
      <c r="BC85" s="468"/>
      <c r="BD85" s="468"/>
      <c r="BE85" s="468"/>
      <c r="BF85" s="468"/>
      <c r="BG85" s="1556"/>
      <c r="BH85" s="468"/>
      <c r="BI85" s="468"/>
      <c r="BJ85" s="468"/>
      <c r="BK85" s="468"/>
      <c r="BL85" s="468"/>
      <c r="BM85" s="468"/>
      <c r="BN85" s="468"/>
      <c r="BO85" s="468"/>
      <c r="BP85" s="468"/>
    </row>
    <row r="86" spans="1:68" ht="30.6" hidden="1" customHeight="1" outlineLevel="1" thickBot="1">
      <c r="A86" s="1058" t="s">
        <v>124</v>
      </c>
      <c r="B86" s="2413"/>
      <c r="C86" s="2413"/>
      <c r="D86" s="1354"/>
      <c r="E86" s="1544"/>
      <c r="F86" s="1545"/>
      <c r="G86" s="1545"/>
      <c r="H86" s="1546"/>
      <c r="I86" s="1548"/>
      <c r="J86" s="1306"/>
      <c r="K86" s="1307"/>
      <c r="L86" s="1407" t="str">
        <f t="shared" si="0"/>
        <v/>
      </c>
      <c r="M86" s="1212"/>
      <c r="N86" s="1213"/>
      <c r="O86" s="468"/>
      <c r="P86" s="468"/>
      <c r="Q86" s="468"/>
      <c r="R86" s="468"/>
      <c r="S86" s="470"/>
      <c r="T86" s="470"/>
      <c r="U86" s="470"/>
      <c r="V86" s="470"/>
      <c r="W86" s="470"/>
      <c r="X86" s="470"/>
      <c r="Y86" s="470"/>
      <c r="Z86" s="470"/>
      <c r="AA86" s="470"/>
      <c r="AB86" s="470"/>
      <c r="AC86" s="470"/>
      <c r="AD86" s="470"/>
      <c r="AE86" s="468"/>
      <c r="AF86" s="468"/>
      <c r="AG86" s="468"/>
      <c r="AH86" s="468"/>
      <c r="AI86" s="468"/>
      <c r="AJ86" s="468"/>
      <c r="AK86" s="468"/>
      <c r="AL86" s="468"/>
      <c r="AM86" s="468"/>
      <c r="AN86" s="468"/>
      <c r="AO86" s="468"/>
      <c r="AP86" s="468"/>
      <c r="AQ86" s="468"/>
      <c r="AR86" s="468"/>
      <c r="AS86" s="468"/>
      <c r="AT86" s="468"/>
      <c r="AU86" s="468"/>
      <c r="AV86" s="468"/>
      <c r="AW86" s="468"/>
      <c r="AX86" s="468"/>
      <c r="AY86" s="468"/>
      <c r="AZ86" s="468"/>
      <c r="BA86" s="468"/>
      <c r="BB86" s="468"/>
      <c r="BC86" s="468"/>
      <c r="BD86" s="468"/>
      <c r="BE86" s="468"/>
      <c r="BF86" s="468"/>
      <c r="BG86" s="1556"/>
      <c r="BH86" s="468"/>
      <c r="BI86" s="468"/>
      <c r="BJ86" s="468"/>
      <c r="BK86" s="468"/>
      <c r="BL86" s="468"/>
      <c r="BM86" s="468"/>
      <c r="BN86" s="468"/>
      <c r="BO86" s="468"/>
      <c r="BP86" s="468"/>
    </row>
    <row r="87" spans="1:68" ht="30.6" hidden="1" customHeight="1" outlineLevel="1" thickBot="1">
      <c r="A87" s="1058" t="s">
        <v>125</v>
      </c>
      <c r="B87" s="2413"/>
      <c r="C87" s="2413"/>
      <c r="D87" s="1354"/>
      <c r="E87" s="1544"/>
      <c r="F87" s="1545"/>
      <c r="G87" s="1545"/>
      <c r="H87" s="1546"/>
      <c r="I87" s="1548"/>
      <c r="J87" s="1306"/>
      <c r="K87" s="1307"/>
      <c r="L87" s="1407" t="str">
        <f t="shared" si="0"/>
        <v/>
      </c>
      <c r="M87" s="1212"/>
      <c r="N87" s="1213"/>
      <c r="O87" s="468"/>
      <c r="P87" s="468"/>
      <c r="Q87" s="468"/>
      <c r="R87" s="468"/>
      <c r="S87" s="470"/>
      <c r="T87" s="470"/>
      <c r="U87" s="470"/>
      <c r="V87" s="470"/>
      <c r="W87" s="470"/>
      <c r="X87" s="470"/>
      <c r="Y87" s="470"/>
      <c r="Z87" s="470"/>
      <c r="AA87" s="470"/>
      <c r="AB87" s="470"/>
      <c r="AC87" s="470"/>
      <c r="AD87" s="470"/>
      <c r="AE87" s="468"/>
      <c r="AF87" s="468"/>
      <c r="AG87" s="468"/>
      <c r="AH87" s="468"/>
      <c r="AI87" s="468"/>
      <c r="AJ87" s="468"/>
      <c r="AK87" s="468"/>
      <c r="AL87" s="468"/>
      <c r="AM87" s="468"/>
      <c r="AN87" s="468"/>
      <c r="AO87" s="468"/>
      <c r="AP87" s="468"/>
      <c r="AQ87" s="468"/>
      <c r="AR87" s="468"/>
      <c r="AS87" s="468"/>
      <c r="AT87" s="468"/>
      <c r="AU87" s="468"/>
      <c r="AV87" s="468"/>
      <c r="AW87" s="468"/>
      <c r="AX87" s="468"/>
      <c r="AY87" s="468"/>
      <c r="AZ87" s="468"/>
      <c r="BA87" s="468"/>
      <c r="BB87" s="468"/>
      <c r="BC87" s="468"/>
      <c r="BD87" s="468"/>
      <c r="BE87" s="468"/>
      <c r="BF87" s="468"/>
      <c r="BG87" s="1556"/>
      <c r="BH87" s="468"/>
      <c r="BI87" s="468"/>
      <c r="BJ87" s="468"/>
      <c r="BK87" s="468"/>
      <c r="BL87" s="468"/>
      <c r="BM87" s="468"/>
      <c r="BN87" s="468"/>
      <c r="BO87" s="468"/>
      <c r="BP87" s="468"/>
    </row>
    <row r="88" spans="1:68" ht="30.6" hidden="1" customHeight="1" outlineLevel="1" thickBot="1">
      <c r="A88" s="1058" t="s">
        <v>126</v>
      </c>
      <c r="B88" s="2413"/>
      <c r="C88" s="2413"/>
      <c r="D88" s="1354"/>
      <c r="E88" s="1544"/>
      <c r="F88" s="1545"/>
      <c r="G88" s="1545"/>
      <c r="H88" s="1546"/>
      <c r="I88" s="1548"/>
      <c r="J88" s="1306"/>
      <c r="K88" s="1307"/>
      <c r="L88" s="1407" t="str">
        <f t="shared" si="0"/>
        <v/>
      </c>
      <c r="M88" s="1212"/>
      <c r="N88" s="1213"/>
      <c r="O88" s="468"/>
      <c r="P88" s="468"/>
      <c r="Q88" s="468"/>
      <c r="R88" s="468"/>
      <c r="S88" s="470"/>
      <c r="T88" s="470"/>
      <c r="U88" s="470"/>
      <c r="V88" s="470"/>
      <c r="W88" s="470"/>
      <c r="X88" s="470"/>
      <c r="Y88" s="470"/>
      <c r="Z88" s="470"/>
      <c r="AA88" s="470"/>
      <c r="AB88" s="470"/>
      <c r="AC88" s="470"/>
      <c r="AD88" s="470"/>
      <c r="AE88" s="468"/>
      <c r="AF88" s="468"/>
      <c r="AG88" s="468"/>
      <c r="AH88" s="468"/>
      <c r="AI88" s="468"/>
      <c r="AJ88" s="468"/>
      <c r="AK88" s="468"/>
      <c r="AL88" s="468"/>
      <c r="AM88" s="468"/>
      <c r="AN88" s="468"/>
      <c r="AO88" s="468"/>
      <c r="AP88" s="468"/>
      <c r="AQ88" s="468"/>
      <c r="AR88" s="468"/>
      <c r="AS88" s="468"/>
      <c r="AT88" s="468"/>
      <c r="AU88" s="468"/>
      <c r="AV88" s="468"/>
      <c r="AW88" s="468"/>
      <c r="AX88" s="468"/>
      <c r="AY88" s="468"/>
      <c r="AZ88" s="468"/>
      <c r="BA88" s="468"/>
      <c r="BB88" s="468"/>
      <c r="BC88" s="468"/>
      <c r="BD88" s="468"/>
      <c r="BE88" s="468"/>
      <c r="BF88" s="468"/>
      <c r="BG88" s="1556"/>
      <c r="BH88" s="468"/>
      <c r="BI88" s="468"/>
      <c r="BJ88" s="468"/>
      <c r="BK88" s="468"/>
      <c r="BL88" s="468"/>
      <c r="BM88" s="468"/>
      <c r="BN88" s="468"/>
      <c r="BO88" s="468"/>
      <c r="BP88" s="468"/>
    </row>
    <row r="89" spans="1:68" ht="30.6" hidden="1" customHeight="1" outlineLevel="1" thickBot="1">
      <c r="A89" s="1058" t="s">
        <v>127</v>
      </c>
      <c r="B89" s="2413"/>
      <c r="C89" s="2413"/>
      <c r="D89" s="1354"/>
      <c r="E89" s="1544"/>
      <c r="F89" s="1545"/>
      <c r="G89" s="1545"/>
      <c r="H89" s="1546"/>
      <c r="I89" s="1548"/>
      <c r="J89" s="1306"/>
      <c r="K89" s="1307"/>
      <c r="L89" s="1407" t="str">
        <f t="shared" ref="L89:L124" si="1">IF(I89="",IF(E89="","",IF(H89="Trust",E89,E89&amp;",  a "&amp;G89&amp;" "&amp;H89)),I89)</f>
        <v/>
      </c>
      <c r="M89" s="1212"/>
      <c r="N89" s="1213"/>
      <c r="O89" s="468"/>
      <c r="P89" s="468"/>
      <c r="Q89" s="468"/>
      <c r="R89" s="468"/>
      <c r="S89" s="470"/>
      <c r="T89" s="470"/>
      <c r="U89" s="470"/>
      <c r="V89" s="470"/>
      <c r="W89" s="470"/>
      <c r="X89" s="470"/>
      <c r="Y89" s="470"/>
      <c r="Z89" s="470"/>
      <c r="AA89" s="470"/>
      <c r="AB89" s="470"/>
      <c r="AC89" s="470"/>
      <c r="AD89" s="470"/>
      <c r="AE89" s="468"/>
      <c r="AF89" s="468"/>
      <c r="AG89" s="468"/>
      <c r="AH89" s="468"/>
      <c r="AI89" s="468"/>
      <c r="AJ89" s="468"/>
      <c r="AK89" s="468"/>
      <c r="AL89" s="468"/>
      <c r="AM89" s="468"/>
      <c r="AN89" s="468"/>
      <c r="AO89" s="468"/>
      <c r="AP89" s="468"/>
      <c r="AQ89" s="468"/>
      <c r="AR89" s="468"/>
      <c r="AS89" s="468"/>
      <c r="AT89" s="468"/>
      <c r="AU89" s="468"/>
      <c r="AV89" s="468"/>
      <c r="AW89" s="468"/>
      <c r="AX89" s="468"/>
      <c r="AY89" s="468"/>
      <c r="AZ89" s="468"/>
      <c r="BA89" s="468"/>
      <c r="BB89" s="468"/>
      <c r="BC89" s="468"/>
      <c r="BD89" s="468"/>
      <c r="BE89" s="468"/>
      <c r="BF89" s="468"/>
      <c r="BG89" s="1556"/>
      <c r="BH89" s="468"/>
      <c r="BI89" s="468"/>
      <c r="BJ89" s="468"/>
      <c r="BK89" s="468"/>
      <c r="BL89" s="468"/>
      <c r="BM89" s="468"/>
      <c r="BN89" s="468"/>
      <c r="BO89" s="468"/>
      <c r="BP89" s="468"/>
    </row>
    <row r="90" spans="1:68" ht="30.6" hidden="1" customHeight="1" outlineLevel="1" thickBot="1">
      <c r="A90" s="1058" t="s">
        <v>128</v>
      </c>
      <c r="B90" s="2413"/>
      <c r="C90" s="2413"/>
      <c r="D90" s="1354"/>
      <c r="E90" s="1544"/>
      <c r="F90" s="1545"/>
      <c r="G90" s="1545"/>
      <c r="H90" s="1546"/>
      <c r="I90" s="1548"/>
      <c r="J90" s="1306"/>
      <c r="K90" s="1307"/>
      <c r="L90" s="1407" t="str">
        <f t="shared" si="1"/>
        <v/>
      </c>
      <c r="M90" s="1212"/>
      <c r="N90" s="1213"/>
      <c r="O90" s="468"/>
      <c r="P90" s="468"/>
      <c r="Q90" s="468"/>
      <c r="R90" s="468"/>
      <c r="S90" s="470"/>
      <c r="T90" s="470"/>
      <c r="U90" s="470"/>
      <c r="V90" s="470"/>
      <c r="W90" s="470"/>
      <c r="X90" s="470"/>
      <c r="Y90" s="470"/>
      <c r="Z90" s="470"/>
      <c r="AA90" s="470"/>
      <c r="AB90" s="470"/>
      <c r="AC90" s="470"/>
      <c r="AD90" s="470"/>
      <c r="AE90" s="468"/>
      <c r="AF90" s="468"/>
      <c r="AG90" s="468"/>
      <c r="AH90" s="468"/>
      <c r="AI90" s="468"/>
      <c r="AJ90" s="468"/>
      <c r="AK90" s="468"/>
      <c r="AL90" s="468"/>
      <c r="AM90" s="468"/>
      <c r="AN90" s="468"/>
      <c r="AO90" s="468"/>
      <c r="AP90" s="468"/>
      <c r="AQ90" s="468"/>
      <c r="AR90" s="468"/>
      <c r="AS90" s="468"/>
      <c r="AT90" s="468"/>
      <c r="AU90" s="468"/>
      <c r="AV90" s="468"/>
      <c r="AW90" s="468"/>
      <c r="AX90" s="468"/>
      <c r="AY90" s="468"/>
      <c r="AZ90" s="468"/>
      <c r="BA90" s="468"/>
      <c r="BB90" s="468"/>
      <c r="BC90" s="468"/>
      <c r="BD90" s="468"/>
      <c r="BE90" s="468"/>
      <c r="BF90" s="468"/>
      <c r="BG90" s="1556"/>
      <c r="BH90" s="468"/>
      <c r="BI90" s="468"/>
      <c r="BJ90" s="468"/>
      <c r="BK90" s="468"/>
      <c r="BL90" s="468"/>
      <c r="BM90" s="468"/>
      <c r="BN90" s="468"/>
      <c r="BO90" s="468"/>
      <c r="BP90" s="468"/>
    </row>
    <row r="91" spans="1:68" ht="30.6" hidden="1" customHeight="1" outlineLevel="1" thickBot="1">
      <c r="A91" s="1058" t="s">
        <v>129</v>
      </c>
      <c r="B91" s="2413"/>
      <c r="C91" s="2413"/>
      <c r="D91" s="1354"/>
      <c r="E91" s="1544"/>
      <c r="F91" s="1545"/>
      <c r="G91" s="1545"/>
      <c r="H91" s="1546"/>
      <c r="I91" s="1548"/>
      <c r="J91" s="1306"/>
      <c r="K91" s="1307"/>
      <c r="L91" s="1407" t="str">
        <f t="shared" si="1"/>
        <v/>
      </c>
      <c r="M91" s="1212"/>
      <c r="N91" s="1213"/>
      <c r="O91" s="468"/>
      <c r="P91" s="468"/>
      <c r="Q91" s="468"/>
      <c r="R91" s="468"/>
      <c r="S91" s="470"/>
      <c r="T91" s="470"/>
      <c r="U91" s="470"/>
      <c r="V91" s="470"/>
      <c r="W91" s="470"/>
      <c r="X91" s="470"/>
      <c r="Y91" s="470"/>
      <c r="Z91" s="470"/>
      <c r="AA91" s="470"/>
      <c r="AB91" s="470"/>
      <c r="AC91" s="470"/>
      <c r="AD91" s="470"/>
      <c r="AE91" s="468"/>
      <c r="AF91" s="468"/>
      <c r="AG91" s="468"/>
      <c r="AH91" s="468"/>
      <c r="AI91" s="468"/>
      <c r="AJ91" s="468"/>
      <c r="AK91" s="468"/>
      <c r="AL91" s="468"/>
      <c r="AM91" s="468"/>
      <c r="AN91" s="468"/>
      <c r="AO91" s="468"/>
      <c r="AP91" s="468"/>
      <c r="AQ91" s="468"/>
      <c r="AR91" s="468"/>
      <c r="AS91" s="468"/>
      <c r="AT91" s="468"/>
      <c r="AU91" s="468"/>
      <c r="AV91" s="468"/>
      <c r="AW91" s="468"/>
      <c r="AX91" s="468"/>
      <c r="AY91" s="468"/>
      <c r="AZ91" s="468"/>
      <c r="BA91" s="468"/>
      <c r="BB91" s="468"/>
      <c r="BC91" s="468"/>
      <c r="BD91" s="468"/>
      <c r="BE91" s="468"/>
      <c r="BF91" s="468"/>
      <c r="BG91" s="1556"/>
      <c r="BH91" s="468"/>
      <c r="BI91" s="468"/>
      <c r="BJ91" s="468"/>
      <c r="BK91" s="468"/>
      <c r="BL91" s="468"/>
      <c r="BM91" s="468"/>
      <c r="BN91" s="468"/>
      <c r="BO91" s="468"/>
      <c r="BP91" s="468"/>
    </row>
    <row r="92" spans="1:68" ht="30.6" hidden="1" customHeight="1" outlineLevel="1" thickBot="1">
      <c r="A92" s="1058" t="s">
        <v>130</v>
      </c>
      <c r="B92" s="2413"/>
      <c r="C92" s="2413"/>
      <c r="D92" s="1354"/>
      <c r="E92" s="1544"/>
      <c r="F92" s="1545"/>
      <c r="G92" s="1545"/>
      <c r="H92" s="1546"/>
      <c r="I92" s="1548"/>
      <c r="J92" s="1306"/>
      <c r="K92" s="1307"/>
      <c r="L92" s="1407" t="str">
        <f t="shared" si="1"/>
        <v/>
      </c>
      <c r="M92" s="1212"/>
      <c r="N92" s="1213"/>
      <c r="O92" s="468"/>
      <c r="P92" s="468"/>
      <c r="Q92" s="468"/>
      <c r="R92" s="468"/>
      <c r="S92" s="470"/>
      <c r="T92" s="470"/>
      <c r="U92" s="470"/>
      <c r="V92" s="470"/>
      <c r="W92" s="470"/>
      <c r="X92" s="470"/>
      <c r="Y92" s="470"/>
      <c r="Z92" s="470"/>
      <c r="AA92" s="470"/>
      <c r="AB92" s="470"/>
      <c r="AC92" s="470"/>
      <c r="AD92" s="470"/>
      <c r="AE92" s="468"/>
      <c r="AF92" s="468"/>
      <c r="AG92" s="468"/>
      <c r="AH92" s="468"/>
      <c r="AI92" s="468"/>
      <c r="AJ92" s="468"/>
      <c r="AK92" s="468"/>
      <c r="AL92" s="468"/>
      <c r="AM92" s="468"/>
      <c r="AN92" s="468"/>
      <c r="AO92" s="468"/>
      <c r="AP92" s="468"/>
      <c r="AQ92" s="468"/>
      <c r="AR92" s="468"/>
      <c r="AS92" s="468"/>
      <c r="AT92" s="468"/>
      <c r="AU92" s="468"/>
      <c r="AV92" s="468"/>
      <c r="AW92" s="468"/>
      <c r="AX92" s="468"/>
      <c r="AY92" s="468"/>
      <c r="AZ92" s="468"/>
      <c r="BA92" s="468"/>
      <c r="BB92" s="468"/>
      <c r="BC92" s="468"/>
      <c r="BD92" s="468"/>
      <c r="BE92" s="468"/>
      <c r="BF92" s="468"/>
      <c r="BG92" s="1556"/>
      <c r="BH92" s="468"/>
      <c r="BI92" s="468"/>
      <c r="BJ92" s="468"/>
      <c r="BK92" s="468"/>
      <c r="BL92" s="468"/>
      <c r="BM92" s="468"/>
      <c r="BN92" s="468"/>
      <c r="BO92" s="468"/>
      <c r="BP92" s="468"/>
    </row>
    <row r="93" spans="1:68" ht="30.6" hidden="1" customHeight="1" outlineLevel="1" thickBot="1">
      <c r="A93" s="1058" t="s">
        <v>131</v>
      </c>
      <c r="B93" s="2413"/>
      <c r="C93" s="2413"/>
      <c r="D93" s="1354"/>
      <c r="E93" s="1544"/>
      <c r="F93" s="1545"/>
      <c r="G93" s="1545"/>
      <c r="H93" s="1546"/>
      <c r="I93" s="1548"/>
      <c r="J93" s="1306"/>
      <c r="K93" s="1307"/>
      <c r="L93" s="1407" t="str">
        <f t="shared" si="1"/>
        <v/>
      </c>
      <c r="M93" s="1212"/>
      <c r="N93" s="1213"/>
      <c r="O93" s="468"/>
      <c r="P93" s="468"/>
      <c r="Q93" s="468"/>
      <c r="R93" s="468"/>
      <c r="S93" s="470"/>
      <c r="T93" s="470"/>
      <c r="U93" s="470"/>
      <c r="V93" s="470"/>
      <c r="W93" s="470"/>
      <c r="X93" s="470"/>
      <c r="Y93" s="470"/>
      <c r="Z93" s="470"/>
      <c r="AA93" s="470"/>
      <c r="AB93" s="470"/>
      <c r="AC93" s="470"/>
      <c r="AD93" s="470"/>
      <c r="AE93" s="468"/>
      <c r="AF93" s="468"/>
      <c r="AG93" s="468"/>
      <c r="AH93" s="468"/>
      <c r="AI93" s="468"/>
      <c r="AJ93" s="468"/>
      <c r="AK93" s="468"/>
      <c r="AL93" s="468"/>
      <c r="AM93" s="468"/>
      <c r="AN93" s="468"/>
      <c r="AO93" s="468"/>
      <c r="AP93" s="468"/>
      <c r="AQ93" s="468"/>
      <c r="AR93" s="468"/>
      <c r="AS93" s="468"/>
      <c r="AT93" s="468"/>
      <c r="AU93" s="468"/>
      <c r="AV93" s="468"/>
      <c r="AW93" s="468"/>
      <c r="AX93" s="468"/>
      <c r="AY93" s="468"/>
      <c r="AZ93" s="468"/>
      <c r="BA93" s="468"/>
      <c r="BB93" s="468"/>
      <c r="BC93" s="468"/>
      <c r="BD93" s="468"/>
      <c r="BE93" s="468"/>
      <c r="BF93" s="468"/>
      <c r="BG93" s="1556"/>
      <c r="BH93" s="468"/>
      <c r="BI93" s="468"/>
      <c r="BJ93" s="468"/>
      <c r="BK93" s="468"/>
      <c r="BL93" s="468"/>
      <c r="BM93" s="468"/>
      <c r="BN93" s="468"/>
      <c r="BO93" s="468"/>
      <c r="BP93" s="468"/>
    </row>
    <row r="94" spans="1:68" ht="30.6" hidden="1" customHeight="1" outlineLevel="1" thickBot="1">
      <c r="A94" s="1058" t="s">
        <v>132</v>
      </c>
      <c r="B94" s="2413"/>
      <c r="C94" s="2413"/>
      <c r="D94" s="1354"/>
      <c r="E94" s="1544"/>
      <c r="F94" s="1545"/>
      <c r="G94" s="1545"/>
      <c r="H94" s="1546"/>
      <c r="I94" s="1548"/>
      <c r="J94" s="1306"/>
      <c r="K94" s="1307"/>
      <c r="L94" s="1407" t="str">
        <f t="shared" si="1"/>
        <v/>
      </c>
      <c r="M94" s="1212"/>
      <c r="N94" s="1213"/>
      <c r="O94" s="468"/>
      <c r="P94" s="468"/>
      <c r="Q94" s="468"/>
      <c r="R94" s="468"/>
      <c r="S94" s="470"/>
      <c r="T94" s="470"/>
      <c r="U94" s="470"/>
      <c r="V94" s="470"/>
      <c r="W94" s="470"/>
      <c r="X94" s="470"/>
      <c r="Y94" s="470"/>
      <c r="Z94" s="470"/>
      <c r="AA94" s="470"/>
      <c r="AB94" s="470"/>
      <c r="AC94" s="470"/>
      <c r="AD94" s="470"/>
      <c r="AE94" s="468"/>
      <c r="AF94" s="468"/>
      <c r="AG94" s="468"/>
      <c r="AH94" s="468"/>
      <c r="AI94" s="468"/>
      <c r="AJ94" s="468"/>
      <c r="AK94" s="468"/>
      <c r="AL94" s="468"/>
      <c r="AM94" s="468"/>
      <c r="AN94" s="468"/>
      <c r="AO94" s="468"/>
      <c r="AP94" s="468"/>
      <c r="AQ94" s="468"/>
      <c r="AR94" s="468"/>
      <c r="AS94" s="468"/>
      <c r="AT94" s="468"/>
      <c r="AU94" s="468"/>
      <c r="AV94" s="468"/>
      <c r="AW94" s="468"/>
      <c r="AX94" s="468"/>
      <c r="AY94" s="468"/>
      <c r="AZ94" s="468"/>
      <c r="BA94" s="468"/>
      <c r="BB94" s="468"/>
      <c r="BC94" s="468"/>
      <c r="BD94" s="468"/>
      <c r="BE94" s="468"/>
      <c r="BF94" s="468"/>
      <c r="BG94" s="1556"/>
      <c r="BH94" s="468"/>
      <c r="BI94" s="468"/>
      <c r="BJ94" s="468"/>
      <c r="BK94" s="468"/>
      <c r="BL94" s="468"/>
      <c r="BM94" s="468"/>
      <c r="BN94" s="468"/>
      <c r="BO94" s="468"/>
      <c r="BP94" s="468"/>
    </row>
    <row r="95" spans="1:68" ht="30.6" hidden="1" customHeight="1" outlineLevel="1" thickBot="1">
      <c r="A95" s="1058" t="s">
        <v>133</v>
      </c>
      <c r="B95" s="2413"/>
      <c r="C95" s="2413"/>
      <c r="D95" s="1354"/>
      <c r="E95" s="1544"/>
      <c r="F95" s="1545"/>
      <c r="G95" s="1545"/>
      <c r="H95" s="1546"/>
      <c r="I95" s="1548"/>
      <c r="J95" s="1306"/>
      <c r="K95" s="1307"/>
      <c r="L95" s="1407" t="str">
        <f t="shared" si="1"/>
        <v/>
      </c>
      <c r="M95" s="1212"/>
      <c r="N95" s="1213"/>
      <c r="O95" s="468"/>
      <c r="P95" s="468"/>
      <c r="Q95" s="468"/>
      <c r="R95" s="468"/>
      <c r="S95" s="470"/>
      <c r="T95" s="470"/>
      <c r="U95" s="470"/>
      <c r="V95" s="470"/>
      <c r="W95" s="470"/>
      <c r="X95" s="470"/>
      <c r="Y95" s="470"/>
      <c r="Z95" s="470"/>
      <c r="AA95" s="470"/>
      <c r="AB95" s="470"/>
      <c r="AC95" s="470"/>
      <c r="AD95" s="470"/>
      <c r="AE95" s="468"/>
      <c r="AF95" s="468"/>
      <c r="AG95" s="468"/>
      <c r="AH95" s="468"/>
      <c r="AI95" s="468"/>
      <c r="AJ95" s="468"/>
      <c r="AK95" s="468"/>
      <c r="AL95" s="468"/>
      <c r="AM95" s="468"/>
      <c r="AN95" s="468"/>
      <c r="AO95" s="468"/>
      <c r="AP95" s="468"/>
      <c r="AQ95" s="468"/>
      <c r="AR95" s="468"/>
      <c r="AS95" s="468"/>
      <c r="AT95" s="468"/>
      <c r="AU95" s="468"/>
      <c r="AV95" s="468"/>
      <c r="AW95" s="468"/>
      <c r="AX95" s="468"/>
      <c r="AY95" s="468"/>
      <c r="AZ95" s="468"/>
      <c r="BA95" s="468"/>
      <c r="BB95" s="468"/>
      <c r="BC95" s="468"/>
      <c r="BD95" s="468"/>
      <c r="BE95" s="468"/>
      <c r="BF95" s="468"/>
      <c r="BG95" s="1556"/>
      <c r="BH95" s="468"/>
      <c r="BI95" s="468"/>
      <c r="BJ95" s="468"/>
      <c r="BK95" s="468"/>
      <c r="BL95" s="468"/>
      <c r="BM95" s="468"/>
      <c r="BN95" s="468"/>
      <c r="BO95" s="468"/>
      <c r="BP95" s="468"/>
    </row>
    <row r="96" spans="1:68" ht="30.6" hidden="1" customHeight="1" outlineLevel="1" thickBot="1">
      <c r="A96" s="1058" t="s">
        <v>134</v>
      </c>
      <c r="B96" s="2413"/>
      <c r="C96" s="2413"/>
      <c r="D96" s="1354"/>
      <c r="E96" s="1544"/>
      <c r="F96" s="1545"/>
      <c r="G96" s="1545"/>
      <c r="H96" s="1546"/>
      <c r="I96" s="1548"/>
      <c r="J96" s="1306"/>
      <c r="K96" s="1307"/>
      <c r="L96" s="1407" t="str">
        <f t="shared" si="1"/>
        <v/>
      </c>
      <c r="M96" s="1212"/>
      <c r="N96" s="1213"/>
      <c r="O96" s="468"/>
      <c r="P96" s="468"/>
      <c r="Q96" s="468"/>
      <c r="R96" s="468"/>
      <c r="S96" s="470"/>
      <c r="T96" s="470"/>
      <c r="U96" s="470"/>
      <c r="V96" s="470"/>
      <c r="W96" s="470"/>
      <c r="X96" s="470"/>
      <c r="Y96" s="470"/>
      <c r="Z96" s="470"/>
      <c r="AA96" s="470"/>
      <c r="AB96" s="470"/>
      <c r="AC96" s="470"/>
      <c r="AD96" s="470"/>
      <c r="AE96" s="468"/>
      <c r="AF96" s="468"/>
      <c r="AG96" s="468"/>
      <c r="AH96" s="468"/>
      <c r="AI96" s="468"/>
      <c r="AJ96" s="468"/>
      <c r="AK96" s="468"/>
      <c r="AL96" s="468"/>
      <c r="AM96" s="468"/>
      <c r="AN96" s="468"/>
      <c r="AO96" s="468"/>
      <c r="AP96" s="468"/>
      <c r="AQ96" s="468"/>
      <c r="AR96" s="468"/>
      <c r="AS96" s="468"/>
      <c r="AT96" s="468"/>
      <c r="AU96" s="468"/>
      <c r="AV96" s="468"/>
      <c r="AW96" s="468"/>
      <c r="AX96" s="468"/>
      <c r="AY96" s="468"/>
      <c r="AZ96" s="468"/>
      <c r="BA96" s="468"/>
      <c r="BB96" s="468"/>
      <c r="BC96" s="468"/>
      <c r="BD96" s="468"/>
      <c r="BE96" s="468"/>
      <c r="BF96" s="468"/>
      <c r="BG96" s="1556"/>
      <c r="BH96" s="468"/>
      <c r="BI96" s="468"/>
      <c r="BJ96" s="468"/>
      <c r="BK96" s="468"/>
      <c r="BL96" s="468"/>
      <c r="BM96" s="468"/>
      <c r="BN96" s="468"/>
      <c r="BO96" s="468"/>
      <c r="BP96" s="468"/>
    </row>
    <row r="97" spans="1:68" ht="30.6" hidden="1" customHeight="1" outlineLevel="1" thickBot="1">
      <c r="A97" s="1058" t="s">
        <v>135</v>
      </c>
      <c r="B97" s="2413"/>
      <c r="C97" s="2413"/>
      <c r="D97" s="1354"/>
      <c r="E97" s="1544"/>
      <c r="F97" s="1545"/>
      <c r="G97" s="1545"/>
      <c r="H97" s="1546"/>
      <c r="I97" s="1548"/>
      <c r="J97" s="1306"/>
      <c r="K97" s="1307"/>
      <c r="L97" s="1407" t="str">
        <f t="shared" si="1"/>
        <v/>
      </c>
      <c r="M97" s="1212"/>
      <c r="N97" s="1213"/>
      <c r="O97" s="468"/>
      <c r="P97" s="468"/>
      <c r="Q97" s="468"/>
      <c r="R97" s="468"/>
      <c r="S97" s="470"/>
      <c r="T97" s="470"/>
      <c r="U97" s="470"/>
      <c r="V97" s="470"/>
      <c r="W97" s="470"/>
      <c r="X97" s="470"/>
      <c r="Y97" s="470"/>
      <c r="Z97" s="470"/>
      <c r="AA97" s="470"/>
      <c r="AB97" s="470"/>
      <c r="AC97" s="470"/>
      <c r="AD97" s="470"/>
      <c r="AE97" s="468"/>
      <c r="AF97" s="468"/>
      <c r="AG97" s="468"/>
      <c r="AH97" s="468"/>
      <c r="AI97" s="468"/>
      <c r="AJ97" s="468"/>
      <c r="AK97" s="468"/>
      <c r="AL97" s="468"/>
      <c r="AM97" s="468"/>
      <c r="AN97" s="468"/>
      <c r="AO97" s="468"/>
      <c r="AP97" s="468"/>
      <c r="AQ97" s="468"/>
      <c r="AR97" s="468"/>
      <c r="AS97" s="468"/>
      <c r="AT97" s="468"/>
      <c r="AU97" s="468"/>
      <c r="AV97" s="468"/>
      <c r="AW97" s="468"/>
      <c r="AX97" s="468"/>
      <c r="AY97" s="468"/>
      <c r="AZ97" s="468"/>
      <c r="BA97" s="468"/>
      <c r="BB97" s="468"/>
      <c r="BC97" s="468"/>
      <c r="BD97" s="468"/>
      <c r="BE97" s="468"/>
      <c r="BF97" s="468"/>
      <c r="BG97" s="1556"/>
      <c r="BH97" s="468"/>
      <c r="BI97" s="468"/>
      <c r="BJ97" s="468"/>
      <c r="BK97" s="468"/>
      <c r="BL97" s="468"/>
      <c r="BM97" s="468"/>
      <c r="BN97" s="468"/>
      <c r="BO97" s="468"/>
      <c r="BP97" s="468"/>
    </row>
    <row r="98" spans="1:68" ht="30.6" hidden="1" customHeight="1" outlineLevel="1" thickBot="1">
      <c r="A98" s="1058" t="s">
        <v>136</v>
      </c>
      <c r="B98" s="2413"/>
      <c r="C98" s="2413"/>
      <c r="D98" s="1354"/>
      <c r="E98" s="1544"/>
      <c r="F98" s="1545"/>
      <c r="G98" s="1545"/>
      <c r="H98" s="1546"/>
      <c r="I98" s="1548"/>
      <c r="J98" s="1306"/>
      <c r="K98" s="1307"/>
      <c r="L98" s="1407" t="str">
        <f t="shared" si="1"/>
        <v/>
      </c>
      <c r="M98" s="1212"/>
      <c r="N98" s="1213"/>
      <c r="O98" s="468"/>
      <c r="P98" s="468"/>
      <c r="Q98" s="468"/>
      <c r="R98" s="468"/>
      <c r="S98" s="470"/>
      <c r="T98" s="470"/>
      <c r="U98" s="470"/>
      <c r="V98" s="470"/>
      <c r="W98" s="470"/>
      <c r="X98" s="470"/>
      <c r="Y98" s="470"/>
      <c r="Z98" s="470"/>
      <c r="AA98" s="470"/>
      <c r="AB98" s="470"/>
      <c r="AC98" s="470"/>
      <c r="AD98" s="470"/>
      <c r="AE98" s="468"/>
      <c r="AF98" s="468"/>
      <c r="AG98" s="468"/>
      <c r="AH98" s="468"/>
      <c r="AI98" s="468"/>
      <c r="AJ98" s="468"/>
      <c r="AK98" s="468"/>
      <c r="AL98" s="468"/>
      <c r="AM98" s="468"/>
      <c r="AN98" s="468"/>
      <c r="AO98" s="468"/>
      <c r="AP98" s="468"/>
      <c r="AQ98" s="468"/>
      <c r="AR98" s="468"/>
      <c r="AS98" s="468"/>
      <c r="AT98" s="468"/>
      <c r="AU98" s="468"/>
      <c r="AV98" s="468"/>
      <c r="AW98" s="468"/>
      <c r="AX98" s="468"/>
      <c r="AY98" s="468"/>
      <c r="AZ98" s="468"/>
      <c r="BA98" s="468"/>
      <c r="BB98" s="468"/>
      <c r="BC98" s="468"/>
      <c r="BD98" s="468"/>
      <c r="BE98" s="468"/>
      <c r="BF98" s="468"/>
      <c r="BG98" s="1556"/>
      <c r="BH98" s="468"/>
      <c r="BI98" s="468"/>
      <c r="BJ98" s="468"/>
      <c r="BK98" s="468"/>
      <c r="BL98" s="468"/>
      <c r="BM98" s="468"/>
      <c r="BN98" s="468"/>
      <c r="BO98" s="468"/>
      <c r="BP98" s="468"/>
    </row>
    <row r="99" spans="1:68" ht="30.6" customHeight="1" collapsed="1" thickBot="1">
      <c r="A99" s="1058" t="s">
        <v>137</v>
      </c>
      <c r="B99" s="2413"/>
      <c r="C99" s="2413"/>
      <c r="D99" s="1354"/>
      <c r="E99" s="1544"/>
      <c r="F99" s="1545"/>
      <c r="G99" s="1545"/>
      <c r="H99" s="1546"/>
      <c r="I99" s="1548"/>
      <c r="J99" s="1306"/>
      <c r="K99" s="1307"/>
      <c r="L99" s="1407" t="str">
        <f t="shared" si="1"/>
        <v/>
      </c>
      <c r="M99" s="1212"/>
      <c r="N99" s="1213"/>
      <c r="O99" s="468"/>
      <c r="P99" s="468"/>
      <c r="Q99" s="468"/>
      <c r="R99" s="468"/>
      <c r="S99" s="470"/>
      <c r="T99" s="470"/>
      <c r="U99" s="470"/>
      <c r="V99" s="470"/>
      <c r="W99" s="470"/>
      <c r="X99" s="470"/>
      <c r="Y99" s="470"/>
      <c r="Z99" s="470"/>
      <c r="AA99" s="470"/>
      <c r="AB99" s="470"/>
      <c r="AC99" s="470"/>
      <c r="AD99" s="470"/>
      <c r="AE99" s="468"/>
      <c r="AF99" s="468"/>
      <c r="AG99" s="468"/>
      <c r="AH99" s="468"/>
      <c r="AI99" s="468"/>
      <c r="AJ99" s="468"/>
      <c r="AK99" s="468"/>
      <c r="AL99" s="468"/>
      <c r="AM99" s="468"/>
      <c r="AN99" s="468"/>
      <c r="AO99" s="468"/>
      <c r="AP99" s="468"/>
      <c r="AQ99" s="468"/>
      <c r="AR99" s="468"/>
      <c r="AS99" s="468"/>
      <c r="AT99" s="468"/>
      <c r="AU99" s="468"/>
      <c r="AV99" s="468"/>
      <c r="AW99" s="468"/>
      <c r="AX99" s="468"/>
      <c r="AY99" s="468"/>
      <c r="AZ99" s="468"/>
      <c r="BA99" s="468"/>
      <c r="BB99" s="468"/>
      <c r="BC99" s="468"/>
      <c r="BD99" s="468"/>
      <c r="BE99" s="468"/>
      <c r="BF99" s="468"/>
      <c r="BG99" s="1556"/>
      <c r="BH99" s="468"/>
      <c r="BI99" s="468"/>
      <c r="BJ99" s="468"/>
      <c r="BK99" s="468"/>
      <c r="BL99" s="468"/>
      <c r="BM99" s="468"/>
      <c r="BN99" s="468"/>
      <c r="BO99" s="468"/>
      <c r="BP99" s="468"/>
    </row>
    <row r="100" spans="1:68" ht="30.6" hidden="1" customHeight="1" outlineLevel="1" thickBot="1">
      <c r="A100" s="1058" t="s">
        <v>138</v>
      </c>
      <c r="B100" s="2413"/>
      <c r="C100" s="2413"/>
      <c r="D100" s="1354"/>
      <c r="E100" s="1544"/>
      <c r="F100" s="1545"/>
      <c r="G100" s="1545"/>
      <c r="H100" s="1546"/>
      <c r="I100" s="1548"/>
      <c r="J100" s="1306"/>
      <c r="K100" s="1307"/>
      <c r="L100" s="1407" t="str">
        <f t="shared" si="1"/>
        <v/>
      </c>
      <c r="M100" s="1212"/>
      <c r="N100" s="1213"/>
      <c r="O100" s="468"/>
      <c r="P100" s="468"/>
      <c r="Q100" s="468"/>
      <c r="R100" s="468"/>
      <c r="S100" s="470"/>
      <c r="T100" s="470"/>
      <c r="U100" s="470"/>
      <c r="V100" s="470"/>
      <c r="W100" s="470"/>
      <c r="X100" s="470"/>
      <c r="Y100" s="470"/>
      <c r="Z100" s="470"/>
      <c r="AA100" s="470"/>
      <c r="AB100" s="470"/>
      <c r="AC100" s="470"/>
      <c r="AD100" s="470"/>
      <c r="AE100" s="468"/>
      <c r="AF100" s="468"/>
      <c r="AG100" s="468"/>
      <c r="AH100" s="468"/>
      <c r="AI100" s="468"/>
      <c r="AJ100" s="468"/>
      <c r="AK100" s="468"/>
      <c r="AL100" s="468"/>
      <c r="AM100" s="468"/>
      <c r="AN100" s="468"/>
      <c r="AO100" s="468"/>
      <c r="AP100" s="468"/>
      <c r="AQ100" s="468"/>
      <c r="AR100" s="468"/>
      <c r="AS100" s="468"/>
      <c r="AT100" s="468"/>
      <c r="AU100" s="468"/>
      <c r="AV100" s="468"/>
      <c r="AW100" s="468"/>
      <c r="AX100" s="468"/>
      <c r="AY100" s="468"/>
      <c r="AZ100" s="468"/>
      <c r="BA100" s="468"/>
      <c r="BB100" s="468"/>
      <c r="BC100" s="468"/>
      <c r="BD100" s="468"/>
      <c r="BE100" s="468"/>
      <c r="BF100" s="468"/>
      <c r="BG100" s="1556"/>
      <c r="BH100" s="468"/>
      <c r="BI100" s="468"/>
      <c r="BJ100" s="468"/>
      <c r="BK100" s="468"/>
      <c r="BL100" s="468"/>
      <c r="BM100" s="468"/>
      <c r="BN100" s="468"/>
      <c r="BO100" s="468"/>
      <c r="BP100" s="468"/>
    </row>
    <row r="101" spans="1:68" ht="30.6" hidden="1" customHeight="1" outlineLevel="1" thickBot="1">
      <c r="A101" s="1058" t="s">
        <v>139</v>
      </c>
      <c r="B101" s="2413"/>
      <c r="C101" s="2413"/>
      <c r="D101" s="1354"/>
      <c r="E101" s="1544"/>
      <c r="F101" s="1545"/>
      <c r="G101" s="1545"/>
      <c r="H101" s="1546"/>
      <c r="I101" s="1548"/>
      <c r="J101" s="1306"/>
      <c r="K101" s="1307"/>
      <c r="L101" s="1407" t="str">
        <f t="shared" si="1"/>
        <v/>
      </c>
      <c r="M101" s="1212"/>
      <c r="N101" s="1213"/>
      <c r="O101" s="468"/>
      <c r="P101" s="468"/>
      <c r="Q101" s="468"/>
      <c r="R101" s="468"/>
      <c r="S101" s="470"/>
      <c r="T101" s="470"/>
      <c r="U101" s="470"/>
      <c r="V101" s="470"/>
      <c r="W101" s="470"/>
      <c r="X101" s="470"/>
      <c r="Y101" s="470"/>
      <c r="Z101" s="470"/>
      <c r="AA101" s="470"/>
      <c r="AB101" s="470"/>
      <c r="AC101" s="470"/>
      <c r="AD101" s="470"/>
      <c r="AE101" s="468"/>
      <c r="AF101" s="468"/>
      <c r="AG101" s="468"/>
      <c r="AH101" s="468"/>
      <c r="AI101" s="468"/>
      <c r="AJ101" s="468"/>
      <c r="AK101" s="468"/>
      <c r="AL101" s="468"/>
      <c r="AM101" s="468"/>
      <c r="AN101" s="468"/>
      <c r="AO101" s="468"/>
      <c r="AP101" s="468"/>
      <c r="AQ101" s="468"/>
      <c r="AR101" s="468"/>
      <c r="AS101" s="468"/>
      <c r="AT101" s="468"/>
      <c r="AU101" s="468"/>
      <c r="AV101" s="468"/>
      <c r="AW101" s="468"/>
      <c r="AX101" s="468"/>
      <c r="AY101" s="468"/>
      <c r="AZ101" s="468"/>
      <c r="BA101" s="468"/>
      <c r="BB101" s="468"/>
      <c r="BC101" s="468"/>
      <c r="BD101" s="468"/>
      <c r="BE101" s="468"/>
      <c r="BF101" s="468"/>
      <c r="BG101" s="1556"/>
      <c r="BH101" s="468"/>
      <c r="BI101" s="468"/>
      <c r="BJ101" s="468"/>
      <c r="BK101" s="468"/>
      <c r="BL101" s="468"/>
      <c r="BM101" s="468"/>
      <c r="BN101" s="468"/>
      <c r="BO101" s="468"/>
      <c r="BP101" s="468"/>
    </row>
    <row r="102" spans="1:68" ht="30.6" hidden="1" customHeight="1" outlineLevel="1" thickBot="1">
      <c r="A102" s="1058" t="s">
        <v>140</v>
      </c>
      <c r="B102" s="2413"/>
      <c r="C102" s="2413"/>
      <c r="D102" s="1354"/>
      <c r="E102" s="1544"/>
      <c r="F102" s="1545"/>
      <c r="G102" s="1545"/>
      <c r="H102" s="1546"/>
      <c r="I102" s="1548"/>
      <c r="J102" s="1306"/>
      <c r="K102" s="1307"/>
      <c r="L102" s="1407" t="str">
        <f t="shared" si="1"/>
        <v/>
      </c>
      <c r="M102" s="1212"/>
      <c r="N102" s="1213"/>
      <c r="O102" s="468"/>
      <c r="P102" s="468"/>
      <c r="Q102" s="468"/>
      <c r="R102" s="468"/>
      <c r="S102" s="470"/>
      <c r="T102" s="470"/>
      <c r="U102" s="470"/>
      <c r="V102" s="470"/>
      <c r="W102" s="470"/>
      <c r="X102" s="470"/>
      <c r="Y102" s="470"/>
      <c r="Z102" s="470"/>
      <c r="AA102" s="470"/>
      <c r="AB102" s="470"/>
      <c r="AC102" s="470"/>
      <c r="AD102" s="470"/>
      <c r="AE102" s="468"/>
      <c r="AF102" s="468"/>
      <c r="AG102" s="468"/>
      <c r="AH102" s="468"/>
      <c r="AI102" s="468"/>
      <c r="AJ102" s="468"/>
      <c r="AK102" s="468"/>
      <c r="AL102" s="468"/>
      <c r="AM102" s="468"/>
      <c r="AN102" s="468"/>
      <c r="AO102" s="468"/>
      <c r="AP102" s="468"/>
      <c r="AQ102" s="468"/>
      <c r="AR102" s="468"/>
      <c r="AS102" s="468"/>
      <c r="AT102" s="468"/>
      <c r="AU102" s="468"/>
      <c r="AV102" s="468"/>
      <c r="AW102" s="468"/>
      <c r="AX102" s="468"/>
      <c r="AY102" s="468"/>
      <c r="AZ102" s="468"/>
      <c r="BA102" s="468"/>
      <c r="BB102" s="468"/>
      <c r="BC102" s="468"/>
      <c r="BD102" s="468"/>
      <c r="BE102" s="468"/>
      <c r="BF102" s="468"/>
      <c r="BG102" s="1556"/>
      <c r="BH102" s="468"/>
      <c r="BI102" s="468"/>
      <c r="BJ102" s="468"/>
      <c r="BK102" s="468"/>
      <c r="BL102" s="468"/>
      <c r="BM102" s="468"/>
      <c r="BN102" s="468"/>
      <c r="BO102" s="468"/>
      <c r="BP102" s="468"/>
    </row>
    <row r="103" spans="1:68" ht="30.6" hidden="1" customHeight="1" outlineLevel="1" thickBot="1">
      <c r="A103" s="1058" t="s">
        <v>141</v>
      </c>
      <c r="B103" s="2413"/>
      <c r="C103" s="2413"/>
      <c r="D103" s="1354"/>
      <c r="E103" s="1544"/>
      <c r="F103" s="1545"/>
      <c r="G103" s="1545"/>
      <c r="H103" s="1546"/>
      <c r="I103" s="1548"/>
      <c r="J103" s="1306"/>
      <c r="K103" s="1307"/>
      <c r="L103" s="1407" t="str">
        <f t="shared" si="1"/>
        <v/>
      </c>
      <c r="M103" s="1212"/>
      <c r="N103" s="1213"/>
      <c r="O103" s="468"/>
      <c r="P103" s="468"/>
      <c r="Q103" s="468"/>
      <c r="R103" s="468"/>
      <c r="S103" s="470"/>
      <c r="T103" s="470"/>
      <c r="U103" s="470"/>
      <c r="V103" s="470"/>
      <c r="W103" s="470"/>
      <c r="X103" s="470"/>
      <c r="Y103" s="470"/>
      <c r="Z103" s="470"/>
      <c r="AA103" s="470"/>
      <c r="AB103" s="470"/>
      <c r="AC103" s="470"/>
      <c r="AD103" s="470"/>
      <c r="AE103" s="468"/>
      <c r="AF103" s="468"/>
      <c r="AG103" s="468"/>
      <c r="AH103" s="468"/>
      <c r="AI103" s="468"/>
      <c r="AJ103" s="468"/>
      <c r="AK103" s="468"/>
      <c r="AL103" s="468"/>
      <c r="AM103" s="468"/>
      <c r="AN103" s="468"/>
      <c r="AO103" s="468"/>
      <c r="AP103" s="468"/>
      <c r="AQ103" s="468"/>
      <c r="AR103" s="468"/>
      <c r="AS103" s="468"/>
      <c r="AT103" s="468"/>
      <c r="AU103" s="468"/>
      <c r="AV103" s="468"/>
      <c r="AW103" s="468"/>
      <c r="AX103" s="468"/>
      <c r="AY103" s="468"/>
      <c r="AZ103" s="468"/>
      <c r="BA103" s="468"/>
      <c r="BB103" s="468"/>
      <c r="BC103" s="468"/>
      <c r="BD103" s="468"/>
      <c r="BE103" s="468"/>
      <c r="BF103" s="468"/>
      <c r="BG103" s="1556"/>
      <c r="BH103" s="468"/>
      <c r="BI103" s="468"/>
      <c r="BJ103" s="468"/>
      <c r="BK103" s="468"/>
      <c r="BL103" s="468"/>
      <c r="BM103" s="468"/>
      <c r="BN103" s="468"/>
      <c r="BO103" s="468"/>
      <c r="BP103" s="468"/>
    </row>
    <row r="104" spans="1:68" ht="30.6" hidden="1" customHeight="1" outlineLevel="1" thickBot="1">
      <c r="A104" s="1058" t="s">
        <v>142</v>
      </c>
      <c r="B104" s="2413"/>
      <c r="C104" s="2413"/>
      <c r="D104" s="1354"/>
      <c r="E104" s="1544"/>
      <c r="F104" s="1545"/>
      <c r="G104" s="1545"/>
      <c r="H104" s="1546"/>
      <c r="I104" s="1548"/>
      <c r="J104" s="1306"/>
      <c r="K104" s="1307"/>
      <c r="L104" s="1407" t="str">
        <f t="shared" si="1"/>
        <v/>
      </c>
      <c r="M104" s="1212"/>
      <c r="N104" s="1213"/>
      <c r="O104" s="468"/>
      <c r="P104" s="468"/>
      <c r="Q104" s="468"/>
      <c r="R104" s="468"/>
      <c r="S104" s="470"/>
      <c r="T104" s="470"/>
      <c r="U104" s="470"/>
      <c r="V104" s="470"/>
      <c r="W104" s="470"/>
      <c r="X104" s="470"/>
      <c r="Y104" s="470"/>
      <c r="Z104" s="470"/>
      <c r="AA104" s="470"/>
      <c r="AB104" s="470"/>
      <c r="AC104" s="470"/>
      <c r="AD104" s="470"/>
      <c r="AE104" s="468"/>
      <c r="AF104" s="468"/>
      <c r="AG104" s="468"/>
      <c r="AH104" s="468"/>
      <c r="AI104" s="468"/>
      <c r="AJ104" s="468"/>
      <c r="AK104" s="468"/>
      <c r="AL104" s="468"/>
      <c r="AM104" s="468"/>
      <c r="AN104" s="468"/>
      <c r="AO104" s="468"/>
      <c r="AP104" s="468"/>
      <c r="AQ104" s="468"/>
      <c r="AR104" s="468"/>
      <c r="AS104" s="468"/>
      <c r="AT104" s="468"/>
      <c r="AU104" s="468"/>
      <c r="AV104" s="468"/>
      <c r="AW104" s="468"/>
      <c r="AX104" s="468"/>
      <c r="AY104" s="468"/>
      <c r="AZ104" s="468"/>
      <c r="BA104" s="468"/>
      <c r="BB104" s="468"/>
      <c r="BC104" s="468"/>
      <c r="BD104" s="468"/>
      <c r="BE104" s="468"/>
      <c r="BF104" s="468"/>
      <c r="BG104" s="1556"/>
      <c r="BH104" s="468"/>
      <c r="BI104" s="468"/>
      <c r="BJ104" s="468"/>
      <c r="BK104" s="468"/>
      <c r="BL104" s="468"/>
      <c r="BM104" s="468"/>
      <c r="BN104" s="468"/>
      <c r="BO104" s="468"/>
      <c r="BP104" s="468"/>
    </row>
    <row r="105" spans="1:68" ht="30.6" hidden="1" customHeight="1" outlineLevel="1" thickBot="1">
      <c r="A105" s="1058" t="s">
        <v>143</v>
      </c>
      <c r="B105" s="2413"/>
      <c r="C105" s="2413"/>
      <c r="D105" s="1354"/>
      <c r="E105" s="1544"/>
      <c r="F105" s="1545"/>
      <c r="G105" s="1545"/>
      <c r="H105" s="1546"/>
      <c r="I105" s="1548"/>
      <c r="J105" s="1306"/>
      <c r="K105" s="1307"/>
      <c r="L105" s="1407" t="str">
        <f t="shared" si="1"/>
        <v/>
      </c>
      <c r="M105" s="1212"/>
      <c r="N105" s="1213"/>
      <c r="O105" s="468"/>
      <c r="P105" s="468"/>
      <c r="Q105" s="468"/>
      <c r="R105" s="468"/>
      <c r="S105" s="470"/>
      <c r="T105" s="470"/>
      <c r="U105" s="470"/>
      <c r="V105" s="470"/>
      <c r="W105" s="470"/>
      <c r="X105" s="470"/>
      <c r="Y105" s="470"/>
      <c r="Z105" s="470"/>
      <c r="AA105" s="470"/>
      <c r="AB105" s="470"/>
      <c r="AC105" s="470"/>
      <c r="AD105" s="470"/>
      <c r="AE105" s="468"/>
      <c r="AF105" s="468"/>
      <c r="AG105" s="468"/>
      <c r="AH105" s="468"/>
      <c r="AI105" s="468"/>
      <c r="AJ105" s="468"/>
      <c r="AK105" s="468"/>
      <c r="AL105" s="468"/>
      <c r="AM105" s="468"/>
      <c r="AN105" s="468"/>
      <c r="AO105" s="468"/>
      <c r="AP105" s="468"/>
      <c r="AQ105" s="468"/>
      <c r="AR105" s="468"/>
      <c r="AS105" s="468"/>
      <c r="AT105" s="468"/>
      <c r="AU105" s="468"/>
      <c r="AV105" s="468"/>
      <c r="AW105" s="468"/>
      <c r="AX105" s="468"/>
      <c r="AY105" s="468"/>
      <c r="AZ105" s="468"/>
      <c r="BA105" s="468"/>
      <c r="BB105" s="468"/>
      <c r="BC105" s="468"/>
      <c r="BD105" s="468"/>
      <c r="BE105" s="468"/>
      <c r="BF105" s="468"/>
      <c r="BG105" s="1556"/>
      <c r="BH105" s="468"/>
      <c r="BI105" s="468"/>
      <c r="BJ105" s="468"/>
      <c r="BK105" s="468"/>
      <c r="BL105" s="468"/>
      <c r="BM105" s="468"/>
      <c r="BN105" s="468"/>
      <c r="BO105" s="468"/>
      <c r="BP105" s="468"/>
    </row>
    <row r="106" spans="1:68" ht="30.6" hidden="1" customHeight="1" outlineLevel="1" thickBot="1">
      <c r="A106" s="1058" t="s">
        <v>144</v>
      </c>
      <c r="B106" s="2413"/>
      <c r="C106" s="2413"/>
      <c r="D106" s="1354"/>
      <c r="E106" s="1544"/>
      <c r="F106" s="1545"/>
      <c r="G106" s="1545"/>
      <c r="H106" s="1546"/>
      <c r="I106" s="1548"/>
      <c r="J106" s="1306"/>
      <c r="K106" s="1307"/>
      <c r="L106" s="1407" t="str">
        <f t="shared" si="1"/>
        <v/>
      </c>
      <c r="M106" s="1212"/>
      <c r="N106" s="1213"/>
      <c r="O106" s="468"/>
      <c r="P106" s="468"/>
      <c r="Q106" s="468"/>
      <c r="R106" s="468"/>
      <c r="S106" s="470"/>
      <c r="T106" s="470"/>
      <c r="U106" s="470"/>
      <c r="V106" s="470"/>
      <c r="W106" s="470"/>
      <c r="X106" s="470"/>
      <c r="Y106" s="470"/>
      <c r="Z106" s="470"/>
      <c r="AA106" s="470"/>
      <c r="AB106" s="470"/>
      <c r="AC106" s="470"/>
      <c r="AD106" s="470"/>
      <c r="AE106" s="468"/>
      <c r="AF106" s="468"/>
      <c r="AG106" s="468"/>
      <c r="AH106" s="468"/>
      <c r="AI106" s="468"/>
      <c r="AJ106" s="468"/>
      <c r="AK106" s="468"/>
      <c r="AL106" s="468"/>
      <c r="AM106" s="468"/>
      <c r="AN106" s="468"/>
      <c r="AO106" s="468"/>
      <c r="AP106" s="468"/>
      <c r="AQ106" s="468"/>
      <c r="AR106" s="468"/>
      <c r="AS106" s="468"/>
      <c r="AT106" s="468"/>
      <c r="AU106" s="468"/>
      <c r="AV106" s="468"/>
      <c r="AW106" s="468"/>
      <c r="AX106" s="468"/>
      <c r="AY106" s="468"/>
      <c r="AZ106" s="468"/>
      <c r="BA106" s="468"/>
      <c r="BB106" s="468"/>
      <c r="BC106" s="468"/>
      <c r="BD106" s="468"/>
      <c r="BE106" s="468"/>
      <c r="BF106" s="468"/>
      <c r="BG106" s="1556"/>
      <c r="BH106" s="468"/>
      <c r="BI106" s="468"/>
      <c r="BJ106" s="468"/>
      <c r="BK106" s="468"/>
      <c r="BL106" s="468"/>
      <c r="BM106" s="468"/>
      <c r="BN106" s="468"/>
      <c r="BO106" s="468"/>
      <c r="BP106" s="468"/>
    </row>
    <row r="107" spans="1:68" ht="30.6" hidden="1" customHeight="1" outlineLevel="1" thickBot="1">
      <c r="A107" s="1058" t="s">
        <v>145</v>
      </c>
      <c r="B107" s="2413"/>
      <c r="C107" s="2413"/>
      <c r="D107" s="1354"/>
      <c r="E107" s="1544"/>
      <c r="F107" s="1545"/>
      <c r="G107" s="1545"/>
      <c r="H107" s="1546"/>
      <c r="I107" s="1548"/>
      <c r="J107" s="1306"/>
      <c r="K107" s="1307"/>
      <c r="L107" s="1407" t="str">
        <f t="shared" si="1"/>
        <v/>
      </c>
      <c r="M107" s="1212"/>
      <c r="N107" s="1213"/>
      <c r="O107" s="468"/>
      <c r="P107" s="468"/>
      <c r="Q107" s="468"/>
      <c r="R107" s="468"/>
      <c r="S107" s="470"/>
      <c r="T107" s="470"/>
      <c r="U107" s="470"/>
      <c r="V107" s="470"/>
      <c r="W107" s="470"/>
      <c r="X107" s="470"/>
      <c r="Y107" s="470"/>
      <c r="Z107" s="470"/>
      <c r="AA107" s="470"/>
      <c r="AB107" s="470"/>
      <c r="AC107" s="470"/>
      <c r="AD107" s="470"/>
      <c r="AE107" s="468"/>
      <c r="AF107" s="468"/>
      <c r="AG107" s="468"/>
      <c r="AH107" s="468"/>
      <c r="AI107" s="468"/>
      <c r="AJ107" s="468"/>
      <c r="AK107" s="468"/>
      <c r="AL107" s="468"/>
      <c r="AM107" s="468"/>
      <c r="AN107" s="468"/>
      <c r="AO107" s="468"/>
      <c r="AP107" s="468"/>
      <c r="AQ107" s="468"/>
      <c r="AR107" s="468"/>
      <c r="AS107" s="468"/>
      <c r="AT107" s="468"/>
      <c r="AU107" s="468"/>
      <c r="AV107" s="468"/>
      <c r="AW107" s="468"/>
      <c r="AX107" s="468"/>
      <c r="AY107" s="468"/>
      <c r="AZ107" s="468"/>
      <c r="BA107" s="468"/>
      <c r="BB107" s="468"/>
      <c r="BC107" s="468"/>
      <c r="BD107" s="468"/>
      <c r="BE107" s="468"/>
      <c r="BF107" s="468"/>
      <c r="BG107" s="1556"/>
      <c r="BH107" s="468"/>
      <c r="BI107" s="468"/>
      <c r="BJ107" s="468"/>
      <c r="BK107" s="468"/>
      <c r="BL107" s="468"/>
      <c r="BM107" s="468"/>
      <c r="BN107" s="468"/>
      <c r="BO107" s="468"/>
      <c r="BP107" s="468"/>
    </row>
    <row r="108" spans="1:68" ht="30.6" hidden="1" customHeight="1" outlineLevel="1" thickBot="1">
      <c r="A108" s="1058" t="s">
        <v>146</v>
      </c>
      <c r="B108" s="2413"/>
      <c r="C108" s="2413"/>
      <c r="D108" s="1354"/>
      <c r="E108" s="1544"/>
      <c r="F108" s="1545"/>
      <c r="G108" s="1545"/>
      <c r="H108" s="1546"/>
      <c r="I108" s="1548"/>
      <c r="J108" s="1306"/>
      <c r="K108" s="1307"/>
      <c r="L108" s="1407" t="str">
        <f t="shared" si="1"/>
        <v/>
      </c>
      <c r="M108" s="1212"/>
      <c r="N108" s="1213"/>
      <c r="O108" s="468"/>
      <c r="P108" s="468"/>
      <c r="Q108" s="468"/>
      <c r="R108" s="468"/>
      <c r="S108" s="470"/>
      <c r="T108" s="470"/>
      <c r="U108" s="470"/>
      <c r="V108" s="470"/>
      <c r="W108" s="470"/>
      <c r="X108" s="470"/>
      <c r="Y108" s="470"/>
      <c r="Z108" s="470"/>
      <c r="AA108" s="470"/>
      <c r="AB108" s="470"/>
      <c r="AC108" s="470"/>
      <c r="AD108" s="470"/>
      <c r="AE108" s="468"/>
      <c r="AF108" s="468"/>
      <c r="AG108" s="468"/>
      <c r="AH108" s="468"/>
      <c r="AI108" s="468"/>
      <c r="AJ108" s="468"/>
      <c r="AK108" s="468"/>
      <c r="AL108" s="468"/>
      <c r="AM108" s="468"/>
      <c r="AN108" s="468"/>
      <c r="AO108" s="468"/>
      <c r="AP108" s="468"/>
      <c r="AQ108" s="468"/>
      <c r="AR108" s="468"/>
      <c r="AS108" s="468"/>
      <c r="AT108" s="468"/>
      <c r="AU108" s="468"/>
      <c r="AV108" s="468"/>
      <c r="AW108" s="468"/>
      <c r="AX108" s="468"/>
      <c r="AY108" s="468"/>
      <c r="AZ108" s="468"/>
      <c r="BA108" s="468"/>
      <c r="BB108" s="468"/>
      <c r="BC108" s="468"/>
      <c r="BD108" s="468"/>
      <c r="BE108" s="468"/>
      <c r="BF108" s="468"/>
      <c r="BG108" s="1556"/>
      <c r="BH108" s="468"/>
      <c r="BI108" s="468"/>
      <c r="BJ108" s="468"/>
      <c r="BK108" s="468"/>
      <c r="BL108" s="468"/>
      <c r="BM108" s="468"/>
      <c r="BN108" s="468"/>
      <c r="BO108" s="468"/>
      <c r="BP108" s="468"/>
    </row>
    <row r="109" spans="1:68" ht="30.6" hidden="1" customHeight="1" outlineLevel="1" thickBot="1">
      <c r="A109" s="1058" t="s">
        <v>147</v>
      </c>
      <c r="B109" s="2413"/>
      <c r="C109" s="2413"/>
      <c r="D109" s="1354"/>
      <c r="E109" s="1544"/>
      <c r="F109" s="1545"/>
      <c r="G109" s="1545"/>
      <c r="H109" s="1546"/>
      <c r="I109" s="1548"/>
      <c r="J109" s="1306"/>
      <c r="K109" s="1307"/>
      <c r="L109" s="1407" t="str">
        <f t="shared" si="1"/>
        <v/>
      </c>
      <c r="M109" s="1212"/>
      <c r="N109" s="1213"/>
      <c r="O109" s="468"/>
      <c r="P109" s="468"/>
      <c r="Q109" s="468"/>
      <c r="R109" s="468"/>
      <c r="S109" s="470"/>
      <c r="T109" s="470"/>
      <c r="U109" s="470"/>
      <c r="V109" s="470"/>
      <c r="W109" s="470"/>
      <c r="X109" s="470"/>
      <c r="Y109" s="470"/>
      <c r="Z109" s="470"/>
      <c r="AA109" s="470"/>
      <c r="AB109" s="470"/>
      <c r="AC109" s="470"/>
      <c r="AD109" s="470"/>
      <c r="AE109" s="468"/>
      <c r="AF109" s="468"/>
      <c r="AG109" s="468"/>
      <c r="AH109" s="468"/>
      <c r="AI109" s="468"/>
      <c r="AJ109" s="468"/>
      <c r="AK109" s="468"/>
      <c r="AL109" s="468"/>
      <c r="AM109" s="468"/>
      <c r="AN109" s="468"/>
      <c r="AO109" s="468"/>
      <c r="AP109" s="468"/>
      <c r="AQ109" s="468"/>
      <c r="AR109" s="468"/>
      <c r="AS109" s="468"/>
      <c r="AT109" s="468"/>
      <c r="AU109" s="468"/>
      <c r="AV109" s="468"/>
      <c r="AW109" s="468"/>
      <c r="AX109" s="468"/>
      <c r="AY109" s="468"/>
      <c r="AZ109" s="468"/>
      <c r="BA109" s="468"/>
      <c r="BB109" s="468"/>
      <c r="BC109" s="468"/>
      <c r="BD109" s="468"/>
      <c r="BE109" s="468"/>
      <c r="BF109" s="468"/>
      <c r="BG109" s="1556"/>
      <c r="BH109" s="468"/>
      <c r="BI109" s="468"/>
      <c r="BJ109" s="468"/>
      <c r="BK109" s="468"/>
      <c r="BL109" s="468"/>
      <c r="BM109" s="468"/>
      <c r="BN109" s="468"/>
      <c r="BO109" s="468"/>
      <c r="BP109" s="468"/>
    </row>
    <row r="110" spans="1:68" ht="30.6" hidden="1" customHeight="1" outlineLevel="1" thickBot="1">
      <c r="A110" s="1058" t="s">
        <v>148</v>
      </c>
      <c r="B110" s="2413"/>
      <c r="C110" s="2413"/>
      <c r="D110" s="1354"/>
      <c r="E110" s="1544"/>
      <c r="F110" s="1545"/>
      <c r="G110" s="1545"/>
      <c r="H110" s="1546"/>
      <c r="I110" s="1548"/>
      <c r="J110" s="1306"/>
      <c r="K110" s="1307"/>
      <c r="L110" s="1407" t="str">
        <f t="shared" si="1"/>
        <v/>
      </c>
      <c r="M110" s="1212"/>
      <c r="N110" s="1213"/>
      <c r="O110" s="468"/>
      <c r="P110" s="468"/>
      <c r="Q110" s="468"/>
      <c r="R110" s="468"/>
      <c r="S110" s="470"/>
      <c r="T110" s="470"/>
      <c r="U110" s="470"/>
      <c r="V110" s="470"/>
      <c r="W110" s="470"/>
      <c r="X110" s="470"/>
      <c r="Y110" s="470"/>
      <c r="Z110" s="470"/>
      <c r="AA110" s="470"/>
      <c r="AB110" s="470"/>
      <c r="AC110" s="470"/>
      <c r="AD110" s="470"/>
      <c r="AE110" s="468"/>
      <c r="AF110" s="468"/>
      <c r="AG110" s="468"/>
      <c r="AH110" s="468"/>
      <c r="AI110" s="468"/>
      <c r="AJ110" s="468"/>
      <c r="AK110" s="468"/>
      <c r="AL110" s="468"/>
      <c r="AM110" s="468"/>
      <c r="AN110" s="468"/>
      <c r="AO110" s="468"/>
      <c r="AP110" s="468"/>
      <c r="AQ110" s="468"/>
      <c r="AR110" s="468"/>
      <c r="AS110" s="468"/>
      <c r="AT110" s="468"/>
      <c r="AU110" s="468"/>
      <c r="AV110" s="468"/>
      <c r="AW110" s="468"/>
      <c r="AX110" s="468"/>
      <c r="AY110" s="468"/>
      <c r="AZ110" s="468"/>
      <c r="BA110" s="468"/>
      <c r="BB110" s="468"/>
      <c r="BC110" s="468"/>
      <c r="BD110" s="468"/>
      <c r="BE110" s="468"/>
      <c r="BF110" s="468"/>
      <c r="BG110" s="1556"/>
      <c r="BH110" s="468"/>
      <c r="BI110" s="468"/>
      <c r="BJ110" s="468"/>
      <c r="BK110" s="468"/>
      <c r="BL110" s="468"/>
      <c r="BM110" s="468"/>
      <c r="BN110" s="468"/>
      <c r="BO110" s="468"/>
      <c r="BP110" s="468"/>
    </row>
    <row r="111" spans="1:68" ht="30.6" hidden="1" customHeight="1" outlineLevel="1" thickBot="1">
      <c r="A111" s="1058" t="s">
        <v>149</v>
      </c>
      <c r="B111" s="2413"/>
      <c r="C111" s="2413"/>
      <c r="D111" s="1354"/>
      <c r="E111" s="1544"/>
      <c r="F111" s="1545"/>
      <c r="G111" s="1545"/>
      <c r="H111" s="1546"/>
      <c r="I111" s="1548"/>
      <c r="J111" s="1306"/>
      <c r="K111" s="1307"/>
      <c r="L111" s="1407" t="str">
        <f t="shared" si="1"/>
        <v/>
      </c>
      <c r="M111" s="1212"/>
      <c r="N111" s="1213"/>
      <c r="O111" s="468"/>
      <c r="P111" s="468"/>
      <c r="Q111" s="468"/>
      <c r="R111" s="468"/>
      <c r="S111" s="470"/>
      <c r="T111" s="470"/>
      <c r="U111" s="470"/>
      <c r="V111" s="470"/>
      <c r="W111" s="470"/>
      <c r="X111" s="470"/>
      <c r="Y111" s="470"/>
      <c r="Z111" s="470"/>
      <c r="AA111" s="470"/>
      <c r="AB111" s="470"/>
      <c r="AC111" s="470"/>
      <c r="AD111" s="470"/>
      <c r="AE111" s="468"/>
      <c r="AF111" s="468"/>
      <c r="AG111" s="468"/>
      <c r="AH111" s="468"/>
      <c r="AI111" s="468"/>
      <c r="AJ111" s="468"/>
      <c r="AK111" s="468"/>
      <c r="AL111" s="468"/>
      <c r="AM111" s="468"/>
      <c r="AN111" s="468"/>
      <c r="AO111" s="468"/>
      <c r="AP111" s="468"/>
      <c r="AQ111" s="468"/>
      <c r="AR111" s="468"/>
      <c r="AS111" s="468"/>
      <c r="AT111" s="468"/>
      <c r="AU111" s="468"/>
      <c r="AV111" s="468"/>
      <c r="AW111" s="468"/>
      <c r="AX111" s="468"/>
      <c r="AY111" s="468"/>
      <c r="AZ111" s="468"/>
      <c r="BA111" s="468"/>
      <c r="BB111" s="468"/>
      <c r="BC111" s="468"/>
      <c r="BD111" s="468"/>
      <c r="BE111" s="468"/>
      <c r="BF111" s="468"/>
      <c r="BG111" s="1556"/>
      <c r="BH111" s="468"/>
      <c r="BI111" s="468"/>
      <c r="BJ111" s="468"/>
      <c r="BK111" s="468"/>
      <c r="BL111" s="468"/>
      <c r="BM111" s="468"/>
      <c r="BN111" s="468"/>
      <c r="BO111" s="468"/>
      <c r="BP111" s="468"/>
    </row>
    <row r="112" spans="1:68" ht="30.6" hidden="1" customHeight="1" outlineLevel="1" thickBot="1">
      <c r="A112" s="1058" t="s">
        <v>150</v>
      </c>
      <c r="B112" s="2413"/>
      <c r="C112" s="2413"/>
      <c r="D112" s="1354"/>
      <c r="E112" s="1544"/>
      <c r="F112" s="1545"/>
      <c r="G112" s="1545"/>
      <c r="H112" s="1546"/>
      <c r="I112" s="1548"/>
      <c r="J112" s="1306"/>
      <c r="K112" s="1307"/>
      <c r="L112" s="1407" t="str">
        <f t="shared" si="1"/>
        <v/>
      </c>
      <c r="M112" s="1212"/>
      <c r="N112" s="1213"/>
      <c r="O112" s="468"/>
      <c r="P112" s="468"/>
      <c r="Q112" s="468"/>
      <c r="R112" s="468"/>
      <c r="S112" s="470"/>
      <c r="T112" s="470"/>
      <c r="U112" s="470"/>
      <c r="V112" s="470"/>
      <c r="W112" s="470"/>
      <c r="X112" s="470"/>
      <c r="Y112" s="470"/>
      <c r="Z112" s="470"/>
      <c r="AA112" s="470"/>
      <c r="AB112" s="470"/>
      <c r="AC112" s="470"/>
      <c r="AD112" s="470"/>
      <c r="AE112" s="468"/>
      <c r="AF112" s="468"/>
      <c r="AG112" s="468"/>
      <c r="AH112" s="468"/>
      <c r="AI112" s="468"/>
      <c r="AJ112" s="468"/>
      <c r="AK112" s="468"/>
      <c r="AL112" s="468"/>
      <c r="AM112" s="468"/>
      <c r="AN112" s="468"/>
      <c r="AO112" s="468"/>
      <c r="AP112" s="468"/>
      <c r="AQ112" s="468"/>
      <c r="AR112" s="468"/>
      <c r="AS112" s="468"/>
      <c r="AT112" s="468"/>
      <c r="AU112" s="468"/>
      <c r="AV112" s="468"/>
      <c r="AW112" s="468"/>
      <c r="AX112" s="468"/>
      <c r="AY112" s="468"/>
      <c r="AZ112" s="468"/>
      <c r="BA112" s="468"/>
      <c r="BB112" s="468"/>
      <c r="BC112" s="468"/>
      <c r="BD112" s="468"/>
      <c r="BE112" s="468"/>
      <c r="BF112" s="468"/>
      <c r="BG112" s="1556"/>
      <c r="BH112" s="468"/>
      <c r="BI112" s="468"/>
      <c r="BJ112" s="468"/>
      <c r="BK112" s="468"/>
      <c r="BL112" s="468"/>
      <c r="BM112" s="468"/>
      <c r="BN112" s="468"/>
      <c r="BO112" s="468"/>
      <c r="BP112" s="468"/>
    </row>
    <row r="113" spans="1:68" ht="30.6" hidden="1" customHeight="1" outlineLevel="1" thickBot="1">
      <c r="A113" s="1058" t="s">
        <v>151</v>
      </c>
      <c r="B113" s="2413"/>
      <c r="C113" s="2413"/>
      <c r="D113" s="1354"/>
      <c r="E113" s="1544"/>
      <c r="F113" s="1545"/>
      <c r="G113" s="1545"/>
      <c r="H113" s="1546"/>
      <c r="I113" s="1548"/>
      <c r="J113" s="1306"/>
      <c r="K113" s="1307"/>
      <c r="L113" s="1407" t="str">
        <f t="shared" si="1"/>
        <v/>
      </c>
      <c r="M113" s="1212"/>
      <c r="N113" s="1213"/>
      <c r="O113" s="468"/>
      <c r="P113" s="468"/>
      <c r="Q113" s="468"/>
      <c r="R113" s="468"/>
      <c r="S113" s="470"/>
      <c r="T113" s="470"/>
      <c r="U113" s="470"/>
      <c r="V113" s="470"/>
      <c r="W113" s="470"/>
      <c r="X113" s="470"/>
      <c r="Y113" s="470"/>
      <c r="Z113" s="470"/>
      <c r="AA113" s="470"/>
      <c r="AB113" s="470"/>
      <c r="AC113" s="470"/>
      <c r="AD113" s="470"/>
      <c r="AE113" s="468"/>
      <c r="AF113" s="468"/>
      <c r="AG113" s="468"/>
      <c r="AH113" s="468"/>
      <c r="AI113" s="468"/>
      <c r="AJ113" s="468"/>
      <c r="AK113" s="468"/>
      <c r="AL113" s="468"/>
      <c r="AM113" s="468"/>
      <c r="AN113" s="468"/>
      <c r="AO113" s="468"/>
      <c r="AP113" s="468"/>
      <c r="AQ113" s="468"/>
      <c r="AR113" s="468"/>
      <c r="AS113" s="468"/>
      <c r="AT113" s="468"/>
      <c r="AU113" s="468"/>
      <c r="AV113" s="468"/>
      <c r="AW113" s="468"/>
      <c r="AX113" s="468"/>
      <c r="AY113" s="468"/>
      <c r="AZ113" s="468"/>
      <c r="BA113" s="468"/>
      <c r="BB113" s="468"/>
      <c r="BC113" s="468"/>
      <c r="BD113" s="468"/>
      <c r="BE113" s="468"/>
      <c r="BF113" s="468"/>
      <c r="BG113" s="1556"/>
      <c r="BH113" s="468"/>
      <c r="BI113" s="468"/>
      <c r="BJ113" s="468"/>
      <c r="BK113" s="468"/>
      <c r="BL113" s="468"/>
      <c r="BM113" s="468"/>
      <c r="BN113" s="468"/>
      <c r="BO113" s="468"/>
      <c r="BP113" s="468"/>
    </row>
    <row r="114" spans="1:68" ht="30.6" customHeight="1" collapsed="1" thickBot="1">
      <c r="A114" s="1058" t="s">
        <v>152</v>
      </c>
      <c r="B114" s="2413"/>
      <c r="C114" s="2413"/>
      <c r="D114" s="1354"/>
      <c r="E114" s="1544"/>
      <c r="F114" s="1545"/>
      <c r="G114" s="1545"/>
      <c r="H114" s="1546"/>
      <c r="I114" s="1548"/>
      <c r="J114" s="1306"/>
      <c r="K114" s="1307"/>
      <c r="L114" s="1407" t="str">
        <f t="shared" si="1"/>
        <v/>
      </c>
      <c r="M114" s="1212"/>
      <c r="N114" s="1213"/>
      <c r="O114" s="468"/>
      <c r="P114" s="468"/>
      <c r="Q114" s="468"/>
      <c r="R114" s="468"/>
      <c r="S114" s="470"/>
      <c r="T114" s="470"/>
      <c r="U114" s="470"/>
      <c r="V114" s="470"/>
      <c r="W114" s="470"/>
      <c r="X114" s="470"/>
      <c r="Y114" s="470"/>
      <c r="Z114" s="470"/>
      <c r="AA114" s="470"/>
      <c r="AB114" s="470"/>
      <c r="AC114" s="470"/>
      <c r="AD114" s="470"/>
      <c r="AE114" s="468"/>
      <c r="AF114" s="468"/>
      <c r="AG114" s="468"/>
      <c r="AH114" s="468"/>
      <c r="AI114" s="468"/>
      <c r="AJ114" s="468"/>
      <c r="AK114" s="468"/>
      <c r="AL114" s="468"/>
      <c r="AM114" s="468"/>
      <c r="AN114" s="468"/>
      <c r="AO114" s="468"/>
      <c r="AP114" s="468"/>
      <c r="AQ114" s="468"/>
      <c r="AR114" s="468"/>
      <c r="AS114" s="468"/>
      <c r="AT114" s="468"/>
      <c r="AU114" s="468"/>
      <c r="AV114" s="468"/>
      <c r="AW114" s="468"/>
      <c r="AX114" s="468"/>
      <c r="AY114" s="468"/>
      <c r="AZ114" s="468"/>
      <c r="BA114" s="468"/>
      <c r="BB114" s="468"/>
      <c r="BC114" s="468"/>
      <c r="BD114" s="468"/>
      <c r="BE114" s="468"/>
      <c r="BF114" s="468"/>
      <c r="BG114" s="1556"/>
      <c r="BH114" s="468"/>
      <c r="BI114" s="468"/>
      <c r="BJ114" s="468"/>
      <c r="BK114" s="468"/>
      <c r="BL114" s="468"/>
      <c r="BM114" s="468"/>
      <c r="BN114" s="468"/>
      <c r="BO114" s="468"/>
      <c r="BP114" s="468"/>
    </row>
    <row r="115" spans="1:68" ht="30.6" hidden="1" customHeight="1" outlineLevel="1" thickBot="1">
      <c r="A115" s="1058" t="s">
        <v>153</v>
      </c>
      <c r="B115" s="2413"/>
      <c r="C115" s="2413"/>
      <c r="D115" s="1354"/>
      <c r="E115" s="1544"/>
      <c r="F115" s="1545"/>
      <c r="G115" s="1545"/>
      <c r="H115" s="1546"/>
      <c r="I115" s="1548"/>
      <c r="J115" s="1306"/>
      <c r="K115" s="1307"/>
      <c r="L115" s="1407" t="str">
        <f t="shared" si="1"/>
        <v/>
      </c>
      <c r="M115" s="1212"/>
      <c r="N115" s="1213"/>
      <c r="O115" s="468"/>
      <c r="P115" s="468"/>
      <c r="Q115" s="468"/>
      <c r="R115" s="468"/>
      <c r="S115" s="470"/>
      <c r="T115" s="470"/>
      <c r="U115" s="470"/>
      <c r="V115" s="470"/>
      <c r="W115" s="470"/>
      <c r="X115" s="470"/>
      <c r="Y115" s="470"/>
      <c r="Z115" s="470"/>
      <c r="AA115" s="470"/>
      <c r="AB115" s="470"/>
      <c r="AC115" s="470"/>
      <c r="AD115" s="470"/>
      <c r="AE115" s="468"/>
      <c r="AF115" s="468"/>
      <c r="AG115" s="468"/>
      <c r="AH115" s="468"/>
      <c r="AI115" s="468"/>
      <c r="AJ115" s="468"/>
      <c r="AK115" s="468"/>
      <c r="AL115" s="468"/>
      <c r="AM115" s="468"/>
      <c r="AN115" s="468"/>
      <c r="AO115" s="468"/>
      <c r="AP115" s="468"/>
      <c r="AQ115" s="468"/>
      <c r="AR115" s="468"/>
      <c r="AS115" s="468"/>
      <c r="AT115" s="468"/>
      <c r="AU115" s="468"/>
      <c r="AV115" s="468"/>
      <c r="AW115" s="468"/>
      <c r="AX115" s="468"/>
      <c r="AY115" s="468"/>
      <c r="AZ115" s="468"/>
      <c r="BA115" s="468"/>
      <c r="BB115" s="468"/>
      <c r="BC115" s="468"/>
      <c r="BD115" s="468"/>
      <c r="BE115" s="468"/>
      <c r="BF115" s="468"/>
      <c r="BG115" s="1556"/>
      <c r="BH115" s="468"/>
      <c r="BI115" s="468"/>
      <c r="BJ115" s="468"/>
      <c r="BK115" s="468"/>
      <c r="BL115" s="468"/>
      <c r="BM115" s="468"/>
      <c r="BN115" s="468"/>
      <c r="BO115" s="468"/>
      <c r="BP115" s="468"/>
    </row>
    <row r="116" spans="1:68" ht="30.6" hidden="1" customHeight="1" outlineLevel="1" thickBot="1">
      <c r="A116" s="1058" t="s">
        <v>154</v>
      </c>
      <c r="B116" s="2413"/>
      <c r="C116" s="2413"/>
      <c r="D116" s="1354"/>
      <c r="E116" s="1544"/>
      <c r="F116" s="1545"/>
      <c r="G116" s="1545"/>
      <c r="H116" s="1546"/>
      <c r="I116" s="1548"/>
      <c r="J116" s="1306"/>
      <c r="K116" s="1307"/>
      <c r="L116" s="1407" t="str">
        <f t="shared" si="1"/>
        <v/>
      </c>
      <c r="M116" s="1212"/>
      <c r="N116" s="1213"/>
      <c r="O116" s="468"/>
      <c r="P116" s="468"/>
      <c r="Q116" s="468"/>
      <c r="R116" s="468"/>
      <c r="S116" s="470"/>
      <c r="T116" s="470"/>
      <c r="U116" s="470"/>
      <c r="V116" s="470"/>
      <c r="W116" s="470"/>
      <c r="X116" s="470"/>
      <c r="Y116" s="470"/>
      <c r="Z116" s="470"/>
      <c r="AA116" s="470"/>
      <c r="AB116" s="470"/>
      <c r="AC116" s="470"/>
      <c r="AD116" s="470"/>
      <c r="AE116" s="468"/>
      <c r="AF116" s="468"/>
      <c r="AG116" s="468"/>
      <c r="AH116" s="468"/>
      <c r="AI116" s="468"/>
      <c r="AJ116" s="468"/>
      <c r="AK116" s="468"/>
      <c r="AL116" s="468"/>
      <c r="AM116" s="468"/>
      <c r="AN116" s="468"/>
      <c r="AO116" s="468"/>
      <c r="AP116" s="468"/>
      <c r="AQ116" s="468"/>
      <c r="AR116" s="468"/>
      <c r="AS116" s="468"/>
      <c r="AT116" s="468"/>
      <c r="AU116" s="468"/>
      <c r="AV116" s="468"/>
      <c r="AW116" s="468"/>
      <c r="AX116" s="468"/>
      <c r="AY116" s="468"/>
      <c r="AZ116" s="468"/>
      <c r="BA116" s="468"/>
      <c r="BB116" s="468"/>
      <c r="BC116" s="468"/>
      <c r="BD116" s="468"/>
      <c r="BE116" s="468"/>
      <c r="BF116" s="468"/>
      <c r="BG116" s="1556"/>
      <c r="BH116" s="468"/>
      <c r="BI116" s="468"/>
      <c r="BJ116" s="468"/>
      <c r="BK116" s="468"/>
      <c r="BL116" s="468"/>
      <c r="BM116" s="468"/>
      <c r="BN116" s="468"/>
      <c r="BO116" s="468"/>
      <c r="BP116" s="468"/>
    </row>
    <row r="117" spans="1:68" ht="30.6" hidden="1" customHeight="1" outlineLevel="1" thickBot="1">
      <c r="A117" s="1058" t="s">
        <v>155</v>
      </c>
      <c r="B117" s="2413"/>
      <c r="C117" s="2413"/>
      <c r="D117" s="1354"/>
      <c r="E117" s="1544"/>
      <c r="F117" s="1545"/>
      <c r="G117" s="1545"/>
      <c r="H117" s="1546"/>
      <c r="I117" s="1548"/>
      <c r="J117" s="1306"/>
      <c r="K117" s="1307"/>
      <c r="L117" s="1407" t="str">
        <f t="shared" si="1"/>
        <v/>
      </c>
      <c r="M117" s="1212"/>
      <c r="N117" s="1213"/>
      <c r="O117" s="468"/>
      <c r="P117" s="468"/>
      <c r="Q117" s="468"/>
      <c r="R117" s="468"/>
      <c r="S117" s="470"/>
      <c r="T117" s="470"/>
      <c r="U117" s="470"/>
      <c r="V117" s="470"/>
      <c r="W117" s="470"/>
      <c r="X117" s="470"/>
      <c r="Y117" s="470"/>
      <c r="Z117" s="470"/>
      <c r="AA117" s="470"/>
      <c r="AB117" s="470"/>
      <c r="AC117" s="470"/>
      <c r="AD117" s="470"/>
      <c r="AE117" s="468"/>
      <c r="AF117" s="468"/>
      <c r="AG117" s="468"/>
      <c r="AH117" s="468"/>
      <c r="AI117" s="468"/>
      <c r="AJ117" s="468"/>
      <c r="AK117" s="468"/>
      <c r="AL117" s="468"/>
      <c r="AM117" s="468"/>
      <c r="AN117" s="468"/>
      <c r="AO117" s="468"/>
      <c r="AP117" s="468"/>
      <c r="AQ117" s="468"/>
      <c r="AR117" s="468"/>
      <c r="AS117" s="468"/>
      <c r="AT117" s="468"/>
      <c r="AU117" s="468"/>
      <c r="AV117" s="468"/>
      <c r="AW117" s="468"/>
      <c r="AX117" s="468"/>
      <c r="AY117" s="468"/>
      <c r="AZ117" s="468"/>
      <c r="BA117" s="468"/>
      <c r="BB117" s="468"/>
      <c r="BC117" s="468"/>
      <c r="BD117" s="468"/>
      <c r="BE117" s="468"/>
      <c r="BF117" s="468"/>
      <c r="BG117" s="1556"/>
      <c r="BH117" s="468"/>
      <c r="BI117" s="468"/>
      <c r="BJ117" s="468"/>
      <c r="BK117" s="468"/>
      <c r="BL117" s="468"/>
      <c r="BM117" s="468"/>
      <c r="BN117" s="468"/>
      <c r="BO117" s="468"/>
      <c r="BP117" s="468"/>
    </row>
    <row r="118" spans="1:68" ht="30.6" hidden="1" customHeight="1" outlineLevel="1" thickBot="1">
      <c r="A118" s="1058" t="s">
        <v>155</v>
      </c>
      <c r="B118" s="2413"/>
      <c r="C118" s="2413"/>
      <c r="D118" s="1354"/>
      <c r="E118" s="1544"/>
      <c r="F118" s="1545"/>
      <c r="G118" s="1545"/>
      <c r="H118" s="1546"/>
      <c r="I118" s="1548"/>
      <c r="J118" s="1306"/>
      <c r="K118" s="1307"/>
      <c r="L118" s="1407" t="str">
        <f t="shared" si="1"/>
        <v/>
      </c>
      <c r="M118" s="1212"/>
      <c r="N118" s="1213"/>
      <c r="O118" s="468"/>
      <c r="P118" s="468"/>
      <c r="Q118" s="468"/>
      <c r="R118" s="468"/>
      <c r="S118" s="470"/>
      <c r="T118" s="470"/>
      <c r="U118" s="470"/>
      <c r="V118" s="470"/>
      <c r="W118" s="470"/>
      <c r="X118" s="470"/>
      <c r="Y118" s="470"/>
      <c r="Z118" s="470"/>
      <c r="AA118" s="470"/>
      <c r="AB118" s="470"/>
      <c r="AC118" s="470"/>
      <c r="AD118" s="470"/>
      <c r="AE118" s="468"/>
      <c r="AF118" s="468"/>
      <c r="AG118" s="468"/>
      <c r="AH118" s="468"/>
      <c r="AI118" s="468"/>
      <c r="AJ118" s="468"/>
      <c r="AK118" s="468"/>
      <c r="AL118" s="468"/>
      <c r="AM118" s="468"/>
      <c r="AN118" s="468"/>
      <c r="AO118" s="468"/>
      <c r="AP118" s="468"/>
      <c r="AQ118" s="468"/>
      <c r="AR118" s="468"/>
      <c r="AS118" s="468"/>
      <c r="AT118" s="468"/>
      <c r="AU118" s="468"/>
      <c r="AV118" s="468"/>
      <c r="AW118" s="468"/>
      <c r="AX118" s="468"/>
      <c r="AY118" s="468"/>
      <c r="AZ118" s="468"/>
      <c r="BA118" s="468"/>
      <c r="BB118" s="468"/>
      <c r="BC118" s="468"/>
      <c r="BD118" s="468"/>
      <c r="BE118" s="468"/>
      <c r="BF118" s="468"/>
      <c r="BG118" s="1556"/>
      <c r="BH118" s="468"/>
      <c r="BI118" s="468"/>
      <c r="BJ118" s="468"/>
      <c r="BK118" s="468"/>
      <c r="BL118" s="468"/>
      <c r="BM118" s="468"/>
      <c r="BN118" s="468"/>
      <c r="BO118" s="468"/>
      <c r="BP118" s="468"/>
    </row>
    <row r="119" spans="1:68" ht="30.6" hidden="1" customHeight="1" outlineLevel="1" thickBot="1">
      <c r="A119" s="1058" t="s">
        <v>156</v>
      </c>
      <c r="B119" s="2413"/>
      <c r="C119" s="2413"/>
      <c r="D119" s="1354"/>
      <c r="E119" s="1544"/>
      <c r="F119" s="1545"/>
      <c r="G119" s="1545"/>
      <c r="H119" s="1546"/>
      <c r="I119" s="1548"/>
      <c r="J119" s="1306"/>
      <c r="K119" s="1307"/>
      <c r="L119" s="1407" t="str">
        <f t="shared" si="1"/>
        <v/>
      </c>
      <c r="M119" s="1212"/>
      <c r="N119" s="1213"/>
      <c r="O119" s="468"/>
      <c r="P119" s="468"/>
      <c r="Q119" s="468"/>
      <c r="R119" s="468"/>
      <c r="S119" s="470"/>
      <c r="T119" s="470"/>
      <c r="U119" s="470"/>
      <c r="V119" s="470"/>
      <c r="W119" s="470"/>
      <c r="X119" s="470"/>
      <c r="Y119" s="470"/>
      <c r="Z119" s="470"/>
      <c r="AA119" s="470"/>
      <c r="AB119" s="470"/>
      <c r="AC119" s="470"/>
      <c r="AD119" s="470"/>
      <c r="AE119" s="468"/>
      <c r="AF119" s="468"/>
      <c r="AG119" s="468"/>
      <c r="AH119" s="468"/>
      <c r="AI119" s="468"/>
      <c r="AJ119" s="468"/>
      <c r="AK119" s="468"/>
      <c r="AL119" s="468"/>
      <c r="AM119" s="468"/>
      <c r="AN119" s="468"/>
      <c r="AO119" s="468"/>
      <c r="AP119" s="468"/>
      <c r="AQ119" s="468"/>
      <c r="AR119" s="468"/>
      <c r="AS119" s="468"/>
      <c r="AT119" s="468"/>
      <c r="AU119" s="468"/>
      <c r="AV119" s="468"/>
      <c r="AW119" s="468"/>
      <c r="AX119" s="468"/>
      <c r="AY119" s="468"/>
      <c r="AZ119" s="468"/>
      <c r="BA119" s="468"/>
      <c r="BB119" s="468"/>
      <c r="BC119" s="468"/>
      <c r="BD119" s="468"/>
      <c r="BE119" s="468"/>
      <c r="BF119" s="468"/>
      <c r="BG119" s="1556"/>
      <c r="BH119" s="468"/>
      <c r="BI119" s="468"/>
      <c r="BJ119" s="468"/>
      <c r="BK119" s="468"/>
      <c r="BL119" s="468"/>
      <c r="BM119" s="468"/>
      <c r="BN119" s="468"/>
      <c r="BO119" s="468"/>
      <c r="BP119" s="468"/>
    </row>
    <row r="120" spans="1:68" ht="30.6" hidden="1" customHeight="1" outlineLevel="1" thickBot="1">
      <c r="A120" s="1058" t="s">
        <v>157</v>
      </c>
      <c r="B120" s="2413"/>
      <c r="C120" s="2413"/>
      <c r="D120" s="1354"/>
      <c r="E120" s="1544"/>
      <c r="F120" s="1545"/>
      <c r="G120" s="1545"/>
      <c r="H120" s="1546"/>
      <c r="I120" s="1548"/>
      <c r="J120" s="1306"/>
      <c r="K120" s="1307"/>
      <c r="L120" s="1407" t="str">
        <f t="shared" si="1"/>
        <v/>
      </c>
      <c r="M120" s="1212"/>
      <c r="N120" s="1213"/>
      <c r="O120" s="468"/>
      <c r="P120" s="468"/>
      <c r="Q120" s="468"/>
      <c r="R120" s="468"/>
      <c r="S120" s="470"/>
      <c r="T120" s="470"/>
      <c r="U120" s="470"/>
      <c r="V120" s="470"/>
      <c r="W120" s="470"/>
      <c r="X120" s="470"/>
      <c r="Y120" s="470"/>
      <c r="Z120" s="470"/>
      <c r="AA120" s="470"/>
      <c r="AB120" s="470"/>
      <c r="AC120" s="470"/>
      <c r="AD120" s="470"/>
      <c r="AE120" s="468"/>
      <c r="AF120" s="468"/>
      <c r="AG120" s="468"/>
      <c r="AH120" s="468"/>
      <c r="AI120" s="468"/>
      <c r="AJ120" s="468"/>
      <c r="AK120" s="468"/>
      <c r="AL120" s="468"/>
      <c r="AM120" s="468"/>
      <c r="AN120" s="468"/>
      <c r="AO120" s="468"/>
      <c r="AP120" s="468"/>
      <c r="AQ120" s="468"/>
      <c r="AR120" s="468"/>
      <c r="AS120" s="468"/>
      <c r="AT120" s="468"/>
      <c r="AU120" s="468"/>
      <c r="AV120" s="468"/>
      <c r="AW120" s="468"/>
      <c r="AX120" s="468"/>
      <c r="AY120" s="468"/>
      <c r="AZ120" s="468"/>
      <c r="BA120" s="468"/>
      <c r="BB120" s="468"/>
      <c r="BC120" s="468"/>
      <c r="BD120" s="468"/>
      <c r="BE120" s="468"/>
      <c r="BF120" s="468"/>
      <c r="BG120" s="1556"/>
      <c r="BH120" s="468"/>
      <c r="BI120" s="468"/>
      <c r="BJ120" s="468"/>
      <c r="BK120" s="468"/>
      <c r="BL120" s="468"/>
      <c r="BM120" s="468"/>
      <c r="BN120" s="468"/>
      <c r="BO120" s="468"/>
      <c r="BP120" s="468"/>
    </row>
    <row r="121" spans="1:68" ht="30.6" hidden="1" customHeight="1" outlineLevel="1" thickBot="1">
      <c r="A121" s="1058" t="s">
        <v>158</v>
      </c>
      <c r="B121" s="2413"/>
      <c r="C121" s="2413"/>
      <c r="D121" s="1354"/>
      <c r="E121" s="1544"/>
      <c r="F121" s="1545"/>
      <c r="G121" s="1545"/>
      <c r="H121" s="1546"/>
      <c r="I121" s="1548"/>
      <c r="J121" s="1306"/>
      <c r="K121" s="1307"/>
      <c r="L121" s="1407" t="str">
        <f t="shared" si="1"/>
        <v/>
      </c>
      <c r="M121" s="1212"/>
      <c r="N121" s="1213"/>
      <c r="O121" s="468"/>
      <c r="P121" s="468"/>
      <c r="Q121" s="468"/>
      <c r="R121" s="468"/>
      <c r="S121" s="470"/>
      <c r="T121" s="470"/>
      <c r="U121" s="470"/>
      <c r="V121" s="470"/>
      <c r="W121" s="470"/>
      <c r="X121" s="470"/>
      <c r="Y121" s="470"/>
      <c r="Z121" s="470"/>
      <c r="AA121" s="470"/>
      <c r="AB121" s="470"/>
      <c r="AC121" s="470"/>
      <c r="AD121" s="470"/>
      <c r="AE121" s="468"/>
      <c r="AF121" s="468"/>
      <c r="AG121" s="468"/>
      <c r="AH121" s="468"/>
      <c r="AI121" s="468"/>
      <c r="AJ121" s="468"/>
      <c r="AK121" s="468"/>
      <c r="AL121" s="468"/>
      <c r="AM121" s="468"/>
      <c r="AN121" s="468"/>
      <c r="AO121" s="468"/>
      <c r="AP121" s="468"/>
      <c r="AQ121" s="468"/>
      <c r="AR121" s="468"/>
      <c r="AS121" s="468"/>
      <c r="AT121" s="468"/>
      <c r="AU121" s="468"/>
      <c r="AV121" s="468"/>
      <c r="AW121" s="468"/>
      <c r="AX121" s="468"/>
      <c r="AY121" s="468"/>
      <c r="AZ121" s="468"/>
      <c r="BA121" s="468"/>
      <c r="BB121" s="468"/>
      <c r="BC121" s="468"/>
      <c r="BD121" s="468"/>
      <c r="BE121" s="468"/>
      <c r="BF121" s="468"/>
      <c r="BG121" s="1556"/>
      <c r="BH121" s="468"/>
      <c r="BI121" s="468"/>
      <c r="BJ121" s="468"/>
      <c r="BK121" s="468"/>
      <c r="BL121" s="468"/>
      <c r="BM121" s="468"/>
      <c r="BN121" s="468"/>
      <c r="BO121" s="468"/>
      <c r="BP121" s="468"/>
    </row>
    <row r="122" spans="1:68" ht="30.6" hidden="1" customHeight="1" outlineLevel="1" thickBot="1">
      <c r="A122" s="1058" t="s">
        <v>159</v>
      </c>
      <c r="B122" s="2413"/>
      <c r="C122" s="2413"/>
      <c r="D122" s="1354"/>
      <c r="E122" s="1544"/>
      <c r="F122" s="1545"/>
      <c r="G122" s="1545"/>
      <c r="H122" s="1546"/>
      <c r="I122" s="1548"/>
      <c r="J122" s="1306"/>
      <c r="K122" s="1307"/>
      <c r="L122" s="1407" t="str">
        <f t="shared" si="1"/>
        <v/>
      </c>
      <c r="M122" s="1212"/>
      <c r="N122" s="1213"/>
      <c r="O122" s="468"/>
      <c r="P122" s="468"/>
      <c r="Q122" s="468"/>
      <c r="R122" s="468"/>
      <c r="S122" s="470"/>
      <c r="T122" s="470"/>
      <c r="U122" s="470"/>
      <c r="V122" s="470"/>
      <c r="W122" s="470"/>
      <c r="X122" s="470"/>
      <c r="Y122" s="470"/>
      <c r="Z122" s="470"/>
      <c r="AA122" s="470"/>
      <c r="AB122" s="470"/>
      <c r="AC122" s="470"/>
      <c r="AD122" s="470"/>
      <c r="AE122" s="468"/>
      <c r="AF122" s="468"/>
      <c r="AG122" s="468"/>
      <c r="AH122" s="468"/>
      <c r="AI122" s="468"/>
      <c r="AJ122" s="468"/>
      <c r="AK122" s="468"/>
      <c r="AL122" s="468"/>
      <c r="AM122" s="468"/>
      <c r="AN122" s="468"/>
      <c r="AO122" s="468"/>
      <c r="AP122" s="468"/>
      <c r="AQ122" s="468"/>
      <c r="AR122" s="468"/>
      <c r="AS122" s="468"/>
      <c r="AT122" s="468"/>
      <c r="AU122" s="468"/>
      <c r="AV122" s="468"/>
      <c r="AW122" s="468"/>
      <c r="AX122" s="468"/>
      <c r="AY122" s="468"/>
      <c r="AZ122" s="468"/>
      <c r="BA122" s="468"/>
      <c r="BB122" s="468"/>
      <c r="BC122" s="468"/>
      <c r="BD122" s="468"/>
      <c r="BE122" s="468"/>
      <c r="BF122" s="468"/>
      <c r="BG122" s="1556"/>
      <c r="BH122" s="468"/>
      <c r="BI122" s="468"/>
      <c r="BJ122" s="468"/>
      <c r="BK122" s="468"/>
      <c r="BL122" s="468"/>
      <c r="BM122" s="468"/>
      <c r="BN122" s="468"/>
      <c r="BO122" s="468"/>
      <c r="BP122" s="468"/>
    </row>
    <row r="123" spans="1:68" ht="30.6" hidden="1" customHeight="1" outlineLevel="1" thickBot="1">
      <c r="A123" s="1058" t="s">
        <v>160</v>
      </c>
      <c r="B123" s="2413"/>
      <c r="C123" s="2413"/>
      <c r="D123" s="1354"/>
      <c r="E123" s="1544"/>
      <c r="F123" s="1545"/>
      <c r="G123" s="1545"/>
      <c r="H123" s="1546"/>
      <c r="I123" s="1548"/>
      <c r="J123" s="1306"/>
      <c r="K123" s="1307"/>
      <c r="L123" s="1407" t="str">
        <f t="shared" si="1"/>
        <v/>
      </c>
      <c r="M123" s="1212"/>
      <c r="N123" s="1213"/>
      <c r="O123" s="468"/>
      <c r="P123" s="468"/>
      <c r="Q123" s="468"/>
      <c r="R123" s="468"/>
      <c r="S123" s="470"/>
      <c r="T123" s="470"/>
      <c r="U123" s="470"/>
      <c r="V123" s="470"/>
      <c r="W123" s="470"/>
      <c r="X123" s="470"/>
      <c r="Y123" s="470"/>
      <c r="Z123" s="470"/>
      <c r="AA123" s="470"/>
      <c r="AB123" s="470"/>
      <c r="AC123" s="470"/>
      <c r="AD123" s="470"/>
      <c r="AE123" s="468"/>
      <c r="AF123" s="468"/>
      <c r="AG123" s="468"/>
      <c r="AH123" s="468"/>
      <c r="AI123" s="468"/>
      <c r="AJ123" s="468"/>
      <c r="AK123" s="468"/>
      <c r="AL123" s="468"/>
      <c r="AM123" s="468"/>
      <c r="AN123" s="468"/>
      <c r="AO123" s="468"/>
      <c r="AP123" s="468"/>
      <c r="AQ123" s="468"/>
      <c r="AR123" s="468"/>
      <c r="AS123" s="468"/>
      <c r="AT123" s="468"/>
      <c r="AU123" s="468"/>
      <c r="AV123" s="468"/>
      <c r="AW123" s="468"/>
      <c r="AX123" s="468"/>
      <c r="AY123" s="468"/>
      <c r="AZ123" s="468"/>
      <c r="BA123" s="468"/>
      <c r="BB123" s="468"/>
      <c r="BC123" s="468"/>
      <c r="BD123" s="468"/>
      <c r="BE123" s="468"/>
      <c r="BF123" s="468"/>
      <c r="BG123" s="1556"/>
      <c r="BH123" s="468"/>
      <c r="BI123" s="468"/>
      <c r="BJ123" s="468"/>
      <c r="BK123" s="468"/>
      <c r="BL123" s="468"/>
      <c r="BM123" s="468"/>
      <c r="BN123" s="468"/>
      <c r="BO123" s="468"/>
      <c r="BP123" s="468"/>
    </row>
    <row r="124" spans="1:68" ht="30.6" customHeight="1" collapsed="1" thickBot="1">
      <c r="A124" s="1142" t="s">
        <v>161</v>
      </c>
      <c r="B124" s="567"/>
      <c r="C124" s="567"/>
      <c r="D124" s="1357"/>
      <c r="E124" s="1549"/>
      <c r="F124" s="1550"/>
      <c r="G124" s="1545"/>
      <c r="H124" s="1546"/>
      <c r="I124" s="1551"/>
      <c r="J124" s="1308"/>
      <c r="K124" s="1309"/>
      <c r="L124" s="1407" t="str">
        <f t="shared" si="1"/>
        <v/>
      </c>
      <c r="M124" s="1214"/>
      <c r="N124" s="1215"/>
      <c r="O124" s="468"/>
      <c r="P124" s="468"/>
      <c r="Q124" s="468"/>
      <c r="R124" s="468"/>
      <c r="S124" s="470"/>
      <c r="T124" s="470"/>
      <c r="U124" s="470"/>
      <c r="V124" s="470"/>
      <c r="W124" s="470"/>
      <c r="X124" s="470"/>
      <c r="Y124" s="470"/>
      <c r="Z124" s="470"/>
      <c r="AA124" s="470"/>
      <c r="AB124" s="470"/>
      <c r="AC124" s="470"/>
      <c r="AD124" s="470"/>
      <c r="AE124" s="468"/>
      <c r="AF124" s="468"/>
      <c r="AG124" s="468"/>
      <c r="AH124" s="468"/>
      <c r="AI124" s="468"/>
      <c r="AJ124" s="468"/>
      <c r="AK124" s="468"/>
      <c r="AL124" s="468"/>
      <c r="AM124" s="468"/>
      <c r="AN124" s="468"/>
      <c r="AO124" s="468"/>
      <c r="AP124" s="468"/>
      <c r="AQ124" s="468"/>
      <c r="AR124" s="468"/>
      <c r="AS124" s="468"/>
      <c r="AT124" s="468"/>
      <c r="AU124" s="468"/>
      <c r="AV124" s="468"/>
      <c r="AW124" s="468"/>
      <c r="AX124" s="468"/>
      <c r="AY124" s="468"/>
      <c r="AZ124" s="468"/>
      <c r="BA124" s="468"/>
      <c r="BB124" s="468"/>
      <c r="BC124" s="468"/>
      <c r="BD124" s="468"/>
      <c r="BE124" s="468"/>
      <c r="BF124" s="468"/>
      <c r="BG124" s="1556"/>
      <c r="BH124" s="468"/>
      <c r="BI124" s="468"/>
      <c r="BJ124" s="468"/>
      <c r="BK124" s="468"/>
      <c r="BL124" s="468"/>
      <c r="BM124" s="468"/>
      <c r="BN124" s="468"/>
      <c r="BO124" s="468"/>
      <c r="BP124" s="468"/>
    </row>
    <row r="125" spans="1:68" ht="20.25" customHeight="1" thickBot="1">
      <c r="A125" s="1138" t="s">
        <v>162</v>
      </c>
      <c r="B125" s="1136"/>
      <c r="C125" s="1136"/>
      <c r="D125" s="1353"/>
      <c r="E125" s="1353"/>
      <c r="F125" s="1136"/>
      <c r="G125" s="1136"/>
      <c r="H125" s="1136"/>
      <c r="I125" s="1136"/>
      <c r="J125" s="1136"/>
      <c r="K125" s="1136"/>
      <c r="L125" s="1136"/>
      <c r="M125" s="1136"/>
      <c r="N125" s="1136"/>
      <c r="O125" s="1136"/>
      <c r="P125" s="1137"/>
      <c r="Q125" s="468"/>
      <c r="R125" s="468"/>
      <c r="S125" s="470"/>
      <c r="T125" s="470"/>
      <c r="U125" s="470"/>
      <c r="V125" s="470"/>
      <c r="W125" s="470"/>
      <c r="X125" s="470"/>
      <c r="Y125" s="470"/>
      <c r="Z125" s="470"/>
      <c r="AA125" s="470"/>
      <c r="AB125" s="470"/>
      <c r="AC125" s="470"/>
      <c r="AD125" s="470"/>
      <c r="AE125" s="468"/>
      <c r="AF125" s="468"/>
      <c r="AG125" s="468"/>
      <c r="AH125" s="468"/>
      <c r="AI125" s="468"/>
      <c r="AJ125" s="468"/>
      <c r="AK125" s="468"/>
      <c r="AL125" s="468"/>
      <c r="AM125" s="468"/>
      <c r="AN125" s="468"/>
      <c r="AO125" s="468"/>
      <c r="AP125" s="468"/>
      <c r="AQ125" s="468"/>
      <c r="AR125" s="468"/>
      <c r="AS125" s="468"/>
      <c r="AT125" s="468"/>
      <c r="AU125" s="468"/>
      <c r="AV125" s="468"/>
      <c r="AW125" s="468"/>
      <c r="AX125" s="468"/>
      <c r="AY125" s="468"/>
      <c r="AZ125" s="468"/>
      <c r="BA125" s="468"/>
      <c r="BB125" s="468"/>
      <c r="BC125" s="468"/>
      <c r="BD125" s="468"/>
      <c r="BE125" s="468"/>
      <c r="BF125" s="468"/>
      <c r="BG125" s="1556"/>
      <c r="BH125" s="468"/>
      <c r="BI125" s="468"/>
      <c r="BJ125" s="468"/>
      <c r="BK125" s="468"/>
      <c r="BL125" s="468"/>
      <c r="BM125" s="468"/>
      <c r="BN125" s="468"/>
      <c r="BO125" s="468"/>
      <c r="BP125" s="468"/>
    </row>
    <row r="126" spans="1:68" ht="20.25" customHeight="1" thickBot="1">
      <c r="A126" s="608" t="s">
        <v>163</v>
      </c>
      <c r="B126" s="608"/>
      <c r="C126" s="608"/>
      <c r="D126" s="1358"/>
      <c r="E126" s="1552" t="s">
        <v>798</v>
      </c>
      <c r="F126" s="608" t="s">
        <v>164</v>
      </c>
      <c r="G126" s="404"/>
      <c r="H126" s="1143"/>
      <c r="I126" s="1258"/>
      <c r="J126" s="1340" t="s">
        <v>165</v>
      </c>
      <c r="K126" s="468"/>
      <c r="L126" s="468"/>
      <c r="M126" s="468"/>
      <c r="N126" s="468"/>
      <c r="O126" s="468"/>
      <c r="P126" s="468"/>
      <c r="Q126" s="470"/>
      <c r="R126" s="470"/>
      <c r="S126" s="470"/>
      <c r="T126" s="470"/>
      <c r="U126" s="470"/>
      <c r="V126" s="470"/>
      <c r="W126" s="470"/>
      <c r="X126" s="470"/>
      <c r="Y126" s="470"/>
      <c r="Z126" s="470"/>
      <c r="AA126" s="470"/>
      <c r="AB126" s="470"/>
      <c r="AC126" s="470"/>
      <c r="AD126" s="470"/>
      <c r="AE126" s="468"/>
      <c r="AF126" s="468"/>
      <c r="AG126" s="468"/>
      <c r="AH126" s="468"/>
      <c r="AI126" s="468"/>
      <c r="AJ126" s="468"/>
      <c r="AK126" s="468"/>
      <c r="AL126" s="468"/>
      <c r="AM126" s="468"/>
      <c r="AN126" s="468"/>
      <c r="AO126" s="468"/>
      <c r="AP126" s="468"/>
      <c r="AQ126" s="468"/>
      <c r="AR126" s="468"/>
      <c r="AS126" s="468"/>
      <c r="AT126" s="468"/>
      <c r="AU126" s="468"/>
      <c r="AV126" s="468"/>
      <c r="AW126" s="468"/>
      <c r="AX126" s="468"/>
      <c r="AY126" s="468"/>
      <c r="AZ126" s="468"/>
      <c r="BA126" s="468"/>
      <c r="BB126" s="468"/>
      <c r="BC126" s="468"/>
      <c r="BD126" s="468"/>
      <c r="BE126" s="468"/>
      <c r="BF126" s="468"/>
      <c r="BG126" s="1556"/>
      <c r="BH126" s="468"/>
      <c r="BI126" s="468"/>
      <c r="BJ126" s="468"/>
      <c r="BK126" s="468"/>
      <c r="BL126" s="468"/>
      <c r="BM126" s="468"/>
      <c r="BN126" s="468"/>
      <c r="BO126" s="468"/>
      <c r="BP126" s="468"/>
    </row>
    <row r="127" spans="1:68" ht="20.25" customHeight="1">
      <c r="A127" s="2413" t="s">
        <v>166</v>
      </c>
      <c r="B127" s="2413"/>
      <c r="C127" s="2413"/>
      <c r="D127" s="1354"/>
      <c r="E127" s="1553">
        <v>44743</v>
      </c>
      <c r="F127" s="578"/>
      <c r="G127" s="468"/>
      <c r="H127" s="468"/>
      <c r="I127" s="468"/>
      <c r="J127" s="468"/>
      <c r="K127" s="468"/>
      <c r="L127" s="468"/>
      <c r="M127" s="468"/>
      <c r="N127" s="468"/>
      <c r="O127" s="468"/>
      <c r="P127" s="468"/>
      <c r="Q127" s="470"/>
      <c r="R127" s="470"/>
      <c r="S127" s="468"/>
      <c r="T127" s="468"/>
      <c r="U127" s="468"/>
      <c r="V127" s="468"/>
      <c r="W127" s="470"/>
      <c r="X127" s="470"/>
      <c r="Y127" s="470"/>
      <c r="Z127" s="470"/>
      <c r="AA127" s="470"/>
      <c r="AB127" s="470"/>
      <c r="AC127" s="470"/>
      <c r="AD127" s="470"/>
      <c r="AE127" s="468"/>
      <c r="AF127" s="468"/>
      <c r="AG127" s="468"/>
      <c r="AH127" s="468"/>
      <c r="AI127" s="468"/>
      <c r="AJ127" s="468"/>
      <c r="AK127" s="468"/>
      <c r="AL127" s="468"/>
      <c r="AM127" s="468"/>
      <c r="AN127" s="468"/>
      <c r="AO127" s="468"/>
      <c r="AP127" s="468"/>
      <c r="AQ127" s="468"/>
      <c r="AR127" s="468"/>
      <c r="AS127" s="468"/>
      <c r="AT127" s="468"/>
      <c r="AU127" s="468"/>
      <c r="AV127" s="468"/>
      <c r="AW127" s="468"/>
      <c r="AX127" s="468"/>
      <c r="AY127" s="468"/>
      <c r="AZ127" s="468"/>
      <c r="BA127" s="468"/>
      <c r="BB127" s="468"/>
      <c r="BC127" s="468"/>
      <c r="BD127" s="468"/>
      <c r="BE127" s="468"/>
      <c r="BF127" s="468"/>
      <c r="BG127" s="1556"/>
      <c r="BH127" s="468"/>
      <c r="BI127" s="468"/>
      <c r="BJ127" s="468"/>
      <c r="BK127" s="468"/>
      <c r="BL127" s="468"/>
      <c r="BM127" s="468"/>
      <c r="BN127" s="468"/>
      <c r="BO127" s="468"/>
      <c r="BP127" s="468"/>
    </row>
    <row r="128" spans="1:68" ht="20.25" customHeight="1" thickBot="1">
      <c r="A128" s="2413" t="s">
        <v>167</v>
      </c>
      <c r="B128" s="2413"/>
      <c r="C128" s="2413"/>
      <c r="D128" s="1354"/>
      <c r="E128" s="1554">
        <v>44743</v>
      </c>
      <c r="F128" s="468"/>
      <c r="G128" s="468"/>
      <c r="H128" s="468"/>
      <c r="I128" s="468"/>
      <c r="J128" s="468"/>
      <c r="K128" s="468"/>
      <c r="L128" s="468"/>
      <c r="M128" s="468"/>
      <c r="N128" s="468"/>
      <c r="O128" s="468"/>
      <c r="P128" s="468"/>
      <c r="Q128" s="470"/>
      <c r="R128" s="470"/>
      <c r="S128" s="468"/>
      <c r="T128" s="468"/>
      <c r="U128" s="468"/>
      <c r="V128" s="468"/>
      <c r="W128" s="470"/>
      <c r="X128" s="470"/>
      <c r="Y128" s="470"/>
      <c r="Z128" s="470"/>
      <c r="AA128" s="470"/>
      <c r="AB128" s="470"/>
      <c r="AC128" s="470"/>
      <c r="AD128" s="470"/>
      <c r="AE128" s="468"/>
      <c r="AF128" s="468"/>
      <c r="AG128" s="468"/>
      <c r="AH128" s="468"/>
      <c r="AI128" s="468"/>
      <c r="AJ128" s="468"/>
      <c r="AK128" s="468"/>
      <c r="AL128" s="468"/>
      <c r="AM128" s="468"/>
      <c r="AN128" s="468"/>
      <c r="AO128" s="468"/>
      <c r="AP128" s="468"/>
      <c r="AQ128" s="468"/>
      <c r="AR128" s="468"/>
      <c r="AS128" s="468"/>
      <c r="AT128" s="468"/>
      <c r="AU128" s="468"/>
      <c r="AV128" s="468"/>
      <c r="AW128" s="468"/>
      <c r="AX128" s="468"/>
      <c r="AY128" s="468"/>
      <c r="AZ128" s="468"/>
      <c r="BA128" s="468"/>
      <c r="BB128" s="468"/>
      <c r="BC128" s="468"/>
      <c r="BD128" s="468"/>
      <c r="BE128" s="468"/>
      <c r="BF128" s="468"/>
      <c r="BG128" s="1556"/>
      <c r="BH128" s="468"/>
      <c r="BI128" s="468"/>
      <c r="BJ128" s="468"/>
      <c r="BK128" s="468"/>
      <c r="BL128" s="468"/>
      <c r="BM128" s="468"/>
      <c r="BN128" s="468"/>
      <c r="BO128" s="468"/>
      <c r="BP128" s="468"/>
    </row>
    <row r="129" spans="1:68" ht="20.25" customHeight="1" thickTop="1" thickBot="1">
      <c r="A129" s="2413" t="s">
        <v>168</v>
      </c>
      <c r="B129" s="2413"/>
      <c r="C129" s="2413"/>
      <c r="D129" s="1354"/>
      <c r="E129" s="1732">
        <v>44753</v>
      </c>
      <c r="F129" s="468"/>
      <c r="G129" s="468"/>
      <c r="H129" s="468"/>
      <c r="I129" s="468"/>
      <c r="J129" s="468"/>
      <c r="K129" s="468"/>
      <c r="L129" s="468"/>
      <c r="M129" s="468"/>
      <c r="N129" s="468"/>
      <c r="O129" s="468"/>
      <c r="P129" s="468"/>
      <c r="Q129" s="470"/>
      <c r="R129" s="470"/>
      <c r="S129" s="468"/>
      <c r="T129" s="468"/>
      <c r="U129" s="468"/>
      <c r="V129" s="468"/>
      <c r="W129" s="470"/>
      <c r="X129" s="470"/>
      <c r="Y129" s="470"/>
      <c r="Z129" s="470"/>
      <c r="AA129" s="470"/>
      <c r="AB129" s="470"/>
      <c r="AC129" s="470"/>
      <c r="AD129" s="470"/>
      <c r="AE129" s="468"/>
      <c r="AF129" s="468"/>
      <c r="AG129" s="468"/>
      <c r="AH129" s="468"/>
      <c r="AI129" s="468"/>
      <c r="AJ129" s="468"/>
      <c r="AK129" s="468"/>
      <c r="AL129" s="468"/>
      <c r="AM129" s="468"/>
      <c r="AN129" s="468"/>
      <c r="AO129" s="468"/>
      <c r="AP129" s="468"/>
      <c r="AQ129" s="468"/>
      <c r="AR129" s="468"/>
      <c r="AS129" s="468"/>
      <c r="AT129" s="468"/>
      <c r="AU129" s="468"/>
      <c r="AV129" s="468"/>
      <c r="AW129" s="468"/>
      <c r="AX129" s="468"/>
      <c r="AY129" s="468"/>
      <c r="AZ129" s="468"/>
      <c r="BA129" s="468"/>
      <c r="BB129" s="468"/>
      <c r="BC129" s="468"/>
      <c r="BD129" s="468"/>
      <c r="BE129" s="468"/>
      <c r="BF129" s="468"/>
      <c r="BG129" s="1556"/>
      <c r="BH129" s="468"/>
      <c r="BI129" s="468"/>
      <c r="BJ129" s="468"/>
      <c r="BK129" s="468"/>
      <c r="BL129" s="468"/>
      <c r="BM129" s="468"/>
      <c r="BN129" s="468"/>
      <c r="BO129" s="468"/>
      <c r="BP129" s="468"/>
    </row>
    <row r="130" spans="1:68" ht="44.85" customHeight="1" thickTop="1" thickBot="1">
      <c r="A130" s="2413" t="s">
        <v>169</v>
      </c>
      <c r="B130" s="2413"/>
      <c r="C130" s="2413"/>
      <c r="D130" s="1354"/>
      <c r="E130" s="1555">
        <f>IF(DAY(E129)=E131,DATE(YEAR(E129),MONTH(E129),DAY(E129)-1),IF(DAY(E129)&lt;E131,DATE(YEAR(E129),MONTH(E129),DAY(E131-1)),IF(DAY(E129)&gt;E131,DATE(YEAR(E129),MONTH(E129)+1,DAY(E131-1)))))</f>
        <v>44782</v>
      </c>
      <c r="F130" s="2474" t="s">
        <v>170</v>
      </c>
      <c r="G130" s="2475"/>
      <c r="H130" s="2475"/>
      <c r="I130" s="2475"/>
      <c r="J130" s="2475"/>
      <c r="K130" s="2475"/>
      <c r="L130" s="2475"/>
      <c r="M130" s="2476"/>
      <c r="P130" s="468"/>
      <c r="Q130" s="470"/>
      <c r="R130" s="470"/>
      <c r="S130" s="468"/>
      <c r="T130" s="468"/>
      <c r="U130" s="468"/>
      <c r="V130" s="468"/>
      <c r="W130" s="470"/>
      <c r="X130" s="470"/>
      <c r="Y130" s="470"/>
      <c r="Z130" s="470"/>
      <c r="AA130" s="470"/>
      <c r="AB130" s="470"/>
      <c r="AC130" s="470"/>
      <c r="AD130" s="470"/>
      <c r="AE130" s="468"/>
      <c r="AF130" s="468"/>
      <c r="AG130" s="468"/>
      <c r="AH130" s="468"/>
      <c r="AI130" s="468"/>
      <c r="AJ130" s="468"/>
      <c r="AK130" s="468"/>
      <c r="AL130" s="468"/>
      <c r="AM130" s="468"/>
      <c r="AN130" s="468"/>
      <c r="AO130" s="468"/>
      <c r="AP130" s="468"/>
      <c r="AQ130" s="468"/>
      <c r="AR130" s="468"/>
      <c r="AS130" s="468"/>
      <c r="AT130" s="468"/>
      <c r="AU130" s="468"/>
      <c r="AV130" s="468"/>
      <c r="AW130" s="468"/>
      <c r="AX130" s="468"/>
      <c r="AY130" s="468"/>
      <c r="AZ130" s="468"/>
      <c r="BA130" s="468"/>
      <c r="BB130" s="468"/>
      <c r="BC130" s="468"/>
      <c r="BD130" s="468"/>
      <c r="BE130" s="468"/>
      <c r="BF130" s="468"/>
      <c r="BG130" s="1556"/>
      <c r="BH130" s="468"/>
      <c r="BI130" s="468"/>
      <c r="BJ130" s="468"/>
      <c r="BK130" s="468"/>
      <c r="BL130" s="468"/>
      <c r="BM130" s="468"/>
      <c r="BN130" s="468"/>
      <c r="BO130" s="468"/>
      <c r="BP130" s="468"/>
    </row>
    <row r="131" spans="1:68" ht="20.25" customHeight="1" thickBot="1">
      <c r="A131" s="2413" t="s">
        <v>171</v>
      </c>
      <c r="B131" s="2413"/>
      <c r="C131" s="2413"/>
      <c r="D131" s="1354"/>
      <c r="E131" s="1471">
        <v>10</v>
      </c>
      <c r="F131" s="1727" t="s">
        <v>172</v>
      </c>
      <c r="G131" s="1728"/>
      <c r="H131" s="1729"/>
      <c r="I131" s="1730"/>
      <c r="J131" s="1731"/>
      <c r="K131" s="1406"/>
      <c r="L131" s="468"/>
      <c r="M131" s="468"/>
      <c r="N131" s="468"/>
      <c r="O131" s="468"/>
      <c r="P131" s="468"/>
      <c r="Q131" s="482"/>
      <c r="R131" s="470"/>
      <c r="S131" s="468"/>
      <c r="T131" s="468"/>
      <c r="U131" s="468"/>
      <c r="V131" s="468"/>
      <c r="W131" s="470"/>
      <c r="X131" s="482"/>
      <c r="Y131" s="482"/>
      <c r="Z131" s="482"/>
      <c r="AA131" s="482"/>
      <c r="AB131" s="482"/>
      <c r="AC131" s="482"/>
      <c r="AD131" s="482"/>
      <c r="AE131" s="468"/>
      <c r="AF131" s="468"/>
      <c r="AG131" s="468"/>
      <c r="AH131" s="468"/>
      <c r="AI131" s="468"/>
      <c r="AJ131" s="468"/>
      <c r="AK131" s="468"/>
      <c r="AL131" s="468"/>
      <c r="AM131" s="468"/>
      <c r="AN131" s="468"/>
      <c r="AO131" s="468"/>
      <c r="AP131" s="468"/>
      <c r="AQ131" s="468"/>
      <c r="AR131" s="468"/>
      <c r="AS131" s="468"/>
      <c r="AT131" s="468"/>
      <c r="AU131" s="468"/>
      <c r="AV131" s="468"/>
      <c r="AW131" s="468"/>
      <c r="AX131" s="468"/>
      <c r="AY131" s="468"/>
      <c r="AZ131" s="468"/>
      <c r="BA131" s="468"/>
      <c r="BB131" s="468"/>
      <c r="BC131" s="468"/>
      <c r="BD131" s="468"/>
      <c r="BE131" s="468"/>
      <c r="BF131" s="468"/>
      <c r="BG131" s="1556"/>
      <c r="BH131" s="468"/>
      <c r="BI131" s="468"/>
      <c r="BJ131" s="468"/>
      <c r="BK131" s="468"/>
      <c r="BL131" s="468"/>
      <c r="BM131" s="468"/>
      <c r="BN131" s="468"/>
      <c r="BO131" s="468"/>
      <c r="BP131" s="468"/>
    </row>
    <row r="132" spans="1:68" ht="20.25" customHeight="1" thickBot="1">
      <c r="A132" s="2413" t="s">
        <v>173</v>
      </c>
      <c r="B132" s="2413"/>
      <c r="C132" s="2413"/>
      <c r="D132" s="1354"/>
      <c r="E132" s="1961">
        <f>DATE(YEAR(E130),MONTH(E130)+1,DAY(E131))</f>
        <v>44814</v>
      </c>
      <c r="F132" s="2110" t="s">
        <v>174</v>
      </c>
      <c r="G132" s="2111"/>
      <c r="H132" s="2112"/>
      <c r="I132" s="2113"/>
      <c r="J132" s="2114"/>
      <c r="K132" s="2114"/>
      <c r="L132" s="468"/>
      <c r="M132" s="468"/>
      <c r="N132" s="468"/>
      <c r="O132" s="468"/>
      <c r="P132" s="468"/>
      <c r="Q132" s="482"/>
      <c r="R132" s="470"/>
      <c r="S132" s="468"/>
      <c r="T132" s="468"/>
      <c r="U132" s="468"/>
      <c r="V132" s="468"/>
      <c r="W132" s="470"/>
      <c r="X132" s="482"/>
      <c r="Y132" s="482"/>
      <c r="Z132" s="482"/>
      <c r="AA132" s="482"/>
      <c r="AB132" s="482"/>
      <c r="AC132" s="482"/>
      <c r="AD132" s="482"/>
      <c r="AE132" s="468"/>
      <c r="AF132" s="468"/>
      <c r="AG132" s="468"/>
      <c r="AH132" s="468"/>
      <c r="AI132" s="468"/>
      <c r="AJ132" s="468"/>
      <c r="AK132" s="468"/>
      <c r="AL132" s="468"/>
      <c r="AM132" s="468"/>
      <c r="AN132" s="468"/>
      <c r="AO132" s="468"/>
      <c r="AP132" s="468"/>
      <c r="AQ132" s="468"/>
      <c r="AR132" s="468"/>
      <c r="AS132" s="468"/>
      <c r="AT132" s="468"/>
      <c r="AU132" s="468"/>
      <c r="AV132" s="468"/>
      <c r="AW132" s="468"/>
      <c r="AX132" s="468"/>
      <c r="AY132" s="468"/>
      <c r="AZ132" s="468"/>
      <c r="BA132" s="468"/>
      <c r="BB132" s="468"/>
      <c r="BC132" s="468"/>
      <c r="BD132" s="468"/>
      <c r="BE132" s="468"/>
      <c r="BF132" s="468"/>
      <c r="BG132" s="1556"/>
      <c r="BH132" s="468"/>
      <c r="BI132" s="468"/>
      <c r="BJ132" s="468"/>
      <c r="BK132" s="468"/>
      <c r="BL132" s="468"/>
      <c r="BM132" s="468"/>
      <c r="BN132" s="468"/>
      <c r="BO132" s="468"/>
      <c r="BP132" s="468"/>
    </row>
    <row r="133" spans="1:68" ht="20.25" customHeight="1">
      <c r="A133" s="2413" t="s">
        <v>175</v>
      </c>
      <c r="B133" s="2413"/>
      <c r="C133" s="2413"/>
      <c r="D133" s="1354"/>
      <c r="E133" s="1471" t="s">
        <v>176</v>
      </c>
      <c r="F133" s="578"/>
      <c r="G133" s="470"/>
      <c r="H133" s="470"/>
      <c r="I133" s="470"/>
      <c r="J133" s="481"/>
      <c r="K133" s="468"/>
      <c r="L133" s="468"/>
      <c r="M133" s="468"/>
      <c r="N133" s="468"/>
      <c r="O133" s="468"/>
      <c r="P133" s="468"/>
      <c r="Q133" s="482"/>
      <c r="R133" s="470"/>
      <c r="S133" s="468"/>
      <c r="T133" s="468"/>
      <c r="U133" s="468"/>
      <c r="V133" s="468"/>
      <c r="W133" s="470"/>
      <c r="X133" s="482"/>
      <c r="Y133" s="482"/>
      <c r="Z133" s="482"/>
      <c r="AA133" s="482"/>
      <c r="AB133" s="482"/>
      <c r="AC133" s="482"/>
      <c r="AD133" s="482"/>
      <c r="AE133" s="468"/>
      <c r="AF133" s="468"/>
      <c r="AG133" s="468"/>
      <c r="AH133" s="468"/>
      <c r="AI133" s="468"/>
      <c r="AJ133" s="468"/>
      <c r="AK133" s="468"/>
      <c r="AL133" s="468"/>
      <c r="AM133" s="468"/>
      <c r="AN133" s="468"/>
      <c r="AO133" s="468"/>
      <c r="AP133" s="468"/>
      <c r="AQ133" s="468"/>
      <c r="AR133" s="468"/>
      <c r="AS133" s="468"/>
      <c r="AT133" s="468"/>
      <c r="AU133" s="468"/>
      <c r="AV133" s="468"/>
      <c r="AW133" s="468"/>
      <c r="AX133" s="468"/>
      <c r="AY133" s="468"/>
      <c r="AZ133" s="468"/>
      <c r="BA133" s="468"/>
      <c r="BB133" s="468"/>
      <c r="BC133" s="468"/>
      <c r="BD133" s="468"/>
      <c r="BE133" s="468"/>
      <c r="BF133" s="468"/>
      <c r="BG133" s="1556"/>
      <c r="BH133" s="468"/>
      <c r="BI133" s="468"/>
      <c r="BJ133" s="468"/>
      <c r="BK133" s="468"/>
      <c r="BL133" s="468"/>
      <c r="BM133" s="468"/>
      <c r="BN133" s="468"/>
      <c r="BO133" s="468"/>
      <c r="BP133" s="468"/>
    </row>
    <row r="134" spans="1:68" ht="20.25" customHeight="1" thickBot="1">
      <c r="A134" s="2413" t="s">
        <v>177</v>
      </c>
      <c r="B134" s="2413"/>
      <c r="C134" s="2413"/>
      <c r="D134" s="1354"/>
      <c r="E134" s="1471" t="s">
        <v>176</v>
      </c>
      <c r="F134" s="1328"/>
      <c r="G134" s="470"/>
      <c r="H134" s="470"/>
      <c r="I134" s="470"/>
      <c r="J134" s="481"/>
      <c r="K134" s="468"/>
      <c r="L134" s="468"/>
      <c r="M134" s="468"/>
      <c r="N134" s="468"/>
      <c r="O134" s="468"/>
      <c r="P134" s="468"/>
      <c r="Q134" s="482"/>
      <c r="R134" s="470"/>
      <c r="S134" s="468"/>
      <c r="T134" s="468"/>
      <c r="U134" s="468"/>
      <c r="V134" s="468"/>
      <c r="W134" s="470"/>
      <c r="X134" s="482"/>
      <c r="Y134" s="482"/>
      <c r="Z134" s="482"/>
      <c r="AA134" s="482"/>
      <c r="AB134" s="482"/>
      <c r="AC134" s="482"/>
      <c r="AD134" s="482"/>
      <c r="AE134" s="468"/>
      <c r="AF134" s="468"/>
      <c r="AG134" s="468"/>
      <c r="AH134" s="468"/>
      <c r="AI134" s="468"/>
      <c r="AJ134" s="468"/>
      <c r="AK134" s="468"/>
      <c r="AL134" s="468"/>
      <c r="AM134" s="468"/>
      <c r="AN134" s="468"/>
      <c r="AO134" s="468"/>
      <c r="AP134" s="468"/>
      <c r="AQ134" s="468"/>
      <c r="AR134" s="468"/>
      <c r="AS134" s="468"/>
      <c r="AT134" s="468"/>
      <c r="AU134" s="468"/>
      <c r="AV134" s="468"/>
      <c r="AW134" s="468"/>
      <c r="AX134" s="468"/>
      <c r="AY134" s="468"/>
      <c r="AZ134" s="468"/>
      <c r="BA134" s="468"/>
      <c r="BB134" s="468"/>
      <c r="BC134" s="468"/>
      <c r="BD134" s="468"/>
      <c r="BE134" s="468"/>
      <c r="BF134" s="468"/>
      <c r="BG134" s="1556"/>
      <c r="BH134" s="468"/>
      <c r="BI134" s="468"/>
      <c r="BJ134" s="468"/>
      <c r="BK134" s="468"/>
      <c r="BL134" s="468"/>
      <c r="BM134" s="468"/>
      <c r="BN134" s="468"/>
      <c r="BO134" s="468"/>
      <c r="BP134" s="468"/>
    </row>
    <row r="135" spans="1:68" ht="20.25" customHeight="1" thickBot="1">
      <c r="A135" s="2413" t="s">
        <v>178</v>
      </c>
      <c r="B135" s="2413"/>
      <c r="C135" s="2413"/>
      <c r="D135" s="1354"/>
      <c r="E135" s="1471">
        <v>36</v>
      </c>
      <c r="F135" s="1598" t="b">
        <f>INT(E135/12)=E135/12</f>
        <v>1</v>
      </c>
      <c r="G135" s="1028" t="str">
        <f>IF(E126="Construction","Note:  Delphi requires a minimum initial term of 37 months on construction loans; discuss with the Banking Team if ICM or Term Sheet conflict with this requirement","")</f>
        <v/>
      </c>
      <c r="H135" s="470"/>
      <c r="I135" s="470"/>
      <c r="J135" s="481"/>
      <c r="K135" s="468"/>
      <c r="L135" s="468"/>
      <c r="M135" s="468"/>
      <c r="N135" s="468"/>
      <c r="O135" s="468"/>
      <c r="P135" s="468"/>
      <c r="Q135" s="482"/>
      <c r="R135" s="470"/>
      <c r="S135" s="468"/>
      <c r="T135" s="468"/>
      <c r="U135" s="468"/>
      <c r="V135" s="468"/>
      <c r="W135" s="470"/>
      <c r="X135" s="482"/>
      <c r="Y135" s="482"/>
      <c r="Z135" s="482"/>
      <c r="AA135" s="482"/>
      <c r="AB135" s="482"/>
      <c r="AC135" s="482"/>
      <c r="AD135" s="482"/>
      <c r="AE135" s="468"/>
      <c r="AF135" s="468"/>
      <c r="AG135" s="468"/>
      <c r="AH135" s="468"/>
      <c r="AI135" s="468"/>
      <c r="AJ135" s="468"/>
      <c r="AK135" s="468"/>
      <c r="AL135" s="468"/>
      <c r="AM135" s="468"/>
      <c r="AN135" s="468"/>
      <c r="AO135" s="468"/>
      <c r="AP135" s="468"/>
      <c r="AQ135" s="468"/>
      <c r="AR135" s="468"/>
      <c r="AS135" s="468"/>
      <c r="AT135" s="468"/>
      <c r="AU135" s="468"/>
      <c r="AV135" s="468"/>
      <c r="AW135" s="468"/>
      <c r="AX135" s="468"/>
      <c r="AY135" s="468"/>
      <c r="AZ135" s="468"/>
      <c r="BA135" s="468"/>
      <c r="BB135" s="468"/>
      <c r="BC135" s="468"/>
      <c r="BD135" s="468"/>
      <c r="BE135" s="468"/>
      <c r="BF135" s="468"/>
      <c r="BG135" s="1556"/>
      <c r="BH135" s="468"/>
      <c r="BI135" s="468"/>
      <c r="BJ135" s="468"/>
      <c r="BK135" s="468"/>
      <c r="BL135" s="468"/>
      <c r="BM135" s="468"/>
      <c r="BN135" s="468"/>
      <c r="BO135" s="468"/>
      <c r="BP135" s="468"/>
    </row>
    <row r="136" spans="1:68" ht="20.25" customHeight="1" thickBot="1">
      <c r="A136" s="2413" t="s">
        <v>179</v>
      </c>
      <c r="B136" s="2413"/>
      <c r="C136" s="2413"/>
      <c r="D136" s="1354"/>
      <c r="E136" s="1471">
        <v>72</v>
      </c>
      <c r="F136" s="612"/>
      <c r="G136" s="470"/>
      <c r="H136" s="470"/>
      <c r="I136" s="470"/>
      <c r="J136" s="481"/>
      <c r="K136" s="468"/>
      <c r="L136" s="468"/>
      <c r="M136" s="468"/>
      <c r="N136" s="1401"/>
      <c r="O136" s="468"/>
      <c r="P136" s="468"/>
      <c r="Q136" s="482"/>
      <c r="R136" s="470"/>
      <c r="S136" s="468"/>
      <c r="T136" s="468"/>
      <c r="U136" s="468"/>
      <c r="V136" s="468"/>
      <c r="W136" s="470"/>
      <c r="X136" s="482"/>
      <c r="Y136" s="482"/>
      <c r="Z136" s="482"/>
      <c r="AA136" s="482"/>
      <c r="AB136" s="482"/>
      <c r="AC136" s="482"/>
      <c r="AD136" s="482"/>
      <c r="AE136" s="468"/>
      <c r="AF136" s="468"/>
      <c r="AG136" s="468"/>
      <c r="AH136" s="468"/>
      <c r="AI136" s="468"/>
      <c r="AJ136" s="468"/>
      <c r="AK136" s="468"/>
      <c r="AL136" s="468"/>
      <c r="AM136" s="468"/>
      <c r="AN136" s="468"/>
      <c r="AO136" s="468"/>
      <c r="AP136" s="468"/>
      <c r="AQ136" s="468"/>
      <c r="AR136" s="468"/>
      <c r="AS136" s="468"/>
      <c r="AT136" s="468"/>
      <c r="AU136" s="468"/>
      <c r="AV136" s="468"/>
      <c r="AW136" s="468"/>
      <c r="AX136" s="468"/>
      <c r="AY136" s="468"/>
      <c r="AZ136" s="468"/>
      <c r="BA136" s="468"/>
      <c r="BB136" s="468"/>
      <c r="BC136" s="468"/>
      <c r="BD136" s="468"/>
      <c r="BE136" s="468"/>
      <c r="BF136" s="468"/>
      <c r="BG136" s="1556"/>
      <c r="BH136" s="468"/>
      <c r="BI136" s="468"/>
      <c r="BJ136" s="468"/>
      <c r="BK136" s="468"/>
      <c r="BL136" s="468"/>
      <c r="BM136" s="468"/>
      <c r="BN136" s="468"/>
      <c r="BO136" s="468"/>
      <c r="BP136" s="468"/>
    </row>
    <row r="137" spans="1:68" ht="20.25" customHeight="1" thickBot="1">
      <c r="A137" s="2413" t="s">
        <v>180</v>
      </c>
      <c r="B137" s="2413"/>
      <c r="C137" s="2413"/>
      <c r="D137" s="1354"/>
      <c r="E137" s="1471">
        <f>ROUND(((E136-E135)/12),0)</f>
        <v>3</v>
      </c>
      <c r="F137" s="785" t="s">
        <v>181</v>
      </c>
      <c r="G137" s="825"/>
      <c r="H137" s="827"/>
      <c r="I137" s="828"/>
      <c r="J137" s="831"/>
      <c r="K137" s="826"/>
      <c r="L137" s="468"/>
      <c r="M137" s="468"/>
      <c r="N137" s="1400"/>
      <c r="O137" s="468"/>
      <c r="P137" s="468"/>
      <c r="Q137" s="482"/>
      <c r="R137" s="470"/>
      <c r="S137" s="468"/>
      <c r="T137" s="468"/>
      <c r="U137" s="468"/>
      <c r="V137" s="468"/>
      <c r="W137" s="470"/>
      <c r="X137" s="482"/>
      <c r="Y137" s="482"/>
      <c r="Z137" s="482"/>
      <c r="AA137" s="482"/>
      <c r="AB137" s="482"/>
      <c r="AC137" s="482"/>
      <c r="AD137" s="482"/>
      <c r="AE137" s="468"/>
      <c r="AF137" s="468"/>
      <c r="AG137" s="468"/>
      <c r="AH137" s="468"/>
      <c r="AI137" s="468"/>
      <c r="AJ137" s="468"/>
      <c r="AK137" s="468"/>
      <c r="AL137" s="468"/>
      <c r="AM137" s="468"/>
      <c r="AN137" s="468"/>
      <c r="AO137" s="468"/>
      <c r="AP137" s="468"/>
      <c r="AQ137" s="468"/>
      <c r="AR137" s="468"/>
      <c r="AS137" s="468"/>
      <c r="AT137" s="468"/>
      <c r="AU137" s="468"/>
      <c r="AV137" s="468"/>
      <c r="AW137" s="468"/>
      <c r="AX137" s="468"/>
      <c r="AY137" s="468"/>
      <c r="AZ137" s="468"/>
      <c r="BA137" s="468"/>
      <c r="BB137" s="468"/>
      <c r="BC137" s="468"/>
      <c r="BD137" s="468"/>
      <c r="BE137" s="468"/>
      <c r="BF137" s="468"/>
      <c r="BG137" s="1556"/>
      <c r="BH137" s="468"/>
      <c r="BI137" s="468"/>
      <c r="BJ137" s="468"/>
      <c r="BK137" s="468"/>
      <c r="BL137" s="468"/>
      <c r="BM137" s="468"/>
      <c r="BN137" s="468"/>
      <c r="BO137" s="468"/>
      <c r="BP137" s="468"/>
    </row>
    <row r="138" spans="1:68" ht="20.25" customHeight="1" thickBot="1">
      <c r="A138" s="2413" t="s">
        <v>182</v>
      </c>
      <c r="B138" s="2413"/>
      <c r="C138" s="2413"/>
      <c r="D138" s="1354"/>
      <c r="E138" s="1471">
        <f>IF(E137=0,0,IF(F135=TRUE,12,11))</f>
        <v>12</v>
      </c>
      <c r="F138" s="785" t="s">
        <v>183</v>
      </c>
      <c r="G138" s="825"/>
      <c r="H138" s="827"/>
      <c r="I138" s="828"/>
      <c r="J138" s="831"/>
      <c r="K138" s="826"/>
      <c r="L138" s="468"/>
      <c r="M138" s="468"/>
      <c r="N138" s="468"/>
      <c r="O138" s="468"/>
      <c r="P138" s="468"/>
      <c r="Q138" s="482"/>
      <c r="R138" s="470"/>
      <c r="S138" s="468"/>
      <c r="T138" s="468"/>
      <c r="U138" s="468"/>
      <c r="V138" s="468"/>
      <c r="W138" s="470"/>
      <c r="X138" s="482"/>
      <c r="Y138" s="482"/>
      <c r="Z138" s="482"/>
      <c r="AA138" s="482"/>
      <c r="AB138" s="482"/>
      <c r="AC138" s="482"/>
      <c r="AD138" s="482"/>
      <c r="AE138" s="468"/>
      <c r="AF138" s="468"/>
      <c r="AG138" s="468"/>
      <c r="AH138" s="468"/>
      <c r="AI138" s="468"/>
      <c r="AJ138" s="468"/>
      <c r="AK138" s="468"/>
      <c r="AL138" s="468"/>
      <c r="AM138" s="468"/>
      <c r="AN138" s="468"/>
      <c r="AO138" s="468"/>
      <c r="AP138" s="468"/>
      <c r="AQ138" s="468"/>
      <c r="AR138" s="468"/>
      <c r="AS138" s="468"/>
      <c r="AT138" s="468"/>
      <c r="AU138" s="468"/>
      <c r="AV138" s="468"/>
      <c r="AW138" s="468"/>
      <c r="AX138" s="468"/>
      <c r="AY138" s="468"/>
      <c r="AZ138" s="468"/>
      <c r="BA138" s="468"/>
      <c r="BB138" s="468"/>
      <c r="BC138" s="468"/>
      <c r="BD138" s="468"/>
      <c r="BE138" s="468"/>
      <c r="BF138" s="468"/>
      <c r="BG138" s="1556"/>
      <c r="BH138" s="468"/>
      <c r="BI138" s="468"/>
      <c r="BJ138" s="468"/>
      <c r="BK138" s="468"/>
      <c r="BL138" s="468"/>
      <c r="BM138" s="468"/>
      <c r="BN138" s="468"/>
      <c r="BO138" s="468"/>
      <c r="BP138" s="468"/>
    </row>
    <row r="139" spans="1:68" ht="20.25" customHeight="1" thickBot="1">
      <c r="A139" s="2413" t="s">
        <v>184</v>
      </c>
      <c r="B139" s="2413"/>
      <c r="C139" s="2413"/>
      <c r="D139" s="1354"/>
      <c r="E139" s="1471">
        <f>IF(E136="","",IF(E137&gt;1,12,0))</f>
        <v>12</v>
      </c>
      <c r="F139" s="785" t="s">
        <v>185</v>
      </c>
      <c r="G139" s="823"/>
      <c r="H139" s="823"/>
      <c r="I139" s="823"/>
      <c r="J139" s="823"/>
      <c r="K139" s="826"/>
      <c r="L139" s="468"/>
      <c r="M139" s="468"/>
      <c r="N139" s="468"/>
      <c r="O139" s="468"/>
      <c r="P139" s="468"/>
      <c r="Q139" s="482"/>
      <c r="R139" s="470"/>
      <c r="S139" s="468"/>
      <c r="T139" s="468"/>
      <c r="U139" s="468"/>
      <c r="V139" s="468"/>
      <c r="W139" s="470"/>
      <c r="X139" s="482"/>
      <c r="Y139" s="482"/>
      <c r="Z139" s="482"/>
      <c r="AA139" s="482"/>
      <c r="AB139" s="482"/>
      <c r="AC139" s="482"/>
      <c r="AD139" s="482"/>
      <c r="AE139" s="468"/>
      <c r="AF139" s="468"/>
      <c r="AG139" s="468"/>
      <c r="AH139" s="468"/>
      <c r="AI139" s="468"/>
      <c r="AJ139" s="468"/>
      <c r="AK139" s="468"/>
      <c r="AL139" s="468"/>
      <c r="AM139" s="468"/>
      <c r="AN139" s="468"/>
      <c r="AO139" s="468"/>
      <c r="AP139" s="468"/>
      <c r="AQ139" s="468"/>
      <c r="AR139" s="468"/>
      <c r="AS139" s="468"/>
      <c r="AT139" s="468"/>
      <c r="AU139" s="468"/>
      <c r="AV139" s="468"/>
      <c r="AW139" s="468"/>
      <c r="AX139" s="468"/>
      <c r="AY139" s="468"/>
      <c r="AZ139" s="468"/>
      <c r="BA139" s="468"/>
      <c r="BB139" s="468"/>
      <c r="BC139" s="468"/>
      <c r="BD139" s="468"/>
      <c r="BE139" s="468"/>
      <c r="BF139" s="468"/>
      <c r="BG139" s="1556"/>
      <c r="BH139" s="468"/>
      <c r="BI139" s="468"/>
      <c r="BJ139" s="468"/>
      <c r="BK139" s="468"/>
      <c r="BL139" s="468"/>
      <c r="BM139" s="468"/>
      <c r="BN139" s="468"/>
      <c r="BO139" s="468"/>
      <c r="BP139" s="468"/>
    </row>
    <row r="140" spans="1:68" ht="20.25" customHeight="1" thickBot="1">
      <c r="A140" s="2413" t="s">
        <v>186</v>
      </c>
      <c r="B140" s="2413"/>
      <c r="C140" s="2413"/>
      <c r="D140" s="1354"/>
      <c r="E140" s="1471">
        <f>IF(E136="","",IF(E137&gt;2,12,0))</f>
        <v>12</v>
      </c>
      <c r="F140" s="785" t="s">
        <v>187</v>
      </c>
      <c r="G140" s="823"/>
      <c r="H140" s="823"/>
      <c r="I140" s="823"/>
      <c r="J140" s="823"/>
      <c r="K140" s="826"/>
      <c r="L140" s="468"/>
      <c r="M140" s="468"/>
      <c r="N140" s="468"/>
      <c r="O140" s="468"/>
      <c r="P140" s="468"/>
      <c r="Q140" s="482"/>
      <c r="R140" s="470"/>
      <c r="S140" s="468"/>
      <c r="T140" s="468"/>
      <c r="U140" s="468"/>
      <c r="V140" s="468"/>
      <c r="W140" s="470"/>
      <c r="X140" s="482"/>
      <c r="Y140" s="482"/>
      <c r="Z140" s="482"/>
      <c r="AA140" s="482"/>
      <c r="AB140" s="482"/>
      <c r="AC140" s="482"/>
      <c r="AD140" s="482"/>
      <c r="AE140" s="468"/>
      <c r="AF140" s="468"/>
      <c r="AG140" s="468"/>
      <c r="AH140" s="468"/>
      <c r="AI140" s="468"/>
      <c r="AJ140" s="468"/>
      <c r="AK140" s="468"/>
      <c r="AL140" s="468"/>
      <c r="AM140" s="468"/>
      <c r="AN140" s="468"/>
      <c r="AO140" s="468"/>
      <c r="AP140" s="468"/>
      <c r="AQ140" s="468"/>
      <c r="AR140" s="468"/>
      <c r="AS140" s="468"/>
      <c r="AT140" s="468"/>
      <c r="AU140" s="468"/>
      <c r="AV140" s="468"/>
      <c r="AW140" s="468"/>
      <c r="AX140" s="468"/>
      <c r="AY140" s="468"/>
      <c r="AZ140" s="468"/>
      <c r="BA140" s="468"/>
      <c r="BB140" s="468"/>
      <c r="BC140" s="468"/>
      <c r="BD140" s="468"/>
      <c r="BE140" s="468"/>
      <c r="BF140" s="468"/>
      <c r="BG140" s="1556"/>
      <c r="BH140" s="468"/>
      <c r="BI140" s="468"/>
      <c r="BJ140" s="468"/>
      <c r="BK140" s="468"/>
      <c r="BL140" s="468"/>
      <c r="BM140" s="468"/>
      <c r="BN140" s="468"/>
      <c r="BO140" s="468"/>
      <c r="BP140" s="468"/>
    </row>
    <row r="141" spans="1:68" ht="20.25" customHeight="1">
      <c r="A141" s="2413" t="s">
        <v>188</v>
      </c>
      <c r="B141" s="2413"/>
      <c r="C141" s="2413"/>
      <c r="D141" s="1354"/>
      <c r="E141" s="1471">
        <v>0</v>
      </c>
      <c r="F141" s="578"/>
      <c r="G141" s="468"/>
      <c r="H141" s="468"/>
      <c r="I141" s="468"/>
      <c r="J141" s="468"/>
      <c r="K141" s="468"/>
      <c r="L141" s="468"/>
      <c r="M141" s="468"/>
      <c r="N141" s="468"/>
      <c r="O141" s="468"/>
      <c r="P141" s="468"/>
      <c r="Q141" s="482"/>
      <c r="R141" s="470"/>
      <c r="S141" s="468"/>
      <c r="T141" s="468"/>
      <c r="U141" s="468"/>
      <c r="V141" s="468"/>
      <c r="W141" s="470"/>
      <c r="X141" s="482"/>
      <c r="Y141" s="482"/>
      <c r="Z141" s="482"/>
      <c r="AA141" s="482"/>
      <c r="AB141" s="482"/>
      <c r="AC141" s="482"/>
      <c r="AD141" s="482"/>
      <c r="AE141" s="468"/>
      <c r="AF141" s="468"/>
      <c r="AG141" s="468"/>
      <c r="AH141" s="468"/>
      <c r="AI141" s="468"/>
      <c r="AJ141" s="468"/>
      <c r="AK141" s="468"/>
      <c r="AL141" s="468"/>
      <c r="AM141" s="468"/>
      <c r="AN141" s="468"/>
      <c r="AO141" s="468"/>
      <c r="AP141" s="468"/>
      <c r="AQ141" s="468"/>
      <c r="AR141" s="468"/>
      <c r="AS141" s="468"/>
      <c r="AT141" s="468"/>
      <c r="AU141" s="468"/>
      <c r="AV141" s="468"/>
      <c r="AW141" s="468"/>
      <c r="AX141" s="468"/>
      <c r="AY141" s="468"/>
      <c r="AZ141" s="468"/>
      <c r="BA141" s="468"/>
      <c r="BB141" s="468"/>
      <c r="BC141" s="468"/>
      <c r="BD141" s="468"/>
      <c r="BE141" s="468"/>
      <c r="BF141" s="468"/>
      <c r="BG141" s="1556"/>
      <c r="BH141" s="468"/>
      <c r="BI141" s="468"/>
      <c r="BJ141" s="468"/>
      <c r="BK141" s="468"/>
      <c r="BL141" s="468"/>
      <c r="BM141" s="468"/>
      <c r="BN141" s="468"/>
      <c r="BO141" s="468"/>
      <c r="BP141" s="468"/>
    </row>
    <row r="142" spans="1:68" ht="20.25" customHeight="1">
      <c r="A142" s="567" t="s">
        <v>189</v>
      </c>
      <c r="B142" s="567"/>
      <c r="C142" s="1712"/>
      <c r="D142" s="1357"/>
      <c r="E142" s="1713">
        <v>0</v>
      </c>
      <c r="F142" s="612"/>
      <c r="G142" s="468"/>
      <c r="H142" s="468"/>
      <c r="I142" s="468"/>
      <c r="J142" s="468"/>
      <c r="K142" s="468"/>
      <c r="L142" s="468"/>
      <c r="M142" s="468"/>
      <c r="N142" s="468"/>
      <c r="O142" s="468"/>
      <c r="P142" s="468"/>
      <c r="Q142" s="482"/>
      <c r="R142" s="470"/>
      <c r="S142" s="468"/>
      <c r="T142" s="468"/>
      <c r="U142" s="468"/>
      <c r="V142" s="468"/>
      <c r="W142" s="470"/>
      <c r="X142" s="482"/>
      <c r="Y142" s="482"/>
      <c r="Z142" s="482"/>
      <c r="AA142" s="482"/>
      <c r="AB142" s="482"/>
      <c r="AC142" s="482"/>
      <c r="AD142" s="482"/>
      <c r="AE142" s="468"/>
      <c r="AF142" s="468"/>
      <c r="AG142" s="468"/>
      <c r="AH142" s="468"/>
      <c r="AI142" s="468"/>
      <c r="AJ142" s="468"/>
      <c r="AK142" s="468"/>
      <c r="AL142" s="468"/>
      <c r="AM142" s="468"/>
      <c r="AN142" s="468"/>
      <c r="AO142" s="468"/>
      <c r="AP142" s="468"/>
      <c r="AQ142" s="468"/>
      <c r="AR142" s="468"/>
      <c r="AS142" s="468"/>
      <c r="AT142" s="468"/>
      <c r="AU142" s="468"/>
      <c r="AV142" s="468"/>
      <c r="AW142" s="468"/>
      <c r="AX142" s="468"/>
      <c r="AY142" s="468"/>
      <c r="AZ142" s="468"/>
      <c r="BA142" s="468"/>
      <c r="BB142" s="468"/>
      <c r="BC142" s="468"/>
      <c r="BD142" s="468"/>
      <c r="BE142" s="468"/>
      <c r="BF142" s="468"/>
      <c r="BG142" s="1556"/>
      <c r="BH142" s="468"/>
      <c r="BI142" s="468"/>
      <c r="BJ142" s="468"/>
      <c r="BK142" s="468"/>
      <c r="BL142" s="468"/>
      <c r="BM142" s="468"/>
      <c r="BN142" s="468"/>
      <c r="BO142" s="468"/>
      <c r="BP142" s="468"/>
    </row>
    <row r="143" spans="1:68" ht="20.25" customHeight="1">
      <c r="A143" s="567" t="s">
        <v>190</v>
      </c>
      <c r="B143" s="567"/>
      <c r="C143" s="1712"/>
      <c r="D143" s="1357"/>
      <c r="E143" s="1713">
        <v>0</v>
      </c>
      <c r="F143" s="612"/>
      <c r="G143" s="468"/>
      <c r="H143" s="468"/>
      <c r="I143" s="468"/>
      <c r="J143" s="468"/>
      <c r="K143" s="468"/>
      <c r="L143" s="468"/>
      <c r="M143" s="468"/>
      <c r="N143" s="468"/>
      <c r="O143" s="468"/>
      <c r="P143" s="468"/>
      <c r="Q143" s="482"/>
      <c r="R143" s="470"/>
      <c r="S143" s="468"/>
      <c r="T143" s="468"/>
      <c r="U143" s="468"/>
      <c r="V143" s="468"/>
      <c r="W143" s="470"/>
      <c r="X143" s="482"/>
      <c r="Y143" s="482"/>
      <c r="Z143" s="482"/>
      <c r="AA143" s="482"/>
      <c r="AB143" s="482"/>
      <c r="AC143" s="482"/>
      <c r="AD143" s="482"/>
      <c r="AE143" s="468"/>
      <c r="AF143" s="468"/>
      <c r="AG143" s="468"/>
      <c r="AH143" s="468"/>
      <c r="AI143" s="468"/>
      <c r="AJ143" s="468"/>
      <c r="AK143" s="468"/>
      <c r="AL143" s="468"/>
      <c r="AM143" s="468"/>
      <c r="AN143" s="468"/>
      <c r="AO143" s="468"/>
      <c r="AP143" s="468"/>
      <c r="AQ143" s="468"/>
      <c r="AR143" s="468"/>
      <c r="AS143" s="468"/>
      <c r="AT143" s="468"/>
      <c r="AU143" s="468"/>
      <c r="AV143" s="468"/>
      <c r="AW143" s="468"/>
      <c r="AX143" s="468"/>
      <c r="AY143" s="468"/>
      <c r="AZ143" s="468"/>
      <c r="BA143" s="468"/>
      <c r="BB143" s="468"/>
      <c r="BC143" s="468"/>
      <c r="BD143" s="468"/>
      <c r="BE143" s="468"/>
      <c r="BF143" s="468"/>
      <c r="BG143" s="1556"/>
      <c r="BH143" s="468"/>
      <c r="BI143" s="468"/>
      <c r="BJ143" s="468"/>
      <c r="BK143" s="468"/>
      <c r="BL143" s="468"/>
      <c r="BM143" s="468"/>
      <c r="BN143" s="468"/>
      <c r="BO143" s="468"/>
      <c r="BP143" s="468"/>
    </row>
    <row r="144" spans="1:68" ht="20.25" customHeight="1">
      <c r="A144" s="567" t="s">
        <v>191</v>
      </c>
      <c r="B144" s="567"/>
      <c r="C144" s="1712"/>
      <c r="D144" s="1357"/>
      <c r="E144" s="1713">
        <v>0</v>
      </c>
      <c r="F144" s="612"/>
      <c r="G144" s="468"/>
      <c r="H144" s="468"/>
      <c r="I144" s="468"/>
      <c r="J144" s="468"/>
      <c r="K144" s="468"/>
      <c r="L144" s="468"/>
      <c r="M144" s="468"/>
      <c r="N144" s="468"/>
      <c r="O144" s="468"/>
      <c r="P144" s="468"/>
      <c r="Q144" s="482"/>
      <c r="R144" s="470"/>
      <c r="S144" s="468"/>
      <c r="T144" s="468"/>
      <c r="U144" s="468"/>
      <c r="V144" s="468"/>
      <c r="W144" s="470"/>
      <c r="X144" s="482"/>
      <c r="Y144" s="482"/>
      <c r="Z144" s="482"/>
      <c r="AA144" s="482"/>
      <c r="AB144" s="482"/>
      <c r="AC144" s="482"/>
      <c r="AD144" s="482"/>
      <c r="AE144" s="468"/>
      <c r="AF144" s="468"/>
      <c r="AG144" s="468"/>
      <c r="AH144" s="468"/>
      <c r="AI144" s="468"/>
      <c r="AJ144" s="468"/>
      <c r="AK144" s="468"/>
      <c r="AL144" s="468"/>
      <c r="AM144" s="468"/>
      <c r="AN144" s="468"/>
      <c r="AO144" s="468"/>
      <c r="AP144" s="468"/>
      <c r="AQ144" s="468"/>
      <c r="AR144" s="468"/>
      <c r="AS144" s="468"/>
      <c r="AT144" s="468"/>
      <c r="AU144" s="468"/>
      <c r="AV144" s="468"/>
      <c r="AW144" s="468"/>
      <c r="AX144" s="468"/>
      <c r="AY144" s="468"/>
      <c r="AZ144" s="468"/>
      <c r="BA144" s="468"/>
      <c r="BB144" s="468"/>
      <c r="BC144" s="468"/>
      <c r="BD144" s="468"/>
      <c r="BE144" s="468"/>
      <c r="BF144" s="468"/>
      <c r="BG144" s="1556"/>
      <c r="BH144" s="468"/>
      <c r="BI144" s="468"/>
      <c r="BJ144" s="468"/>
      <c r="BK144" s="468"/>
      <c r="BL144" s="468"/>
      <c r="BM144" s="468"/>
      <c r="BN144" s="468"/>
      <c r="BO144" s="468"/>
      <c r="BP144" s="468"/>
    </row>
    <row r="145" spans="1:68" ht="20.25" customHeight="1">
      <c r="A145" s="567" t="s">
        <v>192</v>
      </c>
      <c r="B145" s="567"/>
      <c r="C145" s="1712"/>
      <c r="D145" s="1357"/>
      <c r="E145" s="1713">
        <v>0</v>
      </c>
      <c r="F145" s="612"/>
      <c r="G145" s="468"/>
      <c r="H145" s="468"/>
      <c r="I145" s="468"/>
      <c r="J145" s="468"/>
      <c r="K145" s="468"/>
      <c r="L145" s="468"/>
      <c r="M145" s="468"/>
      <c r="N145" s="468"/>
      <c r="O145" s="468"/>
      <c r="P145" s="468"/>
      <c r="Q145" s="482"/>
      <c r="R145" s="470"/>
      <c r="S145" s="468"/>
      <c r="T145" s="468"/>
      <c r="U145" s="468"/>
      <c r="V145" s="468"/>
      <c r="W145" s="470"/>
      <c r="X145" s="482"/>
      <c r="Y145" s="482"/>
      <c r="Z145" s="482"/>
      <c r="AA145" s="482"/>
      <c r="AB145" s="482"/>
      <c r="AC145" s="482"/>
      <c r="AD145" s="482"/>
      <c r="AE145" s="468"/>
      <c r="AF145" s="468"/>
      <c r="AG145" s="468"/>
      <c r="AH145" s="468"/>
      <c r="AI145" s="468"/>
      <c r="AJ145" s="468"/>
      <c r="AK145" s="468"/>
      <c r="AL145" s="468"/>
      <c r="AM145" s="468"/>
      <c r="AN145" s="468"/>
      <c r="AO145" s="468"/>
      <c r="AP145" s="468"/>
      <c r="AQ145" s="468"/>
      <c r="AR145" s="468"/>
      <c r="AS145" s="468"/>
      <c r="AT145" s="468"/>
      <c r="AU145" s="468"/>
      <c r="AV145" s="468"/>
      <c r="AW145" s="468"/>
      <c r="AX145" s="468"/>
      <c r="AY145" s="468"/>
      <c r="AZ145" s="468"/>
      <c r="BA145" s="468"/>
      <c r="BB145" s="468"/>
      <c r="BC145" s="468"/>
      <c r="BD145" s="468"/>
      <c r="BE145" s="468"/>
      <c r="BF145" s="468"/>
      <c r="BG145" s="1556"/>
      <c r="BH145" s="468"/>
      <c r="BI145" s="468"/>
      <c r="BJ145" s="468"/>
      <c r="BK145" s="468"/>
      <c r="BL145" s="468"/>
      <c r="BM145" s="468"/>
      <c r="BN145" s="468"/>
      <c r="BO145" s="468"/>
      <c r="BP145" s="468"/>
    </row>
    <row r="146" spans="1:68" ht="20.25" customHeight="1">
      <c r="A146" s="567" t="s">
        <v>193</v>
      </c>
      <c r="B146" s="567"/>
      <c r="C146" s="1712"/>
      <c r="D146" s="1357"/>
      <c r="E146" s="1713">
        <v>0</v>
      </c>
      <c r="F146" s="612"/>
      <c r="G146" s="468"/>
      <c r="H146" s="468"/>
      <c r="I146" s="468"/>
      <c r="J146" s="468"/>
      <c r="K146" s="468"/>
      <c r="L146" s="468"/>
      <c r="M146" s="468"/>
      <c r="N146" s="468"/>
      <c r="O146" s="468"/>
      <c r="P146" s="468"/>
      <c r="Q146" s="482"/>
      <c r="R146" s="470"/>
      <c r="S146" s="468"/>
      <c r="T146" s="468"/>
      <c r="U146" s="468"/>
      <c r="V146" s="468"/>
      <c r="W146" s="470"/>
      <c r="X146" s="482"/>
      <c r="Y146" s="482"/>
      <c r="Z146" s="482"/>
      <c r="AA146" s="482"/>
      <c r="AB146" s="482"/>
      <c r="AC146" s="482"/>
      <c r="AD146" s="482"/>
      <c r="AE146" s="468"/>
      <c r="AF146" s="468"/>
      <c r="AG146" s="468"/>
      <c r="AH146" s="468"/>
      <c r="AI146" s="468"/>
      <c r="AJ146" s="468"/>
      <c r="AK146" s="468"/>
      <c r="AL146" s="468"/>
      <c r="AM146" s="468"/>
      <c r="AN146" s="468"/>
      <c r="AO146" s="468"/>
      <c r="AP146" s="468"/>
      <c r="AQ146" s="468"/>
      <c r="AR146" s="468"/>
      <c r="AS146" s="468"/>
      <c r="AT146" s="468"/>
      <c r="AU146" s="468"/>
      <c r="AV146" s="468"/>
      <c r="AW146" s="468"/>
      <c r="AX146" s="468"/>
      <c r="AY146" s="468"/>
      <c r="AZ146" s="468"/>
      <c r="BA146" s="468"/>
      <c r="BB146" s="468"/>
      <c r="BC146" s="468"/>
      <c r="BD146" s="468"/>
      <c r="BE146" s="468"/>
      <c r="BF146" s="468"/>
      <c r="BG146" s="1556"/>
      <c r="BH146" s="468"/>
      <c r="BI146" s="468"/>
      <c r="BJ146" s="468"/>
      <c r="BK146" s="468"/>
      <c r="BL146" s="468"/>
      <c r="BM146" s="468"/>
      <c r="BN146" s="468"/>
      <c r="BO146" s="468"/>
      <c r="BP146" s="468"/>
    </row>
    <row r="147" spans="1:68" ht="20.25" customHeight="1" thickBot="1">
      <c r="A147" s="567" t="s">
        <v>194</v>
      </c>
      <c r="B147" s="567"/>
      <c r="C147" s="1712"/>
      <c r="D147" s="1357"/>
      <c r="E147" s="1713">
        <v>0</v>
      </c>
      <c r="F147" s="612"/>
      <c r="G147" s="468"/>
      <c r="H147" s="468"/>
      <c r="I147" s="468"/>
      <c r="J147" s="468"/>
      <c r="K147" s="468"/>
      <c r="L147" s="468"/>
      <c r="M147" s="468"/>
      <c r="N147" s="468"/>
      <c r="O147" s="468"/>
      <c r="P147" s="468"/>
      <c r="Q147" s="482"/>
      <c r="R147" s="470"/>
      <c r="S147" s="468"/>
      <c r="T147" s="468"/>
      <c r="U147" s="468"/>
      <c r="V147" s="468"/>
      <c r="W147" s="470"/>
      <c r="X147" s="482"/>
      <c r="Y147" s="482"/>
      <c r="Z147" s="482"/>
      <c r="AA147" s="482"/>
      <c r="AB147" s="482"/>
      <c r="AC147" s="482"/>
      <c r="AD147" s="482"/>
      <c r="AE147" s="468"/>
      <c r="AF147" s="468"/>
      <c r="AG147" s="468"/>
      <c r="AH147" s="468"/>
      <c r="AI147" s="468"/>
      <c r="AJ147" s="468"/>
      <c r="AK147" s="468"/>
      <c r="AL147" s="468"/>
      <c r="AM147" s="468"/>
      <c r="AN147" s="468"/>
      <c r="AO147" s="468"/>
      <c r="AP147" s="468"/>
      <c r="AQ147" s="468"/>
      <c r="AR147" s="468"/>
      <c r="AS147" s="468"/>
      <c r="AT147" s="468"/>
      <c r="AU147" s="468"/>
      <c r="AV147" s="468"/>
      <c r="AW147" s="468"/>
      <c r="AX147" s="468"/>
      <c r="AY147" s="468"/>
      <c r="AZ147" s="468"/>
      <c r="BA147" s="468"/>
      <c r="BB147" s="468"/>
      <c r="BC147" s="468"/>
      <c r="BD147" s="468"/>
      <c r="BE147" s="468"/>
      <c r="BF147" s="468"/>
      <c r="BG147" s="1556"/>
      <c r="BH147" s="468"/>
      <c r="BI147" s="468"/>
      <c r="BJ147" s="468"/>
      <c r="BK147" s="468"/>
      <c r="BL147" s="468"/>
      <c r="BM147" s="468"/>
      <c r="BN147" s="468"/>
      <c r="BO147" s="468"/>
      <c r="BP147" s="468"/>
    </row>
    <row r="148" spans="1:68" ht="20.25" customHeight="1" thickBot="1">
      <c r="A148" s="1714" t="s">
        <v>195</v>
      </c>
      <c r="B148" s="1715"/>
      <c r="C148" s="1716"/>
      <c r="D148" s="1717"/>
      <c r="E148" s="1718" t="s">
        <v>9</v>
      </c>
      <c r="F148" s="612"/>
      <c r="G148" s="468"/>
      <c r="H148" s="468"/>
      <c r="I148" s="468"/>
      <c r="J148" s="468"/>
      <c r="K148" s="468"/>
      <c r="L148" s="468"/>
      <c r="M148" s="468"/>
      <c r="N148" s="468"/>
      <c r="O148" s="468"/>
      <c r="P148" s="468"/>
      <c r="Q148" s="482"/>
      <c r="R148" s="470"/>
      <c r="S148" s="468"/>
      <c r="T148" s="468"/>
      <c r="U148" s="468"/>
      <c r="V148" s="468"/>
      <c r="W148" s="470"/>
      <c r="X148" s="482"/>
      <c r="Y148" s="482"/>
      <c r="Z148" s="482"/>
      <c r="AA148" s="482"/>
      <c r="AB148" s="482"/>
      <c r="AC148" s="482"/>
      <c r="AD148" s="482"/>
      <c r="AE148" s="468"/>
      <c r="AF148" s="468"/>
      <c r="AG148" s="468"/>
      <c r="AH148" s="468"/>
      <c r="AI148" s="468"/>
      <c r="AJ148" s="468"/>
      <c r="AK148" s="468"/>
      <c r="AL148" s="468"/>
      <c r="AM148" s="468"/>
      <c r="AN148" s="468"/>
      <c r="AO148" s="468"/>
      <c r="AP148" s="468"/>
      <c r="AQ148" s="468"/>
      <c r="AR148" s="468"/>
      <c r="AS148" s="468"/>
      <c r="AT148" s="468"/>
      <c r="AU148" s="468"/>
      <c r="AV148" s="468"/>
      <c r="AW148" s="468"/>
      <c r="AX148" s="468"/>
      <c r="AY148" s="468"/>
      <c r="AZ148" s="468"/>
      <c r="BA148" s="468"/>
      <c r="BB148" s="468"/>
      <c r="BC148" s="468"/>
      <c r="BD148" s="468"/>
      <c r="BE148" s="468"/>
      <c r="BF148" s="468"/>
      <c r="BG148" s="1556"/>
      <c r="BH148" s="468"/>
      <c r="BI148" s="468"/>
      <c r="BJ148" s="468"/>
      <c r="BK148" s="468"/>
      <c r="BL148" s="468"/>
      <c r="BM148" s="468"/>
      <c r="BN148" s="468"/>
      <c r="BO148" s="468"/>
      <c r="BP148" s="468"/>
    </row>
    <row r="149" spans="1:68" ht="20.25" customHeight="1" thickBot="1">
      <c r="A149" s="1702" t="s">
        <v>196</v>
      </c>
      <c r="B149" s="745"/>
      <c r="C149" s="1703"/>
      <c r="D149" s="1721"/>
      <c r="E149" s="1722" t="s">
        <v>197</v>
      </c>
      <c r="F149" s="785" t="s">
        <v>198</v>
      </c>
      <c r="G149" s="825"/>
      <c r="H149" s="827"/>
      <c r="I149" s="828"/>
      <c r="J149" s="831"/>
      <c r="K149" s="826"/>
      <c r="L149" s="2238"/>
      <c r="M149" s="468"/>
      <c r="N149" s="468"/>
      <c r="O149" s="468"/>
      <c r="P149" s="468"/>
      <c r="Q149" s="482"/>
      <c r="R149" s="470"/>
      <c r="S149" s="468"/>
      <c r="T149" s="468"/>
      <c r="U149" s="468"/>
      <c r="V149" s="468"/>
      <c r="W149" s="470"/>
      <c r="X149" s="482"/>
      <c r="Y149" s="482"/>
      <c r="Z149" s="482"/>
      <c r="AA149" s="482"/>
      <c r="AB149" s="482"/>
      <c r="AC149" s="482"/>
      <c r="AD149" s="482"/>
      <c r="AE149" s="468"/>
      <c r="AF149" s="468"/>
      <c r="AG149" s="468"/>
      <c r="AH149" s="468"/>
      <c r="AI149" s="468"/>
      <c r="AJ149" s="468"/>
      <c r="AK149" s="468"/>
      <c r="AL149" s="468"/>
      <c r="AM149" s="468"/>
      <c r="AN149" s="468"/>
      <c r="AO149" s="468"/>
      <c r="AP149" s="468"/>
      <c r="AQ149" s="468"/>
      <c r="AR149" s="468"/>
      <c r="AS149" s="468"/>
      <c r="AT149" s="468"/>
      <c r="AU149" s="468"/>
      <c r="AV149" s="468"/>
      <c r="AW149" s="468"/>
      <c r="AX149" s="468"/>
      <c r="AY149" s="468"/>
      <c r="AZ149" s="468"/>
      <c r="BA149" s="468"/>
      <c r="BB149" s="468"/>
      <c r="BC149" s="468"/>
      <c r="BD149" s="468"/>
      <c r="BE149" s="468"/>
      <c r="BF149" s="468"/>
      <c r="BG149" s="1556"/>
      <c r="BH149" s="468"/>
      <c r="BI149" s="468"/>
      <c r="BJ149" s="468"/>
      <c r="BK149" s="468"/>
      <c r="BL149" s="468"/>
      <c r="BM149" s="468"/>
      <c r="BN149" s="468"/>
      <c r="BO149" s="468"/>
      <c r="BP149" s="468"/>
    </row>
    <row r="150" spans="1:68" ht="20.25" customHeight="1">
      <c r="A150" s="1058" t="s">
        <v>199</v>
      </c>
      <c r="B150" s="2413"/>
      <c r="C150" s="2413"/>
      <c r="D150" s="1354"/>
      <c r="E150" s="1723" t="s">
        <v>200</v>
      </c>
      <c r="F150" s="612"/>
      <c r="G150" s="468"/>
      <c r="H150" s="468"/>
      <c r="I150" s="468"/>
      <c r="J150" s="468"/>
      <c r="K150" s="468"/>
      <c r="L150" s="468"/>
      <c r="M150" s="468"/>
      <c r="N150" s="468"/>
      <c r="O150" s="468"/>
      <c r="P150" s="468"/>
      <c r="Q150" s="482"/>
      <c r="R150" s="470"/>
      <c r="S150" s="468"/>
      <c r="T150" s="468"/>
      <c r="U150" s="468"/>
      <c r="V150" s="468"/>
      <c r="W150" s="470"/>
      <c r="X150" s="482"/>
      <c r="Y150" s="482"/>
      <c r="Z150" s="482"/>
      <c r="AA150" s="482"/>
      <c r="AB150" s="482"/>
      <c r="AC150" s="482"/>
      <c r="AD150" s="482"/>
      <c r="AE150" s="468"/>
      <c r="AF150" s="468"/>
      <c r="AG150" s="468"/>
      <c r="AH150" s="468"/>
      <c r="AI150" s="468"/>
      <c r="AJ150" s="468"/>
      <c r="AK150" s="468"/>
      <c r="AL150" s="468"/>
      <c r="AM150" s="468"/>
      <c r="AN150" s="468"/>
      <c r="AO150" s="468"/>
      <c r="AP150" s="468"/>
      <c r="AQ150" s="468"/>
      <c r="AR150" s="468"/>
      <c r="AS150" s="468"/>
      <c r="AT150" s="468"/>
      <c r="AU150" s="468"/>
      <c r="AV150" s="468"/>
      <c r="AW150" s="468"/>
      <c r="AX150" s="468"/>
      <c r="AY150" s="468"/>
      <c r="AZ150" s="468"/>
      <c r="BA150" s="468"/>
      <c r="BB150" s="468"/>
      <c r="BC150" s="468"/>
      <c r="BD150" s="468"/>
      <c r="BE150" s="468"/>
      <c r="BF150" s="468"/>
      <c r="BG150" s="1556"/>
      <c r="BH150" s="468"/>
      <c r="BI150" s="468"/>
      <c r="BJ150" s="468"/>
      <c r="BK150" s="468"/>
      <c r="BL150" s="468"/>
      <c r="BM150" s="468"/>
      <c r="BN150" s="468"/>
      <c r="BO150" s="468"/>
      <c r="BP150" s="468"/>
    </row>
    <row r="151" spans="1:68" ht="20.25" customHeight="1" thickBot="1">
      <c r="A151" s="1724" t="s">
        <v>201</v>
      </c>
      <c r="B151" s="1704"/>
      <c r="C151" s="1704"/>
      <c r="D151" s="1725"/>
      <c r="E151" s="1726">
        <v>44742</v>
      </c>
      <c r="F151" s="612"/>
      <c r="G151" s="468"/>
      <c r="H151" s="468"/>
      <c r="I151" s="468"/>
      <c r="J151" s="468"/>
      <c r="K151" s="468"/>
      <c r="L151" s="468"/>
      <c r="M151" s="468"/>
      <c r="N151" s="468"/>
      <c r="O151" s="468"/>
      <c r="P151" s="468"/>
      <c r="Q151" s="482"/>
      <c r="R151" s="470"/>
      <c r="S151" s="468"/>
      <c r="T151" s="468"/>
      <c r="U151" s="468"/>
      <c r="V151" s="468"/>
      <c r="W151" s="470"/>
      <c r="X151" s="482"/>
      <c r="Y151" s="482"/>
      <c r="Z151" s="482"/>
      <c r="AA151" s="482"/>
      <c r="AB151" s="482"/>
      <c r="AC151" s="482"/>
      <c r="AD151" s="482"/>
      <c r="AE151" s="468"/>
      <c r="AF151" s="468"/>
      <c r="AG151" s="468"/>
      <c r="AH151" s="468"/>
      <c r="AI151" s="468"/>
      <c r="AJ151" s="468"/>
      <c r="AK151" s="468"/>
      <c r="AL151" s="468"/>
      <c r="AM151" s="468"/>
      <c r="AN151" s="468"/>
      <c r="AO151" s="468"/>
      <c r="AP151" s="468"/>
      <c r="AQ151" s="468"/>
      <c r="AR151" s="468"/>
      <c r="AS151" s="468"/>
      <c r="AT151" s="468"/>
      <c r="AU151" s="468"/>
      <c r="AV151" s="468"/>
      <c r="AW151" s="468"/>
      <c r="AX151" s="468"/>
      <c r="AY151" s="468"/>
      <c r="AZ151" s="468"/>
      <c r="BA151" s="468"/>
      <c r="BB151" s="468"/>
      <c r="BC151" s="468"/>
      <c r="BD151" s="468"/>
      <c r="BE151" s="468"/>
      <c r="BF151" s="468"/>
      <c r="BG151" s="1556"/>
      <c r="BH151" s="468"/>
      <c r="BI151" s="468"/>
      <c r="BJ151" s="468"/>
      <c r="BK151" s="468"/>
      <c r="BL151" s="468"/>
      <c r="BM151" s="468"/>
      <c r="BN151" s="468"/>
      <c r="BO151" s="468"/>
      <c r="BP151" s="468"/>
    </row>
    <row r="152" spans="1:68" ht="20.25" customHeight="1">
      <c r="A152" s="1719" t="s">
        <v>202</v>
      </c>
      <c r="B152" s="608"/>
      <c r="C152" s="1701"/>
      <c r="E152" s="1720">
        <v>1.6859699999999998E-2</v>
      </c>
      <c r="F152" s="612"/>
      <c r="G152" s="468"/>
      <c r="H152" s="468"/>
      <c r="I152" s="468"/>
      <c r="J152" s="468"/>
      <c r="K152" s="468"/>
      <c r="L152" s="468"/>
      <c r="M152" s="468"/>
      <c r="N152" s="468"/>
      <c r="O152" s="468"/>
      <c r="P152" s="468"/>
      <c r="Q152" s="482"/>
      <c r="R152" s="470"/>
      <c r="S152" s="468"/>
      <c r="T152" s="468"/>
      <c r="U152" s="468"/>
      <c r="V152" s="468"/>
      <c r="W152" s="470"/>
      <c r="X152" s="482"/>
      <c r="Y152" s="482"/>
      <c r="Z152" s="482"/>
      <c r="AA152" s="482"/>
      <c r="AB152" s="482"/>
      <c r="AC152" s="482"/>
      <c r="AD152" s="482"/>
      <c r="AE152" s="468"/>
      <c r="AF152" s="468"/>
      <c r="AG152" s="468"/>
      <c r="AH152" s="468"/>
      <c r="AI152" s="468"/>
      <c r="AJ152" s="468"/>
      <c r="AK152" s="468"/>
      <c r="AL152" s="468"/>
      <c r="AM152" s="468"/>
      <c r="AN152" s="468"/>
      <c r="AO152" s="468"/>
      <c r="AP152" s="468"/>
      <c r="AQ152" s="468"/>
      <c r="AR152" s="468"/>
      <c r="AS152" s="468"/>
      <c r="AT152" s="468"/>
      <c r="AU152" s="468"/>
      <c r="AV152" s="468"/>
      <c r="AW152" s="468"/>
      <c r="AX152" s="468"/>
      <c r="AY152" s="468"/>
      <c r="AZ152" s="468"/>
      <c r="BA152" s="468"/>
      <c r="BB152" s="468"/>
      <c r="BC152" s="468"/>
      <c r="BD152" s="468"/>
      <c r="BE152" s="468"/>
      <c r="BF152" s="468"/>
      <c r="BG152" s="1556"/>
      <c r="BH152" s="468"/>
      <c r="BI152" s="468"/>
      <c r="BJ152" s="468"/>
      <c r="BK152" s="468"/>
      <c r="BL152" s="468"/>
      <c r="BM152" s="468"/>
      <c r="BN152" s="468"/>
      <c r="BO152" s="468"/>
      <c r="BP152" s="468"/>
    </row>
    <row r="153" spans="1:68" ht="20.25" customHeight="1">
      <c r="A153" s="1705" t="s">
        <v>203</v>
      </c>
      <c r="B153" s="2413"/>
      <c r="C153" s="1403"/>
      <c r="E153" s="1706">
        <f>ROUNDUP(E152,5)</f>
        <v>1.686E-2</v>
      </c>
      <c r="F153" s="612"/>
      <c r="G153" s="1401"/>
      <c r="H153" s="468"/>
      <c r="I153" s="468"/>
      <c r="J153" s="468"/>
      <c r="K153" s="468"/>
      <c r="L153" s="468"/>
      <c r="M153" s="468"/>
      <c r="N153" s="468"/>
      <c r="O153" s="468"/>
      <c r="P153" s="468"/>
      <c r="Q153" s="482"/>
      <c r="R153" s="470"/>
      <c r="S153" s="468"/>
      <c r="T153" s="468"/>
      <c r="U153" s="468"/>
      <c r="V153" s="468"/>
      <c r="W153" s="470"/>
      <c r="X153" s="482"/>
      <c r="Y153" s="482"/>
      <c r="Z153" s="482"/>
      <c r="AA153" s="482"/>
      <c r="AB153" s="482"/>
      <c r="AC153" s="482"/>
      <c r="AD153" s="482"/>
      <c r="AE153" s="468"/>
      <c r="AF153" s="468"/>
      <c r="AG153" s="468"/>
      <c r="AH153" s="468"/>
      <c r="AI153" s="468"/>
      <c r="AJ153" s="468"/>
      <c r="AK153" s="468"/>
      <c r="AL153" s="468"/>
      <c r="AM153" s="468"/>
      <c r="AN153" s="468"/>
      <c r="AO153" s="468"/>
      <c r="AP153" s="468"/>
      <c r="AQ153" s="468"/>
      <c r="AR153" s="468"/>
      <c r="AS153" s="468"/>
      <c r="AT153" s="468"/>
      <c r="AU153" s="468"/>
      <c r="AV153" s="468"/>
      <c r="AW153" s="468"/>
      <c r="AX153" s="468"/>
      <c r="AY153" s="468"/>
      <c r="AZ153" s="468"/>
      <c r="BA153" s="468"/>
      <c r="BB153" s="468"/>
      <c r="BC153" s="468"/>
      <c r="BD153" s="468"/>
      <c r="BE153" s="468"/>
      <c r="BF153" s="468"/>
      <c r="BG153" s="1556"/>
      <c r="BH153" s="468"/>
      <c r="BI153" s="468"/>
      <c r="BJ153" s="468"/>
      <c r="BK153" s="468"/>
      <c r="BL153" s="468"/>
      <c r="BM153" s="468"/>
      <c r="BN153" s="468"/>
      <c r="BO153" s="468"/>
      <c r="BP153" s="468"/>
    </row>
    <row r="154" spans="1:68" ht="20.25" customHeight="1" thickBot="1">
      <c r="A154" s="2115" t="s">
        <v>204</v>
      </c>
      <c r="B154" s="1707"/>
      <c r="C154" s="1708"/>
      <c r="D154" s="1709"/>
      <c r="E154" s="1710">
        <v>2.5000000000000001E-3</v>
      </c>
      <c r="F154" s="612"/>
      <c r="G154" s="1401"/>
      <c r="H154" s="468"/>
      <c r="I154" s="468"/>
      <c r="J154" s="468"/>
      <c r="K154" s="468"/>
      <c r="L154" s="468"/>
      <c r="M154" s="468"/>
      <c r="N154" s="468"/>
      <c r="O154" s="468"/>
      <c r="P154" s="468"/>
      <c r="Q154" s="482"/>
      <c r="R154" s="470"/>
      <c r="S154" s="468"/>
      <c r="T154" s="468"/>
      <c r="U154" s="468"/>
      <c r="V154" s="468"/>
      <c r="W154" s="470"/>
      <c r="X154" s="482"/>
      <c r="Y154" s="482"/>
      <c r="Z154" s="482"/>
      <c r="AA154" s="482"/>
      <c r="AB154" s="482"/>
      <c r="AC154" s="482"/>
      <c r="AD154" s="482"/>
      <c r="AE154" s="468"/>
      <c r="AF154" s="468"/>
      <c r="AG154" s="468"/>
      <c r="AH154" s="468"/>
      <c r="AI154" s="468"/>
      <c r="AJ154" s="468"/>
      <c r="AK154" s="468"/>
      <c r="AL154" s="468"/>
      <c r="AM154" s="468"/>
      <c r="AN154" s="468"/>
      <c r="AO154" s="468"/>
      <c r="AP154" s="468"/>
      <c r="AQ154" s="468"/>
      <c r="AR154" s="468"/>
      <c r="AS154" s="468"/>
      <c r="AT154" s="468"/>
      <c r="AU154" s="468"/>
      <c r="AV154" s="468"/>
      <c r="AW154" s="468"/>
      <c r="AX154" s="468"/>
      <c r="AY154" s="468"/>
      <c r="AZ154" s="468"/>
      <c r="BA154" s="468"/>
      <c r="BB154" s="468"/>
      <c r="BC154" s="468"/>
      <c r="BD154" s="468"/>
      <c r="BE154" s="468"/>
      <c r="BF154" s="468"/>
      <c r="BG154" s="1556"/>
      <c r="BH154" s="468"/>
      <c r="BI154" s="468"/>
      <c r="BJ154" s="468"/>
      <c r="BK154" s="468"/>
      <c r="BL154" s="468"/>
      <c r="BM154" s="468"/>
      <c r="BN154" s="468"/>
      <c r="BO154" s="468"/>
      <c r="BP154" s="468"/>
    </row>
    <row r="155" spans="1:68" ht="20.25" customHeight="1" thickTop="1" thickBot="1">
      <c r="A155" s="2116"/>
      <c r="B155" s="468"/>
      <c r="C155" s="2117"/>
      <c r="D155" s="655"/>
      <c r="E155" s="1711"/>
      <c r="F155" s="612"/>
      <c r="G155" s="468"/>
      <c r="H155" s="468"/>
      <c r="I155" s="468"/>
      <c r="J155" s="468"/>
      <c r="K155" s="468"/>
      <c r="L155" s="468"/>
      <c r="M155" s="468"/>
      <c r="N155" s="468"/>
      <c r="O155" s="468"/>
      <c r="P155" s="468"/>
      <c r="Q155" s="482"/>
      <c r="R155" s="470"/>
      <c r="S155" s="468"/>
      <c r="T155" s="468"/>
      <c r="U155" s="468"/>
      <c r="V155" s="468"/>
      <c r="W155" s="470"/>
      <c r="X155" s="482"/>
      <c r="Y155" s="482"/>
      <c r="Z155" s="482"/>
      <c r="AA155" s="482"/>
      <c r="AB155" s="482"/>
      <c r="AC155" s="482"/>
      <c r="AD155" s="482"/>
      <c r="AE155" s="468"/>
      <c r="AF155" s="468"/>
      <c r="AG155" s="468"/>
      <c r="AH155" s="468"/>
      <c r="AI155" s="468"/>
      <c r="AJ155" s="468"/>
      <c r="AK155" s="468"/>
      <c r="AL155" s="468"/>
      <c r="AM155" s="468"/>
      <c r="AN155" s="468"/>
      <c r="AO155" s="468"/>
      <c r="AP155" s="468"/>
      <c r="AQ155" s="468"/>
      <c r="AR155" s="468"/>
      <c r="AS155" s="468"/>
      <c r="AT155" s="468"/>
      <c r="AU155" s="468"/>
      <c r="AV155" s="468"/>
      <c r="AW155" s="468"/>
      <c r="AX155" s="468"/>
      <c r="AY155" s="468"/>
      <c r="AZ155" s="468"/>
      <c r="BA155" s="468"/>
      <c r="BB155" s="468"/>
      <c r="BC155" s="468"/>
      <c r="BD155" s="468"/>
      <c r="BE155" s="468"/>
      <c r="BF155" s="468"/>
      <c r="BG155" s="1556"/>
      <c r="BH155" s="468"/>
      <c r="BI155" s="468"/>
      <c r="BJ155" s="468"/>
      <c r="BK155" s="468"/>
      <c r="BL155" s="468"/>
      <c r="BM155" s="468"/>
      <c r="BN155" s="468"/>
      <c r="BO155" s="468"/>
      <c r="BP155" s="468"/>
    </row>
    <row r="156" spans="1:68" ht="20.25" customHeight="1" thickTop="1">
      <c r="A156" s="1749" t="s">
        <v>205</v>
      </c>
      <c r="B156" s="1750"/>
      <c r="C156" s="1751"/>
      <c r="D156" s="1752"/>
      <c r="E156" s="1753">
        <v>0</v>
      </c>
      <c r="F156" s="612"/>
      <c r="G156" s="1401"/>
      <c r="H156" s="468"/>
      <c r="I156" s="468"/>
      <c r="J156" s="468"/>
      <c r="K156" s="468"/>
      <c r="L156" s="468"/>
      <c r="M156" s="468"/>
      <c r="N156" s="468"/>
      <c r="O156" s="468"/>
      <c r="P156" s="468"/>
      <c r="Q156" s="482"/>
      <c r="R156" s="470"/>
      <c r="S156" s="468"/>
      <c r="T156" s="468"/>
      <c r="U156" s="468"/>
      <c r="V156" s="468"/>
      <c r="W156" s="470"/>
      <c r="X156" s="482"/>
      <c r="Y156" s="482"/>
      <c r="Z156" s="482"/>
      <c r="AA156" s="482"/>
      <c r="AB156" s="482"/>
      <c r="AC156" s="482"/>
      <c r="AD156" s="482"/>
      <c r="AE156" s="468"/>
      <c r="AF156" s="468"/>
      <c r="AG156" s="468"/>
      <c r="AH156" s="468"/>
      <c r="AI156" s="468"/>
      <c r="AJ156" s="468"/>
      <c r="AK156" s="468"/>
      <c r="AL156" s="468"/>
      <c r="AM156" s="468"/>
      <c r="AN156" s="468"/>
      <c r="AO156" s="468"/>
      <c r="AP156" s="468"/>
      <c r="AQ156" s="468"/>
      <c r="AR156" s="468"/>
      <c r="AS156" s="468"/>
      <c r="AT156" s="468"/>
      <c r="AU156" s="468"/>
      <c r="AV156" s="468"/>
      <c r="AW156" s="468"/>
      <c r="AX156" s="468"/>
      <c r="AY156" s="468"/>
      <c r="AZ156" s="468"/>
      <c r="BA156" s="468"/>
      <c r="BB156" s="468"/>
      <c r="BC156" s="468"/>
      <c r="BD156" s="468"/>
      <c r="BE156" s="468"/>
      <c r="BF156" s="468"/>
      <c r="BG156" s="1556"/>
      <c r="BH156" s="468"/>
      <c r="BI156" s="468"/>
      <c r="BJ156" s="468"/>
      <c r="BK156" s="468"/>
      <c r="BL156" s="468"/>
      <c r="BM156" s="468"/>
      <c r="BN156" s="468"/>
      <c r="BO156" s="468"/>
      <c r="BP156" s="468"/>
    </row>
    <row r="157" spans="1:68" ht="20.25" customHeight="1">
      <c r="A157" s="1738" t="s">
        <v>206</v>
      </c>
      <c r="B157" s="20"/>
      <c r="C157" s="406"/>
      <c r="D157" s="2118"/>
      <c r="E157" s="1739">
        <v>0</v>
      </c>
      <c r="F157" s="612"/>
      <c r="G157" s="468"/>
      <c r="H157" s="468"/>
      <c r="I157" s="468"/>
      <c r="J157" s="468"/>
      <c r="K157" s="468"/>
      <c r="L157" s="468"/>
      <c r="M157" s="468"/>
      <c r="N157" s="468"/>
      <c r="O157" s="2210" t="s">
        <v>207</v>
      </c>
      <c r="P157" s="2211" t="s">
        <v>208</v>
      </c>
      <c r="Q157" s="482"/>
      <c r="R157" s="470"/>
      <c r="S157" s="468"/>
      <c r="T157" s="468"/>
      <c r="U157" s="468"/>
      <c r="V157" s="468"/>
      <c r="W157" s="470"/>
      <c r="X157" s="482"/>
      <c r="Y157" s="482"/>
      <c r="Z157" s="482"/>
      <c r="AA157" s="482"/>
      <c r="AB157" s="482"/>
      <c r="AC157" s="482"/>
      <c r="AD157" s="482"/>
      <c r="AE157" s="468"/>
      <c r="AF157" s="468"/>
      <c r="AG157" s="468"/>
      <c r="AH157" s="468"/>
      <c r="AI157" s="468"/>
      <c r="AJ157" s="468"/>
      <c r="AK157" s="468"/>
      <c r="AL157" s="468"/>
      <c r="AM157" s="468"/>
      <c r="AN157" s="468"/>
      <c r="AO157" s="468"/>
      <c r="AP157" s="468"/>
      <c r="AQ157" s="468"/>
      <c r="AR157" s="468"/>
      <c r="AS157" s="468"/>
      <c r="AT157" s="468"/>
      <c r="AU157" s="468"/>
      <c r="AV157" s="468"/>
      <c r="AW157" s="468"/>
      <c r="AX157" s="468"/>
      <c r="AY157" s="468"/>
      <c r="AZ157" s="468"/>
      <c r="BA157" s="468"/>
      <c r="BB157" s="468"/>
      <c r="BC157" s="468"/>
      <c r="BD157" s="468"/>
      <c r="BE157" s="468"/>
      <c r="BF157" s="468"/>
      <c r="BG157" s="1556"/>
      <c r="BH157" s="468"/>
      <c r="BI157" s="468"/>
      <c r="BJ157" s="468"/>
      <c r="BK157" s="468"/>
      <c r="BL157" s="468"/>
      <c r="BM157" s="468"/>
      <c r="BN157" s="468"/>
      <c r="BO157" s="468"/>
      <c r="BP157" s="468"/>
    </row>
    <row r="158" spans="1:68" ht="20.25" customHeight="1">
      <c r="A158" s="1738" t="s">
        <v>209</v>
      </c>
      <c r="B158" s="20"/>
      <c r="C158" s="20"/>
      <c r="D158" s="20"/>
      <c r="E158" s="1740">
        <f>ROUND(MEDIAN(E156:E157),8)</f>
        <v>0</v>
      </c>
      <c r="F158" s="612"/>
      <c r="G158" s="468"/>
      <c r="H158" s="468"/>
      <c r="I158" s="468"/>
      <c r="J158" s="468"/>
      <c r="K158" s="468"/>
      <c r="L158" s="468"/>
      <c r="M158" s="468"/>
      <c r="N158" s="468"/>
      <c r="O158" s="2210" t="s">
        <v>210</v>
      </c>
      <c r="P158" s="2211" t="s">
        <v>211</v>
      </c>
      <c r="Q158" s="482"/>
      <c r="R158" s="470"/>
      <c r="S158" s="468"/>
      <c r="T158" s="468"/>
      <c r="U158" s="468"/>
      <c r="V158" s="468"/>
      <c r="W158" s="470"/>
      <c r="X158" s="482"/>
      <c r="Y158" s="482"/>
      <c r="Z158" s="482"/>
      <c r="AA158" s="482"/>
      <c r="AB158" s="482"/>
      <c r="AC158" s="482"/>
      <c r="AD158" s="482"/>
      <c r="AE158" s="468"/>
      <c r="AF158" s="468"/>
      <c r="AG158" s="468"/>
      <c r="AH158" s="468"/>
      <c r="AI158" s="468"/>
      <c r="AJ158" s="468"/>
      <c r="AK158" s="468"/>
      <c r="AL158" s="468"/>
      <c r="AM158" s="468"/>
      <c r="AN158" s="468"/>
      <c r="AO158" s="468"/>
      <c r="AP158" s="468"/>
      <c r="AQ158" s="468"/>
      <c r="AR158" s="468"/>
      <c r="AS158" s="468"/>
      <c r="AT158" s="468"/>
      <c r="AU158" s="468"/>
      <c r="AV158" s="468"/>
      <c r="AW158" s="468"/>
      <c r="AX158" s="468"/>
      <c r="AY158" s="468"/>
      <c r="AZ158" s="468"/>
      <c r="BA158" s="468"/>
      <c r="BB158" s="468"/>
      <c r="BC158" s="468"/>
      <c r="BD158" s="468"/>
      <c r="BE158" s="468"/>
      <c r="BF158" s="468"/>
      <c r="BG158" s="1556"/>
      <c r="BH158" s="468"/>
      <c r="BI158" s="468"/>
      <c r="BJ158" s="468"/>
      <c r="BK158" s="468"/>
      <c r="BL158" s="468"/>
      <c r="BM158" s="468"/>
      <c r="BN158" s="468"/>
      <c r="BO158" s="468"/>
      <c r="BP158" s="468"/>
    </row>
    <row r="159" spans="1:68" ht="20.25" customHeight="1">
      <c r="A159" s="1741" t="s">
        <v>212</v>
      </c>
      <c r="B159" s="20"/>
      <c r="C159" s="20"/>
      <c r="D159" s="20"/>
      <c r="E159" s="1739">
        <v>0</v>
      </c>
      <c r="F159" s="478"/>
      <c r="G159" s="468"/>
      <c r="H159" s="468"/>
      <c r="I159" s="468"/>
      <c r="J159" s="468"/>
      <c r="K159" s="468"/>
      <c r="L159" s="468"/>
      <c r="M159" s="468"/>
      <c r="N159" s="468"/>
      <c r="O159" s="2210" t="s">
        <v>213</v>
      </c>
      <c r="P159" s="2211" t="s">
        <v>214</v>
      </c>
      <c r="Q159" s="470"/>
      <c r="R159" s="470"/>
      <c r="S159" s="468"/>
      <c r="T159" s="468"/>
      <c r="U159" s="468"/>
      <c r="V159" s="468"/>
      <c r="W159" s="470"/>
      <c r="X159" s="470"/>
      <c r="Y159" s="470"/>
      <c r="Z159" s="470"/>
      <c r="AA159" s="470"/>
      <c r="AB159" s="470"/>
      <c r="AC159" s="470"/>
      <c r="AD159" s="470"/>
      <c r="AE159" s="468"/>
      <c r="AF159" s="468"/>
      <c r="AG159" s="468"/>
      <c r="AH159" s="468"/>
      <c r="AI159" s="468"/>
      <c r="AJ159" s="468"/>
      <c r="AK159" s="468"/>
      <c r="AL159" s="468"/>
      <c r="AM159" s="468"/>
      <c r="AN159" s="468"/>
      <c r="AO159" s="468"/>
      <c r="AP159" s="468"/>
      <c r="AQ159" s="468"/>
      <c r="AR159" s="468"/>
      <c r="AS159" s="468"/>
      <c r="AT159" s="468"/>
      <c r="AU159" s="468"/>
      <c r="AV159" s="468"/>
      <c r="AW159" s="468"/>
      <c r="AX159" s="468"/>
      <c r="AY159" s="468"/>
      <c r="AZ159" s="468"/>
      <c r="BA159" s="468"/>
      <c r="BB159" s="468"/>
      <c r="BC159" s="468"/>
      <c r="BD159" s="468"/>
      <c r="BE159" s="468"/>
      <c r="BF159" s="468"/>
      <c r="BG159" s="1556"/>
      <c r="BH159" s="468"/>
      <c r="BI159" s="468"/>
      <c r="BJ159" s="468"/>
      <c r="BK159" s="468"/>
      <c r="BL159" s="468"/>
      <c r="BM159" s="468"/>
      <c r="BN159" s="468"/>
      <c r="BO159" s="468"/>
      <c r="BP159" s="468"/>
    </row>
    <row r="160" spans="1:68" ht="20.25" customHeight="1" thickBot="1">
      <c r="A160" s="1741" t="s">
        <v>215</v>
      </c>
      <c r="B160" s="789"/>
      <c r="C160" s="20"/>
      <c r="E160" s="1739">
        <v>0</v>
      </c>
      <c r="F160" s="478"/>
      <c r="G160" s="468"/>
      <c r="H160" s="468"/>
      <c r="I160" s="468"/>
      <c r="J160" s="468"/>
      <c r="K160" s="468"/>
      <c r="L160" s="468"/>
      <c r="M160" s="468"/>
      <c r="N160" s="468"/>
      <c r="O160" s="2210" t="s">
        <v>216</v>
      </c>
      <c r="P160" s="2211" t="s">
        <v>217</v>
      </c>
      <c r="Q160" s="470"/>
      <c r="R160" s="470"/>
      <c r="S160" s="468"/>
      <c r="T160" s="468"/>
      <c r="U160" s="468"/>
      <c r="V160" s="468"/>
      <c r="W160" s="470"/>
      <c r="X160" s="470"/>
      <c r="Y160" s="470"/>
      <c r="Z160" s="470"/>
      <c r="AA160" s="470"/>
      <c r="AB160" s="470"/>
      <c r="AC160" s="470"/>
      <c r="AD160" s="470"/>
      <c r="AE160" s="468"/>
      <c r="AF160" s="468"/>
      <c r="AG160" s="468"/>
      <c r="AH160" s="468"/>
      <c r="AI160" s="468"/>
      <c r="AJ160" s="468"/>
      <c r="AK160" s="468"/>
      <c r="AL160" s="468"/>
      <c r="AM160" s="468"/>
      <c r="AN160" s="468"/>
      <c r="AO160" s="468"/>
      <c r="AP160" s="468"/>
      <c r="AQ160" s="468"/>
      <c r="AR160" s="468"/>
      <c r="AS160" s="468"/>
      <c r="AT160" s="468"/>
      <c r="AU160" s="468"/>
      <c r="AV160" s="468"/>
      <c r="AW160" s="468"/>
      <c r="AX160" s="468"/>
      <c r="AY160" s="468"/>
      <c r="AZ160" s="468"/>
      <c r="BA160" s="468"/>
      <c r="BB160" s="468"/>
      <c r="BC160" s="468"/>
      <c r="BD160" s="468"/>
      <c r="BE160" s="468"/>
      <c r="BF160" s="468"/>
      <c r="BG160" s="1556"/>
      <c r="BH160" s="468"/>
      <c r="BI160" s="468"/>
      <c r="BJ160" s="468"/>
      <c r="BK160" s="468"/>
      <c r="BL160" s="468"/>
      <c r="BM160" s="468"/>
      <c r="BN160" s="468"/>
      <c r="BO160" s="468"/>
      <c r="BP160" s="468"/>
    </row>
    <row r="161" spans="1:68" ht="36.75" customHeight="1">
      <c r="A161" s="1742" t="s">
        <v>218</v>
      </c>
      <c r="B161" s="20"/>
      <c r="C161" s="20"/>
      <c r="D161" s="2119" t="str">
        <f>IF(E161="","Pending Rate Lock","Locked")</f>
        <v>Pending Rate Lock</v>
      </c>
      <c r="E161" s="1754"/>
      <c r="F161" s="1350"/>
      <c r="G161" s="2479" t="s">
        <v>219</v>
      </c>
      <c r="H161" s="2480"/>
      <c r="I161" s="2480"/>
      <c r="J161" s="2480"/>
      <c r="K161" s="2192" t="s">
        <v>220</v>
      </c>
      <c r="L161" s="2193"/>
      <c r="M161" s="2194"/>
      <c r="N161" s="2498" t="s">
        <v>221</v>
      </c>
      <c r="O161" s="2562" t="s">
        <v>222</v>
      </c>
      <c r="P161" s="2195"/>
      <c r="Q161" s="2477" t="s">
        <v>223</v>
      </c>
      <c r="R161" s="470"/>
      <c r="S161" s="468"/>
      <c r="T161" s="468"/>
      <c r="U161" s="468"/>
      <c r="V161" s="468"/>
      <c r="W161" s="470"/>
      <c r="X161" s="470"/>
      <c r="Y161" s="470"/>
      <c r="Z161" s="470"/>
      <c r="AA161" s="470"/>
      <c r="AB161" s="470"/>
      <c r="AC161" s="470"/>
      <c r="AD161" s="470"/>
      <c r="AE161" s="468"/>
      <c r="AF161" s="468"/>
      <c r="AG161" s="468"/>
      <c r="AH161" s="468"/>
      <c r="AI161" s="468"/>
      <c r="AJ161" s="468"/>
      <c r="AK161" s="468"/>
      <c r="AL161" s="468"/>
      <c r="AM161" s="468"/>
      <c r="AN161" s="468"/>
      <c r="AO161" s="468"/>
      <c r="AP161" s="468"/>
      <c r="AQ161" s="468"/>
      <c r="AR161" s="468"/>
      <c r="AS161" s="468"/>
      <c r="AT161" s="468"/>
      <c r="AU161" s="468"/>
      <c r="AV161" s="468"/>
      <c r="AW161" s="468"/>
      <c r="AX161" s="468"/>
      <c r="AY161" s="468"/>
      <c r="AZ161" s="468"/>
      <c r="BA161" s="468"/>
      <c r="BB161" s="468"/>
      <c r="BC161" s="468"/>
      <c r="BD161" s="468"/>
      <c r="BE161" s="468"/>
      <c r="BF161" s="468"/>
      <c r="BG161" s="1556"/>
      <c r="BH161" s="468"/>
      <c r="BI161" s="468"/>
      <c r="BJ161" s="468"/>
      <c r="BK161" s="468"/>
      <c r="BL161" s="468"/>
      <c r="BM161" s="468"/>
      <c r="BN161" s="468"/>
      <c r="BO161" s="468"/>
      <c r="BP161" s="468"/>
    </row>
    <row r="162" spans="1:68" ht="25.5" customHeight="1" thickBot="1">
      <c r="A162" s="1742" t="s">
        <v>224</v>
      </c>
      <c r="B162" s="20"/>
      <c r="C162" s="20"/>
      <c r="D162" s="20"/>
      <c r="E162" s="1755">
        <v>0</v>
      </c>
      <c r="F162" s="478"/>
      <c r="G162" s="2481"/>
      <c r="H162" s="2482"/>
      <c r="I162" s="2482"/>
      <c r="J162" s="2482"/>
      <c r="K162" s="2196" t="s">
        <v>225</v>
      </c>
      <c r="L162" s="1594" t="s">
        <v>226</v>
      </c>
      <c r="M162" s="1594" t="s">
        <v>227</v>
      </c>
      <c r="N162" s="2499"/>
      <c r="O162" s="2563"/>
      <c r="P162" s="2189" t="s">
        <v>228</v>
      </c>
      <c r="Q162" s="2478"/>
      <c r="R162" s="470"/>
      <c r="S162" s="468"/>
      <c r="T162" s="468"/>
      <c r="U162" s="468"/>
      <c r="V162" s="468"/>
      <c r="W162" s="470"/>
      <c r="X162" s="470"/>
      <c r="Y162" s="470"/>
      <c r="Z162" s="470"/>
      <c r="AA162" s="470"/>
      <c r="AB162" s="470"/>
      <c r="AC162" s="470"/>
      <c r="AD162" s="470"/>
      <c r="AE162" s="468"/>
      <c r="AF162" s="468"/>
      <c r="AG162" s="468"/>
      <c r="AH162" s="468"/>
      <c r="AI162" s="468"/>
      <c r="AJ162" s="468"/>
      <c r="AK162" s="468"/>
      <c r="AL162" s="468"/>
      <c r="AM162" s="468"/>
      <c r="AN162" s="468"/>
      <c r="AO162" s="468"/>
      <c r="AP162" s="468"/>
      <c r="AQ162" s="468"/>
      <c r="AR162" s="468"/>
      <c r="AS162" s="468"/>
      <c r="AT162" s="468"/>
      <c r="AU162" s="468"/>
      <c r="AV162" s="468"/>
      <c r="AW162" s="468"/>
      <c r="AX162" s="468"/>
      <c r="AY162" s="468"/>
      <c r="AZ162" s="468"/>
      <c r="BA162" s="468"/>
      <c r="BB162" s="468"/>
      <c r="BC162" s="468"/>
      <c r="BD162" s="468"/>
      <c r="BE162" s="468"/>
      <c r="BF162" s="468"/>
      <c r="BG162" s="1556"/>
      <c r="BH162" s="468"/>
      <c r="BI162" s="468"/>
      <c r="BJ162" s="468"/>
      <c r="BK162" s="468"/>
      <c r="BL162" s="468"/>
      <c r="BM162" s="468"/>
      <c r="BN162" s="468"/>
      <c r="BO162" s="468"/>
      <c r="BP162" s="468"/>
    </row>
    <row r="163" spans="1:68" ht="42" customHeight="1" thickBot="1">
      <c r="A163" s="1743" t="s">
        <v>229</v>
      </c>
      <c r="B163" s="20"/>
      <c r="C163" s="20"/>
      <c r="D163" s="20"/>
      <c r="E163" s="1744">
        <v>0</v>
      </c>
      <c r="F163" s="1350"/>
      <c r="G163" s="2494" t="s">
        <v>230</v>
      </c>
      <c r="H163" s="2475"/>
      <c r="I163" s="2495"/>
      <c r="J163" s="1402"/>
      <c r="K163" s="2197" t="s">
        <v>231</v>
      </c>
      <c r="L163" s="1595">
        <f>E164-E162</f>
        <v>0</v>
      </c>
      <c r="M163" s="2198">
        <f>ROUND((IFERROR((((L165*M165)-(M164*L164))/L163),0)),8)</f>
        <v>0</v>
      </c>
      <c r="N163" s="2186">
        <f>IFERROR(ROUND((((N165*L165)-(N164*L164))/L163),8),0)</f>
        <v>0</v>
      </c>
      <c r="O163" s="2186">
        <f>N163-P163</f>
        <v>0</v>
      </c>
      <c r="P163" s="2190">
        <f>E158</f>
        <v>0</v>
      </c>
      <c r="Q163" s="2199">
        <f>Q165</f>
        <v>0</v>
      </c>
      <c r="R163" s="470"/>
      <c r="S163" s="468"/>
      <c r="T163" s="468"/>
      <c r="U163" s="468"/>
      <c r="V163" s="468"/>
      <c r="W163" s="470"/>
      <c r="X163" s="470"/>
      <c r="Y163" s="470"/>
      <c r="Z163" s="470"/>
      <c r="AA163" s="470"/>
      <c r="AB163" s="470"/>
      <c r="AC163" s="470"/>
      <c r="AD163" s="470"/>
      <c r="AE163" s="468"/>
      <c r="AF163" s="468"/>
      <c r="AG163" s="468"/>
      <c r="AH163" s="468"/>
      <c r="AI163" s="468"/>
      <c r="AJ163" s="468"/>
      <c r="AK163" s="468"/>
      <c r="AL163" s="468"/>
      <c r="AM163" s="468"/>
      <c r="AN163" s="468"/>
      <c r="AO163" s="468"/>
      <c r="AP163" s="468"/>
      <c r="AQ163" s="468"/>
      <c r="AR163" s="468"/>
      <c r="AS163" s="468"/>
      <c r="AT163" s="468"/>
      <c r="AU163" s="468"/>
      <c r="AV163" s="468"/>
      <c r="AW163" s="468"/>
      <c r="AX163" s="468"/>
      <c r="AY163" s="468"/>
      <c r="AZ163" s="468"/>
      <c r="BA163" s="468"/>
      <c r="BB163" s="468"/>
      <c r="BC163" s="468"/>
      <c r="BD163" s="468"/>
      <c r="BE163" s="468"/>
      <c r="BF163" s="468"/>
      <c r="BG163" s="1556"/>
      <c r="BH163" s="468"/>
      <c r="BI163" s="468"/>
      <c r="BJ163" s="468"/>
      <c r="BK163" s="468"/>
      <c r="BL163" s="468"/>
      <c r="BM163" s="468"/>
      <c r="BN163" s="468"/>
      <c r="BO163" s="468"/>
      <c r="BP163" s="468"/>
    </row>
    <row r="164" spans="1:68" ht="34.5" customHeight="1" thickBot="1">
      <c r="A164" s="1745" t="s">
        <v>232</v>
      </c>
      <c r="B164" s="1746"/>
      <c r="C164" s="1746"/>
      <c r="D164" s="1747"/>
      <c r="E164" s="1748">
        <v>0</v>
      </c>
      <c r="F164" s="478"/>
      <c r="G164" s="468"/>
      <c r="H164" s="468"/>
      <c r="I164" s="468"/>
      <c r="J164" s="1402"/>
      <c r="K164" s="2200" t="s">
        <v>233</v>
      </c>
      <c r="L164" s="1596">
        <f>E162</f>
        <v>0</v>
      </c>
      <c r="M164" s="1597">
        <f>N164-Q164</f>
        <v>0</v>
      </c>
      <c r="N164" s="2187">
        <f>E163</f>
        <v>0</v>
      </c>
      <c r="O164" s="2187">
        <f>N164-P164</f>
        <v>0</v>
      </c>
      <c r="P164" s="2191">
        <f>E158</f>
        <v>0</v>
      </c>
      <c r="Q164" s="2201">
        <f>Q165</f>
        <v>0</v>
      </c>
      <c r="R164" s="470"/>
      <c r="S164" s="468"/>
      <c r="T164" s="468"/>
      <c r="U164" s="468"/>
      <c r="V164" s="468"/>
      <c r="W164" s="470"/>
      <c r="X164" s="470"/>
      <c r="Y164" s="470"/>
      <c r="Z164" s="470"/>
      <c r="AA164" s="470"/>
      <c r="AB164" s="470"/>
      <c r="AC164" s="470"/>
      <c r="AD164" s="470"/>
      <c r="AE164" s="468"/>
      <c r="AF164" s="468"/>
      <c r="AG164" s="468">
        <v>0</v>
      </c>
      <c r="AH164" s="468"/>
      <c r="AI164" s="468"/>
      <c r="AJ164" s="468"/>
      <c r="AK164" s="468"/>
      <c r="AL164" s="468"/>
      <c r="AM164" s="468"/>
      <c r="AN164" s="468"/>
      <c r="AO164" s="468"/>
      <c r="AP164" s="468"/>
      <c r="AQ164" s="468"/>
      <c r="AR164" s="468"/>
      <c r="AS164" s="468"/>
      <c r="AT164" s="468"/>
      <c r="AU164" s="468"/>
      <c r="AV164" s="468"/>
      <c r="AW164" s="468"/>
      <c r="AX164" s="468"/>
      <c r="AY164" s="468"/>
      <c r="AZ164" s="468"/>
      <c r="BA164" s="468"/>
      <c r="BB164" s="468"/>
      <c r="BC164" s="468"/>
      <c r="BD164" s="468"/>
      <c r="BE164" s="468"/>
      <c r="BF164" s="468"/>
      <c r="BG164" s="1556"/>
      <c r="BH164" s="468"/>
      <c r="BI164" s="468"/>
      <c r="BJ164" s="468"/>
      <c r="BK164" s="468"/>
      <c r="BL164" s="468"/>
      <c r="BM164" s="468"/>
      <c r="BN164" s="468"/>
      <c r="BO164" s="468"/>
      <c r="BP164" s="468"/>
    </row>
    <row r="165" spans="1:68" ht="34.5" customHeight="1" thickTop="1">
      <c r="A165" s="1431" t="s">
        <v>234</v>
      </c>
      <c r="B165" s="1028"/>
      <c r="C165" s="1028"/>
      <c r="D165" s="655"/>
      <c r="E165" s="2120"/>
      <c r="F165" s="478"/>
      <c r="G165" s="468"/>
      <c r="H165" s="468"/>
      <c r="I165" s="468"/>
      <c r="J165" s="1402"/>
      <c r="K165" s="2197"/>
      <c r="L165" s="1595">
        <f>SUM(L163:L164)</f>
        <v>0</v>
      </c>
      <c r="M165" s="2202">
        <f>E159</f>
        <v>0</v>
      </c>
      <c r="N165" s="2188">
        <f>MAX(E160,E159+E158)</f>
        <v>0</v>
      </c>
      <c r="O165" s="2188">
        <f>N165-P165</f>
        <v>0</v>
      </c>
      <c r="P165" s="2190">
        <f>E158</f>
        <v>0</v>
      </c>
      <c r="Q165" s="2203">
        <f>IF(E148="No",0,MAX(E160-E159,E158))</f>
        <v>0</v>
      </c>
      <c r="R165" s="470"/>
      <c r="S165" s="468"/>
      <c r="T165" s="468"/>
      <c r="U165" s="468"/>
      <c r="V165" s="468"/>
      <c r="W165" s="470"/>
      <c r="X165" s="470"/>
      <c r="Y165" s="470"/>
      <c r="Z165" s="470"/>
      <c r="AA165" s="470"/>
      <c r="AB165" s="470"/>
      <c r="AC165" s="470"/>
      <c r="AD165" s="470"/>
      <c r="AE165" s="468"/>
      <c r="AF165" s="468"/>
      <c r="AG165" s="468"/>
      <c r="AH165" s="468"/>
      <c r="AI165" s="468"/>
      <c r="AJ165" s="468"/>
      <c r="AK165" s="468"/>
      <c r="AL165" s="468"/>
      <c r="AM165" s="468"/>
      <c r="AN165" s="468"/>
      <c r="AO165" s="468"/>
      <c r="AP165" s="468"/>
      <c r="AQ165" s="468"/>
      <c r="AR165" s="468"/>
      <c r="AS165" s="468"/>
      <c r="AT165" s="468"/>
      <c r="AU165" s="468"/>
      <c r="AV165" s="468"/>
      <c r="AW165" s="468"/>
      <c r="AX165" s="468"/>
      <c r="AY165" s="468"/>
      <c r="AZ165" s="468"/>
      <c r="BA165" s="468"/>
      <c r="BB165" s="468"/>
      <c r="BC165" s="468"/>
      <c r="BD165" s="468"/>
      <c r="BE165" s="468"/>
      <c r="BF165" s="468"/>
      <c r="BG165" s="1556"/>
      <c r="BH165" s="468"/>
      <c r="BI165" s="468"/>
      <c r="BJ165" s="468"/>
      <c r="BK165" s="468"/>
      <c r="BL165" s="468"/>
      <c r="BM165" s="468"/>
      <c r="BN165" s="468"/>
      <c r="BO165" s="468"/>
      <c r="BP165" s="468"/>
    </row>
    <row r="166" spans="1:68" ht="20.25" customHeight="1" thickBot="1">
      <c r="A166" s="1431" t="s">
        <v>234</v>
      </c>
      <c r="B166" s="1431"/>
      <c r="C166" s="1431"/>
      <c r="D166" s="1432"/>
      <c r="E166" s="1433"/>
      <c r="F166" s="478"/>
      <c r="G166" s="468"/>
      <c r="H166" s="468"/>
      <c r="I166" s="468"/>
      <c r="J166" s="468"/>
      <c r="K166" s="2204"/>
      <c r="L166" s="2205" t="s">
        <v>235</v>
      </c>
      <c r="M166" s="2206">
        <f>IF(L165=0,0,SUMPRODUCT(M163:M164,L163:L164)/L165)</f>
        <v>0</v>
      </c>
      <c r="N166" s="2207">
        <f>IF(L165=0,0,SUMPRODUCT(N163:N164,L163:L164)/L165)</f>
        <v>0</v>
      </c>
      <c r="O166" s="2207">
        <f>IFERROR((SUMPRODUCT(O163:O164,L163:L164)/L165),0)</f>
        <v>0</v>
      </c>
      <c r="P166" s="2208">
        <f>E158</f>
        <v>0</v>
      </c>
      <c r="Q166" s="2209"/>
      <c r="R166" s="470"/>
      <c r="S166" s="468"/>
      <c r="T166" s="468"/>
      <c r="U166" s="468"/>
      <c r="V166" s="468"/>
      <c r="W166" s="470"/>
      <c r="X166" s="470"/>
      <c r="Y166" s="470"/>
      <c r="Z166" s="470"/>
      <c r="AA166" s="470"/>
      <c r="AB166" s="470"/>
      <c r="AC166" s="470"/>
      <c r="AD166" s="470"/>
      <c r="AE166" s="468"/>
      <c r="AF166" s="468"/>
      <c r="AG166" s="468"/>
      <c r="AH166" s="468"/>
      <c r="AI166" s="468"/>
      <c r="AJ166" s="468"/>
      <c r="AK166" s="468"/>
      <c r="AL166" s="468"/>
      <c r="AM166" s="468"/>
      <c r="AN166" s="468"/>
      <c r="AO166" s="468"/>
      <c r="AP166" s="468"/>
      <c r="AQ166" s="468"/>
      <c r="AR166" s="468"/>
      <c r="AS166" s="468"/>
      <c r="AT166" s="468"/>
      <c r="AU166" s="468"/>
      <c r="AV166" s="468"/>
      <c r="AW166" s="468"/>
      <c r="AX166" s="468"/>
      <c r="AY166" s="468"/>
      <c r="AZ166" s="468"/>
      <c r="BA166" s="468"/>
      <c r="BB166" s="468"/>
      <c r="BC166" s="468"/>
      <c r="BD166" s="468"/>
      <c r="BE166" s="468"/>
      <c r="BF166" s="468"/>
      <c r="BG166" s="1556"/>
      <c r="BH166" s="468"/>
      <c r="BI166" s="468"/>
      <c r="BJ166" s="468"/>
      <c r="BK166" s="468"/>
      <c r="BL166" s="468"/>
      <c r="BM166" s="468"/>
      <c r="BN166" s="468"/>
      <c r="BO166" s="468"/>
      <c r="BP166" s="468"/>
    </row>
    <row r="167" spans="1:68" ht="20.25" customHeight="1" thickBot="1">
      <c r="A167" s="2413" t="s">
        <v>236</v>
      </c>
      <c r="B167" s="2413"/>
      <c r="C167" s="2413"/>
      <c r="D167" s="1354"/>
      <c r="E167" s="1756">
        <f>IF(E150="","",VLOOKUP(E150,'Drop Lists'!AB5:AC7,2,FALSE))</f>
        <v>360</v>
      </c>
      <c r="F167" s="478"/>
      <c r="G167" s="479" t="s">
        <v>237</v>
      </c>
      <c r="H167" s="829"/>
      <c r="I167" s="830"/>
      <c r="J167" s="1404"/>
      <c r="K167" s="1405"/>
      <c r="L167" s="1406"/>
      <c r="M167" s="468"/>
      <c r="N167" s="468"/>
      <c r="O167" s="468"/>
      <c r="P167" s="468"/>
      <c r="Q167" s="470"/>
      <c r="R167" s="470"/>
      <c r="S167" s="468"/>
      <c r="T167" s="468"/>
      <c r="U167" s="468"/>
      <c r="V167" s="468"/>
      <c r="W167" s="470"/>
      <c r="X167" s="470"/>
      <c r="Y167" s="470"/>
      <c r="Z167" s="470"/>
      <c r="AA167" s="470"/>
      <c r="AB167" s="470"/>
      <c r="AC167" s="470"/>
      <c r="AD167" s="470"/>
      <c r="AE167" s="468"/>
      <c r="AF167" s="468"/>
      <c r="AG167" s="468"/>
      <c r="AH167" s="468"/>
      <c r="AI167" s="468"/>
      <c r="AJ167" s="468"/>
      <c r="AK167" s="468"/>
      <c r="AL167" s="468"/>
      <c r="AM167" s="468"/>
      <c r="AN167" s="468"/>
      <c r="AO167" s="468"/>
      <c r="AP167" s="468"/>
      <c r="AQ167" s="468"/>
      <c r="AR167" s="468"/>
      <c r="AS167" s="468"/>
      <c r="AT167" s="468"/>
      <c r="AU167" s="468"/>
      <c r="AV167" s="468"/>
      <c r="AW167" s="468"/>
      <c r="AX167" s="468"/>
      <c r="AY167" s="468"/>
      <c r="AZ167" s="468"/>
      <c r="BA167" s="468"/>
      <c r="BB167" s="468"/>
      <c r="BC167" s="468"/>
      <c r="BD167" s="468"/>
      <c r="BE167" s="468"/>
      <c r="BF167" s="468"/>
      <c r="BG167" s="1556"/>
      <c r="BH167" s="468"/>
      <c r="BI167" s="468"/>
      <c r="BJ167" s="468"/>
      <c r="BK167" s="468"/>
      <c r="BL167" s="468"/>
      <c r="BM167" s="468"/>
      <c r="BN167" s="468"/>
      <c r="BO167" s="468"/>
      <c r="BP167" s="468"/>
    </row>
    <row r="168" spans="1:68" ht="20.25" customHeight="1" thickBot="1">
      <c r="A168" s="2413" t="s">
        <v>238</v>
      </c>
      <c r="B168" s="2413"/>
      <c r="C168" s="2413"/>
      <c r="D168" s="1354"/>
      <c r="E168" s="1354">
        <f>IF(E130="","",E130-E129+1)</f>
        <v>30</v>
      </c>
      <c r="F168" s="478"/>
      <c r="G168" s="785" t="s">
        <v>239</v>
      </c>
      <c r="H168" s="827"/>
      <c r="I168" s="827"/>
      <c r="J168" s="827"/>
      <c r="K168" s="827"/>
      <c r="L168" s="826"/>
      <c r="M168" s="468"/>
      <c r="N168" s="468"/>
      <c r="O168" s="468"/>
      <c r="P168" s="468"/>
      <c r="Q168" s="470"/>
      <c r="R168" s="470"/>
      <c r="S168" s="468"/>
      <c r="T168" s="468"/>
      <c r="U168" s="468"/>
      <c r="V168" s="468"/>
      <c r="W168" s="470"/>
      <c r="X168" s="470"/>
      <c r="Y168" s="470"/>
      <c r="Z168" s="470"/>
      <c r="AA168" s="470"/>
      <c r="AB168" s="470"/>
      <c r="AC168" s="470"/>
      <c r="AD168" s="470"/>
      <c r="AE168" s="468"/>
      <c r="AF168" s="468"/>
      <c r="AG168" s="468"/>
      <c r="AH168" s="468"/>
      <c r="AI168" s="468"/>
      <c r="AJ168" s="468"/>
      <c r="AK168" s="468"/>
      <c r="AL168" s="468"/>
      <c r="AM168" s="468"/>
      <c r="AN168" s="468"/>
      <c r="AO168" s="468"/>
      <c r="AP168" s="468"/>
      <c r="AQ168" s="468"/>
      <c r="AR168" s="468"/>
      <c r="AS168" s="468"/>
      <c r="AT168" s="468"/>
      <c r="AU168" s="468"/>
      <c r="AV168" s="468"/>
      <c r="AW168" s="468"/>
      <c r="AX168" s="468"/>
      <c r="AY168" s="468"/>
      <c r="AZ168" s="468"/>
      <c r="BA168" s="468"/>
      <c r="BB168" s="468"/>
      <c r="BC168" s="468"/>
      <c r="BD168" s="468"/>
      <c r="BE168" s="468"/>
      <c r="BF168" s="468"/>
      <c r="BG168" s="1556"/>
      <c r="BH168" s="468"/>
      <c r="BI168" s="468"/>
      <c r="BJ168" s="468"/>
      <c r="BK168" s="468"/>
      <c r="BL168" s="468"/>
      <c r="BM168" s="468"/>
      <c r="BN168" s="468"/>
      <c r="BO168" s="468"/>
      <c r="BP168" s="468"/>
    </row>
    <row r="169" spans="1:68" ht="20.25" customHeight="1" outlineLevel="1" thickBot="1">
      <c r="A169" s="1431" t="s">
        <v>234</v>
      </c>
      <c r="B169" s="1431"/>
      <c r="C169" s="1431"/>
      <c r="D169" s="1432"/>
      <c r="E169" s="1433"/>
      <c r="F169" s="478"/>
      <c r="G169" s="1434"/>
      <c r="H169" s="1435"/>
      <c r="I169" s="1436"/>
      <c r="J169" s="1436"/>
      <c r="K169" s="1436"/>
      <c r="L169" s="1436"/>
      <c r="M169" s="1400"/>
      <c r="N169" s="468"/>
      <c r="O169" s="468"/>
      <c r="P169" s="468"/>
      <c r="Q169" s="470"/>
      <c r="R169" s="470"/>
      <c r="S169" s="468"/>
      <c r="T169" s="468"/>
      <c r="U169" s="468"/>
      <c r="V169" s="468"/>
      <c r="W169" s="470"/>
      <c r="X169" s="470"/>
      <c r="Y169" s="470"/>
      <c r="Z169" s="470"/>
      <c r="AA169" s="470"/>
      <c r="AB169" s="470"/>
      <c r="AC169" s="470"/>
      <c r="AD169" s="470"/>
      <c r="AE169" s="468"/>
      <c r="AF169" s="468"/>
      <c r="AG169" s="468"/>
      <c r="AH169" s="468"/>
      <c r="AI169" s="468"/>
      <c r="AJ169" s="468"/>
      <c r="AK169" s="468"/>
      <c r="AL169" s="468"/>
      <c r="AM169" s="468"/>
      <c r="AN169" s="468"/>
      <c r="AO169" s="468"/>
      <c r="AP169" s="468"/>
      <c r="AQ169" s="468"/>
      <c r="AR169" s="468"/>
      <c r="AS169" s="468"/>
      <c r="AT169" s="468"/>
      <c r="AU169" s="468"/>
      <c r="AV169" s="468"/>
      <c r="AW169" s="468"/>
      <c r="AX169" s="468"/>
      <c r="AY169" s="468"/>
      <c r="AZ169" s="468"/>
      <c r="BA169" s="468"/>
      <c r="BB169" s="468"/>
      <c r="BC169" s="468"/>
      <c r="BD169" s="468"/>
      <c r="BE169" s="468"/>
      <c r="BF169" s="468"/>
      <c r="BG169" s="1556"/>
      <c r="BH169" s="468"/>
      <c r="BI169" s="468"/>
      <c r="BJ169" s="468"/>
      <c r="BK169" s="468"/>
      <c r="BL169" s="468"/>
      <c r="BM169" s="468"/>
      <c r="BN169" s="468"/>
      <c r="BO169" s="468"/>
      <c r="BP169" s="468"/>
    </row>
    <row r="170" spans="1:68" ht="20.25" customHeight="1" thickBot="1">
      <c r="A170" s="2413" t="s">
        <v>240</v>
      </c>
      <c r="B170" s="2413"/>
      <c r="C170" s="2413"/>
      <c r="D170" s="1354"/>
      <c r="E170" s="1557">
        <v>0.01</v>
      </c>
      <c r="F170" s="478"/>
      <c r="G170" s="785" t="s">
        <v>241</v>
      </c>
      <c r="H170" s="832"/>
      <c r="I170" s="832"/>
      <c r="J170" s="832"/>
      <c r="K170" s="831"/>
      <c r="L170" s="826"/>
      <c r="M170" s="468"/>
      <c r="N170" s="468"/>
      <c r="O170" s="468"/>
      <c r="P170" s="468"/>
      <c r="Q170" s="470"/>
      <c r="R170" s="470"/>
      <c r="S170" s="468"/>
      <c r="T170" s="468"/>
      <c r="U170" s="468"/>
      <c r="V170" s="468"/>
      <c r="W170" s="470"/>
      <c r="X170" s="470"/>
      <c r="Y170" s="470"/>
      <c r="Z170" s="470"/>
      <c r="AA170" s="470"/>
      <c r="AB170" s="470"/>
      <c r="AC170" s="470"/>
      <c r="AD170" s="470"/>
      <c r="AE170" s="468"/>
      <c r="AF170" s="468"/>
      <c r="AG170" s="468"/>
      <c r="AH170" s="468"/>
      <c r="AI170" s="468"/>
      <c r="AJ170" s="468"/>
      <c r="AK170" s="468"/>
      <c r="AL170" s="468"/>
      <c r="AM170" s="468"/>
      <c r="AN170" s="468"/>
      <c r="AO170" s="468"/>
      <c r="AP170" s="468"/>
      <c r="AQ170" s="468"/>
      <c r="AR170" s="468"/>
      <c r="AS170" s="468"/>
      <c r="AT170" s="468"/>
      <c r="AU170" s="468"/>
      <c r="AV170" s="468"/>
      <c r="AW170" s="468"/>
      <c r="AX170" s="468"/>
      <c r="AY170" s="468"/>
      <c r="AZ170" s="468"/>
      <c r="BA170" s="468"/>
      <c r="BB170" s="468"/>
      <c r="BC170" s="468"/>
      <c r="BD170" s="468"/>
      <c r="BE170" s="468"/>
      <c r="BF170" s="468"/>
      <c r="BG170" s="1556"/>
      <c r="BH170" s="468"/>
      <c r="BI170" s="468"/>
      <c r="BJ170" s="468"/>
      <c r="BK170" s="468"/>
      <c r="BL170" s="468"/>
      <c r="BM170" s="468"/>
      <c r="BN170" s="468"/>
      <c r="BO170" s="468"/>
      <c r="BP170" s="468"/>
    </row>
    <row r="171" spans="1:68" ht="20.25" customHeight="1" thickBot="1">
      <c r="A171" s="2413" t="s">
        <v>242</v>
      </c>
      <c r="B171" s="2413"/>
      <c r="C171" s="2413" t="s">
        <v>243</v>
      </c>
      <c r="D171" s="1354"/>
      <c r="E171" s="1557" t="s">
        <v>244</v>
      </c>
      <c r="F171" s="478"/>
      <c r="G171" s="785" t="s">
        <v>245</v>
      </c>
      <c r="H171" s="832"/>
      <c r="I171" s="832"/>
      <c r="J171" s="832"/>
      <c r="K171" s="831"/>
      <c r="L171" s="826"/>
      <c r="M171" s="468"/>
      <c r="N171" s="468"/>
      <c r="O171" s="468"/>
      <c r="P171" s="468"/>
      <c r="Q171" s="470"/>
      <c r="R171" s="470"/>
      <c r="S171" s="468"/>
      <c r="T171" s="468"/>
      <c r="U171" s="468"/>
      <c r="V171" s="468"/>
      <c r="W171" s="470"/>
      <c r="X171" s="470"/>
      <c r="Y171" s="470"/>
      <c r="Z171" s="470"/>
      <c r="AA171" s="470"/>
      <c r="AB171" s="470"/>
      <c r="AC171" s="470"/>
      <c r="AD171" s="470"/>
      <c r="AE171" s="468"/>
      <c r="AF171" s="468"/>
      <c r="AG171" s="468"/>
      <c r="AH171" s="468"/>
      <c r="AI171" s="468"/>
      <c r="AJ171" s="468"/>
      <c r="AK171" s="468"/>
      <c r="AL171" s="468"/>
      <c r="AM171" s="468"/>
      <c r="AN171" s="468"/>
      <c r="AO171" s="468"/>
      <c r="AP171" s="468"/>
      <c r="AQ171" s="468"/>
      <c r="AR171" s="468"/>
      <c r="AS171" s="468"/>
      <c r="AT171" s="468"/>
      <c r="AU171" s="468"/>
      <c r="AV171" s="468"/>
      <c r="AW171" s="468"/>
      <c r="AX171" s="468"/>
      <c r="AY171" s="468"/>
      <c r="AZ171" s="468"/>
      <c r="BA171" s="468"/>
      <c r="BB171" s="468"/>
      <c r="BC171" s="468"/>
      <c r="BD171" s="468"/>
      <c r="BE171" s="468"/>
      <c r="BF171" s="468"/>
      <c r="BG171" s="1556"/>
      <c r="BH171" s="468"/>
      <c r="BI171" s="468"/>
      <c r="BJ171" s="468"/>
      <c r="BK171" s="468"/>
      <c r="BL171" s="468"/>
      <c r="BM171" s="468"/>
      <c r="BN171" s="468"/>
      <c r="BO171" s="468"/>
      <c r="BP171" s="468"/>
    </row>
    <row r="172" spans="1:68" ht="20.25" customHeight="1" thickBot="1">
      <c r="A172" s="2413" t="s">
        <v>246</v>
      </c>
      <c r="B172" s="2413"/>
      <c r="C172" s="2413"/>
      <c r="D172" s="1354"/>
      <c r="E172" s="1557" t="s">
        <v>9</v>
      </c>
      <c r="F172" s="478"/>
      <c r="G172" s="785" t="s">
        <v>247</v>
      </c>
      <c r="H172" s="832"/>
      <c r="I172" s="832"/>
      <c r="J172" s="832"/>
      <c r="K172" s="831"/>
      <c r="L172" s="826"/>
      <c r="M172" s="468"/>
      <c r="N172" s="468"/>
      <c r="O172" s="468"/>
      <c r="P172" s="468"/>
      <c r="Q172" s="468"/>
      <c r="R172" s="483"/>
      <c r="S172" s="468"/>
      <c r="T172" s="468"/>
      <c r="U172" s="468"/>
      <c r="V172" s="468"/>
      <c r="W172" s="470"/>
      <c r="X172" s="470"/>
      <c r="Y172" s="470"/>
      <c r="Z172" s="470"/>
      <c r="AA172" s="470"/>
      <c r="AB172" s="470"/>
      <c r="AC172" s="470"/>
      <c r="AD172" s="470"/>
      <c r="AE172" s="468"/>
      <c r="AF172" s="468"/>
      <c r="AG172" s="468"/>
      <c r="AH172" s="468"/>
      <c r="AI172" s="468"/>
      <c r="AJ172" s="468"/>
      <c r="AK172" s="468"/>
      <c r="AL172" s="468"/>
      <c r="AM172" s="468"/>
      <c r="AN172" s="468"/>
      <c r="AO172" s="468"/>
      <c r="AP172" s="468"/>
      <c r="AQ172" s="468"/>
      <c r="AR172" s="468"/>
      <c r="AS172" s="468"/>
      <c r="AT172" s="468"/>
      <c r="AU172" s="468"/>
      <c r="AV172" s="468"/>
      <c r="AW172" s="468"/>
      <c r="AX172" s="468"/>
      <c r="AY172" s="468"/>
      <c r="AZ172" s="468"/>
      <c r="BA172" s="468"/>
      <c r="BB172" s="468"/>
      <c r="BC172" s="468"/>
      <c r="BD172" s="468"/>
      <c r="BE172" s="468"/>
      <c r="BF172" s="468"/>
      <c r="BG172" s="1556"/>
      <c r="BH172" s="468"/>
      <c r="BI172" s="468"/>
      <c r="BJ172" s="468"/>
      <c r="BK172" s="468"/>
      <c r="BL172" s="468"/>
      <c r="BM172" s="468"/>
      <c r="BN172" s="468"/>
      <c r="BO172" s="468"/>
      <c r="BP172" s="468"/>
    </row>
    <row r="173" spans="1:68" ht="20.25" customHeight="1" thickBot="1">
      <c r="A173" s="2413" t="s">
        <v>248</v>
      </c>
      <c r="B173" s="2413"/>
      <c r="C173" s="2413"/>
      <c r="D173" s="1354"/>
      <c r="E173" s="1557" t="s">
        <v>9</v>
      </c>
      <c r="F173" s="478"/>
      <c r="G173" s="785" t="s">
        <v>249</v>
      </c>
      <c r="H173" s="832"/>
      <c r="I173" s="832"/>
      <c r="J173" s="832"/>
      <c r="K173" s="831"/>
      <c r="L173" s="826"/>
      <c r="M173" s="468"/>
      <c r="N173" s="468"/>
      <c r="O173" s="468"/>
      <c r="P173" s="468"/>
      <c r="Q173" s="468"/>
      <c r="R173" s="483"/>
      <c r="S173" s="468"/>
      <c r="T173" s="468"/>
      <c r="U173" s="468"/>
      <c r="V173" s="468"/>
      <c r="W173" s="470"/>
      <c r="X173" s="470"/>
      <c r="Y173" s="470"/>
      <c r="Z173" s="470"/>
      <c r="AA173" s="470"/>
      <c r="AB173" s="470"/>
      <c r="AC173" s="470"/>
      <c r="AD173" s="470"/>
      <c r="AE173" s="468"/>
      <c r="AF173" s="468"/>
      <c r="AG173" s="468"/>
      <c r="AH173" s="468"/>
      <c r="AI173" s="468"/>
      <c r="AJ173" s="468"/>
      <c r="AK173" s="468"/>
      <c r="AL173" s="468"/>
      <c r="AM173" s="468"/>
      <c r="AN173" s="468"/>
      <c r="AO173" s="468"/>
      <c r="AP173" s="468"/>
      <c r="AQ173" s="468"/>
      <c r="AR173" s="468"/>
      <c r="AS173" s="468"/>
      <c r="AT173" s="468"/>
      <c r="AU173" s="468"/>
      <c r="AV173" s="468"/>
      <c r="AW173" s="468"/>
      <c r="AX173" s="468"/>
      <c r="AY173" s="468"/>
      <c r="AZ173" s="468"/>
      <c r="BA173" s="468"/>
      <c r="BB173" s="468"/>
      <c r="BC173" s="468"/>
      <c r="BD173" s="468"/>
      <c r="BE173" s="468"/>
      <c r="BF173" s="468"/>
      <c r="BG173" s="1556"/>
      <c r="BH173" s="468"/>
      <c r="BI173" s="468"/>
      <c r="BJ173" s="468"/>
      <c r="BK173" s="468"/>
      <c r="BL173" s="468"/>
      <c r="BM173" s="468"/>
      <c r="BN173" s="468"/>
      <c r="BO173" s="468"/>
      <c r="BP173" s="468"/>
    </row>
    <row r="174" spans="1:68" ht="20.25" customHeight="1" thickBot="1">
      <c r="A174" s="2413" t="s">
        <v>250</v>
      </c>
      <c r="B174" s="2413"/>
      <c r="C174" s="2413"/>
      <c r="D174" s="1354"/>
      <c r="E174" s="1558">
        <v>360</v>
      </c>
      <c r="F174" s="478"/>
      <c r="G174" s="785" t="s">
        <v>251</v>
      </c>
      <c r="H174" s="832"/>
      <c r="I174" s="832"/>
      <c r="J174" s="832"/>
      <c r="K174" s="831"/>
      <c r="L174" s="826"/>
      <c r="M174" s="468"/>
      <c r="N174" s="468"/>
      <c r="O174" s="468"/>
      <c r="P174" s="468"/>
      <c r="Q174" s="468"/>
      <c r="R174" s="483"/>
      <c r="S174" s="468"/>
      <c r="T174" s="468"/>
      <c r="U174" s="468"/>
      <c r="V174" s="468"/>
      <c r="W174" s="470"/>
      <c r="X174" s="470"/>
      <c r="Y174" s="470"/>
      <c r="Z174" s="470"/>
      <c r="AA174" s="470"/>
      <c r="AB174" s="470"/>
      <c r="AC174" s="470"/>
      <c r="AD174" s="470"/>
      <c r="AE174" s="468"/>
      <c r="AF174" s="468"/>
      <c r="AG174" s="468"/>
      <c r="AH174" s="468"/>
      <c r="AI174" s="468"/>
      <c r="AJ174" s="468"/>
      <c r="AK174" s="468"/>
      <c r="AL174" s="468"/>
      <c r="AM174" s="468"/>
      <c r="AN174" s="468"/>
      <c r="AO174" s="468"/>
      <c r="AP174" s="468"/>
      <c r="AQ174" s="468"/>
      <c r="AR174" s="468"/>
      <c r="AS174" s="468"/>
      <c r="AT174" s="468"/>
      <c r="AU174" s="468"/>
      <c r="AV174" s="468"/>
      <c r="AW174" s="468"/>
      <c r="AX174" s="468"/>
      <c r="AY174" s="468"/>
      <c r="AZ174" s="468"/>
      <c r="BA174" s="468"/>
      <c r="BB174" s="468"/>
      <c r="BC174" s="468"/>
      <c r="BD174" s="468"/>
      <c r="BE174" s="468"/>
      <c r="BF174" s="468"/>
      <c r="BG174" s="1556"/>
      <c r="BH174" s="468"/>
      <c r="BI174" s="468"/>
      <c r="BJ174" s="468"/>
      <c r="BK174" s="468"/>
      <c r="BL174" s="468"/>
      <c r="BM174" s="468"/>
      <c r="BN174" s="468"/>
      <c r="BO174" s="468"/>
      <c r="BP174" s="468"/>
    </row>
    <row r="175" spans="1:68" ht="20.25" customHeight="1" thickBot="1">
      <c r="A175" s="2413" t="s">
        <v>252</v>
      </c>
      <c r="B175" s="2413"/>
      <c r="C175" s="2413"/>
      <c r="D175" s="1354"/>
      <c r="E175" s="1558">
        <v>0</v>
      </c>
      <c r="F175" s="478"/>
      <c r="G175" s="785" t="s">
        <v>253</v>
      </c>
      <c r="H175" s="823"/>
      <c r="I175" s="823"/>
      <c r="J175" s="823"/>
      <c r="K175" s="823"/>
      <c r="L175" s="824"/>
      <c r="M175" s="468"/>
      <c r="N175" s="468"/>
      <c r="O175" s="468"/>
      <c r="P175" s="468"/>
      <c r="Q175" s="468"/>
      <c r="R175" s="483"/>
      <c r="S175" s="468"/>
      <c r="T175" s="468"/>
      <c r="U175" s="468"/>
      <c r="V175" s="468"/>
      <c r="W175" s="470"/>
      <c r="X175" s="470"/>
      <c r="Y175" s="470"/>
      <c r="Z175" s="470"/>
      <c r="AA175" s="470"/>
      <c r="AB175" s="470"/>
      <c r="AC175" s="470"/>
      <c r="AD175" s="470"/>
      <c r="AE175" s="468"/>
      <c r="AF175" s="468"/>
      <c r="AG175" s="468"/>
      <c r="AH175" s="468"/>
      <c r="AI175" s="468"/>
      <c r="AJ175" s="468"/>
      <c r="AK175" s="468"/>
      <c r="AL175" s="468"/>
      <c r="AM175" s="468"/>
      <c r="AN175" s="468"/>
      <c r="AO175" s="468"/>
      <c r="AP175" s="468"/>
      <c r="AQ175" s="468" t="s">
        <v>254</v>
      </c>
      <c r="AR175" s="468"/>
      <c r="AS175" s="468"/>
      <c r="AT175" s="468"/>
      <c r="AU175" s="468"/>
      <c r="AV175" s="468"/>
      <c r="AW175" s="468"/>
      <c r="AX175" s="468"/>
      <c r="AY175" s="468"/>
      <c r="AZ175" s="468"/>
      <c r="BA175" s="468"/>
      <c r="BB175" s="468"/>
      <c r="BC175" s="468"/>
      <c r="BD175" s="468"/>
      <c r="BE175" s="468"/>
      <c r="BF175" s="468"/>
      <c r="BG175" s="1556"/>
      <c r="BH175" s="468"/>
      <c r="BI175" s="468"/>
      <c r="BJ175" s="468"/>
      <c r="BK175" s="468"/>
      <c r="BL175" s="468"/>
      <c r="BM175" s="468"/>
      <c r="BN175" s="468"/>
      <c r="BO175" s="468"/>
      <c r="BP175" s="468"/>
    </row>
    <row r="176" spans="1:68" ht="20.25" customHeight="1" thickBot="1">
      <c r="A176" s="2413" t="s">
        <v>255</v>
      </c>
      <c r="B176" s="2413"/>
      <c r="C176" s="2413"/>
      <c r="D176" s="1354"/>
      <c r="E176" s="1359">
        <f>IF(E136="",0,E136-E175)</f>
        <v>72</v>
      </c>
      <c r="F176" s="468"/>
      <c r="G176" s="785" t="s">
        <v>256</v>
      </c>
      <c r="H176" s="823"/>
      <c r="I176" s="823"/>
      <c r="J176" s="823"/>
      <c r="K176" s="823"/>
      <c r="L176" s="824"/>
      <c r="M176" s="468"/>
      <c r="N176" s="468"/>
      <c r="O176" s="468"/>
      <c r="P176" s="468"/>
      <c r="Q176" s="468"/>
      <c r="R176" s="483"/>
      <c r="S176" s="468"/>
      <c r="T176" s="468"/>
      <c r="U176" s="468"/>
      <c r="V176" s="468"/>
      <c r="W176" s="470"/>
      <c r="X176" s="470"/>
      <c r="Y176" s="470"/>
      <c r="Z176" s="470"/>
      <c r="AA176" s="470"/>
      <c r="AB176" s="470"/>
      <c r="AC176" s="470"/>
      <c r="AD176" s="470"/>
      <c r="AE176" s="468"/>
      <c r="AF176" s="468"/>
      <c r="AG176" s="468"/>
      <c r="AH176" s="468"/>
      <c r="AI176" s="468"/>
      <c r="AJ176" s="468"/>
      <c r="AK176" s="468"/>
      <c r="AL176" s="468"/>
      <c r="AM176" s="468"/>
      <c r="AN176" s="468"/>
      <c r="AO176" s="468"/>
      <c r="AP176" s="468"/>
      <c r="AQ176" s="468"/>
      <c r="AR176" s="468"/>
      <c r="AS176" s="468"/>
      <c r="AT176" s="468"/>
      <c r="AU176" s="468"/>
      <c r="AV176" s="468"/>
      <c r="AW176" s="468"/>
      <c r="AX176" s="468"/>
      <c r="AY176" s="468"/>
      <c r="AZ176" s="468"/>
      <c r="BA176" s="468"/>
      <c r="BB176" s="468"/>
      <c r="BC176" s="468"/>
      <c r="BD176" s="468"/>
      <c r="BE176" s="468"/>
      <c r="BF176" s="468"/>
      <c r="BG176" s="1556"/>
      <c r="BH176" s="468"/>
      <c r="BI176" s="468"/>
      <c r="BJ176" s="468"/>
      <c r="BK176" s="468"/>
      <c r="BL176" s="468"/>
      <c r="BM176" s="468"/>
      <c r="BN176" s="468"/>
      <c r="BO176" s="468"/>
      <c r="BP176" s="468"/>
    </row>
    <row r="177" spans="1:69" ht="20.25" customHeight="1">
      <c r="A177" s="2413"/>
      <c r="B177" s="2413"/>
      <c r="C177" s="2413"/>
      <c r="D177" s="1354"/>
      <c r="E177" s="1327" t="s">
        <v>257</v>
      </c>
      <c r="F177" s="1327" t="s">
        <v>258</v>
      </c>
      <c r="G177" s="1327" t="s">
        <v>259</v>
      </c>
      <c r="H177" s="1327" t="s">
        <v>260</v>
      </c>
      <c r="I177" s="1327" t="s">
        <v>261</v>
      </c>
      <c r="J177" s="1327" t="s">
        <v>262</v>
      </c>
      <c r="K177" s="468"/>
      <c r="L177" s="468"/>
      <c r="M177" s="468"/>
      <c r="N177" s="468"/>
      <c r="O177" s="468"/>
      <c r="P177" s="468"/>
      <c r="Q177" s="468"/>
      <c r="R177" s="483"/>
      <c r="S177" s="468"/>
      <c r="T177" s="468"/>
      <c r="U177" s="468"/>
      <c r="V177" s="468"/>
      <c r="W177" s="470"/>
      <c r="X177" s="470"/>
      <c r="Y177" s="470"/>
      <c r="Z177" s="470"/>
      <c r="AA177" s="470"/>
      <c r="AB177" s="470"/>
      <c r="AC177" s="470"/>
      <c r="AD177" s="470"/>
      <c r="AE177" s="468"/>
      <c r="AF177" s="468"/>
      <c r="AG177" s="468"/>
      <c r="AH177" s="468"/>
      <c r="AI177" s="468"/>
      <c r="AJ177" s="468"/>
      <c r="AK177" s="468"/>
      <c r="AL177" s="468"/>
      <c r="AM177" s="468"/>
      <c r="AN177" s="468"/>
      <c r="AO177" s="468"/>
      <c r="AP177" s="468"/>
      <c r="AQ177" s="468"/>
      <c r="AR177" s="468"/>
      <c r="AS177" s="468"/>
      <c r="AT177" s="468"/>
      <c r="AU177" s="468"/>
      <c r="AV177" s="468"/>
      <c r="AW177" s="468"/>
      <c r="AX177" s="468"/>
      <c r="AY177" s="468"/>
      <c r="AZ177" s="468"/>
      <c r="BA177" s="468"/>
      <c r="BB177" s="468"/>
      <c r="BC177" s="468"/>
      <c r="BD177" s="468"/>
      <c r="BE177" s="468"/>
      <c r="BF177" s="468"/>
      <c r="BG177" s="1556"/>
      <c r="BH177" s="468"/>
      <c r="BI177" s="468"/>
      <c r="BJ177" s="468"/>
      <c r="BK177" s="468"/>
      <c r="BL177" s="468"/>
      <c r="BM177" s="468"/>
      <c r="BN177" s="468"/>
      <c r="BO177" s="468"/>
      <c r="BP177" s="468"/>
    </row>
    <row r="178" spans="1:69" ht="20.25" customHeight="1" thickBot="1">
      <c r="A178" s="2413" t="s">
        <v>263</v>
      </c>
      <c r="B178" s="2413"/>
      <c r="C178" s="2413"/>
      <c r="D178" s="1354"/>
      <c r="E178" s="1559" t="s">
        <v>673</v>
      </c>
      <c r="F178" s="1559"/>
      <c r="G178" s="1559"/>
      <c r="H178" s="1559"/>
      <c r="I178" s="1559"/>
      <c r="J178" s="1559"/>
      <c r="K178" s="468"/>
      <c r="L178" s="468"/>
      <c r="M178" s="468"/>
      <c r="N178" s="468"/>
      <c r="O178" s="468"/>
      <c r="P178" s="468"/>
      <c r="Q178" s="468"/>
      <c r="R178" s="483"/>
      <c r="S178" s="468"/>
      <c r="T178" s="468"/>
      <c r="U178" s="468"/>
      <c r="V178" s="468"/>
      <c r="W178" s="470"/>
      <c r="X178" s="470"/>
      <c r="Y178" s="470"/>
      <c r="Z178" s="470"/>
      <c r="AA178" s="470"/>
      <c r="AB178" s="470"/>
      <c r="AC178" s="470"/>
      <c r="AD178" s="470"/>
      <c r="AE178" s="468"/>
      <c r="AF178" s="468"/>
      <c r="AG178" s="468"/>
      <c r="AH178" s="468"/>
      <c r="AI178" s="468"/>
      <c r="AJ178" s="468"/>
      <c r="AK178" s="468"/>
      <c r="AL178" s="468"/>
      <c r="AM178" s="468"/>
      <c r="AN178" s="468"/>
      <c r="AO178" s="468"/>
      <c r="AP178" s="468"/>
      <c r="AQ178" s="468"/>
      <c r="AR178" s="468"/>
      <c r="AS178" s="468"/>
      <c r="AT178" s="468"/>
      <c r="AU178" s="468"/>
      <c r="AV178" s="468"/>
      <c r="AW178" s="468"/>
      <c r="AX178" s="468"/>
      <c r="AY178" s="468"/>
      <c r="AZ178" s="468"/>
      <c r="BA178" s="468"/>
      <c r="BB178" s="468"/>
      <c r="BC178" s="468"/>
      <c r="BD178" s="468"/>
      <c r="BE178" s="468"/>
      <c r="BF178" s="468"/>
      <c r="BG178" s="1556"/>
      <c r="BH178" s="468"/>
      <c r="BI178" s="468"/>
      <c r="BJ178" s="468"/>
      <c r="BK178" s="468"/>
      <c r="BL178" s="468"/>
      <c r="BM178" s="468"/>
      <c r="BN178" s="468"/>
      <c r="BO178" s="468"/>
      <c r="BP178" s="468"/>
    </row>
    <row r="179" spans="1:69" ht="20.25" customHeight="1">
      <c r="A179" s="1431" t="s">
        <v>234</v>
      </c>
      <c r="B179" s="1431"/>
      <c r="C179" s="1431"/>
      <c r="D179" s="1432"/>
      <c r="E179" s="1433"/>
      <c r="F179" s="578"/>
      <c r="G179" s="578"/>
      <c r="H179" s="578"/>
      <c r="I179" s="578"/>
      <c r="J179" s="578"/>
      <c r="K179" s="468"/>
      <c r="L179" s="468"/>
      <c r="M179" s="468"/>
      <c r="N179" s="468"/>
      <c r="O179" s="468"/>
      <c r="P179" s="468"/>
      <c r="Q179" s="468"/>
      <c r="R179" s="483"/>
      <c r="S179" s="468"/>
      <c r="T179" s="468"/>
      <c r="U179" s="468"/>
      <c r="V179" s="468"/>
      <c r="W179" s="470"/>
      <c r="X179" s="470"/>
      <c r="Y179" s="470"/>
      <c r="Z179" s="470"/>
      <c r="AA179" s="470"/>
      <c r="AB179" s="470"/>
      <c r="AC179" s="470"/>
      <c r="AD179" s="470"/>
      <c r="AE179" s="468"/>
      <c r="AF179" s="468"/>
      <c r="AG179" s="468"/>
      <c r="AH179" s="468"/>
      <c r="AI179" s="468"/>
      <c r="AJ179" s="468"/>
      <c r="AK179" s="468"/>
      <c r="AL179" s="468"/>
      <c r="AM179" s="468"/>
      <c r="AN179" s="468"/>
      <c r="AO179" s="468"/>
      <c r="AP179" s="468"/>
      <c r="AQ179" s="468"/>
      <c r="AR179" s="468"/>
      <c r="AS179" s="468"/>
      <c r="AT179" s="468"/>
      <c r="AU179" s="468"/>
      <c r="AV179" s="468"/>
      <c r="AW179" s="468"/>
      <c r="AX179" s="468"/>
      <c r="AY179" s="468"/>
      <c r="AZ179" s="468"/>
      <c r="BA179" s="468"/>
      <c r="BB179" s="468"/>
      <c r="BC179" s="468"/>
      <c r="BD179" s="468"/>
      <c r="BE179" s="468"/>
      <c r="BF179" s="468"/>
      <c r="BG179" s="1556"/>
      <c r="BH179" s="468"/>
      <c r="BI179" s="468"/>
      <c r="BJ179" s="468"/>
      <c r="BK179" s="468"/>
      <c r="BL179" s="468"/>
      <c r="BM179" s="468"/>
      <c r="BN179" s="468"/>
      <c r="BO179" s="468"/>
      <c r="BP179" s="468"/>
    </row>
    <row r="180" spans="1:69" ht="20.25" customHeight="1">
      <c r="A180" s="1458" t="s">
        <v>264</v>
      </c>
      <c r="B180" s="1458"/>
      <c r="C180" s="1458"/>
      <c r="D180" s="1459"/>
      <c r="E180" s="1560" t="s">
        <v>767</v>
      </c>
      <c r="F180" s="468"/>
      <c r="G180" s="468"/>
      <c r="H180" s="468"/>
      <c r="I180" s="468"/>
      <c r="J180" s="468"/>
      <c r="K180" s="468"/>
      <c r="L180" s="468"/>
      <c r="M180" s="468"/>
      <c r="N180" s="468"/>
      <c r="O180" s="468"/>
      <c r="P180" s="468"/>
      <c r="Q180" s="468"/>
      <c r="R180" s="483"/>
      <c r="S180" s="468"/>
      <c r="T180" s="468"/>
      <c r="U180" s="468"/>
      <c r="V180" s="468"/>
      <c r="W180" s="470"/>
      <c r="X180" s="470"/>
      <c r="Y180" s="470"/>
      <c r="Z180" s="470"/>
      <c r="AA180" s="470"/>
      <c r="AB180" s="470"/>
      <c r="AC180" s="470"/>
      <c r="AD180" s="470"/>
      <c r="AE180" s="468"/>
      <c r="AF180" s="468"/>
      <c r="AG180" s="468"/>
      <c r="AH180" s="468"/>
      <c r="AI180" s="468"/>
      <c r="AJ180" s="468"/>
      <c r="AK180" s="468"/>
      <c r="AL180" s="468"/>
      <c r="AM180" s="468"/>
      <c r="AN180" s="468"/>
      <c r="AO180" s="468"/>
      <c r="AP180" s="468"/>
      <c r="AQ180" s="468"/>
      <c r="AR180" s="468"/>
      <c r="AS180" s="468"/>
      <c r="AT180" s="468"/>
      <c r="AU180" s="468"/>
      <c r="AV180" s="468"/>
      <c r="AW180" s="468"/>
      <c r="AX180" s="468"/>
      <c r="AY180" s="468"/>
      <c r="AZ180" s="468"/>
      <c r="BA180" s="468"/>
      <c r="BB180" s="468"/>
      <c r="BC180" s="468"/>
      <c r="BD180" s="468"/>
      <c r="BE180" s="468"/>
      <c r="BF180" s="468"/>
      <c r="BG180" s="1556"/>
      <c r="BH180" s="468"/>
      <c r="BI180" s="468"/>
      <c r="BJ180" s="468"/>
      <c r="BK180" s="468"/>
      <c r="BL180" s="468"/>
      <c r="BM180" s="468"/>
      <c r="BN180" s="468"/>
      <c r="BO180" s="468"/>
      <c r="BP180" s="468"/>
    </row>
    <row r="181" spans="1:69">
      <c r="A181" s="468"/>
      <c r="B181" s="468"/>
      <c r="C181" s="468"/>
      <c r="D181" s="655"/>
      <c r="E181" s="655"/>
      <c r="F181" s="468"/>
      <c r="G181" s="468"/>
      <c r="H181" s="468"/>
      <c r="I181" s="468"/>
      <c r="J181" s="468"/>
      <c r="K181" s="468"/>
      <c r="L181" s="468"/>
      <c r="M181" s="468"/>
      <c r="N181" s="468"/>
      <c r="O181" s="468"/>
      <c r="P181" s="468"/>
      <c r="Q181" s="468"/>
      <c r="R181" s="468"/>
      <c r="S181" s="468"/>
      <c r="T181" s="468"/>
      <c r="U181" s="468"/>
      <c r="V181" s="468"/>
      <c r="W181" s="468"/>
      <c r="X181" s="468"/>
      <c r="Y181" s="468"/>
      <c r="Z181" s="468"/>
      <c r="AA181" s="468"/>
      <c r="AB181" s="468"/>
      <c r="AC181" s="468"/>
      <c r="AD181" s="468"/>
      <c r="AE181" s="468"/>
      <c r="AF181" s="468"/>
      <c r="AG181" s="468"/>
      <c r="AH181" s="468"/>
      <c r="AI181" s="468"/>
      <c r="AJ181" s="468"/>
      <c r="AK181" s="468"/>
      <c r="AL181" s="468"/>
      <c r="AM181" s="468"/>
      <c r="AN181" s="468"/>
      <c r="AO181" s="468"/>
      <c r="AP181" s="468"/>
      <c r="AQ181" s="1475" t="s">
        <v>265</v>
      </c>
      <c r="AR181" s="1475"/>
      <c r="AS181" s="1475"/>
      <c r="AT181" s="1475"/>
      <c r="AU181" s="1475"/>
      <c r="AV181" s="1475"/>
      <c r="AW181" s="1475"/>
      <c r="AX181" s="1475"/>
      <c r="AY181" s="1475"/>
      <c r="AZ181" s="1475"/>
      <c r="BA181" s="468"/>
      <c r="BB181" s="468"/>
      <c r="BC181" s="468"/>
      <c r="BD181" s="468"/>
      <c r="BE181" s="468"/>
      <c r="BF181" s="468"/>
      <c r="BG181" s="1556"/>
      <c r="BH181" s="468"/>
      <c r="BI181" s="468"/>
      <c r="BJ181" s="468"/>
      <c r="BK181" s="468"/>
      <c r="BL181" s="468"/>
      <c r="BM181" s="468"/>
      <c r="BN181" s="468"/>
      <c r="BO181" s="468"/>
      <c r="BP181" s="468"/>
    </row>
    <row r="182" spans="1:69" ht="18.75">
      <c r="A182" s="1152" t="s">
        <v>266</v>
      </c>
      <c r="B182" s="1153"/>
      <c r="C182" s="1153"/>
      <c r="D182" s="1360"/>
      <c r="E182" s="1360"/>
      <c r="F182" s="1153"/>
      <c r="G182" s="1153"/>
      <c r="H182" s="1153"/>
      <c r="I182" s="1153"/>
      <c r="J182" s="1153"/>
      <c r="K182" s="1153"/>
      <c r="L182" s="1153"/>
      <c r="M182" s="1153"/>
      <c r="N182" s="1153"/>
      <c r="O182" s="1153"/>
      <c r="P182" s="1153"/>
      <c r="Q182" s="1153"/>
      <c r="R182" s="1153"/>
      <c r="S182" s="1153"/>
      <c r="T182" s="1153"/>
      <c r="U182" s="1153"/>
      <c r="V182" s="1153"/>
      <c r="W182" s="1153"/>
      <c r="X182" s="1153"/>
      <c r="Y182" s="1153"/>
      <c r="Z182" s="1153"/>
      <c r="AA182" s="1153"/>
      <c r="AB182" s="1153"/>
      <c r="AC182" s="1153"/>
      <c r="AD182" s="1153"/>
      <c r="AE182" s="1153"/>
      <c r="AF182" s="1153"/>
      <c r="AG182" s="1153"/>
      <c r="AH182" s="1153"/>
      <c r="AI182" s="1153"/>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590"/>
      <c r="BH182" s="1153"/>
      <c r="BI182" s="1153"/>
      <c r="BJ182" s="1153"/>
      <c r="BK182" s="1153"/>
      <c r="BL182" s="1153"/>
      <c r="BM182" s="1153"/>
    </row>
    <row r="183" spans="1:69" ht="15.75" thickBot="1">
      <c r="A183" s="1028"/>
      <c r="B183" s="468"/>
      <c r="C183" s="484"/>
      <c r="D183" s="1361"/>
      <c r="E183" s="1361"/>
      <c r="F183" s="483"/>
      <c r="G183" s="483"/>
      <c r="H183" s="483"/>
      <c r="I183" s="484"/>
      <c r="J183" s="483"/>
      <c r="K183" s="483"/>
      <c r="L183" s="483"/>
      <c r="M183" s="483"/>
      <c r="N183" s="485"/>
      <c r="O183" s="469"/>
      <c r="P183" s="469"/>
      <c r="Q183" s="469"/>
      <c r="R183" s="469"/>
      <c r="S183" s="469"/>
      <c r="T183" s="469"/>
      <c r="U183" s="469"/>
      <c r="V183" s="483"/>
      <c r="W183" s="469"/>
      <c r="X183" s="483"/>
      <c r="Y183" s="483"/>
      <c r="Z183" s="483"/>
      <c r="AA183" s="483"/>
      <c r="AB183" s="469"/>
      <c r="AC183" s="469"/>
      <c r="AD183" s="469"/>
      <c r="AE183" s="2416" t="s">
        <v>267</v>
      </c>
      <c r="AF183" s="2417"/>
      <c r="AG183" s="2417"/>
      <c r="AH183" s="2416"/>
      <c r="AI183" s="2417"/>
      <c r="AJ183" s="2417"/>
      <c r="AK183" s="469"/>
      <c r="AL183" s="469"/>
      <c r="AM183" s="469"/>
      <c r="AN183" s="469"/>
      <c r="AO183" s="469"/>
      <c r="AP183" s="469"/>
      <c r="AQ183" s="2472" t="s">
        <v>268</v>
      </c>
      <c r="AR183" s="2472"/>
      <c r="AS183" s="2473"/>
      <c r="AT183" s="2473"/>
      <c r="AU183" s="2473"/>
      <c r="AV183" s="2473"/>
      <c r="AW183" s="2473"/>
      <c r="AY183" s="2121"/>
      <c r="AZ183" s="2121"/>
      <c r="BA183" s="2121"/>
      <c r="BB183" s="2121"/>
      <c r="BC183" s="2121"/>
      <c r="BD183" s="2121"/>
      <c r="BE183" s="2121"/>
      <c r="BF183" s="2121"/>
      <c r="BG183" s="2122"/>
      <c r="BH183" s="2121"/>
      <c r="BI183" s="2121"/>
      <c r="BJ183" s="2121"/>
      <c r="BK183" s="2121"/>
      <c r="BL183" s="2121"/>
      <c r="BM183" s="2121"/>
    </row>
    <row r="184" spans="1:69" s="1" customFormat="1" ht="67.5" customHeight="1" thickBot="1">
      <c r="A184" s="485"/>
      <c r="B184" s="975" t="s">
        <v>269</v>
      </c>
      <c r="C184" s="484"/>
      <c r="D184" s="975" t="s">
        <v>270</v>
      </c>
      <c r="E184" s="487"/>
      <c r="F184" s="975" t="str">
        <f>IF(E172="Yes","Input Notional Amounts also in this column for IO Strips.  The IO Strip note classification will exclude it from the grand totals","")</f>
        <v/>
      </c>
      <c r="G184" s="487"/>
      <c r="H184" s="487"/>
      <c r="I184" s="487"/>
      <c r="J184" s="975" t="str">
        <f>IF(E172="Yes","Input notional amounts here for IO Strips.  The IO Strip note classification will exclude it from the grand totals","")</f>
        <v/>
      </c>
      <c r="K184" s="1362"/>
      <c r="L184" s="975" t="s">
        <v>271</v>
      </c>
      <c r="M184" s="975" t="s">
        <v>272</v>
      </c>
      <c r="N184" s="975" t="s">
        <v>273</v>
      </c>
      <c r="O184" s="1733" t="s">
        <v>274</v>
      </c>
      <c r="P184" s="975" t="s">
        <v>275</v>
      </c>
      <c r="Q184" s="975" t="str">
        <f>E168&amp;" day(s) of stub interest"</f>
        <v>30 day(s) of stub interest</v>
      </c>
      <c r="R184" s="975" t="s">
        <v>276</v>
      </c>
      <c r="S184" s="487"/>
      <c r="T184" s="975" t="s">
        <v>277</v>
      </c>
      <c r="U184" s="487"/>
      <c r="V184" s="2466">
        <f>+'Funding Instruction - Aflac US'!F24</f>
        <v>5.0000000000000001E-3</v>
      </c>
      <c r="W184" s="975" t="s">
        <v>278</v>
      </c>
      <c r="X184" s="975" t="s">
        <v>279</v>
      </c>
      <c r="Y184" s="975" t="s">
        <v>280</v>
      </c>
      <c r="Z184" s="1465" t="s">
        <v>281</v>
      </c>
      <c r="AA184" s="2218"/>
      <c r="AB184" s="1312" t="s">
        <v>282</v>
      </c>
      <c r="AC184" s="2123" t="s">
        <v>283</v>
      </c>
      <c r="AE184" s="709" t="s">
        <v>284</v>
      </c>
      <c r="AF184" s="710" t="s">
        <v>285</v>
      </c>
      <c r="AG184" s="710" t="s">
        <v>286</v>
      </c>
      <c r="AH184" s="710" t="s">
        <v>287</v>
      </c>
      <c r="AI184" s="710" t="s">
        <v>288</v>
      </c>
      <c r="AJ184" s="710" t="s">
        <v>289</v>
      </c>
      <c r="AK184" s="710" t="s">
        <v>290</v>
      </c>
      <c r="AL184" s="710" t="s">
        <v>291</v>
      </c>
      <c r="AM184" s="1576" t="s">
        <v>292</v>
      </c>
      <c r="AN184" s="1577" t="s">
        <v>293</v>
      </c>
      <c r="AO184" s="711" t="s">
        <v>294</v>
      </c>
      <c r="AQ184" s="1484" t="s">
        <v>284</v>
      </c>
      <c r="AR184" s="1485"/>
      <c r="AS184" s="1484" t="s">
        <v>285</v>
      </c>
      <c r="AT184" s="1485"/>
      <c r="AU184" s="1483" t="s">
        <v>286</v>
      </c>
      <c r="AV184" s="1485"/>
      <c r="AW184" s="1483" t="s">
        <v>287</v>
      </c>
      <c r="AX184" s="1485"/>
      <c r="AY184" s="1484" t="s">
        <v>288</v>
      </c>
      <c r="AZ184" s="1485"/>
      <c r="BA184" s="1483" t="s">
        <v>289</v>
      </c>
      <c r="BB184" s="1498"/>
      <c r="BC184" s="1960" t="s">
        <v>290</v>
      </c>
      <c r="BD184" s="1960"/>
      <c r="BE184" s="1483" t="s">
        <v>295</v>
      </c>
      <c r="BF184" s="1499"/>
      <c r="BG184" s="1591" t="s">
        <v>291</v>
      </c>
      <c r="BH184" s="1498"/>
      <c r="BI184" s="1500" t="s">
        <v>292</v>
      </c>
      <c r="BJ184" s="1501"/>
      <c r="BK184" s="1496" t="s">
        <v>293</v>
      </c>
      <c r="BL184" s="1497"/>
      <c r="BM184" s="1502" t="s">
        <v>294</v>
      </c>
      <c r="BQ184" s="1418"/>
    </row>
    <row r="185" spans="1:69" ht="75.75" thickBot="1">
      <c r="A185" s="651" t="s">
        <v>296</v>
      </c>
      <c r="B185" s="652" t="s">
        <v>297</v>
      </c>
      <c r="C185" s="652" t="s">
        <v>298</v>
      </c>
      <c r="D185" s="652" t="s">
        <v>299</v>
      </c>
      <c r="E185" s="652" t="s">
        <v>300</v>
      </c>
      <c r="F185" s="652" t="str">
        <f>IF(E172="Yes","Initial Loan Advance Amount/ Notional Advance Amount","Initial Loan Advance Amount")</f>
        <v>Initial Loan Advance Amount</v>
      </c>
      <c r="G185" s="652" t="s">
        <v>301</v>
      </c>
      <c r="H185" s="652" t="s">
        <v>302</v>
      </c>
      <c r="I185" s="652" t="s">
        <v>303</v>
      </c>
      <c r="J185" s="652" t="s">
        <v>304</v>
      </c>
      <c r="K185" s="652" t="s">
        <v>305</v>
      </c>
      <c r="L185" s="652" t="s">
        <v>196</v>
      </c>
      <c r="M185" s="652" t="s">
        <v>306</v>
      </c>
      <c r="N185" s="652" t="s">
        <v>307</v>
      </c>
      <c r="O185" s="652" t="str">
        <f>IF(E148="Yes","Interest Rate","Initial Interest Rate")</f>
        <v>Initial Interest Rate</v>
      </c>
      <c r="P185" s="652" t="s">
        <v>308</v>
      </c>
      <c r="Q185" s="652" t="s">
        <v>309</v>
      </c>
      <c r="R185" s="652" t="s">
        <v>310</v>
      </c>
      <c r="S185" s="652" t="s">
        <v>311</v>
      </c>
      <c r="T185" s="652" t="s">
        <v>240</v>
      </c>
      <c r="U185" s="652" t="s">
        <v>312</v>
      </c>
      <c r="V185" s="774" t="s">
        <v>313</v>
      </c>
      <c r="W185" s="774" t="s">
        <v>314</v>
      </c>
      <c r="X185" s="774" t="s">
        <v>315</v>
      </c>
      <c r="Y185" s="652" t="s">
        <v>316</v>
      </c>
      <c r="Z185" s="652" t="s">
        <v>317</v>
      </c>
      <c r="AA185" s="2219" t="s">
        <v>318</v>
      </c>
      <c r="AB185" s="1976" t="s">
        <v>319</v>
      </c>
      <c r="AC185" s="2124" t="s">
        <v>320</v>
      </c>
      <c r="AD185" s="1474" t="s">
        <v>321</v>
      </c>
      <c r="AE185" s="1578">
        <v>0</v>
      </c>
      <c r="AF185" s="1579">
        <v>0</v>
      </c>
      <c r="AG185" s="1579">
        <v>0</v>
      </c>
      <c r="AH185" s="1579">
        <v>0</v>
      </c>
      <c r="AI185" s="1579">
        <v>0</v>
      </c>
      <c r="AJ185" s="1579">
        <v>0</v>
      </c>
      <c r="AK185" s="1579">
        <v>0</v>
      </c>
      <c r="AL185" s="1579">
        <v>0</v>
      </c>
      <c r="AM185" s="1579">
        <v>0</v>
      </c>
      <c r="AN185" s="1580">
        <v>0</v>
      </c>
      <c r="AO185" s="1581">
        <f t="shared" ref="AO185:AO216" si="2">SUM(AE185:AN185)</f>
        <v>0</v>
      </c>
      <c r="AP185" s="712" t="str">
        <f>IF(AO185&lt;&gt;100%,"&lt;&lt; PARTICIPATION % MUST EQUAL 100%","&lt;&lt; Balances to 100%")</f>
        <v>&lt;&lt; PARTICIPATION % MUST EQUAL 100%</v>
      </c>
      <c r="AQ185" s="1488" t="s">
        <v>322</v>
      </c>
      <c r="AR185" s="1489" t="s">
        <v>323</v>
      </c>
      <c r="AS185" s="1488" t="s">
        <v>322</v>
      </c>
      <c r="AT185" s="1489" t="s">
        <v>323</v>
      </c>
      <c r="AU185" s="1490" t="s">
        <v>322</v>
      </c>
      <c r="AV185" s="1491" t="s">
        <v>323</v>
      </c>
      <c r="AW185" s="1490" t="s">
        <v>322</v>
      </c>
      <c r="AX185" s="1491" t="s">
        <v>323</v>
      </c>
      <c r="AY185" s="1490" t="s">
        <v>322</v>
      </c>
      <c r="AZ185" s="1491" t="s">
        <v>323</v>
      </c>
      <c r="BA185" s="1493" t="s">
        <v>322</v>
      </c>
      <c r="BB185" s="1494" t="s">
        <v>323</v>
      </c>
      <c r="BC185" s="1493" t="s">
        <v>322</v>
      </c>
      <c r="BD185" s="1494" t="s">
        <v>323</v>
      </c>
      <c r="BE185" s="1490" t="s">
        <v>322</v>
      </c>
      <c r="BF185" s="1495" t="s">
        <v>323</v>
      </c>
      <c r="BG185" s="1592" t="s">
        <v>322</v>
      </c>
      <c r="BH185" s="1491" t="s">
        <v>323</v>
      </c>
      <c r="BI185" s="1490" t="s">
        <v>322</v>
      </c>
      <c r="BJ185" s="1491" t="s">
        <v>323</v>
      </c>
      <c r="BK185" s="1490" t="s">
        <v>322</v>
      </c>
      <c r="BL185" s="1491" t="s">
        <v>323</v>
      </c>
      <c r="BM185" s="2125" t="s">
        <v>323</v>
      </c>
      <c r="BN185" s="712"/>
      <c r="BQ185" s="1419"/>
    </row>
    <row r="186" spans="1:69" ht="30.75" customHeight="1" thickBot="1">
      <c r="A186" s="1561" t="s">
        <v>487</v>
      </c>
      <c r="B186" s="488" t="str">
        <f>IF(A186="","",VLOOKUP(A186,'Drop Lists'!$AG$5:$AH$31,2,FALSE))</f>
        <v>TRE ACR</v>
      </c>
      <c r="C186" s="1562" t="s">
        <v>2476</v>
      </c>
      <c r="D186" s="1563" t="s">
        <v>697</v>
      </c>
      <c r="E186" s="488" t="str">
        <f>IF(D186="","",VLOOKUP(D186,'Drop Lists'!$BF$5:$BG$190,2,FALSE))</f>
        <v>Mortgage</v>
      </c>
      <c r="F186" s="1565">
        <v>64037354</v>
      </c>
      <c r="G186" s="490">
        <f t="shared" ref="G186:G215" si="3">IFERROR(IF(E186="I.O. Strip",0,F186/$F$216),0)</f>
        <v>0.28005050441108487</v>
      </c>
      <c r="H186" s="489">
        <f t="shared" ref="H186:H215" si="4">J186-F186</f>
        <v>21910146</v>
      </c>
      <c r="I186" s="490">
        <f t="shared" ref="I186:I215" si="5">IFERROR(IF(E186="I.O. Strip",0,H186/$H$216),0)</f>
        <v>0.28005050691935518</v>
      </c>
      <c r="J186" s="1566">
        <v>85947500</v>
      </c>
      <c r="K186" s="1363">
        <f>IFERROR(IF(E186="I.O. Strip",0,J186/$J$216),0)</f>
        <v>0.28005050505050505</v>
      </c>
      <c r="L186" s="492">
        <f>IF(J186=0,0,IF(D186="I.O. Strip",0,IF($E$148="Yes",$E$158,MAX($E$153,$E$154))))</f>
        <v>1.686E-2</v>
      </c>
      <c r="M186" s="1568">
        <f>IF(J186="","",IF($E$148="yes",VLOOKUP(E186,$K$163:$M$164,3,FALSE),0))</f>
        <v>0</v>
      </c>
      <c r="N186" s="1568"/>
      <c r="O186" s="492">
        <f>IF(F186=0,0,IF(E186="Preferred Equity",0,IF(E186="I.O. Strip",M186,IF($E$148="Yes",VLOOKUP(E186,$K$163:N164,4,FALSE),M186+L186))))</f>
        <v>1.686E-2</v>
      </c>
      <c r="P186" s="489">
        <f t="shared" ref="P186:P215" si="6">IF(F186=0,0,((F186*O186)/$E$167))</f>
        <v>2999.0827456666666</v>
      </c>
      <c r="Q186" s="489">
        <f t="shared" ref="Q186:Q215" si="7">ROUND(IF(P186=0,0,P186*$E$168),2)</f>
        <v>89972.479999999996</v>
      </c>
      <c r="R186" s="491" t="str">
        <f>IF(J186="","",(IF(F186=0,"No",VLOOKUP(B186,'Investor Profile'!$A$4:$C$14,3,FALSE))))</f>
        <v>No</v>
      </c>
      <c r="S186" s="493" t="str">
        <f t="shared" ref="S186:S215" si="8">IF(E186="I.O. Strip","",IF(J186=0,"",$E$171))</f>
        <v>Total Loan</v>
      </c>
      <c r="T186" s="1570">
        <f>IF(AB186="x",0,$E$170)</f>
        <v>0.01</v>
      </c>
      <c r="U186" s="489">
        <f t="shared" ref="U186:U215" si="9">(IF(AB186="x",0,T186*(IF(S186="Total Loan",J186,F186))))</f>
        <v>859475</v>
      </c>
      <c r="V186" s="1310">
        <f>IF(INPUT!A186="AFLAC US",F186*$V$184,IF(INPUT!A186="TRE ACR Portfolio",F186*$V$184,IF(INPUT!A186="TRE ACR Portfolio Series II",F186*$V$184,"")))</f>
        <v>320186.77</v>
      </c>
      <c r="W186" s="1310" t="str">
        <f>IF(J186=0,"",IF($F$216=0,"No",VLOOKUP(B186,'Investor Profile'!$A$4:$D$14,4,FALSE)))</f>
        <v>Yes</v>
      </c>
      <c r="X186" s="1571" t="s">
        <v>685</v>
      </c>
      <c r="Y186" s="1572">
        <v>1</v>
      </c>
      <c r="Z186" s="1563" t="s">
        <v>4178</v>
      </c>
      <c r="AA186" s="1563"/>
      <c r="AB186" s="1573" t="str">
        <f t="shared" ref="AB186:AB216" si="10">IF(E186="I.O. Strip","x","")</f>
        <v/>
      </c>
      <c r="AC186" s="1573"/>
      <c r="AE186" s="1468">
        <f t="shared" ref="AE186:AE215" si="11">ROUND(($AE$185*J186),2)</f>
        <v>0</v>
      </c>
      <c r="AF186" s="715">
        <f t="shared" ref="AF186:AF215" si="12">ROUND(($AF$185*J186),2)</f>
        <v>0</v>
      </c>
      <c r="AG186" s="715">
        <f t="shared" ref="AG186:AG215" si="13">ROUND(($AG$185*J186),2)</f>
        <v>0</v>
      </c>
      <c r="AH186" s="715">
        <f t="shared" ref="AH186:AH215" si="14">ROUND(($AH$185*J186),2)</f>
        <v>0</v>
      </c>
      <c r="AI186" s="715">
        <f t="shared" ref="AI186:AI215" si="15">ROUND(($AI$185*J186),2)</f>
        <v>0</v>
      </c>
      <c r="AJ186" s="715">
        <f t="shared" ref="AJ186:AJ215" si="16">ROUND(($AJ$185*J186),2)</f>
        <v>0</v>
      </c>
      <c r="AK186" s="715">
        <f t="shared" ref="AK186:AK215" si="17">ROUND(($AK$185*J186),2)</f>
        <v>0</v>
      </c>
      <c r="AL186" s="715">
        <f t="shared" ref="AL186:AL215" si="18">ROUND(($AL$185*J186),2)</f>
        <v>0</v>
      </c>
      <c r="AM186" s="715">
        <f t="shared" ref="AM186:AM215" si="19">ROUND(($AM$185*J186),2)</f>
        <v>0</v>
      </c>
      <c r="AN186" s="718">
        <f t="shared" ref="AN186:AN215" si="20">ROUND(($AN$185*J186),2)</f>
        <v>0</v>
      </c>
      <c r="AO186" s="1476">
        <f t="shared" si="2"/>
        <v>0</v>
      </c>
      <c r="AP186" s="714"/>
      <c r="AQ186" s="1585">
        <v>0</v>
      </c>
      <c r="AR186" s="1492">
        <f t="shared" ref="AR186:AR215" si="21">ROUND((AQ186*J186),2)</f>
        <v>0</v>
      </c>
      <c r="AS186" s="1585"/>
      <c r="AT186" s="2126">
        <f t="shared" ref="AT186:AT215" si="22">ROUND((AS186*J186),2)</f>
        <v>0</v>
      </c>
      <c r="AU186" s="1582"/>
      <c r="AV186" s="1492">
        <f t="shared" ref="AV186:AV215" si="23">ROUND((AU186*J186),2)</f>
        <v>0</v>
      </c>
      <c r="AW186" s="1585"/>
      <c r="AX186" s="1492">
        <f t="shared" ref="AX186:AX215" si="24">ROUND((AW186*J186),2)</f>
        <v>0</v>
      </c>
      <c r="AY186" s="1585"/>
      <c r="AZ186" s="1492">
        <f>ROUND((AY186*$J186),2)</f>
        <v>0</v>
      </c>
      <c r="BA186" s="1585"/>
      <c r="BB186" s="1486">
        <f>ROUND((BA186*$J186),2)</f>
        <v>0</v>
      </c>
      <c r="BC186" s="1585"/>
      <c r="BD186" s="1486">
        <f>ROUND((BC186*$J186),2)</f>
        <v>0</v>
      </c>
      <c r="BE186" s="1585"/>
      <c r="BF186" s="1486">
        <f>ROUND((BE186*$J186),2)</f>
        <v>0</v>
      </c>
      <c r="BG186" s="1585"/>
      <c r="BH186" s="1486">
        <f>ROUND((BG186*$J186),2)</f>
        <v>0</v>
      </c>
      <c r="BI186" s="1585"/>
      <c r="BJ186" s="1486">
        <f>ROUND((BI186*$J186),2)</f>
        <v>0</v>
      </c>
      <c r="BK186" s="1585"/>
      <c r="BL186" s="1486">
        <f>ROUND((BK186*$J186),2)</f>
        <v>0</v>
      </c>
      <c r="BM186" s="1503">
        <f>AR186+AT186+AV186+AX186+AZ186+BB186+BF186+BH186+BJ186+BL186</f>
        <v>0</v>
      </c>
      <c r="BN186" s="2127"/>
      <c r="BQ186" s="1419"/>
    </row>
    <row r="187" spans="1:69" ht="30.75" customHeight="1" thickBot="1">
      <c r="A187" s="1561" t="s">
        <v>487</v>
      </c>
      <c r="B187" s="488" t="str">
        <f>IF(A187="","",VLOOKUP(A187,'Drop Lists'!$AG$5:$AH$31,2,FALSE))</f>
        <v>TRE ACR</v>
      </c>
      <c r="C187" s="1562" t="s">
        <v>2476</v>
      </c>
      <c r="D187" s="1563" t="s">
        <v>780</v>
      </c>
      <c r="E187" s="488" t="str">
        <f>IF(D187="","",VLOOKUP(D187,'Drop Lists'!$BF$5:$BG$190,2,FALSE))</f>
        <v>Mortgage</v>
      </c>
      <c r="F187" s="1565">
        <v>15818990</v>
      </c>
      <c r="G187" s="490">
        <f t="shared" si="3"/>
        <v>6.91801870635365E-2</v>
      </c>
      <c r="H187" s="489">
        <f t="shared" si="4"/>
        <v>6361010</v>
      </c>
      <c r="I187" s="490">
        <f t="shared" si="5"/>
        <v>8.1304984230551783E-2</v>
      </c>
      <c r="J187" s="1566">
        <v>22180000</v>
      </c>
      <c r="K187" s="1363">
        <f t="shared" ref="K187:K215" si="25">IFERROR(IF(E187="I.O. Strip",0,J187/$J$216),0)</f>
        <v>7.2271098077549695E-2</v>
      </c>
      <c r="L187" s="492">
        <f t="shared" ref="L187:L215" si="26">IF(J187=0,0,IF(D187="I.O. Strip",0,IF($E$148="Yes",$E$158,MAX($E$153,$E$154))))</f>
        <v>1.686E-2</v>
      </c>
      <c r="M187" s="1568">
        <f>IF(J187="","",IF($E$148="yes",VLOOKUP(E187,$K$163:$M$164,3,FALSE),0))</f>
        <v>0</v>
      </c>
      <c r="N187" s="1568"/>
      <c r="O187" s="492">
        <f>IF(F187=0,0,IF(E187="Preferred Equity",0,IF(E187="I.O. Strip",M187,IF($E$148="Yes",VLOOKUP(E187,$K$163:N165,4,FALSE),M187+L187))))</f>
        <v>1.686E-2</v>
      </c>
      <c r="P187" s="489">
        <f t="shared" si="6"/>
        <v>740.85603166666669</v>
      </c>
      <c r="Q187" s="489">
        <f t="shared" si="7"/>
        <v>22225.68</v>
      </c>
      <c r="R187" s="491" t="str">
        <f>IF(J187="","",(IF(F187=0,"No",VLOOKUP(B187,'Investor Profile'!$A$4:$C$14,3,FALSE))))</f>
        <v>No</v>
      </c>
      <c r="S187" s="493" t="str">
        <f t="shared" si="8"/>
        <v>Total Loan</v>
      </c>
      <c r="T187" s="1570">
        <f t="shared" ref="T187:T215" si="27">IF(AB187="x",0,$E$170)</f>
        <v>0.01</v>
      </c>
      <c r="U187" s="489">
        <f t="shared" si="9"/>
        <v>221800</v>
      </c>
      <c r="V187" s="1310">
        <f>IF(INPUT!A187="AFLAC US",F187*$V$184,IF(INPUT!A187="TRE ACR Portfolio",F187*$V$184,IF(INPUT!A187="TRE ACR Portfolio Series II",F187*$V$184,"")))</f>
        <v>79094.95</v>
      </c>
      <c r="W187" s="1310" t="str">
        <f>IF(J187=0,"",IF($F$216=0,"No",VLOOKUP(B187,'Investor Profile'!$A$4:$D$14,4,FALSE)))</f>
        <v>Yes</v>
      </c>
      <c r="X187" s="1571" t="s">
        <v>685</v>
      </c>
      <c r="Y187" s="1572">
        <v>2</v>
      </c>
      <c r="Z187" s="1563" t="s">
        <v>4179</v>
      </c>
      <c r="AA187" s="1563"/>
      <c r="AB187" s="1574" t="str">
        <f t="shared" si="10"/>
        <v/>
      </c>
      <c r="AC187" s="1574"/>
      <c r="AE187" s="1469">
        <f t="shared" si="11"/>
        <v>0</v>
      </c>
      <c r="AF187" s="716">
        <f t="shared" si="12"/>
        <v>0</v>
      </c>
      <c r="AG187" s="716">
        <f t="shared" si="13"/>
        <v>0</v>
      </c>
      <c r="AH187" s="716">
        <f t="shared" si="14"/>
        <v>0</v>
      </c>
      <c r="AI187" s="716">
        <f t="shared" si="15"/>
        <v>0</v>
      </c>
      <c r="AJ187" s="716">
        <f t="shared" si="16"/>
        <v>0</v>
      </c>
      <c r="AK187" s="716">
        <f t="shared" si="17"/>
        <v>0</v>
      </c>
      <c r="AL187" s="716">
        <f t="shared" si="18"/>
        <v>0</v>
      </c>
      <c r="AM187" s="716">
        <f t="shared" si="19"/>
        <v>0</v>
      </c>
      <c r="AN187" s="719">
        <f t="shared" si="20"/>
        <v>0</v>
      </c>
      <c r="AO187" s="1477">
        <f t="shared" si="2"/>
        <v>0</v>
      </c>
      <c r="AP187" s="714"/>
      <c r="AQ187" s="1586"/>
      <c r="AR187" s="1486">
        <f t="shared" si="21"/>
        <v>0</v>
      </c>
      <c r="AS187" s="1586"/>
      <c r="AT187" s="2128">
        <f t="shared" si="22"/>
        <v>0</v>
      </c>
      <c r="AU187" s="1583"/>
      <c r="AV187" s="1486">
        <f t="shared" si="23"/>
        <v>0</v>
      </c>
      <c r="AW187" s="1586"/>
      <c r="AX187" s="1486">
        <f t="shared" si="24"/>
        <v>0</v>
      </c>
      <c r="AY187" s="1586"/>
      <c r="AZ187" s="1486">
        <f t="shared" ref="AZ187:AZ215" si="28">ROUND((AY187*J187),2)</f>
        <v>0</v>
      </c>
      <c r="BA187" s="1586"/>
      <c r="BB187" s="1486">
        <f>ROUND((BA187*$J187),2)</f>
        <v>0</v>
      </c>
      <c r="BC187" s="1586"/>
      <c r="BD187" s="1486">
        <f>ROUND((BC187*$J187),2)</f>
        <v>0</v>
      </c>
      <c r="BE187" s="1586"/>
      <c r="BF187" s="1486">
        <f>ROUND((BE187*$J187),2)</f>
        <v>0</v>
      </c>
      <c r="BG187" s="1586"/>
      <c r="BH187" s="1486">
        <f>ROUND((BG187*$J187),2)</f>
        <v>0</v>
      </c>
      <c r="BI187" s="1586"/>
      <c r="BJ187" s="1486">
        <f>ROUND((BI187*$J187),2)</f>
        <v>0</v>
      </c>
      <c r="BK187" s="1586"/>
      <c r="BL187" s="1486">
        <f>ROUND((BK187*$J187),2)</f>
        <v>0</v>
      </c>
      <c r="BM187" s="1504">
        <f t="shared" ref="BM187:BM216" si="29">AR187+AT187+AV187+AX187+AZ187+BB187+BF187+BH187+BJ187+BL187</f>
        <v>0</v>
      </c>
      <c r="BN187" s="2127"/>
      <c r="BQ187" s="1419"/>
    </row>
    <row r="188" spans="1:69" ht="30.75" customHeight="1" thickBot="1">
      <c r="A188" s="1561" t="s">
        <v>487</v>
      </c>
      <c r="B188" s="488" t="str">
        <f>IF(A188="","",VLOOKUP(A188,'Drop Lists'!$AG$5:$AH$31,2,FALSE))</f>
        <v>TRE ACR</v>
      </c>
      <c r="C188" s="1562" t="s">
        <v>2476</v>
      </c>
      <c r="D188" s="1563" t="s">
        <v>1287</v>
      </c>
      <c r="E188" s="488" t="str">
        <f>IF(D188="","",VLOOKUP(D188,'Drop Lists'!$BF$5:$BG$190,2,FALSE))</f>
        <v>Mezzanine</v>
      </c>
      <c r="F188" s="1565">
        <v>2772500</v>
      </c>
      <c r="G188" s="490">
        <f t="shared" si="3"/>
        <v>1.2124798652357384E-2</v>
      </c>
      <c r="H188" s="489">
        <f t="shared" si="4"/>
        <v>0</v>
      </c>
      <c r="I188" s="490">
        <f t="shared" si="5"/>
        <v>0</v>
      </c>
      <c r="J188" s="1566">
        <v>2772500</v>
      </c>
      <c r="K188" s="1363">
        <f t="shared" si="25"/>
        <v>9.0338872596937118E-3</v>
      </c>
      <c r="L188" s="492">
        <f t="shared" si="26"/>
        <v>1.686E-2</v>
      </c>
      <c r="M188" s="1568">
        <f t="shared" ref="M188:M215" si="30">IF(J188="","",IF($E$148="yes",VLOOKUP(E188,$K$163:$M$164,3,FALSE),0))</f>
        <v>0</v>
      </c>
      <c r="N188" s="1568"/>
      <c r="O188" s="492">
        <f>IF(F188=0,0,IF(E188="Preferred Equity",0,IF(E188="I.O. Strip",M188,IF($E$148="Yes",VLOOKUP(E188,$K$163:N166,4,FALSE),M188+L188))))</f>
        <v>1.686E-2</v>
      </c>
      <c r="P188" s="489">
        <f t="shared" si="6"/>
        <v>129.84541666666667</v>
      </c>
      <c r="Q188" s="489">
        <f t="shared" si="7"/>
        <v>3895.36</v>
      </c>
      <c r="R188" s="491" t="str">
        <f>IF(J188="","",(IF(F188=0,"No",VLOOKUP(B188,'Investor Profile'!$A$4:$C$14,3,FALSE))))</f>
        <v>No</v>
      </c>
      <c r="S188" s="493" t="str">
        <f t="shared" si="8"/>
        <v>Total Loan</v>
      </c>
      <c r="T188" s="1570">
        <f t="shared" si="27"/>
        <v>0.01</v>
      </c>
      <c r="U188" s="489">
        <f t="shared" si="9"/>
        <v>27725</v>
      </c>
      <c r="V188" s="1310">
        <f>IF(INPUT!A188="AFLAC US",F188*$V$184,IF(INPUT!A188="TRE ACR Portfolio",F188*$V$184,IF(INPUT!A188="TRE ACR Portfolio Series II",F188*$V$184,"")))</f>
        <v>13862.5</v>
      </c>
      <c r="W188" s="1310" t="str">
        <f>IF(J188=0,"",IF($F$216=0,"No",VLOOKUP(B188,'Investor Profile'!$A$4:$D$14,4,FALSE)))</f>
        <v>Yes</v>
      </c>
      <c r="X188" s="1571" t="s">
        <v>233</v>
      </c>
      <c r="Y188" s="1572">
        <v>3</v>
      </c>
      <c r="Z188" s="1563" t="s">
        <v>4180</v>
      </c>
      <c r="AA188" s="1563"/>
      <c r="AB188" s="1574" t="str">
        <f t="shared" si="10"/>
        <v/>
      </c>
      <c r="AC188" s="1574"/>
      <c r="AE188" s="1469">
        <f t="shared" si="11"/>
        <v>0</v>
      </c>
      <c r="AF188" s="716">
        <f t="shared" si="12"/>
        <v>0</v>
      </c>
      <c r="AG188" s="716">
        <f t="shared" si="13"/>
        <v>0</v>
      </c>
      <c r="AH188" s="716">
        <f t="shared" si="14"/>
        <v>0</v>
      </c>
      <c r="AI188" s="716">
        <f t="shared" si="15"/>
        <v>0</v>
      </c>
      <c r="AJ188" s="716">
        <f t="shared" si="16"/>
        <v>0</v>
      </c>
      <c r="AK188" s="716">
        <f t="shared" si="17"/>
        <v>0</v>
      </c>
      <c r="AL188" s="716">
        <f t="shared" si="18"/>
        <v>0</v>
      </c>
      <c r="AM188" s="716">
        <f t="shared" si="19"/>
        <v>0</v>
      </c>
      <c r="AN188" s="719">
        <f t="shared" si="20"/>
        <v>0</v>
      </c>
      <c r="AO188" s="1477">
        <f t="shared" si="2"/>
        <v>0</v>
      </c>
      <c r="AP188" s="714"/>
      <c r="AQ188" s="1586"/>
      <c r="AR188" s="1486">
        <f t="shared" si="21"/>
        <v>0</v>
      </c>
      <c r="AS188" s="1586"/>
      <c r="AT188" s="2128">
        <f t="shared" si="22"/>
        <v>0</v>
      </c>
      <c r="AU188" s="1583"/>
      <c r="AV188" s="1486">
        <f t="shared" si="23"/>
        <v>0</v>
      </c>
      <c r="AW188" s="1586"/>
      <c r="AX188" s="1486">
        <f t="shared" si="24"/>
        <v>0</v>
      </c>
      <c r="AY188" s="1586"/>
      <c r="AZ188" s="1486">
        <f t="shared" si="28"/>
        <v>0</v>
      </c>
      <c r="BA188" s="1586"/>
      <c r="BB188" s="1486">
        <f t="shared" ref="BB188:BF215" si="31">ROUND((BA188*$J188),2)</f>
        <v>0</v>
      </c>
      <c r="BC188" s="1586"/>
      <c r="BD188" s="1486">
        <f t="shared" si="31"/>
        <v>0</v>
      </c>
      <c r="BE188" s="1586"/>
      <c r="BF188" s="1486">
        <f t="shared" si="31"/>
        <v>0</v>
      </c>
      <c r="BG188" s="1586"/>
      <c r="BH188" s="1486">
        <f t="shared" ref="BH188:BH215" si="32">ROUND((BG188*$J188),2)</f>
        <v>0</v>
      </c>
      <c r="BI188" s="1586"/>
      <c r="BJ188" s="1486">
        <f t="shared" ref="BJ188:BJ215" si="33">ROUND((BI188*$J188),2)</f>
        <v>0</v>
      </c>
      <c r="BK188" s="1586"/>
      <c r="BL188" s="1486">
        <f t="shared" ref="BL188:BL215" si="34">ROUND((BK188*$J188),2)</f>
        <v>0</v>
      </c>
      <c r="BM188" s="1504">
        <f t="shared" si="29"/>
        <v>0</v>
      </c>
      <c r="BN188" s="2127"/>
      <c r="BQ188" s="1419"/>
    </row>
    <row r="189" spans="1:69" ht="15.75" thickBot="1">
      <c r="A189" s="1561" t="s">
        <v>12</v>
      </c>
      <c r="B189" s="488" t="str">
        <f>IF(A189="","",VLOOKUP(A189,'Drop Lists'!$AG$5:$AH$31,2,FALSE))</f>
        <v>AFLAC US</v>
      </c>
      <c r="C189" s="1562" t="s">
        <v>12</v>
      </c>
      <c r="D189" s="1563" t="s">
        <v>727</v>
      </c>
      <c r="E189" s="488" t="str">
        <f>IF(D189="","",VLOOKUP(D189,'Drop Lists'!$BF$5:$BG$190,2,FALSE))</f>
        <v>Mortgage</v>
      </c>
      <c r="F189" s="1565">
        <v>13916143</v>
      </c>
      <c r="G189" s="490">
        <f t="shared" si="3"/>
        <v>6.0858586796181294E-2</v>
      </c>
      <c r="H189" s="489">
        <f t="shared" si="4"/>
        <v>4761357</v>
      </c>
      <c r="I189" s="490">
        <f t="shared" si="5"/>
        <v>6.085858311825125E-2</v>
      </c>
      <c r="J189" s="1566">
        <v>18677500</v>
      </c>
      <c r="K189" s="1363">
        <f t="shared" si="25"/>
        <v>6.0858585858585862E-2</v>
      </c>
      <c r="L189" s="492">
        <f t="shared" si="26"/>
        <v>1.686E-2</v>
      </c>
      <c r="M189" s="1568">
        <f t="shared" si="30"/>
        <v>0</v>
      </c>
      <c r="N189" s="1568"/>
      <c r="O189" s="492">
        <f>IF(F189=0,0,IF(E189="Preferred Equity",0,IF(E189="I.O. Strip",M189,IF($E$148="Yes",VLOOKUP(E189,$K$163:N167,4,FALSE),M189+L189))))</f>
        <v>1.686E-2</v>
      </c>
      <c r="P189" s="489">
        <f t="shared" si="6"/>
        <v>651.7393638333333</v>
      </c>
      <c r="Q189" s="489">
        <f t="shared" si="7"/>
        <v>19552.18</v>
      </c>
      <c r="R189" s="491" t="str">
        <f>IF(J189="","",(IF(F189=0,"No",VLOOKUP(B189,'Investor Profile'!$A$4:$C$14,3,FALSE))))</f>
        <v>No</v>
      </c>
      <c r="S189" s="493" t="str">
        <f t="shared" si="8"/>
        <v>Total Loan</v>
      </c>
      <c r="T189" s="1570">
        <f t="shared" si="27"/>
        <v>0.01</v>
      </c>
      <c r="U189" s="489">
        <f t="shared" si="9"/>
        <v>186775</v>
      </c>
      <c r="V189" s="1310">
        <f>IF(INPUT!A189="AFLAC US",F189*$V$184,IF(INPUT!A189="TRE ACR Portfolio",F189*$V$184,IF(INPUT!A189="TRE ACR Portfolio Series II",F189*$V$184,"")))</f>
        <v>69580.714999999997</v>
      </c>
      <c r="W189" s="1310" t="str">
        <f>IF(J189=0,"",IF($F$216=0,"No",VLOOKUP(B189,'Investor Profile'!$A$4:$D$14,4,FALSE)))</f>
        <v>Yes</v>
      </c>
      <c r="X189" s="1571" t="s">
        <v>685</v>
      </c>
      <c r="Y189" s="1572">
        <v>1</v>
      </c>
      <c r="Z189" s="1563" t="s">
        <v>4181</v>
      </c>
      <c r="AA189" s="1563"/>
      <c r="AB189" s="1574" t="str">
        <f t="shared" si="10"/>
        <v/>
      </c>
      <c r="AC189" s="1574"/>
      <c r="AE189" s="1469">
        <f t="shared" si="11"/>
        <v>0</v>
      </c>
      <c r="AF189" s="716">
        <f t="shared" si="12"/>
        <v>0</v>
      </c>
      <c r="AG189" s="716">
        <f t="shared" si="13"/>
        <v>0</v>
      </c>
      <c r="AH189" s="716">
        <f t="shared" si="14"/>
        <v>0</v>
      </c>
      <c r="AI189" s="716">
        <f t="shared" si="15"/>
        <v>0</v>
      </c>
      <c r="AJ189" s="716">
        <f t="shared" si="16"/>
        <v>0</v>
      </c>
      <c r="AK189" s="716">
        <f t="shared" si="17"/>
        <v>0</v>
      </c>
      <c r="AL189" s="716">
        <f t="shared" si="18"/>
        <v>0</v>
      </c>
      <c r="AM189" s="716">
        <f t="shared" si="19"/>
        <v>0</v>
      </c>
      <c r="AN189" s="719">
        <f t="shared" si="20"/>
        <v>0</v>
      </c>
      <c r="AO189" s="1477">
        <f t="shared" si="2"/>
        <v>0</v>
      </c>
      <c r="AP189" s="714"/>
      <c r="AQ189" s="1586"/>
      <c r="AR189" s="1486">
        <f t="shared" si="21"/>
        <v>0</v>
      </c>
      <c r="AS189" s="1586"/>
      <c r="AT189" s="2128">
        <f t="shared" si="22"/>
        <v>0</v>
      </c>
      <c r="AU189" s="1583"/>
      <c r="AV189" s="1486">
        <f t="shared" si="23"/>
        <v>0</v>
      </c>
      <c r="AW189" s="1586"/>
      <c r="AX189" s="1486">
        <f t="shared" si="24"/>
        <v>0</v>
      </c>
      <c r="AY189" s="1586"/>
      <c r="AZ189" s="1486">
        <f t="shared" si="28"/>
        <v>0</v>
      </c>
      <c r="BA189" s="1586"/>
      <c r="BB189" s="1486">
        <f t="shared" si="31"/>
        <v>0</v>
      </c>
      <c r="BC189" s="1586"/>
      <c r="BD189" s="1486">
        <f t="shared" si="31"/>
        <v>0</v>
      </c>
      <c r="BE189" s="1586"/>
      <c r="BF189" s="1486">
        <f t="shared" si="31"/>
        <v>0</v>
      </c>
      <c r="BG189" s="1586"/>
      <c r="BH189" s="1486">
        <f t="shared" si="32"/>
        <v>0</v>
      </c>
      <c r="BI189" s="1586"/>
      <c r="BJ189" s="1486">
        <f t="shared" si="33"/>
        <v>0</v>
      </c>
      <c r="BK189" s="1586"/>
      <c r="BL189" s="1486">
        <f t="shared" si="34"/>
        <v>0</v>
      </c>
      <c r="BM189" s="1504">
        <f t="shared" si="29"/>
        <v>0</v>
      </c>
      <c r="BN189" s="2127"/>
      <c r="BQ189" s="1419"/>
    </row>
    <row r="190" spans="1:69" ht="15.75" thickBot="1">
      <c r="A190" s="1561" t="s">
        <v>12</v>
      </c>
      <c r="B190" s="488" t="str">
        <f>IF(A190="","",VLOOKUP(A190,'Drop Lists'!$AG$5:$AH$31,2,FALSE))</f>
        <v>AFLAC US</v>
      </c>
      <c r="C190" s="1562" t="s">
        <v>12</v>
      </c>
      <c r="D190" s="1563" t="s">
        <v>803</v>
      </c>
      <c r="E190" s="488" t="str">
        <f>IF(D190="","",VLOOKUP(D190,'Drop Lists'!$BF$5:$BG$190,2,FALSE))</f>
        <v>Mortgage</v>
      </c>
      <c r="F190" s="1565">
        <v>3437670</v>
      </c>
      <c r="G190" s="490">
        <f t="shared" si="3"/>
        <v>1.5033744484490318E-2</v>
      </c>
      <c r="H190" s="489">
        <f t="shared" si="4"/>
        <v>1382330</v>
      </c>
      <c r="I190" s="490">
        <f t="shared" si="5"/>
        <v>1.7668627914657994E-2</v>
      </c>
      <c r="J190" s="1566">
        <v>4820000</v>
      </c>
      <c r="K190" s="1363">
        <f t="shared" si="25"/>
        <v>1.5705441511893126E-2</v>
      </c>
      <c r="L190" s="492">
        <f t="shared" si="26"/>
        <v>1.686E-2</v>
      </c>
      <c r="M190" s="1568">
        <f t="shared" si="30"/>
        <v>0</v>
      </c>
      <c r="N190" s="1568"/>
      <c r="O190" s="492">
        <f>IF(F190=0,0,IF(E190="Preferred Equity",0,IF(E190="I.O. Strip",M190,IF($E$148="Yes",VLOOKUP(E190,$K$163:N168,4,FALSE),M190+L190))))</f>
        <v>1.686E-2</v>
      </c>
      <c r="P190" s="489">
        <f t="shared" si="6"/>
        <v>160.997545</v>
      </c>
      <c r="Q190" s="489">
        <f t="shared" si="7"/>
        <v>4829.93</v>
      </c>
      <c r="R190" s="491" t="str">
        <f>IF(J190="","",(IF(F190=0,"No",VLOOKUP(B190,'Investor Profile'!$A$4:$C$14,3,FALSE))))</f>
        <v>No</v>
      </c>
      <c r="S190" s="493" t="str">
        <f t="shared" si="8"/>
        <v>Total Loan</v>
      </c>
      <c r="T190" s="1570">
        <f t="shared" si="27"/>
        <v>0.01</v>
      </c>
      <c r="U190" s="489">
        <f t="shared" si="9"/>
        <v>48200</v>
      </c>
      <c r="V190" s="1310">
        <f>IF(INPUT!A190="AFLAC US",F190*$V$184,IF(INPUT!A190="TRE ACR Portfolio",F190*$V$184,IF(INPUT!A190="TRE ACR Portfolio Series II",F190*$V$184,"")))</f>
        <v>17188.349999999999</v>
      </c>
      <c r="W190" s="1310" t="str">
        <f>IF(J190=0,"",IF($F$216=0,"No",VLOOKUP(B190,'Investor Profile'!$A$4:$D$14,4,FALSE)))</f>
        <v>Yes</v>
      </c>
      <c r="X190" s="1571" t="s">
        <v>685</v>
      </c>
      <c r="Y190" s="1572">
        <v>2</v>
      </c>
      <c r="Z190" s="1563" t="s">
        <v>4182</v>
      </c>
      <c r="AA190" s="1563"/>
      <c r="AB190" s="1574" t="str">
        <f t="shared" si="10"/>
        <v/>
      </c>
      <c r="AC190" s="1574"/>
      <c r="AE190" s="1469">
        <f t="shared" si="11"/>
        <v>0</v>
      </c>
      <c r="AF190" s="716">
        <f t="shared" si="12"/>
        <v>0</v>
      </c>
      <c r="AG190" s="716">
        <f t="shared" si="13"/>
        <v>0</v>
      </c>
      <c r="AH190" s="716">
        <f t="shared" si="14"/>
        <v>0</v>
      </c>
      <c r="AI190" s="716">
        <f t="shared" si="15"/>
        <v>0</v>
      </c>
      <c r="AJ190" s="716">
        <f t="shared" si="16"/>
        <v>0</v>
      </c>
      <c r="AK190" s="716">
        <f t="shared" si="17"/>
        <v>0</v>
      </c>
      <c r="AL190" s="716">
        <f t="shared" si="18"/>
        <v>0</v>
      </c>
      <c r="AM190" s="716">
        <f t="shared" si="19"/>
        <v>0</v>
      </c>
      <c r="AN190" s="719">
        <f t="shared" si="20"/>
        <v>0</v>
      </c>
      <c r="AO190" s="1477">
        <f t="shared" si="2"/>
        <v>0</v>
      </c>
      <c r="AP190" s="714"/>
      <c r="AQ190" s="1586"/>
      <c r="AR190" s="1486">
        <f t="shared" si="21"/>
        <v>0</v>
      </c>
      <c r="AS190" s="1586"/>
      <c r="AT190" s="2128">
        <f t="shared" si="22"/>
        <v>0</v>
      </c>
      <c r="AU190" s="1583"/>
      <c r="AV190" s="1486">
        <f t="shared" si="23"/>
        <v>0</v>
      </c>
      <c r="AW190" s="1586"/>
      <c r="AX190" s="1486">
        <f t="shared" si="24"/>
        <v>0</v>
      </c>
      <c r="AY190" s="1586"/>
      <c r="AZ190" s="1486">
        <f t="shared" si="28"/>
        <v>0</v>
      </c>
      <c r="BA190" s="1586"/>
      <c r="BB190" s="1486">
        <f t="shared" si="31"/>
        <v>0</v>
      </c>
      <c r="BC190" s="1586"/>
      <c r="BD190" s="1486">
        <f t="shared" si="31"/>
        <v>0</v>
      </c>
      <c r="BE190" s="1586"/>
      <c r="BF190" s="1486">
        <f t="shared" si="31"/>
        <v>0</v>
      </c>
      <c r="BG190" s="1586"/>
      <c r="BH190" s="1486">
        <f t="shared" si="32"/>
        <v>0</v>
      </c>
      <c r="BI190" s="1586"/>
      <c r="BJ190" s="1486">
        <f t="shared" si="33"/>
        <v>0</v>
      </c>
      <c r="BK190" s="1586"/>
      <c r="BL190" s="1486">
        <f t="shared" si="34"/>
        <v>0</v>
      </c>
      <c r="BM190" s="1504">
        <f t="shared" si="29"/>
        <v>0</v>
      </c>
      <c r="BN190" s="2127"/>
      <c r="BQ190" s="1419"/>
    </row>
    <row r="191" spans="1:69" ht="15.75" thickBot="1">
      <c r="A191" s="1561" t="s">
        <v>12</v>
      </c>
      <c r="B191" s="488" t="str">
        <f>IF(A191="","",VLOOKUP(A191,'Drop Lists'!$AG$5:$AH$31,2,FALSE))</f>
        <v>AFLAC US</v>
      </c>
      <c r="C191" s="1562" t="s">
        <v>12</v>
      </c>
      <c r="D191" s="1563" t="s">
        <v>1289</v>
      </c>
      <c r="E191" s="488" t="str">
        <f>IF(D191="","",VLOOKUP(D191,'Drop Lists'!$BF$5:$BG$190,2,FALSE))</f>
        <v>Mezzanine</v>
      </c>
      <c r="F191" s="1565">
        <v>602500</v>
      </c>
      <c r="G191" s="490">
        <f t="shared" si="3"/>
        <v>2.6348750903680157E-3</v>
      </c>
      <c r="H191" s="489">
        <f t="shared" si="4"/>
        <v>0</v>
      </c>
      <c r="I191" s="490">
        <f t="shared" si="5"/>
        <v>0</v>
      </c>
      <c r="J191" s="1566">
        <v>602500</v>
      </c>
      <c r="K191" s="1363">
        <f t="shared" si="25"/>
        <v>1.9631801889866407E-3</v>
      </c>
      <c r="L191" s="492">
        <f t="shared" si="26"/>
        <v>1.686E-2</v>
      </c>
      <c r="M191" s="1568">
        <f t="shared" si="30"/>
        <v>0</v>
      </c>
      <c r="N191" s="1568"/>
      <c r="O191" s="492">
        <f>IF(F191=0,0,IF(E191="Preferred Equity",0,IF(E191="I.O. Strip",M191,IF($E$148="Yes",VLOOKUP(E191,$K$163:N169,4,FALSE),M191+L191))))</f>
        <v>1.686E-2</v>
      </c>
      <c r="P191" s="489">
        <f t="shared" si="6"/>
        <v>28.217083333333331</v>
      </c>
      <c r="Q191" s="489">
        <f t="shared" si="7"/>
        <v>846.51</v>
      </c>
      <c r="R191" s="491" t="str">
        <f>IF(J191="","",(IF(F191=0,"No",VLOOKUP(B191,'Investor Profile'!$A$4:$C$14,3,FALSE))))</f>
        <v>No</v>
      </c>
      <c r="S191" s="493" t="str">
        <f t="shared" si="8"/>
        <v>Total Loan</v>
      </c>
      <c r="T191" s="1570">
        <f t="shared" si="27"/>
        <v>0.01</v>
      </c>
      <c r="U191" s="489">
        <f t="shared" si="9"/>
        <v>6025</v>
      </c>
      <c r="V191" s="1310">
        <f>IF(INPUT!A191="AFLAC US",F191*$V$184,IF(INPUT!A191="TRE ACR Portfolio",F191*$V$184,IF(INPUT!A191="TRE ACR Portfolio Series II",F191*$V$184,"")))</f>
        <v>3012.5</v>
      </c>
      <c r="W191" s="1310" t="str">
        <f>IF(J191=0,"",IF($F$216=0,"No",VLOOKUP(B191,'Investor Profile'!$A$4:$D$14,4,FALSE)))</f>
        <v>Yes</v>
      </c>
      <c r="X191" s="1571" t="s">
        <v>233</v>
      </c>
      <c r="Y191" s="1572">
        <v>3</v>
      </c>
      <c r="Z191" s="1563" t="s">
        <v>4183</v>
      </c>
      <c r="AA191" s="1563"/>
      <c r="AB191" s="1574" t="str">
        <f t="shared" si="10"/>
        <v/>
      </c>
      <c r="AC191" s="1574"/>
      <c r="AE191" s="1469">
        <f t="shared" si="11"/>
        <v>0</v>
      </c>
      <c r="AF191" s="716">
        <f t="shared" si="12"/>
        <v>0</v>
      </c>
      <c r="AG191" s="716">
        <f t="shared" si="13"/>
        <v>0</v>
      </c>
      <c r="AH191" s="716">
        <f t="shared" si="14"/>
        <v>0</v>
      </c>
      <c r="AI191" s="716">
        <f t="shared" si="15"/>
        <v>0</v>
      </c>
      <c r="AJ191" s="716">
        <f t="shared" si="16"/>
        <v>0</v>
      </c>
      <c r="AK191" s="716">
        <f t="shared" si="17"/>
        <v>0</v>
      </c>
      <c r="AL191" s="716">
        <f t="shared" si="18"/>
        <v>0</v>
      </c>
      <c r="AM191" s="716">
        <f t="shared" si="19"/>
        <v>0</v>
      </c>
      <c r="AN191" s="719">
        <f t="shared" si="20"/>
        <v>0</v>
      </c>
      <c r="AO191" s="1477">
        <f t="shared" si="2"/>
        <v>0</v>
      </c>
      <c r="AP191" s="714"/>
      <c r="AQ191" s="1586"/>
      <c r="AR191" s="1486">
        <f t="shared" si="21"/>
        <v>0</v>
      </c>
      <c r="AS191" s="1586"/>
      <c r="AT191" s="2128">
        <f t="shared" si="22"/>
        <v>0</v>
      </c>
      <c r="AU191" s="1583"/>
      <c r="AV191" s="1486">
        <f t="shared" si="23"/>
        <v>0</v>
      </c>
      <c r="AW191" s="1586"/>
      <c r="AX191" s="1486">
        <f t="shared" si="24"/>
        <v>0</v>
      </c>
      <c r="AY191" s="1586"/>
      <c r="AZ191" s="1486">
        <f t="shared" si="28"/>
        <v>0</v>
      </c>
      <c r="BA191" s="1586"/>
      <c r="BB191" s="1486">
        <f t="shared" si="31"/>
        <v>0</v>
      </c>
      <c r="BC191" s="1586"/>
      <c r="BD191" s="1486">
        <f t="shared" si="31"/>
        <v>0</v>
      </c>
      <c r="BE191" s="1586"/>
      <c r="BF191" s="1486">
        <f t="shared" si="31"/>
        <v>0</v>
      </c>
      <c r="BG191" s="1586"/>
      <c r="BH191" s="1486">
        <f t="shared" si="32"/>
        <v>0</v>
      </c>
      <c r="BI191" s="1586"/>
      <c r="BJ191" s="1486">
        <f t="shared" si="33"/>
        <v>0</v>
      </c>
      <c r="BK191" s="1586"/>
      <c r="BL191" s="1486">
        <f t="shared" si="34"/>
        <v>0</v>
      </c>
      <c r="BM191" s="1504">
        <f t="shared" si="29"/>
        <v>0</v>
      </c>
      <c r="BN191" s="2127"/>
      <c r="BQ191" s="1419"/>
    </row>
    <row r="192" spans="1:69" ht="15.75" thickBot="1">
      <c r="A192" s="1561" t="s">
        <v>18</v>
      </c>
      <c r="B192" s="488" t="str">
        <f>IF(A192="","",VLOOKUP(A192,'Drop Lists'!$AG$5:$AH$31,2,FALSE))</f>
        <v>ACORE Credit Partners II Mortgage, LLC</v>
      </c>
      <c r="C192" s="1562" t="s">
        <v>713</v>
      </c>
      <c r="D192" s="1563" t="s">
        <v>754</v>
      </c>
      <c r="E192" s="488" t="str">
        <f>IF(D192="","",VLOOKUP(D192,'Drop Lists'!$BF$5:$BG$190,2,FALSE))</f>
        <v>Mortgage</v>
      </c>
      <c r="F192" s="1565">
        <v>26561932</v>
      </c>
      <c r="G192" s="490">
        <f t="shared" si="3"/>
        <v>0.11616161490265409</v>
      </c>
      <c r="H192" s="489">
        <f t="shared" si="4"/>
        <v>9088068</v>
      </c>
      <c r="I192" s="490">
        <f t="shared" si="5"/>
        <v>0.11616161984121741</v>
      </c>
      <c r="J192" s="1566">
        <v>35650000</v>
      </c>
      <c r="K192" s="1363">
        <f t="shared" si="25"/>
        <v>0.11616161616161616</v>
      </c>
      <c r="L192" s="492">
        <f t="shared" si="26"/>
        <v>1.686E-2</v>
      </c>
      <c r="M192" s="1568">
        <f t="shared" si="30"/>
        <v>0</v>
      </c>
      <c r="N192" s="1568"/>
      <c r="O192" s="492">
        <f>IF(F192=0,0,IF(E192="Preferred Equity",0,IF(E192="I.O. Strip",M192,IF($E$148="Yes",VLOOKUP(E192,$K$163:N170,4,FALSE),M192+L192))))</f>
        <v>1.686E-2</v>
      </c>
      <c r="P192" s="489">
        <f t="shared" si="6"/>
        <v>1243.9838153333333</v>
      </c>
      <c r="Q192" s="489">
        <f t="shared" si="7"/>
        <v>37319.51</v>
      </c>
      <c r="R192" s="491" t="str">
        <f>IF(J192="","",(IF(F192=0,"No",VLOOKUP(B192,'Investor Profile'!$A$4:$C$14,3,FALSE))))</f>
        <v>Yes</v>
      </c>
      <c r="S192" s="493" t="str">
        <f t="shared" si="8"/>
        <v>Total Loan</v>
      </c>
      <c r="T192" s="1570">
        <f t="shared" si="27"/>
        <v>0.01</v>
      </c>
      <c r="U192" s="489">
        <f t="shared" si="9"/>
        <v>356500</v>
      </c>
      <c r="V192" s="1310" t="str">
        <f>IF(INPUT!A192="AFLAC US",F192*$V$184,IF(INPUT!A192="TRE ACR Portfolio",F192*$V$184,IF(INPUT!A192="TRE ACR Portfolio Series II",F192*$V$184,"")))</f>
        <v/>
      </c>
      <c r="W192" s="1310" t="str">
        <f>IF(J192=0,"",IF($F$216=0,"No",VLOOKUP(B192,'Investor Profile'!$A$4:$D$14,4,FALSE)))</f>
        <v>Yes</v>
      </c>
      <c r="X192" s="1571" t="s">
        <v>685</v>
      </c>
      <c r="Y192" s="1572">
        <v>1</v>
      </c>
      <c r="Z192" s="1563" t="s">
        <v>4184</v>
      </c>
      <c r="AA192" s="1563"/>
      <c r="AB192" s="1574" t="str">
        <f t="shared" si="10"/>
        <v/>
      </c>
      <c r="AC192" s="1574"/>
      <c r="AE192" s="1469">
        <f t="shared" si="11"/>
        <v>0</v>
      </c>
      <c r="AF192" s="716">
        <f t="shared" si="12"/>
        <v>0</v>
      </c>
      <c r="AG192" s="716">
        <f t="shared" si="13"/>
        <v>0</v>
      </c>
      <c r="AH192" s="716">
        <f t="shared" si="14"/>
        <v>0</v>
      </c>
      <c r="AI192" s="716">
        <f t="shared" si="15"/>
        <v>0</v>
      </c>
      <c r="AJ192" s="716">
        <f t="shared" si="16"/>
        <v>0</v>
      </c>
      <c r="AK192" s="716">
        <f t="shared" si="17"/>
        <v>0</v>
      </c>
      <c r="AL192" s="716">
        <f t="shared" si="18"/>
        <v>0</v>
      </c>
      <c r="AM192" s="716">
        <f t="shared" si="19"/>
        <v>0</v>
      </c>
      <c r="AN192" s="719">
        <f t="shared" si="20"/>
        <v>0</v>
      </c>
      <c r="AO192" s="1477">
        <f t="shared" si="2"/>
        <v>0</v>
      </c>
      <c r="AP192" s="714"/>
      <c r="AQ192" s="1586"/>
      <c r="AR192" s="1486">
        <f t="shared" si="21"/>
        <v>0</v>
      </c>
      <c r="AS192" s="1586"/>
      <c r="AT192" s="2128">
        <f t="shared" si="22"/>
        <v>0</v>
      </c>
      <c r="AU192" s="1583"/>
      <c r="AV192" s="1486">
        <f t="shared" si="23"/>
        <v>0</v>
      </c>
      <c r="AW192" s="1586"/>
      <c r="AX192" s="1486">
        <f t="shared" si="24"/>
        <v>0</v>
      </c>
      <c r="AY192" s="1586"/>
      <c r="AZ192" s="1486">
        <f t="shared" si="28"/>
        <v>0</v>
      </c>
      <c r="BA192" s="1586"/>
      <c r="BB192" s="1486">
        <f t="shared" si="31"/>
        <v>0</v>
      </c>
      <c r="BC192" s="1586"/>
      <c r="BD192" s="1486">
        <f t="shared" si="31"/>
        <v>0</v>
      </c>
      <c r="BE192" s="1586"/>
      <c r="BF192" s="1486">
        <f t="shared" si="31"/>
        <v>0</v>
      </c>
      <c r="BG192" s="1586"/>
      <c r="BH192" s="1486">
        <f t="shared" si="32"/>
        <v>0</v>
      </c>
      <c r="BI192" s="1586"/>
      <c r="BJ192" s="1486">
        <f t="shared" si="33"/>
        <v>0</v>
      </c>
      <c r="BK192" s="1586"/>
      <c r="BL192" s="1486">
        <f t="shared" si="34"/>
        <v>0</v>
      </c>
      <c r="BM192" s="1504">
        <f t="shared" si="29"/>
        <v>0</v>
      </c>
      <c r="BN192" s="2127"/>
      <c r="BQ192" s="1419"/>
    </row>
    <row r="193" spans="1:69" ht="15.75" thickBot="1">
      <c r="A193" s="1561" t="s">
        <v>18</v>
      </c>
      <c r="B193" s="488" t="str">
        <f>IF(A193="","",VLOOKUP(A193,'Drop Lists'!$AG$5:$AH$31,2,FALSE))</f>
        <v>ACORE Credit Partners II Mortgage, LLC</v>
      </c>
      <c r="C193" s="1562" t="s">
        <v>713</v>
      </c>
      <c r="D193" s="1563" t="s">
        <v>829</v>
      </c>
      <c r="E193" s="488" t="str">
        <f>IF(D193="","",VLOOKUP(D193,'Drop Lists'!$BF$5:$BG$190,2,FALSE))</f>
        <v>Mortgage</v>
      </c>
      <c r="F193" s="1565">
        <v>6561529</v>
      </c>
      <c r="G193" s="490">
        <f t="shared" si="3"/>
        <v>2.8695119198053703E-2</v>
      </c>
      <c r="H193" s="489">
        <f t="shared" si="4"/>
        <v>2638471</v>
      </c>
      <c r="I193" s="490">
        <f t="shared" si="5"/>
        <v>3.3724336708756658E-2</v>
      </c>
      <c r="J193" s="1566">
        <v>9200000</v>
      </c>
      <c r="K193" s="1363">
        <f t="shared" si="25"/>
        <v>2.9977191267513848E-2</v>
      </c>
      <c r="L193" s="492">
        <f t="shared" si="26"/>
        <v>1.686E-2</v>
      </c>
      <c r="M193" s="1568">
        <f t="shared" si="30"/>
        <v>0</v>
      </c>
      <c r="N193" s="1568"/>
      <c r="O193" s="492">
        <f>IF(F193=0,0,IF(E193="Preferred Equity",0,IF(E193="I.O. Strip",M193,IF($E$148="Yes",VLOOKUP(E193,$K$163:N171,4,FALSE),M193+L193))))</f>
        <v>1.686E-2</v>
      </c>
      <c r="P193" s="489">
        <f t="shared" si="6"/>
        <v>307.29827483333332</v>
      </c>
      <c r="Q193" s="489">
        <f t="shared" si="7"/>
        <v>9218.9500000000007</v>
      </c>
      <c r="R193" s="491" t="str">
        <f>IF(J193="","",(IF(F193=0,"No",VLOOKUP(B193,'Investor Profile'!$A$4:$C$14,3,FALSE))))</f>
        <v>Yes</v>
      </c>
      <c r="S193" s="493" t="str">
        <f t="shared" si="8"/>
        <v>Total Loan</v>
      </c>
      <c r="T193" s="1570">
        <f t="shared" si="27"/>
        <v>0.01</v>
      </c>
      <c r="U193" s="489">
        <f t="shared" si="9"/>
        <v>92000</v>
      </c>
      <c r="V193" s="1310" t="str">
        <f>IF(INPUT!A193="AFLAC US",F193*$V$184,IF(INPUT!A193="TRE ACR Portfolio",F193*$V$184,IF(INPUT!A193="TRE ACR Portfolio Series II",F193*$V$184,"")))</f>
        <v/>
      </c>
      <c r="W193" s="1310" t="str">
        <f>IF(J193=0,"",IF($F$216=0,"No",VLOOKUP(B193,'Investor Profile'!$A$4:$D$14,4,FALSE)))</f>
        <v>Yes</v>
      </c>
      <c r="X193" s="1571" t="s">
        <v>685</v>
      </c>
      <c r="Y193" s="1572">
        <v>2</v>
      </c>
      <c r="Z193" s="1563" t="s">
        <v>4185</v>
      </c>
      <c r="AA193" s="1563"/>
      <c r="AB193" s="1574" t="str">
        <f t="shared" si="10"/>
        <v/>
      </c>
      <c r="AC193" s="1574"/>
      <c r="AE193" s="1469">
        <f t="shared" si="11"/>
        <v>0</v>
      </c>
      <c r="AF193" s="716">
        <f t="shared" si="12"/>
        <v>0</v>
      </c>
      <c r="AG193" s="716">
        <f t="shared" si="13"/>
        <v>0</v>
      </c>
      <c r="AH193" s="716">
        <f t="shared" si="14"/>
        <v>0</v>
      </c>
      <c r="AI193" s="716">
        <f t="shared" si="15"/>
        <v>0</v>
      </c>
      <c r="AJ193" s="716">
        <f t="shared" si="16"/>
        <v>0</v>
      </c>
      <c r="AK193" s="716">
        <f t="shared" si="17"/>
        <v>0</v>
      </c>
      <c r="AL193" s="716">
        <f t="shared" si="18"/>
        <v>0</v>
      </c>
      <c r="AM193" s="716">
        <f t="shared" si="19"/>
        <v>0</v>
      </c>
      <c r="AN193" s="719">
        <f t="shared" si="20"/>
        <v>0</v>
      </c>
      <c r="AO193" s="1477">
        <f t="shared" si="2"/>
        <v>0</v>
      </c>
      <c r="AP193" s="714"/>
      <c r="AQ193" s="1586"/>
      <c r="AR193" s="1486">
        <f t="shared" si="21"/>
        <v>0</v>
      </c>
      <c r="AS193" s="1586"/>
      <c r="AT193" s="2128">
        <f t="shared" si="22"/>
        <v>0</v>
      </c>
      <c r="AU193" s="1583"/>
      <c r="AV193" s="1486">
        <f t="shared" si="23"/>
        <v>0</v>
      </c>
      <c r="AW193" s="1586"/>
      <c r="AX193" s="1486">
        <f t="shared" si="24"/>
        <v>0</v>
      </c>
      <c r="AY193" s="1586"/>
      <c r="AZ193" s="1486">
        <f t="shared" si="28"/>
        <v>0</v>
      </c>
      <c r="BA193" s="1586"/>
      <c r="BB193" s="1486">
        <f t="shared" si="31"/>
        <v>0</v>
      </c>
      <c r="BC193" s="1586"/>
      <c r="BD193" s="1486">
        <f t="shared" si="31"/>
        <v>0</v>
      </c>
      <c r="BE193" s="1586"/>
      <c r="BF193" s="1486">
        <f t="shared" si="31"/>
        <v>0</v>
      </c>
      <c r="BG193" s="1586"/>
      <c r="BH193" s="1486">
        <f t="shared" si="32"/>
        <v>0</v>
      </c>
      <c r="BI193" s="1586"/>
      <c r="BJ193" s="1486">
        <f t="shared" si="33"/>
        <v>0</v>
      </c>
      <c r="BK193" s="1586"/>
      <c r="BL193" s="1486">
        <f t="shared" si="34"/>
        <v>0</v>
      </c>
      <c r="BM193" s="1504">
        <f t="shared" si="29"/>
        <v>0</v>
      </c>
      <c r="BN193" s="2127"/>
      <c r="BQ193" s="1419"/>
    </row>
    <row r="194" spans="1:69" ht="15.75" thickBot="1">
      <c r="A194" s="1561" t="s">
        <v>18</v>
      </c>
      <c r="B194" s="488" t="str">
        <f>IF(A194="","",VLOOKUP(A194,'Drop Lists'!$AG$5:$AH$31,2,FALSE))</f>
        <v>ACORE Credit Partners II Mortgage, LLC</v>
      </c>
      <c r="C194" s="1562" t="s">
        <v>713</v>
      </c>
      <c r="D194" s="1563" t="s">
        <v>1290</v>
      </c>
      <c r="E194" s="488" t="str">
        <f>IF(D194="","",VLOOKUP(D194,'Drop Lists'!$BF$5:$BG$190,2,FALSE))</f>
        <v>Mezzanine</v>
      </c>
      <c r="F194" s="1565">
        <v>1150000</v>
      </c>
      <c r="G194" s="490">
        <f t="shared" si="3"/>
        <v>5.029222164187914E-3</v>
      </c>
      <c r="H194" s="489">
        <f t="shared" si="4"/>
        <v>0</v>
      </c>
      <c r="I194" s="490">
        <f t="shared" si="5"/>
        <v>0</v>
      </c>
      <c r="J194" s="1566">
        <v>1150000</v>
      </c>
      <c r="K194" s="1363">
        <f t="shared" si="25"/>
        <v>3.747148908439231E-3</v>
      </c>
      <c r="L194" s="492">
        <f t="shared" si="26"/>
        <v>1.686E-2</v>
      </c>
      <c r="M194" s="1568">
        <f t="shared" si="30"/>
        <v>0</v>
      </c>
      <c r="N194" s="1568"/>
      <c r="O194" s="492">
        <f>IF(F194=0,0,IF(E194="Preferred Equity",0,IF(E194="I.O. Strip",M194,IF($E$148="Yes",VLOOKUP(E194,$K$163:N172,4,FALSE),M194+L194))))</f>
        <v>1.686E-2</v>
      </c>
      <c r="P194" s="489">
        <f t="shared" si="6"/>
        <v>53.858333333333334</v>
      </c>
      <c r="Q194" s="489">
        <f t="shared" si="7"/>
        <v>1615.75</v>
      </c>
      <c r="R194" s="491" t="str">
        <f>IF(J194="","",(IF(F194=0,"No",VLOOKUP(B194,'Investor Profile'!$A$4:$C$14,3,FALSE))))</f>
        <v>Yes</v>
      </c>
      <c r="S194" s="493" t="str">
        <f t="shared" si="8"/>
        <v>Total Loan</v>
      </c>
      <c r="T194" s="1570">
        <f t="shared" si="27"/>
        <v>0.01</v>
      </c>
      <c r="U194" s="489">
        <f t="shared" si="9"/>
        <v>11500</v>
      </c>
      <c r="V194" s="1310" t="str">
        <f>IF(INPUT!A194="AFLAC US",F194*$V$184,IF(INPUT!A194="TRE ACR Portfolio",F194*$V$184,IF(INPUT!A194="TRE ACR Portfolio Series II",F194*$V$184,"")))</f>
        <v/>
      </c>
      <c r="W194" s="1310" t="str">
        <f>IF(J194=0,"",IF($F$216=0,"No",VLOOKUP(B194,'Investor Profile'!$A$4:$D$14,4,FALSE)))</f>
        <v>Yes</v>
      </c>
      <c r="X194" s="1571" t="s">
        <v>233</v>
      </c>
      <c r="Y194" s="1572">
        <v>3</v>
      </c>
      <c r="Z194" s="1563" t="s">
        <v>4186</v>
      </c>
      <c r="AA194" s="1563"/>
      <c r="AB194" s="1574" t="str">
        <f t="shared" si="10"/>
        <v/>
      </c>
      <c r="AC194" s="1574"/>
      <c r="AE194" s="1469">
        <f t="shared" si="11"/>
        <v>0</v>
      </c>
      <c r="AF194" s="716">
        <f t="shared" si="12"/>
        <v>0</v>
      </c>
      <c r="AG194" s="716">
        <f t="shared" si="13"/>
        <v>0</v>
      </c>
      <c r="AH194" s="716">
        <f t="shared" si="14"/>
        <v>0</v>
      </c>
      <c r="AI194" s="716">
        <f t="shared" si="15"/>
        <v>0</v>
      </c>
      <c r="AJ194" s="716">
        <f t="shared" si="16"/>
        <v>0</v>
      </c>
      <c r="AK194" s="716">
        <f t="shared" si="17"/>
        <v>0</v>
      </c>
      <c r="AL194" s="716">
        <f t="shared" si="18"/>
        <v>0</v>
      </c>
      <c r="AM194" s="716">
        <f t="shared" si="19"/>
        <v>0</v>
      </c>
      <c r="AN194" s="719">
        <f t="shared" si="20"/>
        <v>0</v>
      </c>
      <c r="AO194" s="1477">
        <f t="shared" si="2"/>
        <v>0</v>
      </c>
      <c r="AP194" s="714"/>
      <c r="AQ194" s="1586"/>
      <c r="AR194" s="1486">
        <f t="shared" si="21"/>
        <v>0</v>
      </c>
      <c r="AS194" s="1586"/>
      <c r="AT194" s="2128">
        <f t="shared" si="22"/>
        <v>0</v>
      </c>
      <c r="AU194" s="1583"/>
      <c r="AV194" s="1486">
        <f t="shared" si="23"/>
        <v>0</v>
      </c>
      <c r="AW194" s="1586"/>
      <c r="AX194" s="1486">
        <f t="shared" si="24"/>
        <v>0</v>
      </c>
      <c r="AY194" s="1586"/>
      <c r="AZ194" s="1486">
        <f t="shared" si="28"/>
        <v>0</v>
      </c>
      <c r="BA194" s="1586"/>
      <c r="BB194" s="1486">
        <f t="shared" si="31"/>
        <v>0</v>
      </c>
      <c r="BC194" s="1586"/>
      <c r="BD194" s="1486">
        <f t="shared" si="31"/>
        <v>0</v>
      </c>
      <c r="BE194" s="1586"/>
      <c r="BF194" s="1486">
        <f t="shared" si="31"/>
        <v>0</v>
      </c>
      <c r="BG194" s="1586"/>
      <c r="BH194" s="1486">
        <f t="shared" si="32"/>
        <v>0</v>
      </c>
      <c r="BI194" s="1586"/>
      <c r="BJ194" s="1486">
        <f t="shared" si="33"/>
        <v>0</v>
      </c>
      <c r="BK194" s="1586"/>
      <c r="BL194" s="1486">
        <f t="shared" si="34"/>
        <v>0</v>
      </c>
      <c r="BM194" s="1504">
        <f t="shared" si="29"/>
        <v>0</v>
      </c>
      <c r="BN194" s="2127"/>
      <c r="BQ194" s="1419"/>
    </row>
    <row r="195" spans="1:69" ht="15.75" outlineLevel="1" thickBot="1">
      <c r="A195" s="1561" t="s">
        <v>20</v>
      </c>
      <c r="B195" s="488" t="str">
        <f>IF(A195="","",VLOOKUP(A195,'Drop Lists'!$AG$5:$AH$31,2,FALSE))</f>
        <v>SILAC Insurance Company</v>
      </c>
      <c r="C195" s="1562" t="s">
        <v>20</v>
      </c>
      <c r="D195" s="1563" t="s">
        <v>2477</v>
      </c>
      <c r="E195" s="488" t="str">
        <f>IF(D195="","",VLOOKUP(D195,'Drop Lists'!$BF$5:$BG$190,2,FALSE))</f>
        <v>Mortgage</v>
      </c>
      <c r="F195" s="1565">
        <v>8661500</v>
      </c>
      <c r="G195" s="490">
        <f t="shared" si="3"/>
        <v>3.7878789369664018E-2</v>
      </c>
      <c r="H195" s="489">
        <f t="shared" si="4"/>
        <v>2963500</v>
      </c>
      <c r="I195" s="490">
        <f t="shared" si="5"/>
        <v>3.7878783521365353E-2</v>
      </c>
      <c r="J195" s="1566">
        <v>11625000</v>
      </c>
      <c r="K195" s="1363">
        <f t="shared" si="25"/>
        <v>3.787878787878788E-2</v>
      </c>
      <c r="L195" s="492">
        <f t="shared" si="26"/>
        <v>1.686E-2</v>
      </c>
      <c r="M195" s="1568">
        <f t="shared" si="30"/>
        <v>0</v>
      </c>
      <c r="N195" s="1568"/>
      <c r="O195" s="492">
        <f>IF(F195=0,0,IF(E195="Preferred Equity",0,IF(E195="I.O. Strip",M195,IF($E$148="Yes",VLOOKUP(E195,$K$163:N173,4,FALSE),M195+L195))))</f>
        <v>1.686E-2</v>
      </c>
      <c r="P195" s="489">
        <f t="shared" si="6"/>
        <v>405.6469166666667</v>
      </c>
      <c r="Q195" s="489">
        <f t="shared" si="7"/>
        <v>12169.41</v>
      </c>
      <c r="R195" s="491" t="str">
        <f>IF(J195="","",(IF(F195=0,"No",VLOOKUP(B195,'Investor Profile'!$A$4:$C$14,3,FALSE))))</f>
        <v>Yes</v>
      </c>
      <c r="S195" s="493" t="str">
        <f t="shared" si="8"/>
        <v>Total Loan</v>
      </c>
      <c r="T195" s="1570">
        <f t="shared" si="27"/>
        <v>0.01</v>
      </c>
      <c r="U195" s="489">
        <f t="shared" si="9"/>
        <v>116250</v>
      </c>
      <c r="V195" s="1310" t="str">
        <f>IF(INPUT!A195="AFLAC US",F195*$V$184,IF(INPUT!A195="TRE ACR Portfolio",F195*$V$184,IF(INPUT!A195="TRE ACR Portfolio Series II",F195*$V$184,"")))</f>
        <v/>
      </c>
      <c r="W195" s="1310" t="str">
        <f>IF(J195=0,"",IF($F$216=0,"No",VLOOKUP(B195,'Investor Profile'!$A$4:$D$14,4,FALSE)))</f>
        <v>Yes</v>
      </c>
      <c r="X195" s="1571" t="s">
        <v>685</v>
      </c>
      <c r="Y195" s="1572">
        <v>1</v>
      </c>
      <c r="Z195" s="1563" t="s">
        <v>4187</v>
      </c>
      <c r="AA195" s="1563"/>
      <c r="AB195" s="1574" t="str">
        <f t="shared" si="10"/>
        <v/>
      </c>
      <c r="AC195" s="1574"/>
      <c r="AE195" s="1469">
        <f t="shared" si="11"/>
        <v>0</v>
      </c>
      <c r="AF195" s="716">
        <f t="shared" si="12"/>
        <v>0</v>
      </c>
      <c r="AG195" s="716">
        <f t="shared" si="13"/>
        <v>0</v>
      </c>
      <c r="AH195" s="716">
        <f t="shared" si="14"/>
        <v>0</v>
      </c>
      <c r="AI195" s="716">
        <f t="shared" si="15"/>
        <v>0</v>
      </c>
      <c r="AJ195" s="716">
        <f t="shared" si="16"/>
        <v>0</v>
      </c>
      <c r="AK195" s="716">
        <f t="shared" si="17"/>
        <v>0</v>
      </c>
      <c r="AL195" s="716">
        <f t="shared" si="18"/>
        <v>0</v>
      </c>
      <c r="AM195" s="716">
        <f t="shared" si="19"/>
        <v>0</v>
      </c>
      <c r="AN195" s="719">
        <f t="shared" si="20"/>
        <v>0</v>
      </c>
      <c r="AO195" s="1477">
        <f t="shared" si="2"/>
        <v>0</v>
      </c>
      <c r="AP195" s="714"/>
      <c r="AQ195" s="1586"/>
      <c r="AR195" s="1486">
        <f t="shared" si="21"/>
        <v>0</v>
      </c>
      <c r="AS195" s="1586"/>
      <c r="AT195" s="2128">
        <f t="shared" si="22"/>
        <v>0</v>
      </c>
      <c r="AU195" s="1583"/>
      <c r="AV195" s="1486">
        <f t="shared" si="23"/>
        <v>0</v>
      </c>
      <c r="AW195" s="1586"/>
      <c r="AX195" s="1486">
        <f t="shared" si="24"/>
        <v>0</v>
      </c>
      <c r="AY195" s="1586"/>
      <c r="AZ195" s="1486">
        <f t="shared" si="28"/>
        <v>0</v>
      </c>
      <c r="BA195" s="1586"/>
      <c r="BB195" s="1486">
        <f t="shared" si="31"/>
        <v>0</v>
      </c>
      <c r="BC195" s="1586"/>
      <c r="BD195" s="1486">
        <f t="shared" si="31"/>
        <v>0</v>
      </c>
      <c r="BE195" s="1586"/>
      <c r="BF195" s="1486">
        <f t="shared" si="31"/>
        <v>0</v>
      </c>
      <c r="BG195" s="1586"/>
      <c r="BH195" s="1486">
        <f t="shared" si="32"/>
        <v>0</v>
      </c>
      <c r="BI195" s="1586"/>
      <c r="BJ195" s="1486">
        <f t="shared" si="33"/>
        <v>0</v>
      </c>
      <c r="BK195" s="1586"/>
      <c r="BL195" s="1486">
        <f t="shared" si="34"/>
        <v>0</v>
      </c>
      <c r="BM195" s="1504">
        <f t="shared" si="29"/>
        <v>0</v>
      </c>
      <c r="BN195" s="2127"/>
      <c r="BQ195" s="1419"/>
    </row>
    <row r="196" spans="1:69" ht="15.75" outlineLevel="1" thickBot="1">
      <c r="A196" s="1561" t="s">
        <v>20</v>
      </c>
      <c r="B196" s="488" t="str">
        <f>IF(A196="","",VLOOKUP(A196,'Drop Lists'!$AG$5:$AH$31,2,FALSE))</f>
        <v>SILAC Insurance Company</v>
      </c>
      <c r="C196" s="1562" t="s">
        <v>20</v>
      </c>
      <c r="D196" s="1563" t="s">
        <v>2478</v>
      </c>
      <c r="E196" s="488" t="str">
        <f>IF(D196="","",VLOOKUP(D196,'Drop Lists'!$BF$5:$BG$190,2,FALSE))</f>
        <v>Mortgage</v>
      </c>
      <c r="F196" s="1565">
        <v>2139629</v>
      </c>
      <c r="G196" s="490">
        <f t="shared" si="3"/>
        <v>9.3571039912514978E-3</v>
      </c>
      <c r="H196" s="489">
        <f t="shared" si="4"/>
        <v>860371</v>
      </c>
      <c r="I196" s="490">
        <f t="shared" si="5"/>
        <v>1.0997066595937448E-2</v>
      </c>
      <c r="J196" s="1566">
        <v>3000000</v>
      </c>
      <c r="K196" s="1363">
        <f t="shared" si="25"/>
        <v>9.7751710654936461E-3</v>
      </c>
      <c r="L196" s="492">
        <f t="shared" si="26"/>
        <v>1.686E-2</v>
      </c>
      <c r="M196" s="1568">
        <f t="shared" si="30"/>
        <v>0</v>
      </c>
      <c r="N196" s="1568"/>
      <c r="O196" s="492">
        <f>IF(F196=0,0,IF(E196="Preferred Equity",0,IF(E196="I.O. Strip",M196,IF($E$148="Yes",VLOOKUP(E196,$K$163:N174,4,FALSE),M196+L196))))</f>
        <v>1.686E-2</v>
      </c>
      <c r="P196" s="489">
        <f t="shared" si="6"/>
        <v>100.20595816666666</v>
      </c>
      <c r="Q196" s="489">
        <f t="shared" si="7"/>
        <v>3006.18</v>
      </c>
      <c r="R196" s="491" t="str">
        <f>IF(J196="","",(IF(F196=0,"No",VLOOKUP(B196,'Investor Profile'!$A$4:$C$14,3,FALSE))))</f>
        <v>Yes</v>
      </c>
      <c r="S196" s="493" t="str">
        <f t="shared" si="8"/>
        <v>Total Loan</v>
      </c>
      <c r="T196" s="1570">
        <f t="shared" si="27"/>
        <v>0.01</v>
      </c>
      <c r="U196" s="489">
        <f t="shared" si="9"/>
        <v>30000</v>
      </c>
      <c r="V196" s="1310" t="str">
        <f>IF(INPUT!A196="AFLAC US",F196*$V$184,IF(INPUT!A196="TRE ACR Portfolio",F196*$V$184,IF(INPUT!A196="TRE ACR Portfolio Series II",F196*$V$184,"")))</f>
        <v/>
      </c>
      <c r="W196" s="1310" t="str">
        <f>IF(J196=0,"",IF($F$216=0,"No",VLOOKUP(B196,'Investor Profile'!$A$4:$D$14,4,FALSE)))</f>
        <v>Yes</v>
      </c>
      <c r="X196" s="1571" t="s">
        <v>685</v>
      </c>
      <c r="Y196" s="1572">
        <v>2</v>
      </c>
      <c r="Z196" s="1563" t="s">
        <v>4188</v>
      </c>
      <c r="AA196" s="1563"/>
      <c r="AB196" s="1574" t="str">
        <f t="shared" si="10"/>
        <v/>
      </c>
      <c r="AC196" s="1574"/>
      <c r="AE196" s="1469">
        <f t="shared" si="11"/>
        <v>0</v>
      </c>
      <c r="AF196" s="716">
        <f t="shared" si="12"/>
        <v>0</v>
      </c>
      <c r="AG196" s="716">
        <f t="shared" si="13"/>
        <v>0</v>
      </c>
      <c r="AH196" s="716">
        <f t="shared" si="14"/>
        <v>0</v>
      </c>
      <c r="AI196" s="716">
        <f t="shared" si="15"/>
        <v>0</v>
      </c>
      <c r="AJ196" s="716">
        <f t="shared" si="16"/>
        <v>0</v>
      </c>
      <c r="AK196" s="716">
        <f t="shared" si="17"/>
        <v>0</v>
      </c>
      <c r="AL196" s="716">
        <f t="shared" si="18"/>
        <v>0</v>
      </c>
      <c r="AM196" s="716">
        <f t="shared" si="19"/>
        <v>0</v>
      </c>
      <c r="AN196" s="719">
        <f t="shared" si="20"/>
        <v>0</v>
      </c>
      <c r="AO196" s="1477">
        <f t="shared" si="2"/>
        <v>0</v>
      </c>
      <c r="AP196" s="714"/>
      <c r="AQ196" s="1586"/>
      <c r="AR196" s="1486">
        <f t="shared" si="21"/>
        <v>0</v>
      </c>
      <c r="AS196" s="1586"/>
      <c r="AT196" s="2128">
        <f t="shared" si="22"/>
        <v>0</v>
      </c>
      <c r="AU196" s="1583"/>
      <c r="AV196" s="1486">
        <f t="shared" si="23"/>
        <v>0</v>
      </c>
      <c r="AW196" s="1586"/>
      <c r="AX196" s="1486">
        <f t="shared" si="24"/>
        <v>0</v>
      </c>
      <c r="AY196" s="1586"/>
      <c r="AZ196" s="1486">
        <f t="shared" si="28"/>
        <v>0</v>
      </c>
      <c r="BA196" s="1586"/>
      <c r="BB196" s="1486">
        <f t="shared" si="31"/>
        <v>0</v>
      </c>
      <c r="BC196" s="1586"/>
      <c r="BD196" s="1486">
        <f t="shared" si="31"/>
        <v>0</v>
      </c>
      <c r="BE196" s="1586"/>
      <c r="BF196" s="1486">
        <f t="shared" si="31"/>
        <v>0</v>
      </c>
      <c r="BG196" s="1586"/>
      <c r="BH196" s="1486">
        <f t="shared" si="32"/>
        <v>0</v>
      </c>
      <c r="BI196" s="1586"/>
      <c r="BJ196" s="1486">
        <f t="shared" si="33"/>
        <v>0</v>
      </c>
      <c r="BK196" s="1586"/>
      <c r="BL196" s="1486">
        <f t="shared" si="34"/>
        <v>0</v>
      </c>
      <c r="BM196" s="1504">
        <f t="shared" si="29"/>
        <v>0</v>
      </c>
      <c r="BN196" s="2127"/>
      <c r="BQ196" s="1419"/>
    </row>
    <row r="197" spans="1:69" ht="15.75" outlineLevel="1" thickBot="1">
      <c r="A197" s="1561" t="s">
        <v>20</v>
      </c>
      <c r="B197" s="488" t="str">
        <f>IF(A197="","",VLOOKUP(A197,'Drop Lists'!$AG$5:$AH$31,2,FALSE))</f>
        <v>SILAC Insurance Company</v>
      </c>
      <c r="C197" s="1562" t="s">
        <v>20</v>
      </c>
      <c r="D197" s="1563" t="s">
        <v>1292</v>
      </c>
      <c r="E197" s="488" t="str">
        <f>IF(D197="","",VLOOKUP(D197,'Drop Lists'!$BF$5:$BG$190,2,FALSE))</f>
        <v>Mezzanine</v>
      </c>
      <c r="F197" s="1565">
        <v>375000</v>
      </c>
      <c r="G197" s="490">
        <f t="shared" si="3"/>
        <v>1.639963749191711E-3</v>
      </c>
      <c r="H197" s="489">
        <f t="shared" si="4"/>
        <v>0</v>
      </c>
      <c r="I197" s="490">
        <f t="shared" si="5"/>
        <v>0</v>
      </c>
      <c r="J197" s="1566">
        <v>375000</v>
      </c>
      <c r="K197" s="1363">
        <f t="shared" si="25"/>
        <v>1.2218963831867058E-3</v>
      </c>
      <c r="L197" s="492">
        <f t="shared" si="26"/>
        <v>1.686E-2</v>
      </c>
      <c r="M197" s="1568">
        <f t="shared" si="30"/>
        <v>0</v>
      </c>
      <c r="N197" s="1568"/>
      <c r="O197" s="492">
        <f>IF(F197=0,0,IF(E197="Preferred Equity",0,IF(E197="I.O. Strip",M197,IF($E$148="Yes",VLOOKUP(E197,$K$163:N175,4,FALSE),M197+L197))))</f>
        <v>1.686E-2</v>
      </c>
      <c r="P197" s="489">
        <f t="shared" si="6"/>
        <v>17.5625</v>
      </c>
      <c r="Q197" s="489">
        <f t="shared" si="7"/>
        <v>526.88</v>
      </c>
      <c r="R197" s="491" t="str">
        <f>IF(J197="","",(IF(F197=0,"No",VLOOKUP(B197,'Investor Profile'!$A$4:$C$14,3,FALSE))))</f>
        <v>Yes</v>
      </c>
      <c r="S197" s="493" t="str">
        <f t="shared" si="8"/>
        <v>Total Loan</v>
      </c>
      <c r="T197" s="1570">
        <f t="shared" si="27"/>
        <v>0.01</v>
      </c>
      <c r="U197" s="489">
        <f t="shared" si="9"/>
        <v>3750</v>
      </c>
      <c r="V197" s="1310" t="str">
        <f>IF(INPUT!A197="AFLAC US",F197*$V$184,IF(INPUT!A197="TRE ACR Portfolio",F197*$V$184,IF(INPUT!A197="TRE ACR Portfolio Series II",F197*$V$184,"")))</f>
        <v/>
      </c>
      <c r="W197" s="1310" t="str">
        <f>IF(J197=0,"",IF($F$216=0,"No",VLOOKUP(B197,'Investor Profile'!$A$4:$D$14,4,FALSE)))</f>
        <v>Yes</v>
      </c>
      <c r="X197" s="1571" t="s">
        <v>233</v>
      </c>
      <c r="Y197" s="1572">
        <v>3</v>
      </c>
      <c r="Z197" s="1563" t="s">
        <v>4189</v>
      </c>
      <c r="AA197" s="1563"/>
      <c r="AB197" s="1574" t="str">
        <f t="shared" si="10"/>
        <v/>
      </c>
      <c r="AC197" s="1574"/>
      <c r="AE197" s="1469">
        <f t="shared" si="11"/>
        <v>0</v>
      </c>
      <c r="AF197" s="716">
        <f t="shared" si="12"/>
        <v>0</v>
      </c>
      <c r="AG197" s="716">
        <f t="shared" si="13"/>
        <v>0</v>
      </c>
      <c r="AH197" s="716">
        <f t="shared" si="14"/>
        <v>0</v>
      </c>
      <c r="AI197" s="716">
        <f t="shared" si="15"/>
        <v>0</v>
      </c>
      <c r="AJ197" s="716">
        <f t="shared" si="16"/>
        <v>0</v>
      </c>
      <c r="AK197" s="716">
        <f t="shared" si="17"/>
        <v>0</v>
      </c>
      <c r="AL197" s="716">
        <f t="shared" si="18"/>
        <v>0</v>
      </c>
      <c r="AM197" s="716">
        <f t="shared" si="19"/>
        <v>0</v>
      </c>
      <c r="AN197" s="719">
        <f t="shared" si="20"/>
        <v>0</v>
      </c>
      <c r="AO197" s="1477">
        <f t="shared" si="2"/>
        <v>0</v>
      </c>
      <c r="AP197" s="714"/>
      <c r="AQ197" s="1586"/>
      <c r="AR197" s="1486">
        <f t="shared" si="21"/>
        <v>0</v>
      </c>
      <c r="AS197" s="1586"/>
      <c r="AT197" s="2128">
        <f t="shared" si="22"/>
        <v>0</v>
      </c>
      <c r="AU197" s="1583"/>
      <c r="AV197" s="1486">
        <f t="shared" si="23"/>
        <v>0</v>
      </c>
      <c r="AW197" s="1586"/>
      <c r="AX197" s="1486">
        <f t="shared" si="24"/>
        <v>0</v>
      </c>
      <c r="AY197" s="1586"/>
      <c r="AZ197" s="1486">
        <f t="shared" si="28"/>
        <v>0</v>
      </c>
      <c r="BA197" s="1586"/>
      <c r="BB197" s="1486">
        <f t="shared" si="31"/>
        <v>0</v>
      </c>
      <c r="BC197" s="1586"/>
      <c r="BD197" s="1486">
        <f t="shared" si="31"/>
        <v>0</v>
      </c>
      <c r="BE197" s="1586"/>
      <c r="BF197" s="1486">
        <f t="shared" si="31"/>
        <v>0</v>
      </c>
      <c r="BG197" s="1586"/>
      <c r="BH197" s="1486">
        <f t="shared" si="32"/>
        <v>0</v>
      </c>
      <c r="BI197" s="1586"/>
      <c r="BJ197" s="1486">
        <f t="shared" si="33"/>
        <v>0</v>
      </c>
      <c r="BK197" s="1586"/>
      <c r="BL197" s="1486">
        <f t="shared" si="34"/>
        <v>0</v>
      </c>
      <c r="BM197" s="1504">
        <f t="shared" si="29"/>
        <v>0</v>
      </c>
      <c r="BN197" s="2127"/>
      <c r="BQ197" s="1419"/>
    </row>
    <row r="198" spans="1:69" ht="15.75" outlineLevel="1" thickBot="1">
      <c r="A198" s="1561" t="s">
        <v>489</v>
      </c>
      <c r="B198" s="488" t="str">
        <f>IF(A198="","",VLOOKUP(A198,'Drop Lists'!$AG$5:$AH$31,2,FALSE))</f>
        <v>TRE ACR</v>
      </c>
      <c r="C198" s="1562" t="s">
        <v>489</v>
      </c>
      <c r="D198" s="1563" t="s">
        <v>869</v>
      </c>
      <c r="E198" s="488" t="str">
        <f>IF(D198="","",VLOOKUP(D198,'Drop Lists'!$BF$5:$BG$190,2,FALSE))</f>
        <v>Mortgage</v>
      </c>
      <c r="F198" s="1565">
        <v>64037354</v>
      </c>
      <c r="G198" s="490">
        <f t="shared" ref="G198:G200" si="35">IFERROR(IF(E198="I.O. Strip",0,F198/$F$216),0)</f>
        <v>0.28005050441108487</v>
      </c>
      <c r="H198" s="489">
        <f t="shared" ref="H198:H200" si="36">J198-F198</f>
        <v>21910146</v>
      </c>
      <c r="I198" s="490">
        <f t="shared" ref="I198:I200" si="37">IFERROR(IF(E198="I.O. Strip",0,H198/$H$216),0)</f>
        <v>0.28005050691935518</v>
      </c>
      <c r="J198" s="1566">
        <v>85947500</v>
      </c>
      <c r="K198" s="1363">
        <f>IFERROR(IF(E198="I.O. Strip",0,J198/$J$216),0)</f>
        <v>0.28005050505050505</v>
      </c>
      <c r="L198" s="492">
        <f>IF(J198=0,0,IF(D198="I.O. Strip",0,IF($E$148="Yes",$E$158,MAX($E$153,$E$154))))</f>
        <v>1.686E-2</v>
      </c>
      <c r="M198" s="1568">
        <f t="shared" si="30"/>
        <v>0</v>
      </c>
      <c r="N198" s="1568"/>
      <c r="O198" s="492">
        <f>IF(F198=0,0,IF(E198="Preferred Equity",0,IF(E198="I.O. Strip",M198,IF($E$148="Yes",VLOOKUP(E198,$K$163:N176,4,FALSE),M198+L198))))</f>
        <v>1.686E-2</v>
      </c>
      <c r="P198" s="489">
        <f t="shared" ref="P198:P200" si="38">IF(F198=0,0,((F198*O198)/$E$167))</f>
        <v>2999.0827456666666</v>
      </c>
      <c r="Q198" s="489">
        <f t="shared" ref="Q198:Q200" si="39">ROUND(IF(P198=0,0,P198*$E$168),2)</f>
        <v>89972.479999999996</v>
      </c>
      <c r="R198" s="491" t="str">
        <f>IF(J198="","",(IF(F198=0,"No",VLOOKUP(B198,'Investor Profile'!$A$4:$C$14,3,FALSE))))</f>
        <v>No</v>
      </c>
      <c r="S198" s="493" t="str">
        <f t="shared" ref="S198:S200" si="40">IF(E198="I.O. Strip","",IF(J198=0,"",$E$171))</f>
        <v>Total Loan</v>
      </c>
      <c r="T198" s="1570">
        <f t="shared" si="27"/>
        <v>0.01</v>
      </c>
      <c r="U198" s="489">
        <f t="shared" si="9"/>
        <v>859475</v>
      </c>
      <c r="V198" s="1310">
        <f>IF(INPUT!A198="AFLAC US",F198*$V$184,IF(INPUT!A198="TRE ACR Portfolio",F198*$V$184,IF(INPUT!A198="TRE ACR Portfolio Series II",F198*$V$184,"")))</f>
        <v>320186.77</v>
      </c>
      <c r="W198" s="1310" t="str">
        <f>IF(J198=0,"",IF($F$216=0,"No",VLOOKUP(B198,'Investor Profile'!$A$4:$D$14,4,FALSE)))</f>
        <v>Yes</v>
      </c>
      <c r="X198" s="1571" t="s">
        <v>685</v>
      </c>
      <c r="Y198" s="1572">
        <v>1</v>
      </c>
      <c r="Z198" s="1563" t="s">
        <v>4191</v>
      </c>
      <c r="AA198" s="1563"/>
      <c r="AB198" s="1574" t="str">
        <f t="shared" si="10"/>
        <v/>
      </c>
      <c r="AC198" s="1574"/>
      <c r="AE198" s="1469">
        <f t="shared" si="11"/>
        <v>0</v>
      </c>
      <c r="AF198" s="716">
        <f t="shared" si="12"/>
        <v>0</v>
      </c>
      <c r="AG198" s="716">
        <f t="shared" si="13"/>
        <v>0</v>
      </c>
      <c r="AH198" s="716">
        <f t="shared" si="14"/>
        <v>0</v>
      </c>
      <c r="AI198" s="716">
        <f t="shared" si="15"/>
        <v>0</v>
      </c>
      <c r="AJ198" s="716">
        <f t="shared" si="16"/>
        <v>0</v>
      </c>
      <c r="AK198" s="716">
        <f t="shared" si="17"/>
        <v>0</v>
      </c>
      <c r="AL198" s="716">
        <f t="shared" si="18"/>
        <v>0</v>
      </c>
      <c r="AM198" s="716">
        <f t="shared" si="19"/>
        <v>0</v>
      </c>
      <c r="AN198" s="719">
        <f t="shared" si="20"/>
        <v>0</v>
      </c>
      <c r="AO198" s="1477">
        <f t="shared" si="2"/>
        <v>0</v>
      </c>
      <c r="AP198" s="714"/>
      <c r="AQ198" s="1586"/>
      <c r="AR198" s="1486">
        <f t="shared" si="21"/>
        <v>0</v>
      </c>
      <c r="AS198" s="1586"/>
      <c r="AT198" s="2128">
        <f t="shared" si="22"/>
        <v>0</v>
      </c>
      <c r="AU198" s="1583"/>
      <c r="AV198" s="1486">
        <f t="shared" si="23"/>
        <v>0</v>
      </c>
      <c r="AW198" s="1586"/>
      <c r="AX198" s="1486">
        <f t="shared" si="24"/>
        <v>0</v>
      </c>
      <c r="AY198" s="1586"/>
      <c r="AZ198" s="1486">
        <f t="shared" si="28"/>
        <v>0</v>
      </c>
      <c r="BA198" s="1586"/>
      <c r="BB198" s="1486">
        <f t="shared" si="31"/>
        <v>0</v>
      </c>
      <c r="BC198" s="1586"/>
      <c r="BD198" s="1486">
        <f t="shared" si="31"/>
        <v>0</v>
      </c>
      <c r="BE198" s="1586"/>
      <c r="BF198" s="1486">
        <f t="shared" si="31"/>
        <v>0</v>
      </c>
      <c r="BG198" s="1586"/>
      <c r="BH198" s="1486">
        <f t="shared" si="32"/>
        <v>0</v>
      </c>
      <c r="BI198" s="1586"/>
      <c r="BJ198" s="1486">
        <f t="shared" si="33"/>
        <v>0</v>
      </c>
      <c r="BK198" s="1586"/>
      <c r="BL198" s="1486">
        <f t="shared" si="34"/>
        <v>0</v>
      </c>
      <c r="BM198" s="1504">
        <f t="shared" si="29"/>
        <v>0</v>
      </c>
      <c r="BN198" s="2127"/>
      <c r="BQ198" s="1419"/>
    </row>
    <row r="199" spans="1:69" ht="15.75" outlineLevel="1" thickBot="1">
      <c r="A199" s="1561" t="s">
        <v>489</v>
      </c>
      <c r="B199" s="488" t="str">
        <f>IF(A199="","",VLOOKUP(A199,'Drop Lists'!$AG$5:$AH$31,2,FALSE))</f>
        <v>TRE ACR</v>
      </c>
      <c r="C199" s="1562" t="s">
        <v>2476</v>
      </c>
      <c r="D199" s="1563" t="s">
        <v>935</v>
      </c>
      <c r="E199" s="488" t="str">
        <f>IF(D199="","",VLOOKUP(D199,'Drop Lists'!$BF$5:$BG$190,2,FALSE))</f>
        <v>Mortgage</v>
      </c>
      <c r="F199" s="1565">
        <v>15818990</v>
      </c>
      <c r="G199" s="490">
        <f t="shared" si="35"/>
        <v>6.91801870635365E-2</v>
      </c>
      <c r="H199" s="489">
        <f t="shared" si="36"/>
        <v>6361010</v>
      </c>
      <c r="I199" s="490">
        <f t="shared" si="37"/>
        <v>8.1304984230551783E-2</v>
      </c>
      <c r="J199" s="1566">
        <v>22180000</v>
      </c>
      <c r="K199" s="1363">
        <f t="shared" ref="K199:K200" si="41">IFERROR(IF(E199="I.O. Strip",0,J199/$J$216),0)</f>
        <v>7.2271098077549695E-2</v>
      </c>
      <c r="L199" s="492">
        <f t="shared" ref="L199:L200" si="42">IF(J199=0,0,IF(D199="I.O. Strip",0,IF($E$148="Yes",$E$158,MAX($E$153,$E$154))))</f>
        <v>1.686E-2</v>
      </c>
      <c r="M199" s="1568">
        <f t="shared" si="30"/>
        <v>0</v>
      </c>
      <c r="N199" s="1568"/>
      <c r="O199" s="492">
        <f>IF(F199=0,0,IF(E199="Preferred Equity",0,IF(E199="I.O. Strip",M199,IF($E$148="Yes",VLOOKUP(E199,$K$163:N177,4,FALSE),M199+L199))))</f>
        <v>1.686E-2</v>
      </c>
      <c r="P199" s="489">
        <f t="shared" si="38"/>
        <v>740.85603166666669</v>
      </c>
      <c r="Q199" s="489">
        <f t="shared" si="39"/>
        <v>22225.68</v>
      </c>
      <c r="R199" s="491" t="str">
        <f>IF(J199="","",(IF(F199=0,"No",VLOOKUP(B199,'Investor Profile'!$A$4:$C$14,3,FALSE))))</f>
        <v>No</v>
      </c>
      <c r="S199" s="493" t="str">
        <f t="shared" si="40"/>
        <v>Total Loan</v>
      </c>
      <c r="T199" s="1570">
        <f t="shared" si="27"/>
        <v>0.01</v>
      </c>
      <c r="U199" s="489">
        <f t="shared" si="9"/>
        <v>221800</v>
      </c>
      <c r="V199" s="1310">
        <f>IF(INPUT!A199="AFLAC US",F199*$V$184,IF(INPUT!A199="TRE ACR Portfolio",F199*$V$184,IF(INPUT!A199="TRE ACR Portfolio Series II",F199*$V$184,"")))</f>
        <v>79094.95</v>
      </c>
      <c r="W199" s="1310" t="str">
        <f>IF(J199=0,"",IF($F$216=0,"No",VLOOKUP(B199,'Investor Profile'!$A$4:$D$14,4,FALSE)))</f>
        <v>Yes</v>
      </c>
      <c r="X199" s="1571" t="s">
        <v>685</v>
      </c>
      <c r="Y199" s="1572">
        <v>2</v>
      </c>
      <c r="Z199" s="1563" t="s">
        <v>4192</v>
      </c>
      <c r="AA199" s="1563"/>
      <c r="AB199" s="1574" t="str">
        <f t="shared" si="10"/>
        <v/>
      </c>
      <c r="AC199" s="1574"/>
      <c r="AE199" s="1469">
        <f t="shared" si="11"/>
        <v>0</v>
      </c>
      <c r="AF199" s="716">
        <f t="shared" si="12"/>
        <v>0</v>
      </c>
      <c r="AG199" s="716">
        <f t="shared" si="13"/>
        <v>0</v>
      </c>
      <c r="AH199" s="716">
        <f t="shared" si="14"/>
        <v>0</v>
      </c>
      <c r="AI199" s="716">
        <f t="shared" si="15"/>
        <v>0</v>
      </c>
      <c r="AJ199" s="716">
        <f t="shared" si="16"/>
        <v>0</v>
      </c>
      <c r="AK199" s="716">
        <f t="shared" si="17"/>
        <v>0</v>
      </c>
      <c r="AL199" s="716">
        <f t="shared" si="18"/>
        <v>0</v>
      </c>
      <c r="AM199" s="716">
        <f t="shared" si="19"/>
        <v>0</v>
      </c>
      <c r="AN199" s="719">
        <f t="shared" si="20"/>
        <v>0</v>
      </c>
      <c r="AO199" s="1477">
        <f t="shared" si="2"/>
        <v>0</v>
      </c>
      <c r="AP199" s="714"/>
      <c r="AQ199" s="1586"/>
      <c r="AR199" s="1486">
        <f t="shared" si="21"/>
        <v>0</v>
      </c>
      <c r="AS199" s="1586"/>
      <c r="AT199" s="2128">
        <f t="shared" si="22"/>
        <v>0</v>
      </c>
      <c r="AU199" s="1583"/>
      <c r="AV199" s="1486">
        <f t="shared" si="23"/>
        <v>0</v>
      </c>
      <c r="AW199" s="1586"/>
      <c r="AX199" s="1486">
        <f t="shared" si="24"/>
        <v>0</v>
      </c>
      <c r="AY199" s="1586"/>
      <c r="AZ199" s="1486">
        <f t="shared" si="28"/>
        <v>0</v>
      </c>
      <c r="BA199" s="1586"/>
      <c r="BB199" s="1486">
        <f t="shared" si="31"/>
        <v>0</v>
      </c>
      <c r="BC199" s="1586"/>
      <c r="BD199" s="1486">
        <f t="shared" si="31"/>
        <v>0</v>
      </c>
      <c r="BE199" s="1586"/>
      <c r="BF199" s="1486">
        <f t="shared" si="31"/>
        <v>0</v>
      </c>
      <c r="BG199" s="1586"/>
      <c r="BH199" s="1486">
        <f t="shared" si="32"/>
        <v>0</v>
      </c>
      <c r="BI199" s="1586"/>
      <c r="BJ199" s="1486">
        <f t="shared" si="33"/>
        <v>0</v>
      </c>
      <c r="BK199" s="1586"/>
      <c r="BL199" s="1486">
        <f t="shared" si="34"/>
        <v>0</v>
      </c>
      <c r="BM199" s="1504">
        <f t="shared" si="29"/>
        <v>0</v>
      </c>
      <c r="BN199" s="2127"/>
      <c r="BQ199" s="1419"/>
    </row>
    <row r="200" spans="1:69" ht="15.75" outlineLevel="1" thickBot="1">
      <c r="A200" s="1561" t="s">
        <v>489</v>
      </c>
      <c r="B200" s="488" t="str">
        <f>IF(A200="","",VLOOKUP(A200,'Drop Lists'!$AG$5:$AH$31,2,FALSE))</f>
        <v>TRE ACR</v>
      </c>
      <c r="C200" s="1562" t="s">
        <v>2476</v>
      </c>
      <c r="D200" s="1563" t="s">
        <v>1296</v>
      </c>
      <c r="E200" s="488" t="str">
        <f>IF(D200="","",VLOOKUP(D200,'Drop Lists'!$BF$5:$BG$190,2,FALSE))</f>
        <v>Mezzanine</v>
      </c>
      <c r="F200" s="1565">
        <v>2772500</v>
      </c>
      <c r="G200" s="490">
        <f t="shared" si="35"/>
        <v>1.2124798652357384E-2</v>
      </c>
      <c r="H200" s="489">
        <f t="shared" si="36"/>
        <v>0</v>
      </c>
      <c r="I200" s="490">
        <f t="shared" si="37"/>
        <v>0</v>
      </c>
      <c r="J200" s="1566">
        <v>2772500</v>
      </c>
      <c r="K200" s="1363">
        <f t="shared" si="41"/>
        <v>9.0338872596937118E-3</v>
      </c>
      <c r="L200" s="492">
        <f t="shared" si="42"/>
        <v>1.686E-2</v>
      </c>
      <c r="M200" s="1568">
        <f t="shared" si="30"/>
        <v>0</v>
      </c>
      <c r="N200" s="1568"/>
      <c r="O200" s="492">
        <f>IF(F200=0,0,IF(E200="Preferred Equity",0,IF(E200="I.O. Strip",M200,IF($E$148="Yes",VLOOKUP(E200,$K$163:N178,4,FALSE),M200+L200))))</f>
        <v>1.686E-2</v>
      </c>
      <c r="P200" s="489">
        <f t="shared" si="38"/>
        <v>129.84541666666667</v>
      </c>
      <c r="Q200" s="489">
        <f t="shared" si="39"/>
        <v>3895.36</v>
      </c>
      <c r="R200" s="491" t="str">
        <f>IF(J200="","",(IF(F200=0,"No",VLOOKUP(B200,'Investor Profile'!$A$4:$C$14,3,FALSE))))</f>
        <v>No</v>
      </c>
      <c r="S200" s="493" t="str">
        <f t="shared" si="40"/>
        <v>Total Loan</v>
      </c>
      <c r="T200" s="1570">
        <f t="shared" si="27"/>
        <v>0.01</v>
      </c>
      <c r="U200" s="489">
        <f t="shared" si="9"/>
        <v>27725</v>
      </c>
      <c r="V200" s="1310">
        <f>IF(INPUT!A200="AFLAC US",F200*$V$184,IF(INPUT!A200="TRE ACR Portfolio",F200*$V$184,IF(INPUT!A200="TRE ACR Portfolio Series II",F200*$V$184,"")))</f>
        <v>13862.5</v>
      </c>
      <c r="W200" s="1310" t="str">
        <f>IF(J200=0,"",IF($F$216=0,"No",VLOOKUP(B200,'Investor Profile'!$A$4:$D$14,4,FALSE)))</f>
        <v>Yes</v>
      </c>
      <c r="X200" s="1571" t="s">
        <v>233</v>
      </c>
      <c r="Y200" s="1572">
        <v>3</v>
      </c>
      <c r="Z200" s="1563" t="s">
        <v>4193</v>
      </c>
      <c r="AA200" s="1563"/>
      <c r="AB200" s="1574" t="str">
        <f t="shared" si="10"/>
        <v/>
      </c>
      <c r="AC200" s="1574"/>
      <c r="AE200" s="1469">
        <f t="shared" si="11"/>
        <v>0</v>
      </c>
      <c r="AF200" s="716">
        <f t="shared" si="12"/>
        <v>0</v>
      </c>
      <c r="AG200" s="716">
        <f t="shared" si="13"/>
        <v>0</v>
      </c>
      <c r="AH200" s="716">
        <f t="shared" si="14"/>
        <v>0</v>
      </c>
      <c r="AI200" s="716">
        <f t="shared" si="15"/>
        <v>0</v>
      </c>
      <c r="AJ200" s="716">
        <f t="shared" si="16"/>
        <v>0</v>
      </c>
      <c r="AK200" s="716">
        <f t="shared" si="17"/>
        <v>0</v>
      </c>
      <c r="AL200" s="716">
        <f t="shared" si="18"/>
        <v>0</v>
      </c>
      <c r="AM200" s="716">
        <f t="shared" si="19"/>
        <v>0</v>
      </c>
      <c r="AN200" s="719">
        <f t="shared" si="20"/>
        <v>0</v>
      </c>
      <c r="AO200" s="1477">
        <f t="shared" si="2"/>
        <v>0</v>
      </c>
      <c r="AP200" s="714"/>
      <c r="AQ200" s="1586"/>
      <c r="AR200" s="1486">
        <f t="shared" si="21"/>
        <v>0</v>
      </c>
      <c r="AS200" s="1586"/>
      <c r="AT200" s="2128">
        <f t="shared" si="22"/>
        <v>0</v>
      </c>
      <c r="AU200" s="1583"/>
      <c r="AV200" s="1486">
        <f t="shared" si="23"/>
        <v>0</v>
      </c>
      <c r="AW200" s="1586"/>
      <c r="AX200" s="1486">
        <f t="shared" si="24"/>
        <v>0</v>
      </c>
      <c r="AY200" s="1586"/>
      <c r="AZ200" s="1486">
        <f t="shared" si="28"/>
        <v>0</v>
      </c>
      <c r="BA200" s="1586"/>
      <c r="BB200" s="1486">
        <f t="shared" si="31"/>
        <v>0</v>
      </c>
      <c r="BC200" s="1586"/>
      <c r="BD200" s="1486">
        <f t="shared" si="31"/>
        <v>0</v>
      </c>
      <c r="BE200" s="1586"/>
      <c r="BF200" s="1486">
        <f t="shared" si="31"/>
        <v>0</v>
      </c>
      <c r="BG200" s="1586"/>
      <c r="BH200" s="1486">
        <f t="shared" si="32"/>
        <v>0</v>
      </c>
      <c r="BI200" s="1586"/>
      <c r="BJ200" s="1486">
        <f t="shared" si="33"/>
        <v>0</v>
      </c>
      <c r="BK200" s="1586"/>
      <c r="BL200" s="1486">
        <f t="shared" si="34"/>
        <v>0</v>
      </c>
      <c r="BM200" s="1504">
        <f t="shared" si="29"/>
        <v>0</v>
      </c>
      <c r="BN200" s="2127"/>
      <c r="BQ200" s="1419"/>
    </row>
    <row r="201" spans="1:69" ht="15.75" outlineLevel="1" thickBot="1">
      <c r="A201" s="1561"/>
      <c r="B201" s="488" t="str">
        <f>IF(A201="","",VLOOKUP(A201,'Drop Lists'!$AG$5:$AH$31,2,FALSE))</f>
        <v/>
      </c>
      <c r="C201" s="1562"/>
      <c r="D201" s="1563"/>
      <c r="E201" s="488" t="str">
        <f>IF(D201="","",VLOOKUP(D201,'Drop Lists'!$BF$5:$BG$190,2,FALSE))</f>
        <v/>
      </c>
      <c r="F201" s="1565"/>
      <c r="G201" s="490">
        <f t="shared" si="3"/>
        <v>0</v>
      </c>
      <c r="H201" s="489">
        <f t="shared" si="4"/>
        <v>0</v>
      </c>
      <c r="I201" s="490">
        <f t="shared" si="5"/>
        <v>0</v>
      </c>
      <c r="J201" s="1566"/>
      <c r="K201" s="1363">
        <f t="shared" si="25"/>
        <v>0</v>
      </c>
      <c r="L201" s="492">
        <f t="shared" si="26"/>
        <v>0</v>
      </c>
      <c r="M201" s="1568" t="str">
        <f t="shared" si="30"/>
        <v/>
      </c>
      <c r="N201" s="1568"/>
      <c r="O201" s="492">
        <f>IF(F201=0,0,IF(E201="Preferred Equity",0,IF(E201="I.O. Strip",M201,IF($E$148="Yes",VLOOKUP(E201,$K$163:N179,4,FALSE),M201+L201))))</f>
        <v>0</v>
      </c>
      <c r="P201" s="489">
        <f t="shared" si="6"/>
        <v>0</v>
      </c>
      <c r="Q201" s="489">
        <f t="shared" si="7"/>
        <v>0</v>
      </c>
      <c r="R201" s="491" t="str">
        <f>IF(J201="","",(IF(F201=0,"No",VLOOKUP(B201,'Investor Profile'!$A$4:$C$14,3,FALSE))))</f>
        <v/>
      </c>
      <c r="S201" s="493" t="str">
        <f t="shared" si="8"/>
        <v/>
      </c>
      <c r="T201" s="1570">
        <f t="shared" si="27"/>
        <v>0.01</v>
      </c>
      <c r="U201" s="489">
        <f t="shared" si="9"/>
        <v>0</v>
      </c>
      <c r="V201" s="1310" t="str">
        <f>IF(INPUT!A201="AFLAC US",F201*$V$184,IF(INPUT!A201="TRE ACR Portfolio",F201*$V$184,IF(INPUT!A201="TRE ACR Portfolio Series II",F201*$V$184,"")))</f>
        <v/>
      </c>
      <c r="W201" s="1310" t="str">
        <f>IF(J201=0,"",IF($F$216=0,"No",VLOOKUP(B201,'Investor Profile'!$A$4:$D$14,4,FALSE)))</f>
        <v/>
      </c>
      <c r="X201" s="1571"/>
      <c r="Y201" s="1572"/>
      <c r="Z201" s="1563"/>
      <c r="AA201" s="1563"/>
      <c r="AB201" s="1574" t="str">
        <f t="shared" si="10"/>
        <v/>
      </c>
      <c r="AC201" s="1574"/>
      <c r="AE201" s="1469">
        <f t="shared" si="11"/>
        <v>0</v>
      </c>
      <c r="AF201" s="716">
        <f t="shared" si="12"/>
        <v>0</v>
      </c>
      <c r="AG201" s="716">
        <f t="shared" si="13"/>
        <v>0</v>
      </c>
      <c r="AH201" s="716">
        <f t="shared" si="14"/>
        <v>0</v>
      </c>
      <c r="AI201" s="716">
        <f t="shared" si="15"/>
        <v>0</v>
      </c>
      <c r="AJ201" s="716">
        <f t="shared" si="16"/>
        <v>0</v>
      </c>
      <c r="AK201" s="716">
        <f t="shared" si="17"/>
        <v>0</v>
      </c>
      <c r="AL201" s="716">
        <f t="shared" si="18"/>
        <v>0</v>
      </c>
      <c r="AM201" s="716">
        <f t="shared" si="19"/>
        <v>0</v>
      </c>
      <c r="AN201" s="719">
        <f t="shared" si="20"/>
        <v>0</v>
      </c>
      <c r="AO201" s="1477">
        <f t="shared" si="2"/>
        <v>0</v>
      </c>
      <c r="AP201" s="714"/>
      <c r="AQ201" s="1586"/>
      <c r="AR201" s="1486">
        <f t="shared" si="21"/>
        <v>0</v>
      </c>
      <c r="AS201" s="1586"/>
      <c r="AT201" s="2128">
        <f t="shared" si="22"/>
        <v>0</v>
      </c>
      <c r="AU201" s="1583"/>
      <c r="AV201" s="1486">
        <f t="shared" si="23"/>
        <v>0</v>
      </c>
      <c r="AW201" s="1586"/>
      <c r="AX201" s="1486">
        <f t="shared" si="24"/>
        <v>0</v>
      </c>
      <c r="AY201" s="1586"/>
      <c r="AZ201" s="1486">
        <f t="shared" si="28"/>
        <v>0</v>
      </c>
      <c r="BA201" s="1586"/>
      <c r="BB201" s="1486">
        <f t="shared" si="31"/>
        <v>0</v>
      </c>
      <c r="BC201" s="1586"/>
      <c r="BD201" s="1486">
        <f t="shared" si="31"/>
        <v>0</v>
      </c>
      <c r="BE201" s="1586"/>
      <c r="BF201" s="1486">
        <f t="shared" si="31"/>
        <v>0</v>
      </c>
      <c r="BG201" s="1586"/>
      <c r="BH201" s="1486">
        <f t="shared" si="32"/>
        <v>0</v>
      </c>
      <c r="BI201" s="1586"/>
      <c r="BJ201" s="1486">
        <f t="shared" si="33"/>
        <v>0</v>
      </c>
      <c r="BK201" s="1586"/>
      <c r="BL201" s="1486">
        <f t="shared" si="34"/>
        <v>0</v>
      </c>
      <c r="BM201" s="1504">
        <f t="shared" si="29"/>
        <v>0</v>
      </c>
      <c r="BN201" s="2127"/>
      <c r="BQ201" s="1419"/>
    </row>
    <row r="202" spans="1:69" ht="15.75" outlineLevel="1" thickBot="1">
      <c r="A202" s="1561"/>
      <c r="B202" s="488" t="str">
        <f>IF(A202="","",VLOOKUP(A202,'Drop Lists'!$AG$5:$AH$31,2,FALSE))</f>
        <v/>
      </c>
      <c r="C202" s="1562"/>
      <c r="D202" s="1563"/>
      <c r="E202" s="488" t="str">
        <f>IF(D202="","",VLOOKUP(D202,'Drop Lists'!$BF$5:$BG$190,2,FALSE))</f>
        <v/>
      </c>
      <c r="F202" s="1565"/>
      <c r="G202" s="490">
        <f t="shared" si="3"/>
        <v>0</v>
      </c>
      <c r="H202" s="489">
        <f t="shared" si="4"/>
        <v>0</v>
      </c>
      <c r="I202" s="490">
        <f t="shared" si="5"/>
        <v>0</v>
      </c>
      <c r="J202" s="1566"/>
      <c r="K202" s="1363">
        <f t="shared" si="25"/>
        <v>0</v>
      </c>
      <c r="L202" s="492">
        <f t="shared" si="26"/>
        <v>0</v>
      </c>
      <c r="M202" s="1568" t="str">
        <f t="shared" si="30"/>
        <v/>
      </c>
      <c r="N202" s="1568"/>
      <c r="O202" s="492">
        <f>IF(F202=0,0,IF(E202="Preferred Equity",0,IF(E202="I.O. Strip",M202,IF($E$148="Yes",VLOOKUP(E202,$K$163:N180,4,FALSE),M202+L202))))</f>
        <v>0</v>
      </c>
      <c r="P202" s="489">
        <f t="shared" si="6"/>
        <v>0</v>
      </c>
      <c r="Q202" s="489">
        <f t="shared" si="7"/>
        <v>0</v>
      </c>
      <c r="R202" s="491" t="str">
        <f>IF(J202="","",(IF(F202=0,"No",VLOOKUP(B202,'Investor Profile'!$A$4:$C$14,3,FALSE))))</f>
        <v/>
      </c>
      <c r="S202" s="493" t="str">
        <f t="shared" si="8"/>
        <v/>
      </c>
      <c r="T202" s="1570">
        <f t="shared" si="27"/>
        <v>0.01</v>
      </c>
      <c r="U202" s="489">
        <f t="shared" si="9"/>
        <v>0</v>
      </c>
      <c r="V202" s="1310" t="str">
        <f>IF(INPUT!A202="AFLAC US",F202*$V$184,IF(INPUT!A202="TRE ACR Portfolio",F202*$V$184,IF(INPUT!A202="TRE ACR Portfolio Series II",F202*$V$184,"")))</f>
        <v/>
      </c>
      <c r="W202" s="1310" t="str">
        <f>IF(J202=0,"",IF($F$216=0,"No",VLOOKUP(B202,'Investor Profile'!$A$4:$D$14,4,FALSE)))</f>
        <v/>
      </c>
      <c r="X202" s="1571"/>
      <c r="Y202" s="1572"/>
      <c r="Z202" s="1563"/>
      <c r="AA202" s="1563"/>
      <c r="AB202" s="1574" t="str">
        <f t="shared" si="10"/>
        <v/>
      </c>
      <c r="AC202" s="1574"/>
      <c r="AE202" s="1469">
        <f t="shared" si="11"/>
        <v>0</v>
      </c>
      <c r="AF202" s="716">
        <f t="shared" si="12"/>
        <v>0</v>
      </c>
      <c r="AG202" s="716">
        <f t="shared" si="13"/>
        <v>0</v>
      </c>
      <c r="AH202" s="716">
        <f t="shared" si="14"/>
        <v>0</v>
      </c>
      <c r="AI202" s="716">
        <f t="shared" si="15"/>
        <v>0</v>
      </c>
      <c r="AJ202" s="716">
        <f t="shared" si="16"/>
        <v>0</v>
      </c>
      <c r="AK202" s="716">
        <f t="shared" si="17"/>
        <v>0</v>
      </c>
      <c r="AL202" s="716">
        <f t="shared" si="18"/>
        <v>0</v>
      </c>
      <c r="AM202" s="716">
        <f t="shared" si="19"/>
        <v>0</v>
      </c>
      <c r="AN202" s="719">
        <f t="shared" si="20"/>
        <v>0</v>
      </c>
      <c r="AO202" s="1477">
        <f t="shared" si="2"/>
        <v>0</v>
      </c>
      <c r="AP202" s="714"/>
      <c r="AQ202" s="1586"/>
      <c r="AR202" s="1486">
        <f t="shared" si="21"/>
        <v>0</v>
      </c>
      <c r="AS202" s="1586"/>
      <c r="AT202" s="2128">
        <f t="shared" si="22"/>
        <v>0</v>
      </c>
      <c r="AU202" s="1583"/>
      <c r="AV202" s="1486">
        <f t="shared" si="23"/>
        <v>0</v>
      </c>
      <c r="AW202" s="1586"/>
      <c r="AX202" s="1486">
        <f t="shared" si="24"/>
        <v>0</v>
      </c>
      <c r="AY202" s="1586"/>
      <c r="AZ202" s="1486">
        <f t="shared" si="28"/>
        <v>0</v>
      </c>
      <c r="BA202" s="1586"/>
      <c r="BB202" s="1486">
        <f t="shared" si="31"/>
        <v>0</v>
      </c>
      <c r="BC202" s="1586"/>
      <c r="BD202" s="1486">
        <f t="shared" si="31"/>
        <v>0</v>
      </c>
      <c r="BE202" s="1586"/>
      <c r="BF202" s="1486">
        <f t="shared" si="31"/>
        <v>0</v>
      </c>
      <c r="BG202" s="1586"/>
      <c r="BH202" s="1486">
        <f t="shared" si="32"/>
        <v>0</v>
      </c>
      <c r="BI202" s="1586"/>
      <c r="BJ202" s="1486">
        <f t="shared" si="33"/>
        <v>0</v>
      </c>
      <c r="BK202" s="1586"/>
      <c r="BL202" s="1486">
        <f t="shared" si="34"/>
        <v>0</v>
      </c>
      <c r="BM202" s="1504">
        <f t="shared" si="29"/>
        <v>0</v>
      </c>
      <c r="BN202" s="2127"/>
      <c r="BQ202" s="1419"/>
    </row>
    <row r="203" spans="1:69" ht="15.75" outlineLevel="1" thickBot="1">
      <c r="A203" s="1561"/>
      <c r="B203" s="488" t="str">
        <f>IF(A203="","",VLOOKUP(A203,'Drop Lists'!$AG$5:$AH$31,2,FALSE))</f>
        <v/>
      </c>
      <c r="C203" s="1562"/>
      <c r="D203" s="1563"/>
      <c r="E203" s="488" t="str">
        <f>IF(D203="","",VLOOKUP(D203,'Drop Lists'!$BF$5:$BG$190,2,FALSE))</f>
        <v/>
      </c>
      <c r="F203" s="1565"/>
      <c r="G203" s="490">
        <f t="shared" si="3"/>
        <v>0</v>
      </c>
      <c r="H203" s="489">
        <f t="shared" si="4"/>
        <v>0</v>
      </c>
      <c r="I203" s="490">
        <f t="shared" si="5"/>
        <v>0</v>
      </c>
      <c r="J203" s="1566"/>
      <c r="K203" s="1363">
        <f t="shared" si="25"/>
        <v>0</v>
      </c>
      <c r="L203" s="492">
        <f t="shared" si="26"/>
        <v>0</v>
      </c>
      <c r="M203" s="1568" t="str">
        <f t="shared" si="30"/>
        <v/>
      </c>
      <c r="N203" s="1568"/>
      <c r="O203" s="492">
        <f>IF(F203=0,0,IF(E203="Preferred Equity",0,IF(E203="I.O. Strip",M203,IF($E$148="Yes",VLOOKUP(E203,$K$163:N181,4,FALSE),M203+L203))))</f>
        <v>0</v>
      </c>
      <c r="P203" s="489">
        <f t="shared" si="6"/>
        <v>0</v>
      </c>
      <c r="Q203" s="489">
        <f t="shared" si="7"/>
        <v>0</v>
      </c>
      <c r="R203" s="491" t="str">
        <f>IF(J203="","",(IF(F203=0,"No",VLOOKUP(B203,'Investor Profile'!$A$4:$C$14,3,FALSE))))</f>
        <v/>
      </c>
      <c r="S203" s="493" t="str">
        <f t="shared" si="8"/>
        <v/>
      </c>
      <c r="T203" s="1570">
        <f t="shared" si="27"/>
        <v>0.01</v>
      </c>
      <c r="U203" s="489">
        <f t="shared" si="9"/>
        <v>0</v>
      </c>
      <c r="V203" s="1310" t="str">
        <f>IF(INPUT!A203="AFLAC US",F203*$V$184,IF(INPUT!A203="TRE ACR Portfolio",F203*$V$184,IF(INPUT!A203="TRE ACR Portfolio Series II",F203*$V$184,"")))</f>
        <v/>
      </c>
      <c r="W203" s="1310" t="str">
        <f>IF(J203=0,"",IF($F$216=0,"No",VLOOKUP(B203,'Investor Profile'!$A$4:$D$14,4,FALSE)))</f>
        <v/>
      </c>
      <c r="X203" s="1571"/>
      <c r="Y203" s="1572"/>
      <c r="Z203" s="1563"/>
      <c r="AA203" s="1563"/>
      <c r="AB203" s="1574" t="str">
        <f t="shared" si="10"/>
        <v/>
      </c>
      <c r="AC203" s="1574"/>
      <c r="AE203" s="1469">
        <f t="shared" si="11"/>
        <v>0</v>
      </c>
      <c r="AF203" s="716">
        <f t="shared" si="12"/>
        <v>0</v>
      </c>
      <c r="AG203" s="716">
        <f t="shared" si="13"/>
        <v>0</v>
      </c>
      <c r="AH203" s="716">
        <f t="shared" si="14"/>
        <v>0</v>
      </c>
      <c r="AI203" s="716">
        <f t="shared" si="15"/>
        <v>0</v>
      </c>
      <c r="AJ203" s="716">
        <f t="shared" si="16"/>
        <v>0</v>
      </c>
      <c r="AK203" s="716">
        <f t="shared" si="17"/>
        <v>0</v>
      </c>
      <c r="AL203" s="716">
        <f t="shared" si="18"/>
        <v>0</v>
      </c>
      <c r="AM203" s="716">
        <f t="shared" si="19"/>
        <v>0</v>
      </c>
      <c r="AN203" s="719">
        <f t="shared" si="20"/>
        <v>0</v>
      </c>
      <c r="AO203" s="1477">
        <f t="shared" si="2"/>
        <v>0</v>
      </c>
      <c r="AP203" s="714"/>
      <c r="AQ203" s="1586"/>
      <c r="AR203" s="1486">
        <f t="shared" si="21"/>
        <v>0</v>
      </c>
      <c r="AS203" s="1586"/>
      <c r="AT203" s="2128">
        <f t="shared" si="22"/>
        <v>0</v>
      </c>
      <c r="AU203" s="1583"/>
      <c r="AV203" s="1486">
        <f t="shared" si="23"/>
        <v>0</v>
      </c>
      <c r="AW203" s="1586"/>
      <c r="AX203" s="1486">
        <f t="shared" si="24"/>
        <v>0</v>
      </c>
      <c r="AY203" s="1586"/>
      <c r="AZ203" s="1486">
        <f t="shared" si="28"/>
        <v>0</v>
      </c>
      <c r="BA203" s="1586"/>
      <c r="BB203" s="1486">
        <f t="shared" si="31"/>
        <v>0</v>
      </c>
      <c r="BC203" s="1586"/>
      <c r="BD203" s="1486">
        <f t="shared" si="31"/>
        <v>0</v>
      </c>
      <c r="BE203" s="1586"/>
      <c r="BF203" s="1486">
        <f t="shared" si="31"/>
        <v>0</v>
      </c>
      <c r="BG203" s="1586"/>
      <c r="BH203" s="1486">
        <f t="shared" si="32"/>
        <v>0</v>
      </c>
      <c r="BI203" s="1586"/>
      <c r="BJ203" s="1486">
        <f t="shared" si="33"/>
        <v>0</v>
      </c>
      <c r="BK203" s="1586"/>
      <c r="BL203" s="1486">
        <f t="shared" si="34"/>
        <v>0</v>
      </c>
      <c r="BM203" s="1504">
        <f t="shared" si="29"/>
        <v>0</v>
      </c>
      <c r="BN203" s="2127"/>
      <c r="BQ203" s="1419"/>
    </row>
    <row r="204" spans="1:69" ht="15.75" outlineLevel="1" thickBot="1">
      <c r="A204" s="1561"/>
      <c r="B204" s="488" t="str">
        <f>IF(A204="","",VLOOKUP(A204,'Drop Lists'!$AG$5:$AH$31,2,FALSE))</f>
        <v/>
      </c>
      <c r="C204" s="1562"/>
      <c r="D204" s="1563"/>
      <c r="E204" s="488" t="str">
        <f>IF(D204="","",VLOOKUP(D204,'Drop Lists'!$BF$5:$BG$190,2,FALSE))</f>
        <v/>
      </c>
      <c r="F204" s="1565"/>
      <c r="G204" s="490">
        <f t="shared" si="3"/>
        <v>0</v>
      </c>
      <c r="H204" s="489">
        <f t="shared" si="4"/>
        <v>0</v>
      </c>
      <c r="I204" s="490">
        <f t="shared" si="5"/>
        <v>0</v>
      </c>
      <c r="J204" s="1566"/>
      <c r="K204" s="1363">
        <f t="shared" si="25"/>
        <v>0</v>
      </c>
      <c r="L204" s="492">
        <f t="shared" si="26"/>
        <v>0</v>
      </c>
      <c r="M204" s="1568" t="str">
        <f t="shared" si="30"/>
        <v/>
      </c>
      <c r="N204" s="1568"/>
      <c r="O204" s="492">
        <f>IF(F204=0,0,IF(E204="Preferred Equity",0,IF(E204="I.O. Strip",M204,IF($E$148="Yes",VLOOKUP(E204,$K$163:N182,4,FALSE),M204+L204))))</f>
        <v>0</v>
      </c>
      <c r="P204" s="489">
        <f t="shared" si="6"/>
        <v>0</v>
      </c>
      <c r="Q204" s="489">
        <f t="shared" si="7"/>
        <v>0</v>
      </c>
      <c r="R204" s="491" t="str">
        <f>IF(J204="","",(IF(F204=0,"No",VLOOKUP(B204,'Investor Profile'!$A$4:$C$14,3,FALSE))))</f>
        <v/>
      </c>
      <c r="S204" s="493" t="str">
        <f t="shared" si="8"/>
        <v/>
      </c>
      <c r="T204" s="1570">
        <f t="shared" si="27"/>
        <v>0.01</v>
      </c>
      <c r="U204" s="489">
        <f t="shared" si="9"/>
        <v>0</v>
      </c>
      <c r="V204" s="1310" t="str">
        <f>IF(INPUT!A204="AFLAC US",F204*$V$184,IF(INPUT!A204="TRE ACR Portfolio",F204*$V$184,IF(INPUT!A204="TRE ACR Portfolio Series II",F204*$V$184,"")))</f>
        <v/>
      </c>
      <c r="W204" s="1310" t="str">
        <f>IF(J204=0,"",IF($F$216=0,"No",VLOOKUP(B204,'Investor Profile'!$A$4:$D$14,4,FALSE)))</f>
        <v/>
      </c>
      <c r="X204" s="1571"/>
      <c r="Y204" s="1572"/>
      <c r="Z204" s="1563"/>
      <c r="AA204" s="1563"/>
      <c r="AB204" s="1574" t="str">
        <f t="shared" si="10"/>
        <v/>
      </c>
      <c r="AC204" s="1574"/>
      <c r="AE204" s="1469">
        <f t="shared" si="11"/>
        <v>0</v>
      </c>
      <c r="AF204" s="716">
        <f t="shared" si="12"/>
        <v>0</v>
      </c>
      <c r="AG204" s="716">
        <f t="shared" si="13"/>
        <v>0</v>
      </c>
      <c r="AH204" s="716">
        <f t="shared" si="14"/>
        <v>0</v>
      </c>
      <c r="AI204" s="716">
        <f t="shared" si="15"/>
        <v>0</v>
      </c>
      <c r="AJ204" s="716">
        <f t="shared" si="16"/>
        <v>0</v>
      </c>
      <c r="AK204" s="716">
        <f t="shared" si="17"/>
        <v>0</v>
      </c>
      <c r="AL204" s="716">
        <f t="shared" si="18"/>
        <v>0</v>
      </c>
      <c r="AM204" s="716">
        <f t="shared" si="19"/>
        <v>0</v>
      </c>
      <c r="AN204" s="719">
        <f t="shared" si="20"/>
        <v>0</v>
      </c>
      <c r="AO204" s="1477">
        <f t="shared" si="2"/>
        <v>0</v>
      </c>
      <c r="AP204" s="714"/>
      <c r="AQ204" s="1586"/>
      <c r="AR204" s="1486">
        <f t="shared" si="21"/>
        <v>0</v>
      </c>
      <c r="AS204" s="1586"/>
      <c r="AT204" s="2128">
        <f t="shared" si="22"/>
        <v>0</v>
      </c>
      <c r="AU204" s="1583"/>
      <c r="AV204" s="1486">
        <f t="shared" si="23"/>
        <v>0</v>
      </c>
      <c r="AW204" s="1586"/>
      <c r="AX204" s="1486">
        <f t="shared" si="24"/>
        <v>0</v>
      </c>
      <c r="AY204" s="1586"/>
      <c r="AZ204" s="1486">
        <f t="shared" si="28"/>
        <v>0</v>
      </c>
      <c r="BA204" s="1586"/>
      <c r="BB204" s="1486">
        <f t="shared" si="31"/>
        <v>0</v>
      </c>
      <c r="BC204" s="1586"/>
      <c r="BD204" s="1486">
        <f t="shared" si="31"/>
        <v>0</v>
      </c>
      <c r="BE204" s="1586"/>
      <c r="BF204" s="1486">
        <f t="shared" si="31"/>
        <v>0</v>
      </c>
      <c r="BG204" s="1586"/>
      <c r="BH204" s="1486">
        <f t="shared" si="32"/>
        <v>0</v>
      </c>
      <c r="BI204" s="1586"/>
      <c r="BJ204" s="1486">
        <f t="shared" si="33"/>
        <v>0</v>
      </c>
      <c r="BK204" s="1586"/>
      <c r="BL204" s="1486">
        <f t="shared" si="34"/>
        <v>0</v>
      </c>
      <c r="BM204" s="1504">
        <f t="shared" si="29"/>
        <v>0</v>
      </c>
      <c r="BN204" s="2127"/>
      <c r="BQ204" s="1419"/>
    </row>
    <row r="205" spans="1:69" ht="15.75" outlineLevel="1" thickBot="1">
      <c r="A205" s="1561"/>
      <c r="B205" s="488" t="str">
        <f>IF(A205="","",VLOOKUP(A205,'Drop Lists'!$AG$5:$AH$31,2,FALSE))</f>
        <v/>
      </c>
      <c r="C205" s="1562"/>
      <c r="D205" s="1563"/>
      <c r="E205" s="488" t="str">
        <f>IF(D205="","",VLOOKUP(D205,'Drop Lists'!$BF$5:$BG$190,2,FALSE))</f>
        <v/>
      </c>
      <c r="F205" s="1565"/>
      <c r="G205" s="490">
        <f t="shared" si="3"/>
        <v>0</v>
      </c>
      <c r="H205" s="489">
        <f t="shared" si="4"/>
        <v>0</v>
      </c>
      <c r="I205" s="490">
        <f t="shared" si="5"/>
        <v>0</v>
      </c>
      <c r="J205" s="1566"/>
      <c r="K205" s="1363">
        <f t="shared" si="25"/>
        <v>0</v>
      </c>
      <c r="L205" s="492">
        <f t="shared" si="26"/>
        <v>0</v>
      </c>
      <c r="M205" s="1568" t="str">
        <f t="shared" si="30"/>
        <v/>
      </c>
      <c r="N205" s="1568"/>
      <c r="O205" s="492">
        <f>IF(F205=0,0,IF(E205="Preferred Equity",0,IF(E205="I.O. Strip",M205,IF($E$148="Yes",VLOOKUP(E205,$K$163:N183,4,FALSE),M205+L205))))</f>
        <v>0</v>
      </c>
      <c r="P205" s="489">
        <f t="shared" si="6"/>
        <v>0</v>
      </c>
      <c r="Q205" s="489">
        <f t="shared" si="7"/>
        <v>0</v>
      </c>
      <c r="R205" s="491" t="str">
        <f>IF(J205="","",(IF(F205=0,"No",VLOOKUP(B205,'Investor Profile'!$A$4:$C$14,3,FALSE))))</f>
        <v/>
      </c>
      <c r="S205" s="493" t="str">
        <f t="shared" si="8"/>
        <v/>
      </c>
      <c r="T205" s="1570">
        <f t="shared" si="27"/>
        <v>0.01</v>
      </c>
      <c r="U205" s="489">
        <f t="shared" si="9"/>
        <v>0</v>
      </c>
      <c r="V205" s="1310" t="str">
        <f>IF(INPUT!A205="AFLAC US",F205*$V$184,IF(INPUT!A205="TRE ACR Portfolio",F205*$V$184,IF(INPUT!A205="TRE ACR Portfolio Series II",F205*$V$184,"")))</f>
        <v/>
      </c>
      <c r="W205" s="1310" t="str">
        <f>IF(J205=0,"",IF($F$216=0,"No",VLOOKUP(B205,'Investor Profile'!$A$4:$D$14,4,FALSE)))</f>
        <v/>
      </c>
      <c r="X205" s="1571"/>
      <c r="Y205" s="1572"/>
      <c r="Z205" s="1563"/>
      <c r="AA205" s="1563"/>
      <c r="AB205" s="1574" t="str">
        <f t="shared" si="10"/>
        <v/>
      </c>
      <c r="AC205" s="1574"/>
      <c r="AE205" s="1469">
        <f t="shared" si="11"/>
        <v>0</v>
      </c>
      <c r="AF205" s="716">
        <f t="shared" si="12"/>
        <v>0</v>
      </c>
      <c r="AG205" s="716">
        <f t="shared" si="13"/>
        <v>0</v>
      </c>
      <c r="AH205" s="716">
        <f t="shared" si="14"/>
        <v>0</v>
      </c>
      <c r="AI205" s="716">
        <f t="shared" si="15"/>
        <v>0</v>
      </c>
      <c r="AJ205" s="716">
        <f t="shared" si="16"/>
        <v>0</v>
      </c>
      <c r="AK205" s="716">
        <f t="shared" si="17"/>
        <v>0</v>
      </c>
      <c r="AL205" s="716">
        <f t="shared" si="18"/>
        <v>0</v>
      </c>
      <c r="AM205" s="716">
        <f t="shared" si="19"/>
        <v>0</v>
      </c>
      <c r="AN205" s="719">
        <f t="shared" si="20"/>
        <v>0</v>
      </c>
      <c r="AO205" s="1477">
        <f t="shared" si="2"/>
        <v>0</v>
      </c>
      <c r="AP205" s="714"/>
      <c r="AQ205" s="1586"/>
      <c r="AR205" s="1486">
        <f t="shared" si="21"/>
        <v>0</v>
      </c>
      <c r="AS205" s="1586"/>
      <c r="AT205" s="2128">
        <f t="shared" si="22"/>
        <v>0</v>
      </c>
      <c r="AU205" s="1583"/>
      <c r="AV205" s="1486">
        <f t="shared" si="23"/>
        <v>0</v>
      </c>
      <c r="AW205" s="1586"/>
      <c r="AX205" s="1486">
        <f t="shared" si="24"/>
        <v>0</v>
      </c>
      <c r="AY205" s="1586"/>
      <c r="AZ205" s="1486">
        <f t="shared" si="28"/>
        <v>0</v>
      </c>
      <c r="BA205" s="1586"/>
      <c r="BB205" s="1486">
        <f t="shared" si="31"/>
        <v>0</v>
      </c>
      <c r="BC205" s="1586"/>
      <c r="BD205" s="1486">
        <f t="shared" si="31"/>
        <v>0</v>
      </c>
      <c r="BE205" s="1586"/>
      <c r="BF205" s="1486">
        <f t="shared" si="31"/>
        <v>0</v>
      </c>
      <c r="BG205" s="1586"/>
      <c r="BH205" s="1486">
        <f t="shared" si="32"/>
        <v>0</v>
      </c>
      <c r="BI205" s="1586"/>
      <c r="BJ205" s="1486">
        <f t="shared" si="33"/>
        <v>0</v>
      </c>
      <c r="BK205" s="1586"/>
      <c r="BL205" s="1486">
        <f t="shared" si="34"/>
        <v>0</v>
      </c>
      <c r="BM205" s="1504">
        <f t="shared" si="29"/>
        <v>0</v>
      </c>
      <c r="BN205" s="2127"/>
      <c r="BQ205" s="1419"/>
    </row>
    <row r="206" spans="1:69" ht="15.75" outlineLevel="1" thickBot="1">
      <c r="A206" s="1561"/>
      <c r="B206" s="488" t="str">
        <f>IF(A206="","",VLOOKUP(A206,'Drop Lists'!$AG$5:$AH$31,2,FALSE))</f>
        <v/>
      </c>
      <c r="C206" s="1562"/>
      <c r="D206" s="1563"/>
      <c r="E206" s="488" t="str">
        <f>IF(D206="","",VLOOKUP(D206,'Drop Lists'!$BF$5:$BG$190,2,FALSE))</f>
        <v/>
      </c>
      <c r="F206" s="1565"/>
      <c r="G206" s="490">
        <f t="shared" si="3"/>
        <v>0</v>
      </c>
      <c r="H206" s="489">
        <f t="shared" si="4"/>
        <v>0</v>
      </c>
      <c r="I206" s="490">
        <f t="shared" si="5"/>
        <v>0</v>
      </c>
      <c r="J206" s="1566"/>
      <c r="K206" s="1363">
        <f t="shared" si="25"/>
        <v>0</v>
      </c>
      <c r="L206" s="492">
        <f t="shared" si="26"/>
        <v>0</v>
      </c>
      <c r="M206" s="1568" t="str">
        <f t="shared" si="30"/>
        <v/>
      </c>
      <c r="N206" s="1568"/>
      <c r="O206" s="492">
        <f>IF(F206=0,0,IF(E206="Preferred Equity",0,IF(E206="I.O. Strip",M206,IF($E$148="Yes",VLOOKUP(E206,$K$163:N184,4,FALSE),M206+L206))))</f>
        <v>0</v>
      </c>
      <c r="P206" s="489">
        <f t="shared" si="6"/>
        <v>0</v>
      </c>
      <c r="Q206" s="489">
        <f t="shared" si="7"/>
        <v>0</v>
      </c>
      <c r="R206" s="491" t="str">
        <f>IF(J206="","",(IF(F206=0,"No",VLOOKUP(B206,'Investor Profile'!$A$4:$C$14,3,FALSE))))</f>
        <v/>
      </c>
      <c r="S206" s="493" t="str">
        <f t="shared" si="8"/>
        <v/>
      </c>
      <c r="T206" s="1570">
        <f t="shared" si="27"/>
        <v>0.01</v>
      </c>
      <c r="U206" s="489">
        <f t="shared" si="9"/>
        <v>0</v>
      </c>
      <c r="V206" s="1310" t="str">
        <f>IF(INPUT!A206="AFLAC US",F206*$V$184,IF(INPUT!A206="TRE ACR Portfolio",F206*$V$184,IF(INPUT!A206="TRE ACR Portfolio Series II",F206*$V$184,"")))</f>
        <v/>
      </c>
      <c r="W206" s="1310" t="str">
        <f>IF(J206=0,"",IF($F$216=0,"No",VLOOKUP(B206,'Investor Profile'!$A$4:$D$14,4,FALSE)))</f>
        <v/>
      </c>
      <c r="X206" s="1571"/>
      <c r="Y206" s="1572"/>
      <c r="Z206" s="1563"/>
      <c r="AA206" s="1563"/>
      <c r="AB206" s="1574" t="str">
        <f t="shared" si="10"/>
        <v/>
      </c>
      <c r="AC206" s="1574"/>
      <c r="AE206" s="1469">
        <f t="shared" si="11"/>
        <v>0</v>
      </c>
      <c r="AF206" s="716">
        <f t="shared" si="12"/>
        <v>0</v>
      </c>
      <c r="AG206" s="716">
        <f t="shared" si="13"/>
        <v>0</v>
      </c>
      <c r="AH206" s="716">
        <f t="shared" si="14"/>
        <v>0</v>
      </c>
      <c r="AI206" s="716">
        <f t="shared" si="15"/>
        <v>0</v>
      </c>
      <c r="AJ206" s="716">
        <f t="shared" si="16"/>
        <v>0</v>
      </c>
      <c r="AK206" s="716">
        <f t="shared" si="17"/>
        <v>0</v>
      </c>
      <c r="AL206" s="716">
        <f t="shared" si="18"/>
        <v>0</v>
      </c>
      <c r="AM206" s="716">
        <f t="shared" si="19"/>
        <v>0</v>
      </c>
      <c r="AN206" s="719">
        <f t="shared" si="20"/>
        <v>0</v>
      </c>
      <c r="AO206" s="1477">
        <f t="shared" si="2"/>
        <v>0</v>
      </c>
      <c r="AP206" s="714"/>
      <c r="AQ206" s="1586"/>
      <c r="AR206" s="1486">
        <f t="shared" si="21"/>
        <v>0</v>
      </c>
      <c r="AS206" s="1586"/>
      <c r="AT206" s="2128">
        <f t="shared" si="22"/>
        <v>0</v>
      </c>
      <c r="AU206" s="1583"/>
      <c r="AV206" s="1486">
        <f t="shared" si="23"/>
        <v>0</v>
      </c>
      <c r="AW206" s="1586"/>
      <c r="AX206" s="1486">
        <f t="shared" si="24"/>
        <v>0</v>
      </c>
      <c r="AY206" s="1586"/>
      <c r="AZ206" s="1486">
        <f t="shared" si="28"/>
        <v>0</v>
      </c>
      <c r="BA206" s="1586"/>
      <c r="BB206" s="1486">
        <f t="shared" si="31"/>
        <v>0</v>
      </c>
      <c r="BC206" s="1586"/>
      <c r="BD206" s="1486">
        <f t="shared" si="31"/>
        <v>0</v>
      </c>
      <c r="BE206" s="1586"/>
      <c r="BF206" s="1486">
        <f t="shared" si="31"/>
        <v>0</v>
      </c>
      <c r="BG206" s="1586"/>
      <c r="BH206" s="1486">
        <f t="shared" si="32"/>
        <v>0</v>
      </c>
      <c r="BI206" s="1586"/>
      <c r="BJ206" s="1486">
        <f t="shared" si="33"/>
        <v>0</v>
      </c>
      <c r="BK206" s="1586"/>
      <c r="BL206" s="1486">
        <f t="shared" si="34"/>
        <v>0</v>
      </c>
      <c r="BM206" s="1504">
        <f>AR206+AT206+AV206+AX206+AZ206+BB206+BF206+BH206+BJ206+BL206</f>
        <v>0</v>
      </c>
      <c r="BN206" s="2127"/>
      <c r="BQ206" s="1419"/>
    </row>
    <row r="207" spans="1:69" ht="15.75" outlineLevel="1" thickBot="1">
      <c r="A207" s="1561"/>
      <c r="B207" s="488" t="str">
        <f>IF(A207="","",VLOOKUP(A207,'Drop Lists'!$AG$5:$AH$31,2,FALSE))</f>
        <v/>
      </c>
      <c r="C207" s="1562"/>
      <c r="D207" s="1563"/>
      <c r="E207" s="488" t="str">
        <f>IF(D207="","",VLOOKUP(D207,'Drop Lists'!$BF$5:$BG$190,2,FALSE))</f>
        <v/>
      </c>
      <c r="F207" s="1565"/>
      <c r="G207" s="490">
        <f t="shared" si="3"/>
        <v>0</v>
      </c>
      <c r="H207" s="489">
        <f t="shared" si="4"/>
        <v>0</v>
      </c>
      <c r="I207" s="490">
        <f t="shared" si="5"/>
        <v>0</v>
      </c>
      <c r="J207" s="1566"/>
      <c r="K207" s="1363">
        <f t="shared" si="25"/>
        <v>0</v>
      </c>
      <c r="L207" s="492">
        <f t="shared" si="26"/>
        <v>0</v>
      </c>
      <c r="M207" s="1568" t="str">
        <f t="shared" si="30"/>
        <v/>
      </c>
      <c r="N207" s="1568"/>
      <c r="O207" s="492">
        <f>IF(F207=0,0,IF(E207="Preferred Equity",0,IF(E207="I.O. Strip",M207,IF($E$148="Yes",VLOOKUP(E207,$K$163:N185,4,FALSE),M207+L207))))</f>
        <v>0</v>
      </c>
      <c r="P207" s="489">
        <f t="shared" si="6"/>
        <v>0</v>
      </c>
      <c r="Q207" s="489">
        <f t="shared" si="7"/>
        <v>0</v>
      </c>
      <c r="R207" s="491" t="str">
        <f>IF(J207="","",(IF(F207=0,"No",VLOOKUP(B207,'Investor Profile'!$A$4:$C$14,3,FALSE))))</f>
        <v/>
      </c>
      <c r="S207" s="493" t="str">
        <f t="shared" si="8"/>
        <v/>
      </c>
      <c r="T207" s="1570">
        <f t="shared" si="27"/>
        <v>0.01</v>
      </c>
      <c r="U207" s="489">
        <f t="shared" si="9"/>
        <v>0</v>
      </c>
      <c r="V207" s="1310" t="str">
        <f>IF(INPUT!A207="AFLAC US",F207*$V$184,IF(INPUT!A207="TRE ACR Portfolio",F207*$V$184,IF(INPUT!A207="TRE ACR Portfolio Series II",F207*$V$184,"")))</f>
        <v/>
      </c>
      <c r="W207" s="1310" t="str">
        <f>IF(J207=0,"",IF($F$216=0,"No",VLOOKUP(B207,'Investor Profile'!$A$4:$D$14,4,FALSE)))</f>
        <v/>
      </c>
      <c r="X207" s="1571"/>
      <c r="Y207" s="1572"/>
      <c r="Z207" s="1563"/>
      <c r="AA207" s="1563"/>
      <c r="AB207" s="1574" t="str">
        <f t="shared" si="10"/>
        <v/>
      </c>
      <c r="AC207" s="1574"/>
      <c r="AE207" s="1469">
        <f t="shared" si="11"/>
        <v>0</v>
      </c>
      <c r="AF207" s="716">
        <f t="shared" si="12"/>
        <v>0</v>
      </c>
      <c r="AG207" s="716">
        <f t="shared" si="13"/>
        <v>0</v>
      </c>
      <c r="AH207" s="716">
        <f t="shared" si="14"/>
        <v>0</v>
      </c>
      <c r="AI207" s="716">
        <f t="shared" si="15"/>
        <v>0</v>
      </c>
      <c r="AJ207" s="716">
        <f t="shared" si="16"/>
        <v>0</v>
      </c>
      <c r="AK207" s="716">
        <f t="shared" si="17"/>
        <v>0</v>
      </c>
      <c r="AL207" s="716">
        <f t="shared" si="18"/>
        <v>0</v>
      </c>
      <c r="AM207" s="716">
        <f t="shared" si="19"/>
        <v>0</v>
      </c>
      <c r="AN207" s="719">
        <f t="shared" si="20"/>
        <v>0</v>
      </c>
      <c r="AO207" s="1477">
        <f t="shared" si="2"/>
        <v>0</v>
      </c>
      <c r="AP207" s="714"/>
      <c r="AQ207" s="1586"/>
      <c r="AR207" s="1486">
        <f t="shared" si="21"/>
        <v>0</v>
      </c>
      <c r="AS207" s="1586"/>
      <c r="AT207" s="2128">
        <f t="shared" si="22"/>
        <v>0</v>
      </c>
      <c r="AU207" s="1583"/>
      <c r="AV207" s="1486">
        <f t="shared" si="23"/>
        <v>0</v>
      </c>
      <c r="AW207" s="1586"/>
      <c r="AX207" s="1486">
        <f t="shared" si="24"/>
        <v>0</v>
      </c>
      <c r="AY207" s="1586"/>
      <c r="AZ207" s="1486">
        <f t="shared" si="28"/>
        <v>0</v>
      </c>
      <c r="BA207" s="1586"/>
      <c r="BB207" s="1486">
        <f t="shared" si="31"/>
        <v>0</v>
      </c>
      <c r="BC207" s="1586"/>
      <c r="BD207" s="1486">
        <f t="shared" si="31"/>
        <v>0</v>
      </c>
      <c r="BE207" s="1586"/>
      <c r="BF207" s="1486">
        <f t="shared" si="31"/>
        <v>0</v>
      </c>
      <c r="BG207" s="1586"/>
      <c r="BH207" s="1486">
        <f t="shared" si="32"/>
        <v>0</v>
      </c>
      <c r="BI207" s="1586"/>
      <c r="BJ207" s="1486">
        <f t="shared" si="33"/>
        <v>0</v>
      </c>
      <c r="BK207" s="1586"/>
      <c r="BL207" s="1486">
        <f t="shared" si="34"/>
        <v>0</v>
      </c>
      <c r="BM207" s="1504">
        <f t="shared" si="29"/>
        <v>0</v>
      </c>
      <c r="BN207" s="2127"/>
      <c r="BQ207" s="1419"/>
    </row>
    <row r="208" spans="1:69" ht="15.75" outlineLevel="1" thickBot="1">
      <c r="A208" s="1561"/>
      <c r="B208" s="488" t="str">
        <f>IF(A208="","",VLOOKUP(A208,'Drop Lists'!$AG$5:$AH$31,2,FALSE))</f>
        <v/>
      </c>
      <c r="C208" s="1562"/>
      <c r="D208" s="1563"/>
      <c r="E208" s="488" t="str">
        <f>IF(D208="","",VLOOKUP(D208,'Drop Lists'!$BF$5:$BG$190,2,FALSE))</f>
        <v/>
      </c>
      <c r="F208" s="1565"/>
      <c r="G208" s="490">
        <f t="shared" si="3"/>
        <v>0</v>
      </c>
      <c r="H208" s="489">
        <f t="shared" si="4"/>
        <v>0</v>
      </c>
      <c r="I208" s="490">
        <f t="shared" si="5"/>
        <v>0</v>
      </c>
      <c r="J208" s="1566"/>
      <c r="K208" s="1363">
        <f t="shared" si="25"/>
        <v>0</v>
      </c>
      <c r="L208" s="492">
        <f t="shared" si="26"/>
        <v>0</v>
      </c>
      <c r="M208" s="1568" t="str">
        <f t="shared" si="30"/>
        <v/>
      </c>
      <c r="N208" s="1568"/>
      <c r="O208" s="492">
        <f>IF(F208=0,0,IF(E208="Preferred Equity",0,IF(E208="I.O. Strip",M208,IF($E$148="Yes",VLOOKUP(E208,$K$163:N186,4,FALSE),M208+L208))))</f>
        <v>0</v>
      </c>
      <c r="P208" s="489">
        <f t="shared" si="6"/>
        <v>0</v>
      </c>
      <c r="Q208" s="489">
        <f t="shared" si="7"/>
        <v>0</v>
      </c>
      <c r="R208" s="491" t="str">
        <f>IF(J208="","",(IF(F208=0,"No",VLOOKUP(B208,'Investor Profile'!$A$4:$C$14,3,FALSE))))</f>
        <v/>
      </c>
      <c r="S208" s="493" t="str">
        <f t="shared" si="8"/>
        <v/>
      </c>
      <c r="T208" s="1570">
        <f t="shared" si="27"/>
        <v>0.01</v>
      </c>
      <c r="U208" s="489">
        <f t="shared" si="9"/>
        <v>0</v>
      </c>
      <c r="V208" s="1310" t="str">
        <f>IF(INPUT!A208="AFLAC US",F208*$V$184,IF(INPUT!A208="TRE ACR Portfolio",F208*$V$184,IF(INPUT!A208="TRE ACR Portfolio Series II",F208*$V$184,"")))</f>
        <v/>
      </c>
      <c r="W208" s="1310" t="str">
        <f>IF(J208=0,"",IF($F$216=0,"No",VLOOKUP(B208,'Investor Profile'!$A$4:$D$14,4,FALSE)))</f>
        <v/>
      </c>
      <c r="X208" s="1571"/>
      <c r="Y208" s="1572"/>
      <c r="Z208" s="1563"/>
      <c r="AA208" s="1563"/>
      <c r="AB208" s="1574" t="str">
        <f t="shared" si="10"/>
        <v/>
      </c>
      <c r="AC208" s="1574"/>
      <c r="AE208" s="1469">
        <f t="shared" si="11"/>
        <v>0</v>
      </c>
      <c r="AF208" s="716">
        <f t="shared" si="12"/>
        <v>0</v>
      </c>
      <c r="AG208" s="716">
        <f t="shared" si="13"/>
        <v>0</v>
      </c>
      <c r="AH208" s="716">
        <f t="shared" si="14"/>
        <v>0</v>
      </c>
      <c r="AI208" s="716">
        <f t="shared" si="15"/>
        <v>0</v>
      </c>
      <c r="AJ208" s="716">
        <f t="shared" si="16"/>
        <v>0</v>
      </c>
      <c r="AK208" s="716">
        <f t="shared" si="17"/>
        <v>0</v>
      </c>
      <c r="AL208" s="716">
        <f t="shared" si="18"/>
        <v>0</v>
      </c>
      <c r="AM208" s="716">
        <f t="shared" si="19"/>
        <v>0</v>
      </c>
      <c r="AN208" s="719">
        <f t="shared" si="20"/>
        <v>0</v>
      </c>
      <c r="AO208" s="1477">
        <f t="shared" si="2"/>
        <v>0</v>
      </c>
      <c r="AP208" s="714"/>
      <c r="AQ208" s="1586"/>
      <c r="AR208" s="1486">
        <f t="shared" si="21"/>
        <v>0</v>
      </c>
      <c r="AS208" s="1586"/>
      <c r="AT208" s="2128">
        <f t="shared" si="22"/>
        <v>0</v>
      </c>
      <c r="AU208" s="1583"/>
      <c r="AV208" s="1486">
        <f t="shared" si="23"/>
        <v>0</v>
      </c>
      <c r="AW208" s="1586"/>
      <c r="AX208" s="1486">
        <f t="shared" si="24"/>
        <v>0</v>
      </c>
      <c r="AY208" s="1586"/>
      <c r="AZ208" s="1486">
        <f t="shared" si="28"/>
        <v>0</v>
      </c>
      <c r="BA208" s="1586"/>
      <c r="BB208" s="1486">
        <f t="shared" si="31"/>
        <v>0</v>
      </c>
      <c r="BC208" s="1586"/>
      <c r="BD208" s="1486">
        <f t="shared" si="31"/>
        <v>0</v>
      </c>
      <c r="BE208" s="1586"/>
      <c r="BF208" s="1486">
        <f t="shared" si="31"/>
        <v>0</v>
      </c>
      <c r="BG208" s="1586"/>
      <c r="BH208" s="1486">
        <f t="shared" si="32"/>
        <v>0</v>
      </c>
      <c r="BI208" s="1586"/>
      <c r="BJ208" s="1486">
        <f t="shared" si="33"/>
        <v>0</v>
      </c>
      <c r="BK208" s="1586"/>
      <c r="BL208" s="1486">
        <f t="shared" si="34"/>
        <v>0</v>
      </c>
      <c r="BM208" s="1504">
        <f t="shared" si="29"/>
        <v>0</v>
      </c>
      <c r="BN208" s="2127"/>
      <c r="BQ208" s="1419"/>
    </row>
    <row r="209" spans="1:69" ht="15.75" outlineLevel="1" thickBot="1">
      <c r="A209" s="1561"/>
      <c r="B209" s="488" t="str">
        <f>IF(A209="","",VLOOKUP(A209,'Drop Lists'!$AG$5:$AH$31,2,FALSE))</f>
        <v/>
      </c>
      <c r="C209" s="1562"/>
      <c r="D209" s="1563"/>
      <c r="E209" s="488" t="str">
        <f>IF(D209="","",VLOOKUP(D209,'Drop Lists'!$BF$5:$BG$190,2,FALSE))</f>
        <v/>
      </c>
      <c r="F209" s="1565"/>
      <c r="G209" s="490">
        <f t="shared" si="3"/>
        <v>0</v>
      </c>
      <c r="H209" s="489">
        <f t="shared" si="4"/>
        <v>0</v>
      </c>
      <c r="I209" s="490">
        <f t="shared" si="5"/>
        <v>0</v>
      </c>
      <c r="J209" s="1566"/>
      <c r="K209" s="1363">
        <f t="shared" si="25"/>
        <v>0</v>
      </c>
      <c r="L209" s="492">
        <f t="shared" si="26"/>
        <v>0</v>
      </c>
      <c r="M209" s="1568" t="str">
        <f t="shared" si="30"/>
        <v/>
      </c>
      <c r="N209" s="1568"/>
      <c r="O209" s="492">
        <f>IF(F209=0,0,IF(E209="Preferred Equity",0,IF(E209="I.O. Strip",M209,IF($E$148="Yes",VLOOKUP(E209,$K$163:N187,4,FALSE),M209+L209))))</f>
        <v>0</v>
      </c>
      <c r="P209" s="489">
        <f t="shared" si="6"/>
        <v>0</v>
      </c>
      <c r="Q209" s="489">
        <f t="shared" si="7"/>
        <v>0</v>
      </c>
      <c r="R209" s="491" t="str">
        <f>IF(J209="","",(IF(F209=0,"No",VLOOKUP(B209,'Investor Profile'!$A$4:$C$14,3,FALSE))))</f>
        <v/>
      </c>
      <c r="S209" s="493" t="str">
        <f t="shared" si="8"/>
        <v/>
      </c>
      <c r="T209" s="1570">
        <f t="shared" si="27"/>
        <v>0.01</v>
      </c>
      <c r="U209" s="489">
        <f t="shared" si="9"/>
        <v>0</v>
      </c>
      <c r="V209" s="1310" t="str">
        <f>IF(INPUT!A209="AFLAC US",F209*$V$184,IF(INPUT!A209="TRE ACR Portfolio",F209*$V$184,IF(INPUT!A209="TRE ACR Portfolio Series II",F209*$V$184,"")))</f>
        <v/>
      </c>
      <c r="W209" s="1310" t="str">
        <f>IF(J209=0,"",IF($F$216=0,"No",VLOOKUP(B209,'Investor Profile'!$A$4:$D$14,4,FALSE)))</f>
        <v/>
      </c>
      <c r="X209" s="1571"/>
      <c r="Y209" s="1572"/>
      <c r="Z209" s="1563"/>
      <c r="AA209" s="1563"/>
      <c r="AB209" s="1574" t="str">
        <f t="shared" si="10"/>
        <v/>
      </c>
      <c r="AC209" s="1574"/>
      <c r="AE209" s="1469">
        <f t="shared" si="11"/>
        <v>0</v>
      </c>
      <c r="AF209" s="716">
        <f t="shared" si="12"/>
        <v>0</v>
      </c>
      <c r="AG209" s="716">
        <f t="shared" si="13"/>
        <v>0</v>
      </c>
      <c r="AH209" s="716">
        <f t="shared" si="14"/>
        <v>0</v>
      </c>
      <c r="AI209" s="716">
        <f t="shared" si="15"/>
        <v>0</v>
      </c>
      <c r="AJ209" s="716">
        <f t="shared" si="16"/>
        <v>0</v>
      </c>
      <c r="AK209" s="716">
        <f t="shared" si="17"/>
        <v>0</v>
      </c>
      <c r="AL209" s="716">
        <f t="shared" si="18"/>
        <v>0</v>
      </c>
      <c r="AM209" s="716">
        <f t="shared" si="19"/>
        <v>0</v>
      </c>
      <c r="AN209" s="719">
        <f t="shared" si="20"/>
        <v>0</v>
      </c>
      <c r="AO209" s="1477">
        <f t="shared" si="2"/>
        <v>0</v>
      </c>
      <c r="AP209" s="714"/>
      <c r="AQ209" s="1586"/>
      <c r="AR209" s="1486">
        <f t="shared" si="21"/>
        <v>0</v>
      </c>
      <c r="AS209" s="1586"/>
      <c r="AT209" s="2128">
        <f t="shared" si="22"/>
        <v>0</v>
      </c>
      <c r="AU209" s="1583"/>
      <c r="AV209" s="1486">
        <f t="shared" si="23"/>
        <v>0</v>
      </c>
      <c r="AW209" s="1586"/>
      <c r="AX209" s="1486">
        <f t="shared" si="24"/>
        <v>0</v>
      </c>
      <c r="AY209" s="1586"/>
      <c r="AZ209" s="1486">
        <f t="shared" si="28"/>
        <v>0</v>
      </c>
      <c r="BA209" s="1586"/>
      <c r="BB209" s="1486">
        <f t="shared" si="31"/>
        <v>0</v>
      </c>
      <c r="BC209" s="1586"/>
      <c r="BD209" s="1486">
        <f t="shared" si="31"/>
        <v>0</v>
      </c>
      <c r="BE209" s="1586"/>
      <c r="BF209" s="1486">
        <f t="shared" si="31"/>
        <v>0</v>
      </c>
      <c r="BG209" s="1586"/>
      <c r="BH209" s="1486">
        <f t="shared" si="32"/>
        <v>0</v>
      </c>
      <c r="BI209" s="1586"/>
      <c r="BJ209" s="1486">
        <f t="shared" si="33"/>
        <v>0</v>
      </c>
      <c r="BK209" s="1586"/>
      <c r="BL209" s="1486">
        <f t="shared" si="34"/>
        <v>0</v>
      </c>
      <c r="BM209" s="1504">
        <f t="shared" si="29"/>
        <v>0</v>
      </c>
      <c r="BN209" s="2127"/>
      <c r="BQ209" s="1419"/>
    </row>
    <row r="210" spans="1:69" ht="15.75" outlineLevel="1" thickBot="1">
      <c r="A210" s="1561"/>
      <c r="B210" s="488" t="str">
        <f>IF(A210="","",VLOOKUP(A210,'Drop Lists'!$AG$5:$AH$31,2,FALSE))</f>
        <v/>
      </c>
      <c r="C210" s="1562"/>
      <c r="D210" s="1563"/>
      <c r="E210" s="488" t="str">
        <f>IF(D210="","",VLOOKUP(D210,'Drop Lists'!$BF$5:$BG$190,2,FALSE))</f>
        <v/>
      </c>
      <c r="F210" s="1565"/>
      <c r="G210" s="490">
        <f t="shared" si="3"/>
        <v>0</v>
      </c>
      <c r="H210" s="489">
        <f t="shared" si="4"/>
        <v>0</v>
      </c>
      <c r="I210" s="490">
        <f t="shared" si="5"/>
        <v>0</v>
      </c>
      <c r="J210" s="1566"/>
      <c r="K210" s="1363">
        <f t="shared" si="25"/>
        <v>0</v>
      </c>
      <c r="L210" s="492">
        <f t="shared" si="26"/>
        <v>0</v>
      </c>
      <c r="M210" s="1568" t="str">
        <f t="shared" si="30"/>
        <v/>
      </c>
      <c r="N210" s="1568"/>
      <c r="O210" s="492">
        <f>IF(F210=0,0,IF(E210="Preferred Equity",0,IF(E210="I.O. Strip",M210,IF($E$148="Yes",VLOOKUP(E210,$K$163:N188,4,FALSE),M210+L210))))</f>
        <v>0</v>
      </c>
      <c r="P210" s="489">
        <f t="shared" si="6"/>
        <v>0</v>
      </c>
      <c r="Q210" s="489">
        <f t="shared" si="7"/>
        <v>0</v>
      </c>
      <c r="R210" s="491" t="str">
        <f>IF(J210="","",(IF(F210=0,"No",VLOOKUP(B210,'Investor Profile'!$A$4:$C$14,3,FALSE))))</f>
        <v/>
      </c>
      <c r="S210" s="493" t="str">
        <f t="shared" si="8"/>
        <v/>
      </c>
      <c r="T210" s="1570">
        <f t="shared" si="27"/>
        <v>0.01</v>
      </c>
      <c r="U210" s="489">
        <f t="shared" si="9"/>
        <v>0</v>
      </c>
      <c r="V210" s="1310" t="str">
        <f>IF(INPUT!A210="AFLAC US",F210*$V$184,IF(INPUT!A210="TRE ACR Portfolio",F210*$V$184,IF(INPUT!A210="TRE ACR Portfolio Series II",F210*$V$184,"")))</f>
        <v/>
      </c>
      <c r="W210" s="1310" t="str">
        <f>IF(J210=0,"",IF($F$216=0,"No",VLOOKUP(B210,'Investor Profile'!$A$4:$D$14,4,FALSE)))</f>
        <v/>
      </c>
      <c r="X210" s="1571"/>
      <c r="Y210" s="1572"/>
      <c r="Z210" s="1563"/>
      <c r="AA210" s="1563"/>
      <c r="AB210" s="1574" t="str">
        <f t="shared" si="10"/>
        <v/>
      </c>
      <c r="AC210" s="1574"/>
      <c r="AE210" s="1469">
        <f t="shared" si="11"/>
        <v>0</v>
      </c>
      <c r="AF210" s="716">
        <f t="shared" si="12"/>
        <v>0</v>
      </c>
      <c r="AG210" s="716">
        <f t="shared" si="13"/>
        <v>0</v>
      </c>
      <c r="AH210" s="716">
        <f t="shared" si="14"/>
        <v>0</v>
      </c>
      <c r="AI210" s="716">
        <f t="shared" si="15"/>
        <v>0</v>
      </c>
      <c r="AJ210" s="716">
        <f t="shared" si="16"/>
        <v>0</v>
      </c>
      <c r="AK210" s="716">
        <f t="shared" si="17"/>
        <v>0</v>
      </c>
      <c r="AL210" s="716">
        <f t="shared" si="18"/>
        <v>0</v>
      </c>
      <c r="AM210" s="716">
        <f t="shared" si="19"/>
        <v>0</v>
      </c>
      <c r="AN210" s="719">
        <f t="shared" si="20"/>
        <v>0</v>
      </c>
      <c r="AO210" s="1477">
        <f t="shared" si="2"/>
        <v>0</v>
      </c>
      <c r="AP210" s="714"/>
      <c r="AQ210" s="1586"/>
      <c r="AR210" s="1486">
        <f t="shared" si="21"/>
        <v>0</v>
      </c>
      <c r="AS210" s="1586"/>
      <c r="AT210" s="2128">
        <f t="shared" si="22"/>
        <v>0</v>
      </c>
      <c r="AU210" s="1583"/>
      <c r="AV210" s="1486">
        <f t="shared" si="23"/>
        <v>0</v>
      </c>
      <c r="AW210" s="1586"/>
      <c r="AX210" s="1486">
        <f t="shared" si="24"/>
        <v>0</v>
      </c>
      <c r="AY210" s="1586"/>
      <c r="AZ210" s="1486">
        <f t="shared" si="28"/>
        <v>0</v>
      </c>
      <c r="BA210" s="1586"/>
      <c r="BB210" s="1486">
        <f t="shared" si="31"/>
        <v>0</v>
      </c>
      <c r="BC210" s="1586"/>
      <c r="BD210" s="1486">
        <f t="shared" si="31"/>
        <v>0</v>
      </c>
      <c r="BE210" s="1586"/>
      <c r="BF210" s="1486">
        <f t="shared" si="31"/>
        <v>0</v>
      </c>
      <c r="BG210" s="1586"/>
      <c r="BH210" s="1486">
        <f t="shared" si="32"/>
        <v>0</v>
      </c>
      <c r="BI210" s="1586"/>
      <c r="BJ210" s="1486">
        <f t="shared" si="33"/>
        <v>0</v>
      </c>
      <c r="BK210" s="1586"/>
      <c r="BL210" s="1486">
        <f t="shared" si="34"/>
        <v>0</v>
      </c>
      <c r="BM210" s="1504">
        <f t="shared" si="29"/>
        <v>0</v>
      </c>
      <c r="BN210" s="2127"/>
      <c r="BQ210" s="1419"/>
    </row>
    <row r="211" spans="1:69" ht="15.75" outlineLevel="1" thickBot="1">
      <c r="A211" s="1561"/>
      <c r="B211" s="488" t="str">
        <f>IF(A211="","",VLOOKUP(A211,'Drop Lists'!$AG$5:$AH$31,2,FALSE))</f>
        <v/>
      </c>
      <c r="C211" s="1562"/>
      <c r="D211" s="1563"/>
      <c r="E211" s="488" t="str">
        <f>IF(D211="","",VLOOKUP(D211,'Drop Lists'!$BF$5:$BG$190,2,FALSE))</f>
        <v/>
      </c>
      <c r="F211" s="1565"/>
      <c r="G211" s="490">
        <f t="shared" si="3"/>
        <v>0</v>
      </c>
      <c r="H211" s="489">
        <f t="shared" si="4"/>
        <v>0</v>
      </c>
      <c r="I211" s="490">
        <f t="shared" si="5"/>
        <v>0</v>
      </c>
      <c r="J211" s="1566"/>
      <c r="K211" s="1363">
        <f t="shared" si="25"/>
        <v>0</v>
      </c>
      <c r="L211" s="492">
        <f t="shared" si="26"/>
        <v>0</v>
      </c>
      <c r="M211" s="1568" t="str">
        <f t="shared" si="30"/>
        <v/>
      </c>
      <c r="N211" s="1568"/>
      <c r="O211" s="492">
        <f>IF(F211=0,0,IF(E211="Preferred Equity",0,IF(E211="I.O. Strip",M211,IF($E$148="Yes",VLOOKUP(E211,$K$163:N189,4,FALSE),M211+L211))))</f>
        <v>0</v>
      </c>
      <c r="P211" s="489">
        <f t="shared" si="6"/>
        <v>0</v>
      </c>
      <c r="Q211" s="489">
        <f t="shared" si="7"/>
        <v>0</v>
      </c>
      <c r="R211" s="491" t="str">
        <f>IF(J211="","",(IF(F211=0,"No",VLOOKUP(B211,'Investor Profile'!$A$4:$C$14,3,FALSE))))</f>
        <v/>
      </c>
      <c r="S211" s="493" t="str">
        <f t="shared" si="8"/>
        <v/>
      </c>
      <c r="T211" s="1570">
        <f t="shared" si="27"/>
        <v>0.01</v>
      </c>
      <c r="U211" s="489">
        <f t="shared" si="9"/>
        <v>0</v>
      </c>
      <c r="V211" s="1310" t="str">
        <f>IF(INPUT!A211="AFLAC US",F211*$V$184,IF(INPUT!A211="TRE ACR Portfolio",F211*$V$184,IF(INPUT!A211="TRE ACR Portfolio Series II",F211*$V$184,"")))</f>
        <v/>
      </c>
      <c r="W211" s="1310" t="str">
        <f>IF(J211=0,"",IF($F$216=0,"No",VLOOKUP(B211,'Investor Profile'!$A$4:$D$14,4,FALSE)))</f>
        <v/>
      </c>
      <c r="X211" s="1571"/>
      <c r="Y211" s="1572"/>
      <c r="Z211" s="1563"/>
      <c r="AA211" s="1563"/>
      <c r="AB211" s="1574" t="str">
        <f t="shared" si="10"/>
        <v/>
      </c>
      <c r="AC211" s="1574"/>
      <c r="AE211" s="1469">
        <f t="shared" si="11"/>
        <v>0</v>
      </c>
      <c r="AF211" s="716">
        <f t="shared" si="12"/>
        <v>0</v>
      </c>
      <c r="AG211" s="716">
        <f t="shared" si="13"/>
        <v>0</v>
      </c>
      <c r="AH211" s="716">
        <f t="shared" si="14"/>
        <v>0</v>
      </c>
      <c r="AI211" s="716">
        <f t="shared" si="15"/>
        <v>0</v>
      </c>
      <c r="AJ211" s="716">
        <f t="shared" si="16"/>
        <v>0</v>
      </c>
      <c r="AK211" s="716">
        <f t="shared" si="17"/>
        <v>0</v>
      </c>
      <c r="AL211" s="716">
        <f t="shared" si="18"/>
        <v>0</v>
      </c>
      <c r="AM211" s="716">
        <f t="shared" si="19"/>
        <v>0</v>
      </c>
      <c r="AN211" s="719">
        <f t="shared" si="20"/>
        <v>0</v>
      </c>
      <c r="AO211" s="1477">
        <f t="shared" si="2"/>
        <v>0</v>
      </c>
      <c r="AP211" s="714"/>
      <c r="AQ211" s="1586"/>
      <c r="AR211" s="1486">
        <f t="shared" si="21"/>
        <v>0</v>
      </c>
      <c r="AS211" s="1586"/>
      <c r="AT211" s="2128">
        <f t="shared" si="22"/>
        <v>0</v>
      </c>
      <c r="AU211" s="1583"/>
      <c r="AV211" s="1486">
        <f t="shared" si="23"/>
        <v>0</v>
      </c>
      <c r="AW211" s="1586"/>
      <c r="AX211" s="1486">
        <f t="shared" si="24"/>
        <v>0</v>
      </c>
      <c r="AY211" s="1586"/>
      <c r="AZ211" s="1486">
        <f t="shared" si="28"/>
        <v>0</v>
      </c>
      <c r="BA211" s="1586"/>
      <c r="BB211" s="1486">
        <f t="shared" si="31"/>
        <v>0</v>
      </c>
      <c r="BC211" s="1586"/>
      <c r="BD211" s="1486">
        <f t="shared" si="31"/>
        <v>0</v>
      </c>
      <c r="BE211" s="1586"/>
      <c r="BF211" s="1486">
        <f t="shared" si="31"/>
        <v>0</v>
      </c>
      <c r="BG211" s="1586"/>
      <c r="BH211" s="1486">
        <f t="shared" si="32"/>
        <v>0</v>
      </c>
      <c r="BI211" s="1586"/>
      <c r="BJ211" s="1486">
        <f t="shared" si="33"/>
        <v>0</v>
      </c>
      <c r="BK211" s="1586"/>
      <c r="BL211" s="1486">
        <f t="shared" si="34"/>
        <v>0</v>
      </c>
      <c r="BM211" s="1504">
        <f t="shared" si="29"/>
        <v>0</v>
      </c>
      <c r="BN211" s="2127"/>
      <c r="BQ211" s="1419"/>
    </row>
    <row r="212" spans="1:69" ht="15.75" outlineLevel="1" thickBot="1">
      <c r="A212" s="1561"/>
      <c r="B212" s="488" t="str">
        <f>IF(A212="","",VLOOKUP(A212,'Drop Lists'!$AG$5:$AH$31,2,FALSE))</f>
        <v/>
      </c>
      <c r="C212" s="1562"/>
      <c r="D212" s="1563"/>
      <c r="E212" s="488" t="str">
        <f>IF(D212="","",VLOOKUP(D212,'Drop Lists'!$BF$5:$BG$190,2,FALSE))</f>
        <v/>
      </c>
      <c r="F212" s="1565"/>
      <c r="G212" s="490">
        <f t="shared" si="3"/>
        <v>0</v>
      </c>
      <c r="H212" s="489">
        <f t="shared" si="4"/>
        <v>0</v>
      </c>
      <c r="I212" s="490">
        <f t="shared" si="5"/>
        <v>0</v>
      </c>
      <c r="J212" s="1566"/>
      <c r="K212" s="1363">
        <f t="shared" si="25"/>
        <v>0</v>
      </c>
      <c r="L212" s="492">
        <f t="shared" si="26"/>
        <v>0</v>
      </c>
      <c r="M212" s="1568" t="str">
        <f t="shared" si="30"/>
        <v/>
      </c>
      <c r="N212" s="1568"/>
      <c r="O212" s="492">
        <f>IF(F212=0,0,IF(E212="Preferred Equity",0,IF(E212="I.O. Strip",M212,IF($E$148="Yes",VLOOKUP(E212,$K$163:N190,4,FALSE),M212+L212))))</f>
        <v>0</v>
      </c>
      <c r="P212" s="489">
        <f t="shared" si="6"/>
        <v>0</v>
      </c>
      <c r="Q212" s="489">
        <f t="shared" si="7"/>
        <v>0</v>
      </c>
      <c r="R212" s="491" t="str">
        <f>IF(J212="","",(IF(F212=0,"No",VLOOKUP(B212,'Investor Profile'!$A$4:$C$14,3,FALSE))))</f>
        <v/>
      </c>
      <c r="S212" s="493" t="str">
        <f t="shared" si="8"/>
        <v/>
      </c>
      <c r="T212" s="1570">
        <f t="shared" si="27"/>
        <v>0.01</v>
      </c>
      <c r="U212" s="489">
        <f t="shared" si="9"/>
        <v>0</v>
      </c>
      <c r="V212" s="1310" t="str">
        <f>IF(INPUT!A212="AFLAC US",F212*$V$184,IF(INPUT!A212="TRE ACR Portfolio",F212*$V$184,IF(INPUT!A212="TRE ACR Portfolio Series II",F212*$V$184,"")))</f>
        <v/>
      </c>
      <c r="W212" s="1310" t="str">
        <f>IF(J212=0,"",IF($F$216=0,"No",VLOOKUP(B212,'Investor Profile'!$A$4:$D$14,4,FALSE)))</f>
        <v/>
      </c>
      <c r="X212" s="1571"/>
      <c r="Y212" s="1572"/>
      <c r="Z212" s="1563"/>
      <c r="AA212" s="1563"/>
      <c r="AB212" s="1574" t="str">
        <f t="shared" si="10"/>
        <v/>
      </c>
      <c r="AC212" s="1574"/>
      <c r="AE212" s="1469">
        <f t="shared" si="11"/>
        <v>0</v>
      </c>
      <c r="AF212" s="716">
        <f t="shared" si="12"/>
        <v>0</v>
      </c>
      <c r="AG212" s="716">
        <f t="shared" si="13"/>
        <v>0</v>
      </c>
      <c r="AH212" s="716">
        <f t="shared" si="14"/>
        <v>0</v>
      </c>
      <c r="AI212" s="716">
        <f t="shared" si="15"/>
        <v>0</v>
      </c>
      <c r="AJ212" s="716">
        <f t="shared" si="16"/>
        <v>0</v>
      </c>
      <c r="AK212" s="716">
        <f t="shared" si="17"/>
        <v>0</v>
      </c>
      <c r="AL212" s="716">
        <f t="shared" si="18"/>
        <v>0</v>
      </c>
      <c r="AM212" s="716">
        <f t="shared" si="19"/>
        <v>0</v>
      </c>
      <c r="AN212" s="719">
        <f t="shared" si="20"/>
        <v>0</v>
      </c>
      <c r="AO212" s="1477">
        <f t="shared" si="2"/>
        <v>0</v>
      </c>
      <c r="AP212" s="714"/>
      <c r="AQ212" s="1586"/>
      <c r="AR212" s="1486">
        <f t="shared" si="21"/>
        <v>0</v>
      </c>
      <c r="AS212" s="1586"/>
      <c r="AT212" s="2128">
        <f t="shared" si="22"/>
        <v>0</v>
      </c>
      <c r="AU212" s="1583"/>
      <c r="AV212" s="1486">
        <f t="shared" si="23"/>
        <v>0</v>
      </c>
      <c r="AW212" s="1586"/>
      <c r="AX212" s="1486">
        <f t="shared" si="24"/>
        <v>0</v>
      </c>
      <c r="AY212" s="1586"/>
      <c r="AZ212" s="1486">
        <f t="shared" si="28"/>
        <v>0</v>
      </c>
      <c r="BA212" s="1586"/>
      <c r="BB212" s="1486">
        <f t="shared" si="31"/>
        <v>0</v>
      </c>
      <c r="BC212" s="1586"/>
      <c r="BD212" s="1486">
        <f t="shared" si="31"/>
        <v>0</v>
      </c>
      <c r="BE212" s="1586"/>
      <c r="BF212" s="1486">
        <f t="shared" si="31"/>
        <v>0</v>
      </c>
      <c r="BG212" s="1586"/>
      <c r="BH212" s="1486">
        <f t="shared" si="32"/>
        <v>0</v>
      </c>
      <c r="BI212" s="1586"/>
      <c r="BJ212" s="1486">
        <f t="shared" si="33"/>
        <v>0</v>
      </c>
      <c r="BK212" s="1586"/>
      <c r="BL212" s="1486">
        <f t="shared" si="34"/>
        <v>0</v>
      </c>
      <c r="BM212" s="1504">
        <f t="shared" si="29"/>
        <v>0</v>
      </c>
      <c r="BN212" s="2127"/>
      <c r="BQ212" s="1419"/>
    </row>
    <row r="213" spans="1:69" ht="15.75" outlineLevel="1" thickBot="1">
      <c r="A213" s="1561"/>
      <c r="B213" s="488" t="str">
        <f>IF(A213="","",VLOOKUP(A213,'Drop Lists'!$AG$5:$AH$31,2,FALSE))</f>
        <v/>
      </c>
      <c r="C213" s="1562"/>
      <c r="D213" s="1563"/>
      <c r="E213" s="488" t="str">
        <f>IF(D213="","",VLOOKUP(D213,'Drop Lists'!$BF$5:$BG$190,2,FALSE))</f>
        <v/>
      </c>
      <c r="F213" s="1565"/>
      <c r="G213" s="490">
        <f t="shared" si="3"/>
        <v>0</v>
      </c>
      <c r="H213" s="489">
        <f t="shared" si="4"/>
        <v>0</v>
      </c>
      <c r="I213" s="490">
        <f t="shared" si="5"/>
        <v>0</v>
      </c>
      <c r="J213" s="1566"/>
      <c r="K213" s="1363">
        <f t="shared" si="25"/>
        <v>0</v>
      </c>
      <c r="L213" s="492">
        <f t="shared" si="26"/>
        <v>0</v>
      </c>
      <c r="M213" s="1568" t="str">
        <f t="shared" si="30"/>
        <v/>
      </c>
      <c r="N213" s="1568"/>
      <c r="O213" s="492">
        <f>IF(F213=0,0,IF(E213="Preferred Equity",0,IF(E213="I.O. Strip",M213,IF($E$148="Yes",VLOOKUP(E213,$K$163:N191,4,FALSE),M213+L213))))</f>
        <v>0</v>
      </c>
      <c r="P213" s="489">
        <f t="shared" si="6"/>
        <v>0</v>
      </c>
      <c r="Q213" s="489">
        <f t="shared" si="7"/>
        <v>0</v>
      </c>
      <c r="R213" s="491" t="str">
        <f>IF(J213="","",(IF(F213=0,"No",VLOOKUP(B213,'Investor Profile'!$A$4:$C$14,3,FALSE))))</f>
        <v/>
      </c>
      <c r="S213" s="493" t="str">
        <f t="shared" si="8"/>
        <v/>
      </c>
      <c r="T213" s="1570">
        <f t="shared" si="27"/>
        <v>0.01</v>
      </c>
      <c r="U213" s="489">
        <f t="shared" si="9"/>
        <v>0</v>
      </c>
      <c r="V213" s="1310" t="str">
        <f>IF(INPUT!A213="AFLAC US",F213*$V$184,IF(INPUT!A213="TRE ACR Portfolio",F213*$V$184,IF(INPUT!A213="TRE ACR Portfolio Series II",F213*$V$184,"")))</f>
        <v/>
      </c>
      <c r="W213" s="1310" t="str">
        <f>IF(J213=0,"",IF($F$216=0,"No",VLOOKUP(B213,'Investor Profile'!$A$4:$D$14,4,FALSE)))</f>
        <v/>
      </c>
      <c r="X213" s="1571"/>
      <c r="Y213" s="1572"/>
      <c r="Z213" s="1563"/>
      <c r="AA213" s="1563"/>
      <c r="AB213" s="1574" t="str">
        <f t="shared" si="10"/>
        <v/>
      </c>
      <c r="AC213" s="1574"/>
      <c r="AE213" s="1469">
        <f t="shared" si="11"/>
        <v>0</v>
      </c>
      <c r="AF213" s="716">
        <f t="shared" si="12"/>
        <v>0</v>
      </c>
      <c r="AG213" s="716">
        <f t="shared" si="13"/>
        <v>0</v>
      </c>
      <c r="AH213" s="716">
        <f t="shared" si="14"/>
        <v>0</v>
      </c>
      <c r="AI213" s="716">
        <f t="shared" si="15"/>
        <v>0</v>
      </c>
      <c r="AJ213" s="716">
        <f t="shared" si="16"/>
        <v>0</v>
      </c>
      <c r="AK213" s="716">
        <f t="shared" si="17"/>
        <v>0</v>
      </c>
      <c r="AL213" s="716">
        <f t="shared" si="18"/>
        <v>0</v>
      </c>
      <c r="AM213" s="716">
        <f t="shared" si="19"/>
        <v>0</v>
      </c>
      <c r="AN213" s="719">
        <f t="shared" si="20"/>
        <v>0</v>
      </c>
      <c r="AO213" s="1477">
        <f t="shared" si="2"/>
        <v>0</v>
      </c>
      <c r="AP213" s="714"/>
      <c r="AQ213" s="1586"/>
      <c r="AR213" s="1486">
        <f t="shared" si="21"/>
        <v>0</v>
      </c>
      <c r="AS213" s="1586"/>
      <c r="AT213" s="2128">
        <f t="shared" si="22"/>
        <v>0</v>
      </c>
      <c r="AU213" s="1583"/>
      <c r="AV213" s="1486">
        <f t="shared" si="23"/>
        <v>0</v>
      </c>
      <c r="AW213" s="1586"/>
      <c r="AX213" s="1486">
        <f t="shared" si="24"/>
        <v>0</v>
      </c>
      <c r="AY213" s="1586"/>
      <c r="AZ213" s="1486">
        <f t="shared" si="28"/>
        <v>0</v>
      </c>
      <c r="BA213" s="1586"/>
      <c r="BB213" s="1486">
        <f t="shared" si="31"/>
        <v>0</v>
      </c>
      <c r="BC213" s="1586"/>
      <c r="BD213" s="1486">
        <f t="shared" si="31"/>
        <v>0</v>
      </c>
      <c r="BE213" s="1586"/>
      <c r="BF213" s="1486">
        <f t="shared" si="31"/>
        <v>0</v>
      </c>
      <c r="BG213" s="1586"/>
      <c r="BH213" s="1486">
        <f t="shared" si="32"/>
        <v>0</v>
      </c>
      <c r="BI213" s="1586"/>
      <c r="BJ213" s="1486">
        <f t="shared" si="33"/>
        <v>0</v>
      </c>
      <c r="BK213" s="1586"/>
      <c r="BL213" s="1486">
        <f t="shared" si="34"/>
        <v>0</v>
      </c>
      <c r="BM213" s="1504">
        <f t="shared" si="29"/>
        <v>0</v>
      </c>
      <c r="BN213" s="2127"/>
      <c r="BQ213" s="1419"/>
    </row>
    <row r="214" spans="1:69" ht="15.75" outlineLevel="1" thickBot="1">
      <c r="A214" s="1561"/>
      <c r="B214" s="488" t="str">
        <f>IF(A214="","",VLOOKUP(A214,'Drop Lists'!$AG$5:$AH$31,2,FALSE))</f>
        <v/>
      </c>
      <c r="C214" s="1562"/>
      <c r="D214" s="1563"/>
      <c r="E214" s="488" t="str">
        <f>IF(D214="","",VLOOKUP(D214,'Drop Lists'!$BF$5:$BG$190,2,FALSE))</f>
        <v/>
      </c>
      <c r="F214" s="1565"/>
      <c r="G214" s="490">
        <f t="shared" si="3"/>
        <v>0</v>
      </c>
      <c r="H214" s="489">
        <f t="shared" si="4"/>
        <v>0</v>
      </c>
      <c r="I214" s="490">
        <f t="shared" si="5"/>
        <v>0</v>
      </c>
      <c r="J214" s="1566"/>
      <c r="K214" s="1363">
        <f t="shared" si="25"/>
        <v>0</v>
      </c>
      <c r="L214" s="492">
        <f t="shared" si="26"/>
        <v>0</v>
      </c>
      <c r="M214" s="1568" t="str">
        <f t="shared" si="30"/>
        <v/>
      </c>
      <c r="N214" s="1568"/>
      <c r="O214" s="492">
        <f>IF(F214=0,0,IF(E214="Preferred Equity",0,IF(E214="I.O. Strip",M214,IF($E$148="Yes",VLOOKUP(E214,$K$163:N192,4,FALSE),M214+L214))))</f>
        <v>0</v>
      </c>
      <c r="P214" s="489">
        <f t="shared" si="6"/>
        <v>0</v>
      </c>
      <c r="Q214" s="489">
        <f t="shared" si="7"/>
        <v>0</v>
      </c>
      <c r="R214" s="491" t="str">
        <f>IF(J214="","",(IF(F214=0,"No",VLOOKUP(B214,'Investor Profile'!$A$4:$C$14,3,FALSE))))</f>
        <v/>
      </c>
      <c r="S214" s="493" t="str">
        <f t="shared" si="8"/>
        <v/>
      </c>
      <c r="T214" s="1570">
        <f t="shared" si="27"/>
        <v>0.01</v>
      </c>
      <c r="U214" s="489">
        <f t="shared" si="9"/>
        <v>0</v>
      </c>
      <c r="V214" s="1310" t="str">
        <f>IF(INPUT!A214="AFLAC US",F214*$V$184,IF(INPUT!A214="TRE ACR Portfolio",F214*$V$184,IF(INPUT!A214="TRE ACR Portfolio Series II",F214*$V$184,"")))</f>
        <v/>
      </c>
      <c r="W214" s="1310" t="str">
        <f>IF(J214=0,"",IF($F$216=0,"No",VLOOKUP(B214,'Investor Profile'!$A$4:$D$14,4,FALSE)))</f>
        <v/>
      </c>
      <c r="X214" s="1571"/>
      <c r="Y214" s="1572"/>
      <c r="Z214" s="1563"/>
      <c r="AA214" s="1563"/>
      <c r="AB214" s="1574" t="str">
        <f t="shared" si="10"/>
        <v/>
      </c>
      <c r="AC214" s="1574"/>
      <c r="AE214" s="1469">
        <f t="shared" si="11"/>
        <v>0</v>
      </c>
      <c r="AF214" s="716">
        <f t="shared" si="12"/>
        <v>0</v>
      </c>
      <c r="AG214" s="716">
        <f t="shared" si="13"/>
        <v>0</v>
      </c>
      <c r="AH214" s="716">
        <f t="shared" si="14"/>
        <v>0</v>
      </c>
      <c r="AI214" s="716">
        <f t="shared" si="15"/>
        <v>0</v>
      </c>
      <c r="AJ214" s="716">
        <f t="shared" si="16"/>
        <v>0</v>
      </c>
      <c r="AK214" s="716">
        <f t="shared" si="17"/>
        <v>0</v>
      </c>
      <c r="AL214" s="716">
        <f t="shared" si="18"/>
        <v>0</v>
      </c>
      <c r="AM214" s="716">
        <f t="shared" si="19"/>
        <v>0</v>
      </c>
      <c r="AN214" s="719">
        <f t="shared" si="20"/>
        <v>0</v>
      </c>
      <c r="AO214" s="1477">
        <f t="shared" si="2"/>
        <v>0</v>
      </c>
      <c r="AP214" s="714"/>
      <c r="AQ214" s="1586"/>
      <c r="AR214" s="1486">
        <f t="shared" si="21"/>
        <v>0</v>
      </c>
      <c r="AS214" s="1586"/>
      <c r="AT214" s="2128">
        <f t="shared" si="22"/>
        <v>0</v>
      </c>
      <c r="AU214" s="1583"/>
      <c r="AV214" s="1486">
        <f t="shared" si="23"/>
        <v>0</v>
      </c>
      <c r="AW214" s="1586"/>
      <c r="AX214" s="1486">
        <f t="shared" si="24"/>
        <v>0</v>
      </c>
      <c r="AY214" s="1586"/>
      <c r="AZ214" s="1486">
        <f t="shared" si="28"/>
        <v>0</v>
      </c>
      <c r="BA214" s="1586"/>
      <c r="BB214" s="1486">
        <f t="shared" si="31"/>
        <v>0</v>
      </c>
      <c r="BC214" s="1586"/>
      <c r="BD214" s="1486">
        <f t="shared" si="31"/>
        <v>0</v>
      </c>
      <c r="BE214" s="1586"/>
      <c r="BF214" s="1486">
        <f t="shared" si="31"/>
        <v>0</v>
      </c>
      <c r="BG214" s="1586"/>
      <c r="BH214" s="1486">
        <f t="shared" si="32"/>
        <v>0</v>
      </c>
      <c r="BI214" s="1586"/>
      <c r="BJ214" s="1486">
        <f t="shared" si="33"/>
        <v>0</v>
      </c>
      <c r="BK214" s="1586"/>
      <c r="BL214" s="1486">
        <f t="shared" si="34"/>
        <v>0</v>
      </c>
      <c r="BM214" s="1504">
        <f t="shared" si="29"/>
        <v>0</v>
      </c>
      <c r="BN214" s="2127"/>
      <c r="BQ214" s="1419"/>
    </row>
    <row r="215" spans="1:69" ht="15.75" outlineLevel="1" thickBot="1">
      <c r="A215" s="1561"/>
      <c r="B215" s="488" t="str">
        <f>IF(A215="","",VLOOKUP(A215,'Drop Lists'!$AG$5:$AH$31,2,FALSE))</f>
        <v/>
      </c>
      <c r="C215" s="1562"/>
      <c r="D215" s="1563"/>
      <c r="E215" s="488" t="str">
        <f>IF(D215="","",VLOOKUP(D215,'Drop Lists'!$BF$5:$BG$190,2,FALSE))</f>
        <v/>
      </c>
      <c r="F215" s="1565"/>
      <c r="G215" s="490">
        <f t="shared" si="3"/>
        <v>0</v>
      </c>
      <c r="H215" s="494">
        <f t="shared" si="4"/>
        <v>0</v>
      </c>
      <c r="I215" s="490">
        <f t="shared" si="5"/>
        <v>0</v>
      </c>
      <c r="J215" s="1567"/>
      <c r="K215" s="1363">
        <f t="shared" si="25"/>
        <v>0</v>
      </c>
      <c r="L215" s="492">
        <f t="shared" si="26"/>
        <v>0</v>
      </c>
      <c r="M215" s="1568" t="str">
        <f t="shared" si="30"/>
        <v/>
      </c>
      <c r="N215" s="1569"/>
      <c r="O215" s="492">
        <f>IF(F215=0,0,IF(E215="Preferred Equity",0,IF(E215="I.O. Strip",M215,IF($E$148="Yes",VLOOKUP(E215,$K$163:N193,4,FALSE),M215+L215))))</f>
        <v>0</v>
      </c>
      <c r="P215" s="494">
        <f t="shared" si="6"/>
        <v>0</v>
      </c>
      <c r="Q215" s="494">
        <f t="shared" si="7"/>
        <v>0</v>
      </c>
      <c r="R215" s="491" t="str">
        <f>IF(J215="","",(IF(F215=0,"No",VLOOKUP(B215,'Investor Profile'!$A$4:$C$14,3,FALSE))))</f>
        <v/>
      </c>
      <c r="S215" s="493" t="str">
        <f t="shared" si="8"/>
        <v/>
      </c>
      <c r="T215" s="1570">
        <f t="shared" si="27"/>
        <v>0.01</v>
      </c>
      <c r="U215" s="489">
        <f t="shared" si="9"/>
        <v>0</v>
      </c>
      <c r="V215" s="1310" t="str">
        <f>IF(INPUT!A215="AFLAC US",F215*$V$184,IF(INPUT!A215="TRE ACR Portfolio",F215*$V$184,IF(INPUT!A215="TRE ACR Portfolio Series II",F215*$V$184,"")))</f>
        <v/>
      </c>
      <c r="W215" s="1310" t="str">
        <f>IF(J215=0,"",IF($F$216=0,"No",VLOOKUP(B215,'Investor Profile'!$A$4:$D$14,4,FALSE)))</f>
        <v/>
      </c>
      <c r="X215" s="1571"/>
      <c r="Y215" s="1572"/>
      <c r="Z215" s="1564"/>
      <c r="AA215" s="1564"/>
      <c r="AB215" s="1574" t="str">
        <f t="shared" si="10"/>
        <v/>
      </c>
      <c r="AC215" s="1574"/>
      <c r="AE215" s="1470">
        <f t="shared" si="11"/>
        <v>0</v>
      </c>
      <c r="AF215" s="717">
        <f t="shared" si="12"/>
        <v>0</v>
      </c>
      <c r="AG215" s="717">
        <f t="shared" si="13"/>
        <v>0</v>
      </c>
      <c r="AH215" s="717">
        <f t="shared" si="14"/>
        <v>0</v>
      </c>
      <c r="AI215" s="717">
        <f t="shared" si="15"/>
        <v>0</v>
      </c>
      <c r="AJ215" s="717">
        <f t="shared" si="16"/>
        <v>0</v>
      </c>
      <c r="AK215" s="717">
        <f t="shared" si="17"/>
        <v>0</v>
      </c>
      <c r="AL215" s="717">
        <f t="shared" si="18"/>
        <v>0</v>
      </c>
      <c r="AM215" s="717">
        <f t="shared" si="19"/>
        <v>0</v>
      </c>
      <c r="AN215" s="720">
        <f t="shared" si="20"/>
        <v>0</v>
      </c>
      <c r="AO215" s="1478">
        <f t="shared" si="2"/>
        <v>0</v>
      </c>
      <c r="AP215" s="714"/>
      <c r="AQ215" s="1587"/>
      <c r="AR215" s="1487">
        <f t="shared" si="21"/>
        <v>0</v>
      </c>
      <c r="AS215" s="1587"/>
      <c r="AT215" s="2129">
        <f t="shared" si="22"/>
        <v>0</v>
      </c>
      <c r="AU215" s="1584"/>
      <c r="AV215" s="1487">
        <f t="shared" si="23"/>
        <v>0</v>
      </c>
      <c r="AW215" s="1587"/>
      <c r="AX215" s="1487">
        <f t="shared" si="24"/>
        <v>0</v>
      </c>
      <c r="AY215" s="1587"/>
      <c r="AZ215" s="1487">
        <f t="shared" si="28"/>
        <v>0</v>
      </c>
      <c r="BA215" s="1587"/>
      <c r="BB215" s="1487">
        <f t="shared" si="31"/>
        <v>0</v>
      </c>
      <c r="BC215" s="1587"/>
      <c r="BD215" s="1487">
        <f t="shared" si="31"/>
        <v>0</v>
      </c>
      <c r="BE215" s="1587"/>
      <c r="BF215" s="1487">
        <f t="shared" si="31"/>
        <v>0</v>
      </c>
      <c r="BG215" s="1587"/>
      <c r="BH215" s="1487">
        <f t="shared" si="32"/>
        <v>0</v>
      </c>
      <c r="BI215" s="1587"/>
      <c r="BJ215" s="1487">
        <f t="shared" si="33"/>
        <v>0</v>
      </c>
      <c r="BK215" s="1587"/>
      <c r="BL215" s="1487">
        <f t="shared" si="34"/>
        <v>0</v>
      </c>
      <c r="BM215" s="1505">
        <f t="shared" si="29"/>
        <v>0</v>
      </c>
      <c r="BN215" s="2127"/>
      <c r="BQ215" s="1419"/>
    </row>
    <row r="216" spans="1:69" s="1" customFormat="1" ht="15.75" thickBot="1">
      <c r="A216" s="495" t="s">
        <v>324</v>
      </c>
      <c r="B216" s="496"/>
      <c r="C216" s="496"/>
      <c r="D216" s="496"/>
      <c r="E216" s="496"/>
      <c r="F216" s="497">
        <f>SUM(F186:F215)-SUMIF(AB186:AB215,"x",F186:F215)</f>
        <v>228663591</v>
      </c>
      <c r="G216" s="498">
        <f>IF(F216=0,0,F216/F216)</f>
        <v>1</v>
      </c>
      <c r="H216" s="497">
        <f>SUM(H186:H215)-SUMIF(AB186:AB215,"x",H186:H215)</f>
        <v>78236409</v>
      </c>
      <c r="I216" s="498">
        <f>IF(H216=0,0,H216/H216)</f>
        <v>1</v>
      </c>
      <c r="J216" s="1364">
        <f>SUM(J186:J215)-SUMIF(AB186:AB215,"x",J186:J215)</f>
        <v>306900000</v>
      </c>
      <c r="K216" s="1365">
        <f>IF(J216=0,0,J216/J216)</f>
        <v>1</v>
      </c>
      <c r="L216" s="499">
        <f>IFERROR((SUMPRODUCT(L186:L215,F186:F215)/F216),0)</f>
        <v>1.6860000000000003E-2</v>
      </c>
      <c r="M216" s="499">
        <f>IFERROR((SUMPRODUCT(M186:M215,J186:J215)/J216),0)</f>
        <v>0</v>
      </c>
      <c r="N216" s="499"/>
      <c r="O216" s="499">
        <f>IFERROR((SUMPRODUCT(O186:O215,F186:F215)/F216),0)</f>
        <v>1.6860000000000003E-2</v>
      </c>
      <c r="P216" s="497">
        <f>SUM(P186:P215)</f>
        <v>10709.0781785</v>
      </c>
      <c r="Q216" s="497">
        <f>SUM(Q186:Q215)</f>
        <v>321272.34000000003</v>
      </c>
      <c r="R216" s="500"/>
      <c r="S216" s="496"/>
      <c r="T216" s="496"/>
      <c r="U216" s="497">
        <f>SUM(U186:U215)</f>
        <v>3069000</v>
      </c>
      <c r="V216" s="775">
        <f>SUM(V186:V215)</f>
        <v>916070.005</v>
      </c>
      <c r="W216" s="1311"/>
      <c r="X216" s="775"/>
      <c r="Y216" s="496"/>
      <c r="Z216" s="496"/>
      <c r="AA216" s="496"/>
      <c r="AB216" s="1575" t="str">
        <f t="shared" si="10"/>
        <v/>
      </c>
      <c r="AC216" s="1575"/>
      <c r="AE216" s="721">
        <f t="shared" ref="AE216:AN216" si="43">SUM(AE186:AE215)-(SUMIF($E$186:$E$215,"I.O. Strip",AE186:AE215))</f>
        <v>0</v>
      </c>
      <c r="AF216" s="722">
        <f t="shared" si="43"/>
        <v>0</v>
      </c>
      <c r="AG216" s="722">
        <f t="shared" si="43"/>
        <v>0</v>
      </c>
      <c r="AH216" s="722">
        <f t="shared" si="43"/>
        <v>0</v>
      </c>
      <c r="AI216" s="722">
        <f t="shared" si="43"/>
        <v>0</v>
      </c>
      <c r="AJ216" s="722">
        <f t="shared" si="43"/>
        <v>0</v>
      </c>
      <c r="AK216" s="722">
        <f t="shared" si="43"/>
        <v>0</v>
      </c>
      <c r="AL216" s="722">
        <f t="shared" si="43"/>
        <v>0</v>
      </c>
      <c r="AM216" s="722">
        <f t="shared" si="43"/>
        <v>0</v>
      </c>
      <c r="AN216" s="722">
        <f t="shared" si="43"/>
        <v>0</v>
      </c>
      <c r="AO216" s="723">
        <f t="shared" si="2"/>
        <v>0</v>
      </c>
      <c r="AP216" s="713"/>
      <c r="AQ216" s="2130">
        <f t="shared" ref="AQ216:BA216" si="44">SUM(AQ186:AQ215)</f>
        <v>0</v>
      </c>
      <c r="AR216" s="722">
        <f>SUM(AR186:AR215)-(SUMIF($E$186:$E$215,"I.O. Strip",AR186:AR215))</f>
        <v>0</v>
      </c>
      <c r="AS216" s="1588">
        <f t="shared" si="44"/>
        <v>0</v>
      </c>
      <c r="AT216" s="722">
        <f>SUM(AT186:AT215)-(SUMIF($E$186:$E$215,"I.O. Strip",AT186:AT215))</f>
        <v>0</v>
      </c>
      <c r="AU216" s="1588">
        <f t="shared" si="44"/>
        <v>0</v>
      </c>
      <c r="AV216" s="722">
        <f>SUM(AV186:AV215)-(SUMIF($E$186:$E$215,"I.O. Strip",AV186:AV215))</f>
        <v>0</v>
      </c>
      <c r="AW216" s="1588">
        <f t="shared" si="44"/>
        <v>0</v>
      </c>
      <c r="AX216" s="722">
        <f>SUM(AX186:AX215)-(SUMIF($E$186:$E$215,"I.O. Strip",AX186:AX215))</f>
        <v>0</v>
      </c>
      <c r="AY216" s="1588">
        <f t="shared" si="44"/>
        <v>0</v>
      </c>
      <c r="AZ216" s="722">
        <f>SUM(AZ186:AZ215)-(SUMIF($E$186:$E$215,"I.O. Strip",AZ186:AZ215))</f>
        <v>0</v>
      </c>
      <c r="BA216" s="1588">
        <f t="shared" si="44"/>
        <v>0</v>
      </c>
      <c r="BB216" s="722">
        <f>SUM(BB186:BB215)-(SUMIF($E$186:$E$215,"I.O. Strip",BB186:BB215))</f>
        <v>0</v>
      </c>
      <c r="BC216" s="1588">
        <f>SUM(BC186:BC215)</f>
        <v>0</v>
      </c>
      <c r="BD216" s="722">
        <f>SUM(BD186:BD215)-(SUMIF($E$186:$E$215,"I.O. Strip",BD186:BD215))</f>
        <v>0</v>
      </c>
      <c r="BE216" s="1589">
        <f t="shared" ref="BE216:BK216" si="45">SUM(BE186:BE215)</f>
        <v>0</v>
      </c>
      <c r="BF216" s="722">
        <f>SUM(BF186:BF215)-(SUMIF($E$186:$E$215,"I.O. Strip",BF186:BF215))</f>
        <v>0</v>
      </c>
      <c r="BG216" s="2130">
        <f t="shared" si="45"/>
        <v>0</v>
      </c>
      <c r="BH216" s="722">
        <f>SUM(BH186:BH215)-(SUMIF($E$186:$E$215,"I.O. Strip",BH186:BH215))</f>
        <v>0</v>
      </c>
      <c r="BI216" s="1588">
        <f t="shared" si="45"/>
        <v>0</v>
      </c>
      <c r="BJ216" s="722">
        <f>SUM(BJ186:BJ215)-(SUMIF($E$186:$E$215,"I.O. Strip",BJ186:BJ215))</f>
        <v>0</v>
      </c>
      <c r="BK216" s="1588">
        <f t="shared" si="45"/>
        <v>0</v>
      </c>
      <c r="BL216" s="722">
        <f>SUM(BL186:BL215)-(SUMIF($E$186:$E$215,"I.O. Strip",BL186:BL215))</f>
        <v>0</v>
      </c>
      <c r="BM216" s="1504">
        <f t="shared" si="29"/>
        <v>0</v>
      </c>
    </row>
    <row r="217" spans="1:69" s="1" customFormat="1">
      <c r="K217" s="1366"/>
      <c r="L217" s="1367"/>
      <c r="M217" s="502"/>
      <c r="N217" s="503"/>
      <c r="O217" s="503"/>
      <c r="U217" s="501"/>
      <c r="V217" s="501"/>
      <c r="BG217" s="1462"/>
    </row>
    <row r="218" spans="1:69">
      <c r="A218" s="468"/>
      <c r="B218" s="468"/>
      <c r="C218" s="468"/>
      <c r="D218" s="655"/>
      <c r="E218" s="655"/>
      <c r="F218" s="468"/>
      <c r="G218" s="468"/>
      <c r="H218" s="468"/>
      <c r="I218" s="468"/>
      <c r="J218" s="468"/>
      <c r="K218" s="468"/>
      <c r="L218" s="505"/>
      <c r="M218" s="468"/>
      <c r="N218" s="468"/>
      <c r="O218" s="468"/>
      <c r="P218" s="468"/>
      <c r="Q218" s="468"/>
      <c r="R218" s="468"/>
      <c r="S218" s="468"/>
      <c r="T218" s="468"/>
      <c r="U218" s="468"/>
      <c r="V218" s="468"/>
      <c r="W218" s="468"/>
      <c r="X218" s="468"/>
      <c r="Y218" s="468"/>
      <c r="Z218" s="468"/>
      <c r="AA218" s="468"/>
      <c r="AB218" s="468"/>
      <c r="AC218" s="468"/>
      <c r="AD218" s="468"/>
    </row>
    <row r="219" spans="1:69" ht="43.35" customHeight="1" thickBot="1">
      <c r="A219" s="468"/>
      <c r="B219" s="468"/>
      <c r="C219" s="468"/>
      <c r="D219" s="655"/>
      <c r="E219" s="655"/>
      <c r="F219" s="468"/>
      <c r="G219" s="468"/>
      <c r="H219" s="506"/>
      <c r="I219" s="2414" t="s">
        <v>325</v>
      </c>
      <c r="J219" s="2496" t="s">
        <v>326</v>
      </c>
      <c r="K219" s="2497"/>
      <c r="L219" s="2414" t="s">
        <v>327</v>
      </c>
      <c r="M219" s="2511" t="s">
        <v>326</v>
      </c>
      <c r="N219" s="2497"/>
      <c r="O219" s="468"/>
      <c r="P219" s="468"/>
      <c r="Q219" s="1028" t="s">
        <v>328</v>
      </c>
      <c r="R219" s="468"/>
      <c r="S219" s="468"/>
      <c r="T219" s="468"/>
      <c r="U219" s="468"/>
      <c r="V219" s="468"/>
      <c r="W219" s="468"/>
      <c r="X219" s="468"/>
      <c r="Y219" s="468"/>
      <c r="Z219" s="468"/>
      <c r="AA219" s="468"/>
      <c r="AB219" s="468"/>
      <c r="AC219" s="468"/>
      <c r="AD219" s="468"/>
    </row>
    <row r="220" spans="1:69" ht="20.25" thickTop="1" thickBot="1">
      <c r="A220" s="1154" t="s">
        <v>329</v>
      </c>
      <c r="B220" s="1153"/>
      <c r="C220" s="1153"/>
      <c r="D220" s="1360"/>
      <c r="E220" s="1360"/>
      <c r="F220" s="1153"/>
      <c r="G220" s="1153"/>
      <c r="H220" s="1155"/>
      <c r="I220" s="1153"/>
      <c r="J220" s="1153"/>
      <c r="K220" s="1153"/>
      <c r="L220" s="1153"/>
      <c r="M220" s="1153"/>
      <c r="N220" s="1153"/>
      <c r="O220" s="468"/>
      <c r="P220" s="468"/>
      <c r="Q220" s="1313" t="s">
        <v>330</v>
      </c>
      <c r="R220" s="468"/>
      <c r="S220" s="468"/>
      <c r="T220" s="468"/>
      <c r="U220" s="468"/>
      <c r="V220" s="468"/>
      <c r="W220" s="468"/>
      <c r="X220" s="468"/>
      <c r="Y220" s="468"/>
      <c r="Z220" s="468"/>
      <c r="AA220" s="468"/>
      <c r="AB220" s="468"/>
      <c r="AC220" s="468"/>
      <c r="AD220" s="468"/>
    </row>
    <row r="221" spans="1:69" ht="18.75">
      <c r="A221" s="650" t="s">
        <v>331</v>
      </c>
      <c r="B221" s="508"/>
      <c r="C221" s="508"/>
      <c r="D221" s="1368"/>
      <c r="E221" s="1368"/>
      <c r="F221" s="508"/>
      <c r="G221" s="509"/>
      <c r="H221" s="510"/>
      <c r="I221" s="511"/>
      <c r="J221" s="512"/>
      <c r="K221" s="512"/>
      <c r="L221" s="512"/>
      <c r="M221" s="511"/>
      <c r="N221" s="512"/>
      <c r="O221" s="468"/>
      <c r="P221" s="468"/>
      <c r="Q221" s="1314"/>
      <c r="R221" s="468"/>
      <c r="S221" s="468"/>
      <c r="T221" s="468"/>
      <c r="U221" s="468"/>
      <c r="V221" s="468"/>
      <c r="W221" s="468"/>
      <c r="X221" s="468"/>
      <c r="Y221" s="468"/>
      <c r="Z221" s="468"/>
      <c r="AA221" s="468"/>
      <c r="AB221" s="468"/>
      <c r="AC221" s="468"/>
      <c r="AD221" s="468"/>
    </row>
    <row r="222" spans="1:69">
      <c r="A222" s="2420" t="s">
        <v>332</v>
      </c>
      <c r="B222" s="2420"/>
      <c r="C222" s="2420" t="s">
        <v>231</v>
      </c>
      <c r="D222" s="2491"/>
      <c r="E222" s="2492"/>
      <c r="F222" s="2493"/>
      <c r="G222" s="513">
        <f>SUMIF($E$186:$E$215,C222,$F$186:$F$215)</f>
        <v>220991091</v>
      </c>
      <c r="H222" s="514"/>
      <c r="I222" s="1623">
        <v>1</v>
      </c>
      <c r="J222" s="515" t="str">
        <f>IF(I222="","",VLOOKUP(I222,'Budget-S&amp;U Codes Lookup'!$A$554:$B$563,2,FALSE))</f>
        <v>ACORE First Mortgage</v>
      </c>
      <c r="K222" s="515"/>
      <c r="L222" s="1623">
        <v>1</v>
      </c>
      <c r="M222" s="516" t="str">
        <f>VLOOKUP(L222,'Budget-S&amp;U Codes Lookup'!$E$8:$F$17,2,FALSE)</f>
        <v>ACORE First Mortgage</v>
      </c>
      <c r="N222" s="515"/>
      <c r="O222" s="468"/>
      <c r="P222" s="468"/>
      <c r="Q222" s="1315">
        <f>SUMIF($E$186:$E$215,C222,$H$186:$H$215)</f>
        <v>78236409</v>
      </c>
      <c r="R222" s="468"/>
      <c r="S222" s="468"/>
      <c r="T222" s="468"/>
      <c r="U222" s="468"/>
      <c r="V222" s="468"/>
      <c r="W222" s="468"/>
      <c r="X222" s="468"/>
      <c r="Y222" s="468"/>
      <c r="Z222" s="468"/>
      <c r="AA222" s="468"/>
      <c r="AB222" s="468"/>
      <c r="AC222" s="468"/>
      <c r="AD222" s="468"/>
    </row>
    <row r="223" spans="1:69">
      <c r="A223" s="2420" t="s">
        <v>333</v>
      </c>
      <c r="B223" s="2420"/>
      <c r="C223" s="2420" t="s">
        <v>233</v>
      </c>
      <c r="D223" s="2491"/>
      <c r="E223" s="2492"/>
      <c r="F223" s="2493"/>
      <c r="G223" s="513">
        <f>SUMIF($E$186:$E$215,C223,$F$186:$F$215)</f>
        <v>7672500</v>
      </c>
      <c r="H223" s="514"/>
      <c r="I223" s="1623">
        <v>2</v>
      </c>
      <c r="J223" s="515" t="str">
        <f>IF(I223="","",VLOOKUP(I223,'Budget-S&amp;U Codes Lookup'!$A$554:$B$563,2,FALSE))</f>
        <v>ACORE Mezzanine</v>
      </c>
      <c r="K223" s="515"/>
      <c r="L223" s="1623">
        <v>2</v>
      </c>
      <c r="M223" s="516" t="str">
        <f>VLOOKUP(L223,'Budget-S&amp;U Codes Lookup'!$E$8:$F$17,2,FALSE)</f>
        <v>ACORE Mezzanine</v>
      </c>
      <c r="N223" s="515"/>
      <c r="O223" s="468"/>
      <c r="P223" s="468"/>
      <c r="Q223" s="1315">
        <f>SUMIF($E$186:$E$215,C223,$H$186:$H$215)</f>
        <v>0</v>
      </c>
      <c r="R223" s="468"/>
      <c r="S223" s="468"/>
      <c r="T223" s="468"/>
      <c r="U223" s="468"/>
      <c r="V223" s="468"/>
      <c r="W223" s="468"/>
      <c r="X223" s="468"/>
      <c r="Y223" s="468"/>
      <c r="Z223" s="468"/>
      <c r="AA223" s="468"/>
      <c r="AB223" s="468"/>
      <c r="AC223" s="468"/>
      <c r="AD223" s="468"/>
    </row>
    <row r="224" spans="1:69">
      <c r="A224" s="371" t="s">
        <v>334</v>
      </c>
      <c r="B224" s="371"/>
      <c r="C224" s="371" t="s">
        <v>335</v>
      </c>
      <c r="D224" s="1369"/>
      <c r="E224" s="1369"/>
      <c r="F224" s="371"/>
      <c r="G224" s="517">
        <f>SUMIF($E$186:$E$215,C224,$F$186:$F$215)</f>
        <v>0</v>
      </c>
      <c r="H224" s="518"/>
      <c r="I224" s="1624">
        <v>3</v>
      </c>
      <c r="J224" s="515" t="str">
        <f>IF(I224="","",VLOOKUP(I224,'Budget-S&amp;U Codes Lookup'!$A$554:$B$563,2,FALSE))</f>
        <v>ACORE Preferred Equity</v>
      </c>
      <c r="K224" s="519"/>
      <c r="L224" s="1624">
        <v>3</v>
      </c>
      <c r="M224" s="516" t="str">
        <f>VLOOKUP(L224,'Budget-S&amp;U Codes Lookup'!$E$8:$F$17,2,FALSE)</f>
        <v>ACORE Preferred Equity</v>
      </c>
      <c r="N224" s="519"/>
      <c r="O224" s="468"/>
      <c r="P224" s="468"/>
      <c r="Q224" s="1315">
        <f>SUMIF($E$186:$E$215,C224,$H$186:$H$215)</f>
        <v>0</v>
      </c>
      <c r="R224" s="468"/>
      <c r="S224" s="468"/>
      <c r="T224" s="468"/>
      <c r="U224" s="468"/>
      <c r="V224" s="468"/>
      <c r="W224" s="468"/>
      <c r="X224" s="468"/>
      <c r="Y224" s="468"/>
      <c r="Z224" s="468"/>
      <c r="AA224" s="468"/>
      <c r="AB224" s="468"/>
      <c r="AC224" s="468"/>
      <c r="AD224" s="468"/>
    </row>
    <row r="225" spans="1:30" ht="20.25" customHeight="1" thickBot="1">
      <c r="A225" s="2528" t="s">
        <v>336</v>
      </c>
      <c r="B225" s="2529"/>
      <c r="C225" s="2529"/>
      <c r="D225" s="2529"/>
      <c r="E225" s="2529"/>
      <c r="F225" s="2530"/>
      <c r="G225" s="520">
        <f>SUM(G222:G224)</f>
        <v>228663591</v>
      </c>
      <c r="H225" s="521" t="str">
        <f>IF(G225&lt;&gt;F216,"Sum Error - Must Total Initial Loan Advance in Cell H64","Balances to Debt Stack")</f>
        <v>Balances to Debt Stack</v>
      </c>
      <c r="I225" s="522"/>
      <c r="J225" s="2526"/>
      <c r="K225" s="2526"/>
      <c r="L225" s="372"/>
      <c r="M225" s="2527"/>
      <c r="N225" s="2526"/>
      <c r="O225" s="468"/>
      <c r="P225" s="468"/>
      <c r="Q225" s="1316">
        <f>SUM(Q222:Q224)</f>
        <v>78236409</v>
      </c>
      <c r="R225" s="468"/>
      <c r="S225" s="468"/>
      <c r="T225" s="468"/>
      <c r="U225" s="468"/>
      <c r="V225" s="468"/>
      <c r="W225" s="468"/>
      <c r="X225" s="468"/>
      <c r="Y225" s="468"/>
      <c r="Z225" s="468"/>
      <c r="AA225" s="468"/>
      <c r="AB225" s="468"/>
      <c r="AC225" s="468"/>
      <c r="AD225" s="468"/>
    </row>
    <row r="226" spans="1:30" ht="20.25" customHeight="1">
      <c r="A226" s="468"/>
      <c r="B226" s="468"/>
      <c r="C226" s="468"/>
      <c r="D226" s="655"/>
      <c r="E226" s="655"/>
      <c r="F226" s="468"/>
      <c r="G226" s="468"/>
      <c r="H226" s="468"/>
      <c r="I226" s="468"/>
      <c r="J226" s="468"/>
      <c r="K226" s="468"/>
      <c r="L226" s="468"/>
      <c r="M226" s="468"/>
      <c r="N226" s="468"/>
      <c r="O226" s="468"/>
      <c r="P226" s="468"/>
      <c r="Q226" s="468"/>
      <c r="R226" s="468"/>
      <c r="S226" s="468"/>
      <c r="T226" s="468"/>
      <c r="U226" s="468"/>
      <c r="V226" s="468"/>
      <c r="W226" s="468"/>
      <c r="X226" s="468"/>
      <c r="Y226" s="468"/>
      <c r="Z226" s="468"/>
      <c r="AA226" s="468"/>
      <c r="AB226" s="468"/>
      <c r="AC226" s="468"/>
      <c r="AD226" s="468"/>
    </row>
    <row r="227" spans="1:30" ht="37.5">
      <c r="A227" s="2531" t="s">
        <v>326</v>
      </c>
      <c r="B227" s="2531"/>
      <c r="C227" s="2531"/>
      <c r="D227" s="2531" t="s">
        <v>337</v>
      </c>
      <c r="E227" s="2531"/>
      <c r="F227" s="2531"/>
      <c r="G227" s="2414" t="s">
        <v>338</v>
      </c>
      <c r="H227" s="2414" t="s">
        <v>339</v>
      </c>
      <c r="I227" s="2414" t="s">
        <v>325</v>
      </c>
      <c r="J227" s="2496" t="s">
        <v>326</v>
      </c>
      <c r="K227" s="2497"/>
      <c r="L227" s="2414" t="s">
        <v>327</v>
      </c>
      <c r="M227" s="2511" t="s">
        <v>326</v>
      </c>
      <c r="N227" s="2497"/>
      <c r="O227" s="468"/>
      <c r="P227" s="468"/>
      <c r="Q227" s="468"/>
      <c r="R227" s="468"/>
      <c r="S227" s="468"/>
      <c r="T227" s="468"/>
      <c r="U227" s="468"/>
      <c r="V227" s="468"/>
      <c r="W227" s="468"/>
      <c r="X227" s="468"/>
      <c r="Y227" s="468"/>
      <c r="Z227" s="468"/>
      <c r="AA227" s="468"/>
      <c r="AB227" s="468"/>
      <c r="AC227" s="468"/>
      <c r="AD227" s="468"/>
    </row>
    <row r="228" spans="1:30">
      <c r="A228" s="468"/>
      <c r="B228" s="468"/>
      <c r="C228" s="468"/>
      <c r="D228" s="655"/>
      <c r="E228" s="655"/>
      <c r="F228" s="468"/>
      <c r="G228" s="507"/>
      <c r="H228" s="523"/>
      <c r="I228" s="524"/>
      <c r="J228" s="525"/>
      <c r="K228" s="525"/>
      <c r="L228" s="470"/>
      <c r="M228" s="526"/>
      <c r="N228" s="525"/>
      <c r="O228" s="468"/>
      <c r="P228" s="468"/>
      <c r="Q228" s="468"/>
      <c r="R228" s="468"/>
      <c r="S228" s="468"/>
      <c r="T228" s="468"/>
      <c r="U228" s="468"/>
      <c r="V228" s="468"/>
      <c r="W228" s="468"/>
      <c r="X228" s="468"/>
      <c r="Y228" s="468"/>
      <c r="Z228" s="468"/>
      <c r="AA228" s="468"/>
      <c r="AB228" s="468"/>
      <c r="AC228" s="468"/>
      <c r="AD228" s="468"/>
    </row>
    <row r="229" spans="1:30">
      <c r="A229" s="468"/>
      <c r="B229" s="468"/>
      <c r="C229" s="468"/>
      <c r="D229" s="655"/>
      <c r="E229" s="655"/>
      <c r="F229" s="468"/>
      <c r="G229" s="468"/>
      <c r="H229" s="468"/>
      <c r="I229" s="468"/>
      <c r="J229" s="468"/>
      <c r="K229" s="468"/>
      <c r="L229" s="468"/>
      <c r="M229" s="507"/>
      <c r="N229" s="468"/>
      <c r="O229" s="468"/>
      <c r="P229" s="468"/>
      <c r="Q229" s="468"/>
      <c r="R229" s="468"/>
      <c r="S229" s="468"/>
      <c r="T229" s="468"/>
      <c r="U229" s="468"/>
      <c r="V229" s="468"/>
      <c r="W229" s="468"/>
      <c r="X229" s="468"/>
      <c r="Y229" s="468"/>
      <c r="Z229" s="468"/>
      <c r="AA229" s="468"/>
      <c r="AB229" s="468"/>
      <c r="AC229" s="468"/>
      <c r="AD229" s="468"/>
    </row>
    <row r="230" spans="1:30" ht="19.5" thickBot="1">
      <c r="A230" s="1156" t="s">
        <v>340</v>
      </c>
      <c r="B230" s="1157"/>
      <c r="C230" s="1157"/>
      <c r="D230" s="1370"/>
      <c r="E230" s="1370"/>
      <c r="F230" s="1157"/>
      <c r="G230" s="1158"/>
      <c r="H230" s="1159"/>
      <c r="I230" s="1160"/>
      <c r="J230" s="1161"/>
      <c r="K230" s="1161"/>
      <c r="L230" s="1161"/>
      <c r="M230" s="1160"/>
      <c r="N230" s="1161"/>
      <c r="O230" s="468"/>
      <c r="P230" s="468"/>
      <c r="Q230" s="468"/>
      <c r="R230" s="468"/>
      <c r="S230" s="468"/>
      <c r="T230" s="468"/>
      <c r="U230" s="468"/>
      <c r="V230" s="468"/>
      <c r="W230" s="468"/>
      <c r="X230" s="468"/>
      <c r="Y230" s="468"/>
      <c r="Z230" s="468"/>
      <c r="AA230" s="468"/>
      <c r="AB230" s="468"/>
      <c r="AC230" s="468"/>
      <c r="AD230" s="468"/>
    </row>
    <row r="231" spans="1:30" ht="28.5" customHeight="1">
      <c r="A231" s="603" t="s">
        <v>341</v>
      </c>
      <c r="B231" s="2505"/>
      <c r="C231" s="2503"/>
      <c r="D231" s="2503"/>
      <c r="E231" s="2503"/>
      <c r="F231" s="2510"/>
      <c r="G231" s="530"/>
      <c r="H231" s="562">
        <f>U216</f>
        <v>3069000</v>
      </c>
      <c r="I231" s="1625"/>
      <c r="J231" s="2490" t="str">
        <f>IF(I231="","",VLOOKUP(I231,'Budget-S&amp;U Codes Lookup'!$A$7:$B$564,2,FALSE))</f>
        <v/>
      </c>
      <c r="K231" s="2490"/>
      <c r="L231" s="1627">
        <v>12</v>
      </c>
      <c r="M231" s="2212" t="str">
        <f>IF(L231="","",VLOOKUP(L231,'Budget-S&amp;U Codes Lookup'!E7:F89,2,FALSE))</f>
        <v>Closing Costs</v>
      </c>
      <c r="N231" s="2213"/>
      <c r="O231" s="468"/>
      <c r="P231" s="468"/>
      <c r="Q231" s="468"/>
      <c r="R231" s="468"/>
      <c r="S231" s="468"/>
      <c r="T231" s="468"/>
      <c r="U231" s="468"/>
      <c r="V231" s="468"/>
      <c r="W231" s="468"/>
      <c r="X231" s="468"/>
      <c r="Y231" s="468"/>
      <c r="Z231" s="468"/>
      <c r="AA231" s="468"/>
      <c r="AB231" s="468"/>
      <c r="AC231" s="468"/>
      <c r="AD231" s="468"/>
    </row>
    <row r="232" spans="1:30" ht="28.5" customHeight="1">
      <c r="A232" s="604" t="s">
        <v>309</v>
      </c>
      <c r="B232" s="2505"/>
      <c r="C232" s="2503"/>
      <c r="D232" s="2503"/>
      <c r="E232" s="2503"/>
      <c r="F232" s="2510"/>
      <c r="G232" s="531"/>
      <c r="H232" s="547">
        <f>Q216</f>
        <v>321272.34000000003</v>
      </c>
      <c r="I232" s="1626"/>
      <c r="J232" s="2490" t="str">
        <f>IF(I232="","",VLOOKUP(I232,'Budget-S&amp;U Codes Lookup'!$A$7:$B$564,2,FALSE))</f>
        <v/>
      </c>
      <c r="K232" s="2490"/>
      <c r="L232" s="1628">
        <v>13</v>
      </c>
      <c r="M232" s="2212" t="str">
        <f>IF(L232="","",VLOOKUP(L232,'Budget-S&amp;U Codes Lookup'!E8:F90,2,FALSE))</f>
        <v>Stub Interest</v>
      </c>
      <c r="N232" s="2213"/>
      <c r="O232" s="468"/>
      <c r="P232" s="468"/>
      <c r="Q232" s="468"/>
      <c r="R232" s="468"/>
      <c r="S232" s="468"/>
      <c r="T232" s="468"/>
      <c r="U232" s="468"/>
      <c r="V232" s="468"/>
      <c r="W232" s="468"/>
      <c r="X232" s="468"/>
      <c r="Y232" s="468"/>
      <c r="Z232" s="468"/>
      <c r="AA232" s="468"/>
      <c r="AB232" s="468"/>
      <c r="AC232" s="468"/>
      <c r="AD232" s="468"/>
    </row>
    <row r="233" spans="1:30" ht="15.75" thickBot="1">
      <c r="A233" s="532" t="s">
        <v>324</v>
      </c>
      <c r="B233" s="532"/>
      <c r="C233" s="532"/>
      <c r="D233" s="569"/>
      <c r="E233" s="569"/>
      <c r="F233" s="532"/>
      <c r="G233" s="533"/>
      <c r="H233" s="534">
        <f>SUM(H231:H232)</f>
        <v>3390272.34</v>
      </c>
      <c r="I233" s="532"/>
      <c r="J233" s="532"/>
      <c r="K233" s="532"/>
      <c r="L233" s="532"/>
      <c r="M233" s="533"/>
      <c r="N233" s="532"/>
      <c r="O233" s="468"/>
      <c r="P233" s="468"/>
      <c r="Q233" s="468"/>
      <c r="R233" s="468"/>
      <c r="S233" s="468"/>
      <c r="T233" s="468"/>
      <c r="U233" s="468"/>
      <c r="V233" s="468"/>
      <c r="W233" s="468"/>
      <c r="X233" s="468"/>
      <c r="Y233" s="468"/>
      <c r="Z233" s="468"/>
      <c r="AA233" s="468"/>
      <c r="AB233" s="468"/>
      <c r="AC233" s="468"/>
      <c r="AD233" s="468"/>
    </row>
    <row r="234" spans="1:30">
      <c r="A234" s="102"/>
      <c r="B234" s="102"/>
      <c r="C234" s="102"/>
      <c r="D234" s="1371"/>
      <c r="E234" s="1371"/>
      <c r="F234" s="102"/>
      <c r="G234" s="990"/>
      <c r="H234" s="991"/>
      <c r="I234" s="102"/>
      <c r="J234" s="102"/>
      <c r="K234" s="102"/>
      <c r="L234" s="102"/>
      <c r="M234" s="990"/>
      <c r="N234" s="102"/>
      <c r="O234" s="468"/>
      <c r="P234" s="468"/>
      <c r="Q234" s="468"/>
      <c r="R234" s="468"/>
      <c r="S234" s="468"/>
      <c r="T234" s="468"/>
      <c r="U234" s="468"/>
      <c r="V234" s="468"/>
      <c r="W234" s="468"/>
      <c r="X234" s="468"/>
      <c r="Y234" s="468"/>
      <c r="Z234" s="468"/>
      <c r="AA234" s="468"/>
      <c r="AB234" s="468"/>
      <c r="AC234" s="468"/>
      <c r="AD234" s="468"/>
    </row>
    <row r="235" spans="1:30" ht="15.75" thickBot="1">
      <c r="A235" s="765" t="s">
        <v>342</v>
      </c>
      <c r="B235" s="102"/>
      <c r="C235" s="102"/>
      <c r="D235" s="1371"/>
      <c r="E235" s="1371"/>
      <c r="F235" s="102"/>
      <c r="G235" s="990"/>
      <c r="H235" s="991"/>
      <c r="I235" s="102"/>
      <c r="J235" s="102"/>
      <c r="K235" s="102"/>
      <c r="L235" s="102"/>
      <c r="M235" s="990"/>
      <c r="N235" s="102"/>
      <c r="O235" s="468"/>
      <c r="P235" s="468"/>
      <c r="Q235" s="468"/>
      <c r="R235" s="468"/>
      <c r="S235" s="468"/>
      <c r="T235" s="468"/>
      <c r="U235" s="468"/>
      <c r="V235" s="468"/>
      <c r="W235" s="468"/>
      <c r="X235" s="468"/>
      <c r="Y235" s="468"/>
      <c r="Z235" s="468"/>
      <c r="AA235" s="468"/>
      <c r="AB235" s="468"/>
      <c r="AC235" s="468"/>
      <c r="AD235" s="468"/>
    </row>
    <row r="236" spans="1:30" ht="15" customHeight="1" thickBot="1">
      <c r="A236" s="101" t="s">
        <v>343</v>
      </c>
      <c r="B236" s="101"/>
      <c r="C236" s="101"/>
      <c r="D236" s="372"/>
      <c r="E236" s="372"/>
      <c r="F236" s="101"/>
      <c r="G236" s="599"/>
      <c r="H236" s="996">
        <f>IF(I126="Yes",SUMIF($E$186:$E$215,'Drop Lists'!AF19,$Q$186:$Q$215),0)</f>
        <v>0</v>
      </c>
      <c r="I236" s="764">
        <v>502</v>
      </c>
      <c r="J236" s="2490" t="str">
        <f>IF(I236="","",VLOOKUP(I236,'Budget-S&amp;U Codes Lookup'!$A$7:$B$564,2,FALSE))</f>
        <v>Interest Carry - ACORE (Acq./Senior Loan for NY projects)</v>
      </c>
      <c r="K236" s="2490"/>
      <c r="L236" s="102"/>
      <c r="M236" s="990"/>
      <c r="N236" s="102"/>
      <c r="O236" s="468"/>
      <c r="P236" s="468"/>
      <c r="Q236" s="468"/>
      <c r="R236" s="468"/>
      <c r="S236" s="468"/>
      <c r="T236" s="468"/>
      <c r="U236" s="468"/>
      <c r="V236" s="468"/>
      <c r="W236" s="468"/>
      <c r="X236" s="468"/>
      <c r="Y236" s="468"/>
      <c r="Z236" s="468"/>
      <c r="AA236" s="468"/>
      <c r="AB236" s="468"/>
      <c r="AC236" s="468"/>
      <c r="AD236" s="468"/>
    </row>
    <row r="237" spans="1:30" ht="15" customHeight="1" thickBot="1">
      <c r="A237" s="101" t="s">
        <v>344</v>
      </c>
      <c r="B237" s="101"/>
      <c r="C237" s="101"/>
      <c r="D237" s="372"/>
      <c r="E237" s="372"/>
      <c r="F237" s="101"/>
      <c r="G237" s="599"/>
      <c r="H237" s="996">
        <f>IF(I127="Yes",SUMIF($E$186:$E$215,'Drop Lists'!AF20,$Q$186:$Q$215),0)</f>
        <v>0</v>
      </c>
      <c r="I237" s="764">
        <v>503</v>
      </c>
      <c r="J237" s="2490" t="str">
        <f>IF(I237="","",VLOOKUP(I237,'Budget-S&amp;U Codes Lookup'!$A$7:$B$564,2,FALSE))</f>
        <v>Interest Carry - ACORE (Building Loan for NY Projects)</v>
      </c>
      <c r="K237" s="2490"/>
      <c r="L237" s="102"/>
      <c r="M237" s="990"/>
      <c r="N237" s="102"/>
      <c r="O237" s="468"/>
      <c r="P237" s="468"/>
      <c r="Q237" s="468"/>
      <c r="R237" s="468"/>
      <c r="S237" s="468"/>
      <c r="T237" s="468"/>
      <c r="U237" s="468"/>
      <c r="V237" s="468"/>
      <c r="W237" s="468"/>
      <c r="X237" s="468"/>
      <c r="Y237" s="468"/>
      <c r="Z237" s="468"/>
      <c r="AA237" s="468"/>
      <c r="AB237" s="468"/>
      <c r="AC237" s="468"/>
      <c r="AD237" s="468"/>
    </row>
    <row r="238" spans="1:30" ht="15" customHeight="1" thickBot="1">
      <c r="A238" s="101" t="s">
        <v>345</v>
      </c>
      <c r="B238" s="101"/>
      <c r="C238" s="101"/>
      <c r="D238" s="372"/>
      <c r="E238" s="372"/>
      <c r="F238" s="101"/>
      <c r="G238" s="599"/>
      <c r="H238" s="996">
        <f>IF(I128="Yes",SUMIF($E$186:$E$215,'Drop Lists'!AF21,$Q$186:$Q$215),0)</f>
        <v>0</v>
      </c>
      <c r="I238" s="764">
        <v>504</v>
      </c>
      <c r="J238" s="2490" t="str">
        <f>IF(I238="","",VLOOKUP(I238,'Budget-S&amp;U Codes Lookup'!$A$7:$B$564,2,FALSE))</f>
        <v>Interest Carry - ACORE (Project Loan for NY Projects)</v>
      </c>
      <c r="K238" s="2490"/>
      <c r="L238" s="102"/>
      <c r="M238" s="990"/>
      <c r="N238" s="102"/>
      <c r="O238" s="468"/>
      <c r="P238" s="468"/>
      <c r="Q238" s="468"/>
      <c r="R238" s="468"/>
      <c r="S238" s="468"/>
      <c r="T238" s="468"/>
      <c r="U238" s="468"/>
      <c r="V238" s="468"/>
      <c r="W238" s="468"/>
      <c r="X238" s="468"/>
      <c r="Y238" s="468"/>
      <c r="Z238" s="468"/>
      <c r="AA238" s="468"/>
      <c r="AB238" s="468"/>
      <c r="AC238" s="468"/>
      <c r="AD238" s="468"/>
    </row>
    <row r="239" spans="1:30" ht="15" customHeight="1" thickBot="1">
      <c r="A239" s="101" t="s">
        <v>346</v>
      </c>
      <c r="B239" s="101"/>
      <c r="C239" s="101"/>
      <c r="D239" s="372"/>
      <c r="E239" s="372"/>
      <c r="F239" s="101"/>
      <c r="G239" s="599"/>
      <c r="H239" s="996">
        <f>IF(I129="Yes",SUMIF($E$186:$E$215,'Drop Lists'!AF22,$Q$186:$Q$215),0)</f>
        <v>0</v>
      </c>
      <c r="I239" s="764">
        <v>505</v>
      </c>
      <c r="J239" s="2490" t="str">
        <f>IF(I239="","",VLOOKUP(I239,'Budget-S&amp;U Codes Lookup'!$A$7:$B$564,2,FALSE))</f>
        <v>Interest Carry - Mezz Financing</v>
      </c>
      <c r="K239" s="2490"/>
      <c r="L239" s="102"/>
      <c r="M239" s="990"/>
      <c r="N239" s="102"/>
      <c r="O239" s="468"/>
      <c r="P239" s="468"/>
      <c r="Q239" s="468"/>
      <c r="R239" s="468"/>
      <c r="S239" s="468"/>
      <c r="T239" s="468"/>
      <c r="U239" s="468"/>
      <c r="V239" s="468"/>
      <c r="W239" s="468"/>
      <c r="X239" s="468"/>
      <c r="Y239" s="468"/>
      <c r="Z239" s="468"/>
      <c r="AA239" s="468"/>
      <c r="AB239" s="468"/>
      <c r="AC239" s="468"/>
      <c r="AD239" s="468"/>
    </row>
    <row r="240" spans="1:30" ht="14.85" customHeight="1">
      <c r="A240" s="101" t="s">
        <v>347</v>
      </c>
      <c r="B240" s="101"/>
      <c r="C240" s="101"/>
      <c r="D240" s="372"/>
      <c r="E240" s="372"/>
      <c r="F240" s="101"/>
      <c r="G240" s="599"/>
      <c r="H240" s="996">
        <f>IF(I130="Yes",SUMIF($E$186:$E$215,'Drop Lists'!AF23,$Q$186:$Q$215),0)</f>
        <v>0</v>
      </c>
      <c r="I240" s="764">
        <v>506</v>
      </c>
      <c r="J240" s="2490" t="str">
        <f>IF(I240="","",VLOOKUP(I240,'Budget-S&amp;U Codes Lookup'!$A$7:$B$564,2,FALSE))</f>
        <v>Interest Carry - Preferred Equity</v>
      </c>
      <c r="K240" s="2490"/>
      <c r="L240" s="102"/>
      <c r="M240" s="990"/>
      <c r="N240" s="102"/>
      <c r="O240" s="468"/>
      <c r="P240" s="468"/>
      <c r="Q240" s="468"/>
      <c r="R240" s="468"/>
      <c r="S240" s="468"/>
      <c r="T240" s="468"/>
      <c r="U240" s="468"/>
      <c r="V240" s="468"/>
      <c r="W240" s="468"/>
      <c r="X240" s="468"/>
      <c r="Y240" s="468"/>
      <c r="Z240" s="468"/>
      <c r="AA240" s="468"/>
      <c r="AB240" s="468"/>
      <c r="AC240" s="468"/>
      <c r="AD240" s="468"/>
    </row>
    <row r="241" spans="1:30">
      <c r="A241" s="468"/>
      <c r="B241" s="468"/>
      <c r="C241" s="468"/>
      <c r="D241" s="655"/>
      <c r="E241" s="655"/>
      <c r="F241" s="468"/>
      <c r="G241" s="507"/>
      <c r="H241" s="523"/>
      <c r="I241" s="470"/>
      <c r="J241" s="470"/>
      <c r="K241" s="470"/>
      <c r="L241" s="470"/>
      <c r="M241" s="524"/>
      <c r="N241" s="470"/>
      <c r="O241" s="468"/>
      <c r="P241" s="468"/>
      <c r="Q241" s="468"/>
      <c r="R241" s="468"/>
      <c r="S241" s="468"/>
      <c r="T241" s="468"/>
      <c r="U241" s="468"/>
      <c r="V241" s="468"/>
      <c r="W241" s="468"/>
      <c r="X241" s="468"/>
      <c r="Y241" s="468"/>
      <c r="Z241" s="468"/>
      <c r="AA241" s="468"/>
      <c r="AB241" s="468"/>
      <c r="AC241" s="468"/>
      <c r="AD241" s="468"/>
    </row>
    <row r="242" spans="1:30" ht="37.5">
      <c r="A242" s="468"/>
      <c r="B242" s="468"/>
      <c r="C242" s="468"/>
      <c r="D242" s="2531" t="s">
        <v>337</v>
      </c>
      <c r="E242" s="2531"/>
      <c r="F242" s="2531"/>
      <c r="G242" s="2414" t="s">
        <v>338</v>
      </c>
      <c r="H242" s="2414" t="s">
        <v>339</v>
      </c>
      <c r="I242" s="2414" t="s">
        <v>325</v>
      </c>
      <c r="J242" s="2496" t="s">
        <v>326</v>
      </c>
      <c r="K242" s="2497"/>
      <c r="L242" s="2414" t="s">
        <v>327</v>
      </c>
      <c r="M242" s="2511" t="s">
        <v>326</v>
      </c>
      <c r="N242" s="2497"/>
      <c r="O242" s="468"/>
      <c r="P242" s="468"/>
      <c r="Q242" s="468"/>
      <c r="R242" s="468"/>
      <c r="S242" s="468"/>
      <c r="T242" s="468"/>
      <c r="U242" s="468"/>
      <c r="V242" s="468"/>
      <c r="W242" s="468"/>
      <c r="X242" s="468"/>
      <c r="Y242" s="468"/>
      <c r="Z242" s="468"/>
      <c r="AA242" s="468"/>
      <c r="AB242" s="468"/>
      <c r="AC242" s="468"/>
      <c r="AD242" s="468"/>
    </row>
    <row r="243" spans="1:30" ht="19.5" thickBot="1">
      <c r="A243" s="1156" t="s">
        <v>348</v>
      </c>
      <c r="B243" s="1157"/>
      <c r="C243" s="1157"/>
      <c r="D243" s="1372"/>
      <c r="E243" s="1370"/>
      <c r="F243" s="1157"/>
      <c r="G243" s="1162"/>
      <c r="H243" s="1163"/>
      <c r="I243" s="1164"/>
      <c r="J243" s="1164"/>
      <c r="K243" s="1164"/>
      <c r="L243" s="1164"/>
      <c r="M243" s="1161"/>
      <c r="N243" s="1161"/>
      <c r="O243" s="468"/>
      <c r="P243" s="468"/>
      <c r="Q243" s="468"/>
      <c r="R243" s="468"/>
      <c r="S243" s="468"/>
      <c r="T243" s="468"/>
      <c r="U243" s="468"/>
      <c r="V243" s="468"/>
      <c r="W243" s="468"/>
      <c r="X243" s="468"/>
      <c r="Y243" s="468"/>
      <c r="Z243" s="468"/>
      <c r="AA243" s="468"/>
      <c r="AB243" s="468"/>
      <c r="AC243" s="468"/>
      <c r="AD243" s="468"/>
    </row>
    <row r="244" spans="1:30" ht="30" customHeight="1">
      <c r="A244" s="603" t="s">
        <v>349</v>
      </c>
      <c r="B244" s="2505"/>
      <c r="C244" s="2507"/>
      <c r="D244" s="2507"/>
      <c r="E244" s="2507"/>
      <c r="F244" s="2516"/>
      <c r="G244" s="1629">
        <v>0</v>
      </c>
      <c r="H244" s="535"/>
      <c r="I244" s="1625"/>
      <c r="J244" s="2490" t="str">
        <f>IF(I244="","",VLOOKUP(I244,'Budget-S&amp;U Codes Lookup'!$A$7:$B$564,2,FALSE))</f>
        <v/>
      </c>
      <c r="K244" s="2490"/>
      <c r="L244" s="1627">
        <v>4</v>
      </c>
      <c r="M244" s="2212" t="str">
        <f>IF(L244="","",VLOOKUP(L244,'Budget-S&amp;U Codes Lookup'!E7:F89,2,FALSE))</f>
        <v>Application Deposit</v>
      </c>
      <c r="N244" s="2213"/>
      <c r="O244" s="468"/>
      <c r="P244" s="468"/>
      <c r="Q244" s="468"/>
      <c r="R244" s="468"/>
      <c r="S244" s="468"/>
      <c r="T244" s="468"/>
      <c r="U244" s="468"/>
      <c r="V244" s="468"/>
      <c r="W244" s="468"/>
      <c r="X244" s="468"/>
      <c r="Y244" s="468"/>
      <c r="Z244" s="468"/>
      <c r="AA244" s="468"/>
      <c r="AB244" s="468"/>
      <c r="AC244" s="468"/>
      <c r="AD244" s="468"/>
    </row>
    <row r="245" spans="1:30" ht="20.85" customHeight="1">
      <c r="A245" s="2413" t="s">
        <v>350</v>
      </c>
      <c r="B245" s="2503"/>
      <c r="C245" s="2504"/>
      <c r="D245" s="2505" t="s">
        <v>351</v>
      </c>
      <c r="E245" s="2507"/>
      <c r="F245" s="2516"/>
      <c r="G245" s="2404"/>
      <c r="H245" s="1630">
        <v>0</v>
      </c>
      <c r="I245" s="1625"/>
      <c r="J245" s="2490" t="str">
        <f>IF(I245="","",VLOOKUP(I245,'Budget-S&amp;U Codes Lookup'!$A$7:$B$564,2,FALSE))</f>
        <v/>
      </c>
      <c r="K245" s="2490"/>
      <c r="L245" s="1627">
        <v>12</v>
      </c>
      <c r="M245" s="2212" t="str">
        <f>IF(L245="","",VLOOKUP(L245,'Budget-S&amp;U Codes Lookup'!E8:F90,2,FALSE))</f>
        <v>Closing Costs</v>
      </c>
      <c r="N245" s="2213"/>
      <c r="O245" s="468"/>
      <c r="P245" s="468"/>
      <c r="Q245" s="468"/>
      <c r="R245" s="468"/>
      <c r="S245" s="468"/>
      <c r="T245" s="468"/>
      <c r="U245" s="468"/>
      <c r="V245" s="468"/>
      <c r="W245" s="468"/>
      <c r="X245" s="468"/>
      <c r="Y245" s="468"/>
      <c r="Z245" s="468"/>
      <c r="AA245" s="468"/>
      <c r="AB245" s="468"/>
      <c r="AC245" s="468"/>
      <c r="AD245" s="468"/>
    </row>
    <row r="246" spans="1:30" ht="28.5" customHeight="1" thickBot="1">
      <c r="A246" s="2413" t="s">
        <v>352</v>
      </c>
      <c r="B246" s="2503"/>
      <c r="C246" s="2504"/>
      <c r="D246" s="2505" t="s">
        <v>351</v>
      </c>
      <c r="E246" s="2507"/>
      <c r="F246" s="2516"/>
      <c r="G246" s="2415"/>
      <c r="H246" s="537">
        <f>D276</f>
        <v>0</v>
      </c>
      <c r="I246" s="1625"/>
      <c r="J246" s="2490" t="str">
        <f>IF(I246="","",VLOOKUP(I246,'Budget-S&amp;U Codes Lookup'!$A$7:$B$564,2,FALSE))</f>
        <v/>
      </c>
      <c r="K246" s="2490"/>
      <c r="L246" s="1627">
        <v>12</v>
      </c>
      <c r="M246" s="2212" t="str">
        <f>IF(L246="","",VLOOKUP(L246,'Budget-S&amp;U Codes Lookup'!E9:F91,2,FALSE))</f>
        <v>Closing Costs</v>
      </c>
      <c r="N246" s="2213"/>
      <c r="O246" s="468"/>
      <c r="P246" s="468"/>
      <c r="Q246" s="468"/>
      <c r="R246" s="468"/>
      <c r="S246" s="468"/>
      <c r="T246" s="468"/>
      <c r="U246" s="468"/>
      <c r="V246" s="468"/>
      <c r="W246" s="468"/>
      <c r="X246" s="468"/>
      <c r="Y246" s="468"/>
      <c r="Z246" s="468"/>
      <c r="AA246" s="468"/>
      <c r="AB246" s="468"/>
      <c r="AC246" s="468"/>
      <c r="AD246" s="468"/>
    </row>
    <row r="247" spans="1:30" ht="15.75" thickBot="1">
      <c r="A247" s="468"/>
      <c r="B247" s="468"/>
      <c r="C247" s="468"/>
      <c r="D247" s="655"/>
      <c r="E247" s="655"/>
      <c r="F247" s="468"/>
      <c r="G247" s="468"/>
      <c r="H247" s="524"/>
      <c r="I247" s="538"/>
      <c r="J247" s="539"/>
      <c r="K247" s="539"/>
      <c r="L247" s="538"/>
      <c r="M247" s="540"/>
      <c r="N247" s="539"/>
      <c r="O247" s="468"/>
      <c r="P247" s="468"/>
      <c r="Q247" s="468"/>
      <c r="R247" s="468"/>
      <c r="S247" s="468"/>
      <c r="T247" s="468"/>
      <c r="U247" s="468"/>
      <c r="V247" s="468"/>
      <c r="W247" s="468"/>
      <c r="X247" s="468"/>
      <c r="Y247" s="468"/>
      <c r="Z247" s="468"/>
      <c r="AA247" s="468"/>
      <c r="AB247" s="468"/>
      <c r="AC247" s="468"/>
      <c r="AD247" s="468"/>
    </row>
    <row r="248" spans="1:30">
      <c r="A248" s="468"/>
      <c r="B248" s="2537" t="s">
        <v>353</v>
      </c>
      <c r="C248" s="2538"/>
      <c r="D248" s="541" t="s">
        <v>226</v>
      </c>
      <c r="E248" s="655"/>
      <c r="F248" s="468"/>
      <c r="G248" s="507"/>
      <c r="H248" s="524"/>
      <c r="I248" s="470"/>
      <c r="J248" s="470"/>
      <c r="K248" s="470"/>
      <c r="L248" s="470"/>
      <c r="M248" s="470"/>
      <c r="N248" s="470"/>
      <c r="O248" s="468"/>
      <c r="P248" s="468"/>
      <c r="Q248" s="468"/>
      <c r="R248" s="468"/>
      <c r="S248" s="468"/>
      <c r="T248" s="468"/>
      <c r="U248" s="468"/>
      <c r="V248" s="468"/>
      <c r="W248" s="468"/>
      <c r="X248" s="468"/>
      <c r="Y248" s="468"/>
      <c r="Z248" s="468"/>
      <c r="AA248" s="468"/>
      <c r="AB248" s="468"/>
      <c r="AC248" s="468"/>
      <c r="AD248" s="468"/>
    </row>
    <row r="249" spans="1:30">
      <c r="A249" s="468"/>
      <c r="B249" s="2539" t="s">
        <v>354</v>
      </c>
      <c r="C249" s="2540"/>
      <c r="D249" s="1631"/>
      <c r="E249" s="655"/>
      <c r="F249" s="468"/>
      <c r="G249" s="507"/>
      <c r="H249" s="524"/>
      <c r="I249" s="470"/>
      <c r="J249" s="470"/>
      <c r="K249" s="470"/>
      <c r="L249" s="470"/>
      <c r="M249" s="470"/>
      <c r="N249" s="470"/>
      <c r="O249" s="468"/>
      <c r="P249" s="468"/>
      <c r="Q249" s="468"/>
      <c r="R249" s="468"/>
      <c r="S249" s="468"/>
      <c r="T249" s="468"/>
      <c r="U249" s="468"/>
      <c r="V249" s="468"/>
      <c r="W249" s="468"/>
      <c r="X249" s="468"/>
      <c r="Y249" s="468"/>
      <c r="Z249" s="468"/>
      <c r="AA249" s="468"/>
      <c r="AB249" s="468"/>
      <c r="AC249" s="468"/>
      <c r="AD249" s="468"/>
    </row>
    <row r="250" spans="1:30">
      <c r="A250" s="468"/>
      <c r="B250" s="2539" t="s">
        <v>355</v>
      </c>
      <c r="C250" s="2540"/>
      <c r="D250" s="1631"/>
      <c r="E250" s="655"/>
      <c r="F250" s="468"/>
      <c r="G250" s="507"/>
      <c r="H250" s="524"/>
      <c r="I250" s="470"/>
      <c r="J250" s="470"/>
      <c r="K250" s="470"/>
      <c r="L250" s="470"/>
      <c r="M250" s="470"/>
      <c r="N250" s="470"/>
      <c r="O250" s="468"/>
      <c r="P250" s="468"/>
      <c r="Q250" s="468"/>
      <c r="R250" s="468"/>
      <c r="S250" s="468"/>
      <c r="T250" s="468"/>
      <c r="U250" s="468"/>
      <c r="V250" s="468"/>
      <c r="W250" s="468"/>
      <c r="X250" s="468"/>
      <c r="Y250" s="468"/>
      <c r="Z250" s="468"/>
      <c r="AA250" s="468"/>
      <c r="AB250" s="468"/>
      <c r="AC250" s="468"/>
      <c r="AD250" s="468"/>
    </row>
    <row r="251" spans="1:30">
      <c r="A251" s="468"/>
      <c r="B251" s="2539" t="s">
        <v>356</v>
      </c>
      <c r="C251" s="2540"/>
      <c r="D251" s="1631"/>
      <c r="E251" s="655"/>
      <c r="F251" s="468"/>
      <c r="G251" s="507"/>
      <c r="H251" s="524"/>
      <c r="I251" s="470"/>
      <c r="J251" s="470"/>
      <c r="K251" s="470"/>
      <c r="L251" s="470"/>
      <c r="M251" s="470"/>
      <c r="N251" s="470"/>
      <c r="O251" s="468"/>
      <c r="P251" s="468"/>
      <c r="Q251" s="468"/>
      <c r="R251" s="468"/>
      <c r="S251" s="468"/>
      <c r="T251" s="468"/>
      <c r="U251" s="468"/>
      <c r="V251" s="468"/>
      <c r="W251" s="468"/>
      <c r="X251" s="468"/>
      <c r="Y251" s="468"/>
      <c r="Z251" s="468"/>
      <c r="AA251" s="468"/>
      <c r="AB251" s="468"/>
      <c r="AC251" s="468"/>
      <c r="AD251" s="468"/>
    </row>
    <row r="252" spans="1:30">
      <c r="A252" s="468"/>
      <c r="B252" s="2539" t="s">
        <v>357</v>
      </c>
      <c r="C252" s="2540"/>
      <c r="D252" s="1631"/>
      <c r="E252" s="655"/>
      <c r="F252" s="468"/>
      <c r="G252" s="507"/>
      <c r="H252" s="524"/>
      <c r="I252" s="470"/>
      <c r="J252" s="470"/>
      <c r="K252" s="470"/>
      <c r="L252" s="470"/>
      <c r="M252" s="470"/>
      <c r="N252" s="470"/>
      <c r="O252" s="468"/>
      <c r="P252" s="468"/>
      <c r="Q252" s="468"/>
      <c r="R252" s="468"/>
      <c r="S252" s="468"/>
      <c r="T252" s="468"/>
      <c r="U252" s="468"/>
      <c r="V252" s="468"/>
      <c r="W252" s="468"/>
      <c r="X252" s="468"/>
      <c r="Y252" s="468"/>
      <c r="Z252" s="468"/>
      <c r="AA252" s="468"/>
      <c r="AB252" s="468"/>
      <c r="AC252" s="468"/>
      <c r="AD252" s="468"/>
    </row>
    <row r="253" spans="1:30">
      <c r="A253" s="468"/>
      <c r="B253" s="2485"/>
      <c r="C253" s="2486"/>
      <c r="D253" s="1631"/>
      <c r="E253" s="655"/>
      <c r="F253" s="468"/>
      <c r="G253" s="507"/>
      <c r="H253" s="524"/>
      <c r="I253" s="470"/>
      <c r="J253" s="470"/>
      <c r="K253" s="470"/>
      <c r="L253" s="470"/>
      <c r="M253" s="470"/>
      <c r="N253" s="470"/>
      <c r="O253" s="468"/>
      <c r="P253" s="468"/>
      <c r="Q253" s="468"/>
      <c r="R253" s="468"/>
      <c r="S253" s="468"/>
      <c r="T253" s="468"/>
      <c r="U253" s="468"/>
      <c r="V253" s="468"/>
      <c r="W253" s="468"/>
      <c r="X253" s="468"/>
      <c r="Y253" s="468"/>
      <c r="Z253" s="468"/>
      <c r="AA253" s="468"/>
      <c r="AB253" s="468"/>
      <c r="AC253" s="468"/>
      <c r="AD253" s="468"/>
    </row>
    <row r="254" spans="1:30">
      <c r="A254" s="468"/>
      <c r="B254" s="2485"/>
      <c r="C254" s="2486"/>
      <c r="D254" s="1631"/>
      <c r="E254" s="655"/>
      <c r="F254" s="468"/>
      <c r="G254" s="507"/>
      <c r="H254" s="524"/>
      <c r="I254" s="470"/>
      <c r="J254" s="470"/>
      <c r="K254" s="470"/>
      <c r="L254" s="470"/>
      <c r="M254" s="470"/>
      <c r="N254" s="470"/>
      <c r="O254" s="468"/>
      <c r="P254" s="468"/>
      <c r="Q254" s="468"/>
      <c r="R254" s="468"/>
      <c r="S254" s="468"/>
      <c r="T254" s="468"/>
      <c r="U254" s="468"/>
      <c r="V254" s="468"/>
      <c r="W254" s="468"/>
      <c r="X254" s="468"/>
      <c r="Y254" s="468"/>
      <c r="Z254" s="468"/>
      <c r="AA254" s="468"/>
      <c r="AB254" s="468"/>
      <c r="AC254" s="468"/>
      <c r="AD254" s="468"/>
    </row>
    <row r="255" spans="1:30">
      <c r="A255" s="468"/>
      <c r="B255" s="2485"/>
      <c r="C255" s="2486"/>
      <c r="D255" s="1631"/>
      <c r="E255" s="655"/>
      <c r="F255" s="468"/>
      <c r="G255" s="507"/>
      <c r="H255" s="524"/>
      <c r="I255" s="470"/>
      <c r="J255" s="470"/>
      <c r="K255" s="470"/>
      <c r="L255" s="470"/>
      <c r="M255" s="470"/>
      <c r="N255" s="470"/>
      <c r="O255" s="468"/>
      <c r="P255" s="468"/>
      <c r="Q255" s="468"/>
      <c r="R255" s="468"/>
      <c r="S255" s="468"/>
      <c r="T255" s="468"/>
      <c r="U255" s="468"/>
      <c r="V255" s="468"/>
      <c r="W255" s="468"/>
      <c r="X255" s="468"/>
      <c r="Y255" s="468"/>
      <c r="Z255" s="468"/>
      <c r="AA255" s="468"/>
      <c r="AB255" s="468"/>
      <c r="AC255" s="468"/>
      <c r="AD255" s="468"/>
    </row>
    <row r="256" spans="1:30">
      <c r="A256" s="468"/>
      <c r="B256" s="2485"/>
      <c r="C256" s="2486"/>
      <c r="D256" s="1631"/>
      <c r="E256" s="655"/>
      <c r="F256" s="468"/>
      <c r="G256" s="507"/>
      <c r="H256" s="524"/>
      <c r="I256" s="470"/>
      <c r="J256" s="470"/>
      <c r="K256" s="470"/>
      <c r="L256" s="470"/>
      <c r="M256" s="470"/>
      <c r="N256" s="470"/>
      <c r="O256" s="468"/>
      <c r="P256" s="468"/>
      <c r="Q256" s="468"/>
      <c r="R256" s="468"/>
      <c r="S256" s="468"/>
      <c r="T256" s="468"/>
      <c r="U256" s="468"/>
      <c r="V256" s="468"/>
      <c r="W256" s="468"/>
      <c r="X256" s="468"/>
      <c r="Y256" s="468"/>
      <c r="Z256" s="468"/>
      <c r="AA256" s="468"/>
      <c r="AB256" s="468"/>
      <c r="AC256" s="468"/>
      <c r="AD256" s="468"/>
    </row>
    <row r="257" spans="1:30">
      <c r="A257" s="468"/>
      <c r="B257" s="2485"/>
      <c r="C257" s="2486"/>
      <c r="D257" s="1631"/>
      <c r="E257" s="655"/>
      <c r="F257" s="468"/>
      <c r="G257" s="507"/>
      <c r="H257" s="524"/>
      <c r="I257" s="470"/>
      <c r="J257" s="470"/>
      <c r="K257" s="470"/>
      <c r="L257" s="470"/>
      <c r="M257" s="470"/>
      <c r="N257" s="470"/>
      <c r="O257" s="468"/>
      <c r="P257" s="468"/>
      <c r="Q257" s="468"/>
      <c r="R257" s="468"/>
      <c r="S257" s="468"/>
      <c r="T257" s="468"/>
      <c r="U257" s="468"/>
      <c r="V257" s="468"/>
      <c r="W257" s="468"/>
      <c r="X257" s="468"/>
      <c r="Y257" s="468"/>
      <c r="Z257" s="468"/>
      <c r="AA257" s="468"/>
      <c r="AB257" s="468"/>
      <c r="AC257" s="468"/>
      <c r="AD257" s="468"/>
    </row>
    <row r="258" spans="1:30">
      <c r="A258" s="468"/>
      <c r="B258" s="2485"/>
      <c r="C258" s="2486"/>
      <c r="D258" s="1631"/>
      <c r="E258" s="655"/>
      <c r="F258" s="468"/>
      <c r="G258" s="507"/>
      <c r="H258" s="524"/>
      <c r="I258" s="470"/>
      <c r="J258" s="470"/>
      <c r="K258" s="470"/>
      <c r="L258" s="470"/>
      <c r="M258" s="470"/>
      <c r="N258" s="470"/>
      <c r="O258" s="468"/>
      <c r="P258" s="468"/>
      <c r="Q258" s="468"/>
      <c r="R258" s="468"/>
      <c r="S258" s="468"/>
      <c r="T258" s="468"/>
      <c r="U258" s="468"/>
      <c r="V258" s="468"/>
      <c r="W258" s="468"/>
      <c r="X258" s="468"/>
      <c r="Y258" s="468"/>
      <c r="Z258" s="468"/>
      <c r="AA258" s="468"/>
      <c r="AB258" s="468"/>
      <c r="AC258" s="468"/>
      <c r="AD258" s="468"/>
    </row>
    <row r="259" spans="1:30">
      <c r="A259" s="468"/>
      <c r="B259" s="2485"/>
      <c r="C259" s="2486"/>
      <c r="D259" s="1631"/>
      <c r="E259" s="655"/>
      <c r="F259" s="468"/>
      <c r="G259" s="507"/>
      <c r="H259" s="524"/>
      <c r="I259" s="470"/>
      <c r="J259" s="470"/>
      <c r="K259" s="470"/>
      <c r="L259" s="470"/>
      <c r="M259" s="470"/>
      <c r="N259" s="470"/>
      <c r="O259" s="468"/>
      <c r="P259" s="468"/>
      <c r="Q259" s="468"/>
      <c r="R259" s="468"/>
      <c r="S259" s="468"/>
      <c r="T259" s="468"/>
      <c r="U259" s="468"/>
      <c r="V259" s="468"/>
      <c r="W259" s="468"/>
      <c r="X259" s="468"/>
      <c r="Y259" s="468"/>
      <c r="Z259" s="468"/>
      <c r="AA259" s="468"/>
      <c r="AB259" s="468"/>
      <c r="AC259" s="468"/>
      <c r="AD259" s="468"/>
    </row>
    <row r="260" spans="1:30">
      <c r="A260" s="468"/>
      <c r="B260" s="2485"/>
      <c r="C260" s="2486"/>
      <c r="D260" s="1631"/>
      <c r="E260" s="655"/>
      <c r="F260" s="468"/>
      <c r="G260" s="507"/>
      <c r="H260" s="524"/>
      <c r="I260" s="470"/>
      <c r="J260" s="470"/>
      <c r="K260" s="470"/>
      <c r="L260" s="470"/>
      <c r="M260" s="470"/>
      <c r="N260" s="470"/>
      <c r="O260" s="468"/>
      <c r="P260" s="468"/>
      <c r="Q260" s="468"/>
      <c r="R260" s="468"/>
      <c r="S260" s="468"/>
      <c r="T260" s="468"/>
      <c r="U260" s="468"/>
      <c r="V260" s="468"/>
      <c r="W260" s="468"/>
      <c r="X260" s="468"/>
      <c r="Y260" s="468"/>
      <c r="Z260" s="468"/>
      <c r="AA260" s="468"/>
      <c r="AB260" s="468"/>
      <c r="AC260" s="468"/>
      <c r="AD260" s="468"/>
    </row>
    <row r="261" spans="1:30">
      <c r="A261" s="468"/>
      <c r="B261" s="2485"/>
      <c r="C261" s="2486"/>
      <c r="D261" s="1631"/>
      <c r="E261" s="655"/>
      <c r="F261" s="468"/>
      <c r="G261" s="507"/>
      <c r="H261" s="524"/>
      <c r="I261" s="470"/>
      <c r="J261" s="470"/>
      <c r="K261" s="470"/>
      <c r="L261" s="470"/>
      <c r="M261" s="470"/>
      <c r="N261" s="470"/>
      <c r="O261" s="468"/>
      <c r="P261" s="468"/>
      <c r="Q261" s="468"/>
      <c r="R261" s="468"/>
      <c r="S261" s="468"/>
      <c r="T261" s="468"/>
      <c r="U261" s="468"/>
      <c r="V261" s="468"/>
      <c r="W261" s="468"/>
      <c r="X261" s="468"/>
      <c r="Y261" s="468"/>
      <c r="Z261" s="468"/>
      <c r="AA261" s="468"/>
      <c r="AB261" s="468"/>
      <c r="AC261" s="468"/>
      <c r="AD261" s="468"/>
    </row>
    <row r="262" spans="1:30" ht="14.85" hidden="1" customHeight="1" outlineLevel="1">
      <c r="A262" s="468"/>
      <c r="B262" s="2485"/>
      <c r="C262" s="2486"/>
      <c r="D262" s="1631"/>
      <c r="E262" s="655"/>
      <c r="F262" s="468"/>
      <c r="G262" s="507"/>
      <c r="H262" s="524"/>
      <c r="I262" s="470"/>
      <c r="J262" s="470"/>
      <c r="K262" s="470"/>
      <c r="L262" s="470"/>
      <c r="M262" s="470"/>
      <c r="N262" s="470"/>
      <c r="O262" s="468"/>
      <c r="P262" s="468"/>
      <c r="Q262" s="468"/>
      <c r="R262" s="468"/>
      <c r="S262" s="468"/>
      <c r="T262" s="468"/>
      <c r="U262" s="468"/>
      <c r="V262" s="468"/>
      <c r="W262" s="468"/>
      <c r="X262" s="468"/>
      <c r="Y262" s="468"/>
      <c r="Z262" s="468"/>
      <c r="AA262" s="468"/>
      <c r="AB262" s="468"/>
      <c r="AC262" s="468"/>
      <c r="AD262" s="468"/>
    </row>
    <row r="263" spans="1:30" ht="14.85" hidden="1" customHeight="1" outlineLevel="1">
      <c r="A263" s="468"/>
      <c r="B263" s="2485"/>
      <c r="C263" s="2486"/>
      <c r="D263" s="1631"/>
      <c r="E263" s="655"/>
      <c r="F263" s="468"/>
      <c r="G263" s="507"/>
      <c r="H263" s="524"/>
      <c r="I263" s="470"/>
      <c r="J263" s="470"/>
      <c r="K263" s="470"/>
      <c r="L263" s="470"/>
      <c r="M263" s="470"/>
      <c r="N263" s="470"/>
      <c r="O263" s="468"/>
      <c r="P263" s="468"/>
      <c r="Q263" s="468"/>
      <c r="R263" s="468"/>
      <c r="S263" s="468"/>
      <c r="T263" s="468"/>
      <c r="U263" s="468"/>
      <c r="V263" s="468"/>
      <c r="W263" s="468"/>
      <c r="X263" s="468"/>
      <c r="Y263" s="468"/>
      <c r="Z263" s="468"/>
      <c r="AA263" s="468"/>
      <c r="AB263" s="468"/>
      <c r="AC263" s="468"/>
      <c r="AD263" s="468"/>
    </row>
    <row r="264" spans="1:30" ht="14.85" hidden="1" customHeight="1" outlineLevel="1">
      <c r="A264" s="468"/>
      <c r="B264" s="2485"/>
      <c r="C264" s="2486"/>
      <c r="D264" s="1631"/>
      <c r="E264" s="655"/>
      <c r="F264" s="468"/>
      <c r="G264" s="507"/>
      <c r="H264" s="524"/>
      <c r="I264" s="470"/>
      <c r="J264" s="470"/>
      <c r="K264" s="470"/>
      <c r="L264" s="470"/>
      <c r="M264" s="470"/>
      <c r="N264" s="470"/>
      <c r="O264" s="468"/>
      <c r="P264" s="468"/>
      <c r="Q264" s="468"/>
      <c r="R264" s="468"/>
      <c r="S264" s="468"/>
      <c r="T264" s="468"/>
      <c r="U264" s="468"/>
      <c r="V264" s="468"/>
      <c r="W264" s="468"/>
      <c r="X264" s="468"/>
      <c r="Y264" s="468"/>
      <c r="Z264" s="468"/>
      <c r="AA264" s="468"/>
      <c r="AB264" s="468"/>
      <c r="AC264" s="468"/>
      <c r="AD264" s="468"/>
    </row>
    <row r="265" spans="1:30" ht="14.85" hidden="1" customHeight="1" outlineLevel="1">
      <c r="A265" s="468"/>
      <c r="B265" s="2485"/>
      <c r="C265" s="2486"/>
      <c r="D265" s="1631"/>
      <c r="E265" s="655"/>
      <c r="F265" s="468"/>
      <c r="G265" s="507"/>
      <c r="H265" s="524"/>
      <c r="I265" s="470"/>
      <c r="J265" s="470"/>
      <c r="K265" s="470"/>
      <c r="L265" s="470"/>
      <c r="M265" s="470"/>
      <c r="N265" s="470"/>
      <c r="O265" s="468"/>
      <c r="P265" s="468"/>
      <c r="Q265" s="468"/>
      <c r="R265" s="468"/>
      <c r="S265" s="468"/>
      <c r="T265" s="468"/>
      <c r="U265" s="468"/>
      <c r="V265" s="468"/>
      <c r="W265" s="468"/>
      <c r="X265" s="468"/>
      <c r="Y265" s="468"/>
      <c r="Z265" s="468"/>
      <c r="AA265" s="468"/>
      <c r="AB265" s="468"/>
      <c r="AC265" s="468"/>
      <c r="AD265" s="468"/>
    </row>
    <row r="266" spans="1:30" ht="14.85" hidden="1" customHeight="1" outlineLevel="1">
      <c r="A266" s="468"/>
      <c r="B266" s="2485"/>
      <c r="C266" s="2486"/>
      <c r="D266" s="1631"/>
      <c r="E266" s="655"/>
      <c r="F266" s="468"/>
      <c r="G266" s="507"/>
      <c r="H266" s="524"/>
      <c r="I266" s="470"/>
      <c r="J266" s="470"/>
      <c r="K266" s="470"/>
      <c r="L266" s="470"/>
      <c r="M266" s="470"/>
      <c r="N266" s="470"/>
      <c r="O266" s="468"/>
      <c r="P266" s="468"/>
      <c r="Q266" s="468"/>
      <c r="R266" s="468"/>
      <c r="S266" s="468"/>
      <c r="T266" s="468"/>
      <c r="U266" s="468"/>
      <c r="V266" s="468"/>
      <c r="W266" s="468"/>
      <c r="X266" s="468"/>
      <c r="Y266" s="468"/>
      <c r="Z266" s="468"/>
      <c r="AA266" s="468"/>
      <c r="AB266" s="468"/>
      <c r="AC266" s="468"/>
      <c r="AD266" s="468"/>
    </row>
    <row r="267" spans="1:30" ht="14.85" hidden="1" customHeight="1" outlineLevel="1">
      <c r="A267" s="468"/>
      <c r="B267" s="2485"/>
      <c r="C267" s="2486"/>
      <c r="D267" s="1631"/>
      <c r="E267" s="655"/>
      <c r="F267" s="468"/>
      <c r="G267" s="507"/>
      <c r="H267" s="524"/>
      <c r="I267" s="470"/>
      <c r="J267" s="470"/>
      <c r="K267" s="470"/>
      <c r="L267" s="470"/>
      <c r="M267" s="470"/>
      <c r="N267" s="470"/>
      <c r="O267" s="468"/>
      <c r="P267" s="468"/>
      <c r="Q267" s="468"/>
      <c r="R267" s="468"/>
      <c r="S267" s="468"/>
      <c r="T267" s="468"/>
      <c r="U267" s="468"/>
      <c r="V267" s="468"/>
      <c r="W267" s="468"/>
      <c r="X267" s="468"/>
      <c r="Y267" s="468"/>
      <c r="Z267" s="468"/>
      <c r="AA267" s="468"/>
      <c r="AB267" s="468"/>
      <c r="AC267" s="468"/>
      <c r="AD267" s="468"/>
    </row>
    <row r="268" spans="1:30" ht="14.85" hidden="1" customHeight="1" outlineLevel="1">
      <c r="A268" s="468"/>
      <c r="B268" s="2485"/>
      <c r="C268" s="2486"/>
      <c r="D268" s="1631"/>
      <c r="E268" s="655"/>
      <c r="F268" s="468"/>
      <c r="G268" s="507"/>
      <c r="H268" s="524"/>
      <c r="I268" s="470"/>
      <c r="J268" s="470"/>
      <c r="K268" s="470"/>
      <c r="L268" s="470"/>
      <c r="M268" s="470"/>
      <c r="N268" s="470"/>
      <c r="O268" s="468"/>
      <c r="P268" s="468"/>
      <c r="Q268" s="468"/>
      <c r="R268" s="468"/>
      <c r="S268" s="468"/>
      <c r="T268" s="468"/>
      <c r="U268" s="468"/>
      <c r="V268" s="468"/>
      <c r="W268" s="468"/>
      <c r="X268" s="468"/>
      <c r="Y268" s="468"/>
      <c r="Z268" s="468"/>
      <c r="AA268" s="468"/>
      <c r="AB268" s="468"/>
      <c r="AC268" s="468"/>
      <c r="AD268" s="468"/>
    </row>
    <row r="269" spans="1:30" ht="14.85" hidden="1" customHeight="1" outlineLevel="1">
      <c r="A269" s="468"/>
      <c r="B269" s="2485"/>
      <c r="C269" s="2486"/>
      <c r="D269" s="1631"/>
      <c r="E269" s="655"/>
      <c r="F269" s="468"/>
      <c r="G269" s="507"/>
      <c r="H269" s="524"/>
      <c r="I269" s="470"/>
      <c r="J269" s="470"/>
      <c r="K269" s="470"/>
      <c r="L269" s="470"/>
      <c r="M269" s="470"/>
      <c r="N269" s="470"/>
      <c r="O269" s="468"/>
      <c r="P269" s="468"/>
      <c r="Q269" s="468"/>
      <c r="R269" s="468"/>
      <c r="S269" s="468"/>
      <c r="T269" s="468"/>
      <c r="U269" s="468"/>
      <c r="V269" s="468"/>
      <c r="W269" s="468"/>
      <c r="X269" s="468"/>
      <c r="Y269" s="468"/>
      <c r="Z269" s="468"/>
      <c r="AA269" s="468"/>
      <c r="AB269" s="468"/>
      <c r="AC269" s="468"/>
      <c r="AD269" s="468"/>
    </row>
    <row r="270" spans="1:30" ht="14.85" hidden="1" customHeight="1" outlineLevel="1">
      <c r="A270" s="468"/>
      <c r="B270" s="2485"/>
      <c r="C270" s="2486"/>
      <c r="D270" s="1631"/>
      <c r="E270" s="655"/>
      <c r="F270" s="468"/>
      <c r="G270" s="507"/>
      <c r="H270" s="524"/>
      <c r="I270" s="470"/>
      <c r="J270" s="470"/>
      <c r="K270" s="470"/>
      <c r="L270" s="470"/>
      <c r="M270" s="470"/>
      <c r="N270" s="470"/>
      <c r="O270" s="468"/>
      <c r="P270" s="468"/>
      <c r="Q270" s="468"/>
      <c r="R270" s="468"/>
      <c r="S270" s="468"/>
      <c r="T270" s="468"/>
      <c r="U270" s="468"/>
      <c r="V270" s="468"/>
      <c r="W270" s="468"/>
      <c r="X270" s="468"/>
      <c r="Y270" s="468"/>
      <c r="Z270" s="468"/>
      <c r="AA270" s="468"/>
      <c r="AB270" s="468"/>
      <c r="AC270" s="468"/>
      <c r="AD270" s="468"/>
    </row>
    <row r="271" spans="1:30" ht="14.85" hidden="1" customHeight="1" outlineLevel="1">
      <c r="A271" s="468"/>
      <c r="B271" s="2485"/>
      <c r="C271" s="2486"/>
      <c r="D271" s="1631"/>
      <c r="E271" s="655"/>
      <c r="F271" s="468"/>
      <c r="G271" s="507"/>
      <c r="H271" s="524"/>
      <c r="I271" s="470"/>
      <c r="J271" s="470"/>
      <c r="K271" s="470"/>
      <c r="L271" s="470"/>
      <c r="M271" s="470"/>
      <c r="N271" s="470"/>
      <c r="O271" s="468"/>
      <c r="P271" s="468"/>
      <c r="Q271" s="468"/>
      <c r="R271" s="468"/>
      <c r="S271" s="468"/>
      <c r="T271" s="468"/>
      <c r="U271" s="468"/>
      <c r="V271" s="468"/>
      <c r="W271" s="468"/>
      <c r="X271" s="468"/>
      <c r="Y271" s="468"/>
      <c r="Z271" s="468"/>
      <c r="AA271" s="468"/>
      <c r="AB271" s="468"/>
      <c r="AC271" s="468"/>
      <c r="AD271" s="468"/>
    </row>
    <row r="272" spans="1:30" ht="14.85" hidden="1" customHeight="1" outlineLevel="1">
      <c r="A272" s="468"/>
      <c r="B272" s="2485"/>
      <c r="C272" s="2486"/>
      <c r="D272" s="1631"/>
      <c r="E272" s="655"/>
      <c r="F272" s="468"/>
      <c r="G272" s="507"/>
      <c r="H272" s="524"/>
      <c r="I272" s="470"/>
      <c r="J272" s="470"/>
      <c r="K272" s="470"/>
      <c r="L272" s="470"/>
      <c r="M272" s="470"/>
      <c r="N272" s="470"/>
      <c r="O272" s="468"/>
      <c r="P272" s="468"/>
      <c r="Q272" s="468"/>
      <c r="R272" s="468"/>
      <c r="S272" s="468"/>
      <c r="T272" s="468"/>
      <c r="U272" s="468"/>
      <c r="V272" s="468"/>
      <c r="W272" s="468"/>
      <c r="X272" s="468"/>
      <c r="Y272" s="468"/>
      <c r="Z272" s="468"/>
      <c r="AA272" s="468"/>
      <c r="AB272" s="468"/>
      <c r="AC272" s="468"/>
      <c r="AD272" s="468"/>
    </row>
    <row r="273" spans="1:30" ht="14.85" hidden="1" customHeight="1" outlineLevel="1">
      <c r="A273" s="468"/>
      <c r="B273" s="2485"/>
      <c r="C273" s="2486"/>
      <c r="D273" s="1631"/>
      <c r="E273" s="655"/>
      <c r="F273" s="468"/>
      <c r="G273" s="507"/>
      <c r="H273" s="524"/>
      <c r="I273" s="470"/>
      <c r="J273" s="470"/>
      <c r="K273" s="470"/>
      <c r="L273" s="470"/>
      <c r="M273" s="470"/>
      <c r="N273" s="470"/>
      <c r="O273" s="468"/>
      <c r="P273" s="468"/>
      <c r="Q273" s="468"/>
      <c r="R273" s="468"/>
      <c r="S273" s="468"/>
      <c r="T273" s="468"/>
      <c r="U273" s="468"/>
      <c r="V273" s="468"/>
      <c r="W273" s="468"/>
      <c r="X273" s="468"/>
      <c r="Y273" s="468"/>
      <c r="Z273" s="468"/>
      <c r="AA273" s="468"/>
      <c r="AB273" s="468"/>
      <c r="AC273" s="468"/>
      <c r="AD273" s="468"/>
    </row>
    <row r="274" spans="1:30" ht="14.85" hidden="1" customHeight="1" outlineLevel="1">
      <c r="A274" s="468"/>
      <c r="B274" s="2485"/>
      <c r="C274" s="2486"/>
      <c r="D274" s="1631"/>
      <c r="E274" s="655"/>
      <c r="F274" s="468"/>
      <c r="G274" s="507"/>
      <c r="H274" s="524"/>
      <c r="I274" s="470"/>
      <c r="J274" s="470"/>
      <c r="K274" s="470"/>
      <c r="L274" s="470"/>
      <c r="M274" s="470"/>
      <c r="N274" s="470"/>
      <c r="O274" s="468"/>
      <c r="P274" s="468"/>
      <c r="Q274" s="468"/>
      <c r="R274" s="468"/>
      <c r="S274" s="468"/>
      <c r="T274" s="468"/>
      <c r="U274" s="468"/>
      <c r="V274" s="468"/>
      <c r="W274" s="468"/>
      <c r="X274" s="468"/>
      <c r="Y274" s="468"/>
      <c r="Z274" s="468"/>
      <c r="AA274" s="468"/>
      <c r="AB274" s="468"/>
      <c r="AC274" s="468"/>
      <c r="AD274" s="468"/>
    </row>
    <row r="275" spans="1:30" ht="14.85" hidden="1" customHeight="1" outlineLevel="1">
      <c r="A275" s="468"/>
      <c r="B275" s="2485"/>
      <c r="C275" s="2486"/>
      <c r="D275" s="1631"/>
      <c r="E275" s="655"/>
      <c r="F275" s="468"/>
      <c r="G275" s="507"/>
      <c r="H275" s="524"/>
      <c r="I275" s="470"/>
      <c r="J275" s="470"/>
      <c r="K275" s="470"/>
      <c r="L275" s="470"/>
      <c r="M275" s="470"/>
      <c r="N275" s="470"/>
      <c r="O275" s="468"/>
      <c r="P275" s="468"/>
      <c r="Q275" s="468"/>
      <c r="R275" s="468"/>
      <c r="S275" s="468"/>
      <c r="T275" s="468"/>
      <c r="U275" s="468"/>
      <c r="V275" s="468"/>
      <c r="W275" s="468"/>
      <c r="X275" s="468"/>
      <c r="Y275" s="468"/>
      <c r="Z275" s="468"/>
      <c r="AA275" s="468"/>
      <c r="AB275" s="468"/>
      <c r="AC275" s="468"/>
      <c r="AD275" s="468"/>
    </row>
    <row r="276" spans="1:30" ht="15.75" collapsed="1" thickBot="1">
      <c r="A276" s="468"/>
      <c r="B276" s="2514" t="s">
        <v>358</v>
      </c>
      <c r="C276" s="2515"/>
      <c r="D276" s="1373">
        <f>SUM(D249:D275)</f>
        <v>0</v>
      </c>
      <c r="E276" s="655"/>
      <c r="F276" s="468"/>
      <c r="G276" s="507"/>
      <c r="H276" s="524"/>
      <c r="I276" s="470"/>
      <c r="J276" s="470"/>
      <c r="K276" s="470"/>
      <c r="L276" s="470"/>
      <c r="M276" s="470"/>
      <c r="N276" s="470"/>
      <c r="O276" s="468"/>
      <c r="P276" s="468"/>
      <c r="Q276" s="468"/>
      <c r="R276" s="468"/>
      <c r="S276" s="468"/>
      <c r="T276" s="468"/>
      <c r="U276" s="468"/>
      <c r="V276" s="468"/>
      <c r="W276" s="468"/>
      <c r="X276" s="468"/>
      <c r="Y276" s="468"/>
      <c r="Z276" s="468"/>
      <c r="AA276" s="468"/>
      <c r="AB276" s="468"/>
      <c r="AC276" s="468"/>
      <c r="AD276" s="468"/>
    </row>
    <row r="277" spans="1:30">
      <c r="A277" s="468"/>
      <c r="B277" s="468"/>
      <c r="C277" s="468"/>
      <c r="D277" s="655"/>
      <c r="E277" s="655"/>
      <c r="F277" s="468"/>
      <c r="G277" s="507"/>
      <c r="H277" s="524"/>
      <c r="I277" s="470"/>
      <c r="J277" s="470"/>
      <c r="K277" s="470"/>
      <c r="L277" s="470"/>
      <c r="M277" s="470"/>
      <c r="N277" s="470"/>
      <c r="O277" s="468"/>
      <c r="P277" s="468"/>
      <c r="Q277" s="468"/>
      <c r="R277" s="468"/>
      <c r="S277" s="468"/>
      <c r="T277" s="468"/>
      <c r="U277" s="468"/>
      <c r="V277" s="468"/>
      <c r="W277" s="468"/>
      <c r="X277" s="468"/>
      <c r="Y277" s="468"/>
      <c r="Z277" s="468"/>
      <c r="AA277" s="468"/>
      <c r="AB277" s="468"/>
      <c r="AC277" s="468"/>
      <c r="AD277" s="468"/>
    </row>
    <row r="278" spans="1:30" ht="38.25" thickBot="1">
      <c r="A278" s="1170" t="s">
        <v>359</v>
      </c>
      <c r="B278" s="1170"/>
      <c r="C278" s="1170"/>
      <c r="D278" s="1374" t="s">
        <v>360</v>
      </c>
      <c r="E278" s="1374"/>
      <c r="F278" s="1170"/>
      <c r="G278" s="1170"/>
      <c r="H278" s="1171" t="s">
        <v>361</v>
      </c>
      <c r="I278" s="2406" t="s">
        <v>362</v>
      </c>
      <c r="J278" s="2536"/>
      <c r="K278" s="2536"/>
      <c r="L278" s="2406" t="s">
        <v>363</v>
      </c>
      <c r="M278" s="2508"/>
      <c r="N278" s="2509"/>
      <c r="O278" s="468"/>
      <c r="P278" s="468"/>
      <c r="Q278" s="468"/>
      <c r="R278" s="468"/>
      <c r="S278" s="468"/>
      <c r="T278" s="468"/>
      <c r="U278" s="468"/>
      <c r="V278" s="468"/>
      <c r="W278" s="468"/>
      <c r="X278" s="468"/>
      <c r="Y278" s="468"/>
      <c r="Z278" s="468"/>
      <c r="AA278" s="468"/>
      <c r="AB278" s="468"/>
      <c r="AC278" s="468"/>
      <c r="AD278" s="468"/>
    </row>
    <row r="279" spans="1:30" ht="17.100000000000001" customHeight="1">
      <c r="A279" s="2407"/>
      <c r="B279" s="2503"/>
      <c r="C279" s="2507"/>
      <c r="D279" s="2407"/>
      <c r="E279" s="2407"/>
      <c r="F279" s="2408"/>
      <c r="G279" s="530"/>
      <c r="H279" s="1632"/>
      <c r="I279" s="1625"/>
      <c r="J279" s="2490" t="str">
        <f>IF(I279="","",VLOOKUP(I279,'Budget-S&amp;U Codes Lookup'!$A$7:$B$564,2,FALSE))</f>
        <v/>
      </c>
      <c r="K279" s="2490"/>
      <c r="L279" s="1627"/>
      <c r="M279" s="2212" t="str">
        <f>IF(L279="","",VLOOKUP(L279,'Budget-S&amp;U Codes Lookup'!$E$7:$F$89,2,FALSE))</f>
        <v/>
      </c>
      <c r="N279" s="2213"/>
      <c r="O279" s="468"/>
      <c r="P279" s="468"/>
      <c r="Q279" s="468"/>
      <c r="R279" s="468"/>
      <c r="S279" s="468"/>
      <c r="T279" s="468"/>
      <c r="U279" s="468"/>
      <c r="V279" s="468"/>
      <c r="W279" s="468"/>
      <c r="X279" s="468"/>
      <c r="Y279" s="468"/>
      <c r="Z279" s="468"/>
      <c r="AA279" s="468"/>
      <c r="AB279" s="468"/>
      <c r="AC279" s="468"/>
      <c r="AD279" s="468"/>
    </row>
    <row r="280" spans="1:30" ht="17.100000000000001" customHeight="1">
      <c r="A280" s="2407"/>
      <c r="B280" s="2413"/>
      <c r="C280" s="2403"/>
      <c r="D280" s="2407"/>
      <c r="E280" s="2407"/>
      <c r="F280" s="2408"/>
      <c r="G280" s="1223"/>
      <c r="H280" s="1633"/>
      <c r="I280" s="1625"/>
      <c r="J280" s="2490" t="str">
        <f>IF(I280="","",VLOOKUP(I280,'Budget-S&amp;U Codes Lookup'!$A$7:$B$564,2,FALSE))</f>
        <v/>
      </c>
      <c r="K280" s="2490"/>
      <c r="L280" s="1627"/>
      <c r="M280" s="2212" t="str">
        <f>IF(L280="","",VLOOKUP(L280,'Budget-S&amp;U Codes Lookup'!$E$7:$F$89,2,FALSE))</f>
        <v/>
      </c>
      <c r="N280" s="2213"/>
      <c r="O280" s="468"/>
      <c r="P280" s="468"/>
      <c r="Q280" s="468"/>
      <c r="R280" s="468"/>
      <c r="S280" s="468"/>
      <c r="T280" s="468"/>
      <c r="U280" s="468"/>
      <c r="V280" s="468"/>
      <c r="W280" s="468"/>
      <c r="X280" s="468"/>
      <c r="Y280" s="468"/>
      <c r="Z280" s="468"/>
      <c r="AA280" s="468"/>
      <c r="AB280" s="468"/>
      <c r="AC280" s="468"/>
      <c r="AD280" s="468"/>
    </row>
    <row r="281" spans="1:30" ht="17.100000000000001" customHeight="1">
      <c r="A281" s="2407"/>
      <c r="B281" s="2413"/>
      <c r="C281" s="2403"/>
      <c r="D281" s="2407"/>
      <c r="E281" s="2407"/>
      <c r="F281" s="2408"/>
      <c r="G281" s="1223"/>
      <c r="H281" s="1633"/>
      <c r="I281" s="1625"/>
      <c r="J281" s="2490" t="str">
        <f>IF(I281="","",VLOOKUP(I281,'Budget-S&amp;U Codes Lookup'!$A$7:$B$564,2,FALSE))</f>
        <v/>
      </c>
      <c r="K281" s="2490"/>
      <c r="L281" s="1627"/>
      <c r="M281" s="2212" t="str">
        <f>IF(L281="","",VLOOKUP(L281,'Budget-S&amp;U Codes Lookup'!$E$7:$F$89,2,FALSE))</f>
        <v/>
      </c>
      <c r="N281" s="2213"/>
      <c r="O281" s="468"/>
      <c r="P281" s="468"/>
      <c r="Q281" s="468"/>
      <c r="R281" s="468"/>
      <c r="S281" s="468"/>
      <c r="T281" s="468"/>
      <c r="U281" s="468"/>
      <c r="V281" s="468"/>
      <c r="W281" s="468"/>
      <c r="X281" s="468"/>
      <c r="Y281" s="468"/>
      <c r="Z281" s="468"/>
      <c r="AA281" s="468"/>
      <c r="AB281" s="468"/>
      <c r="AC281" s="468"/>
      <c r="AD281" s="468"/>
    </row>
    <row r="282" spans="1:30" ht="17.100000000000001" customHeight="1">
      <c r="A282" s="2407"/>
      <c r="B282" s="2413"/>
      <c r="C282" s="2403"/>
      <c r="D282" s="2407"/>
      <c r="E282" s="2407"/>
      <c r="F282" s="2408"/>
      <c r="G282" s="1223"/>
      <c r="H282" s="1633"/>
      <c r="I282" s="1625"/>
      <c r="J282" s="2490" t="str">
        <f>IF(I282="","",VLOOKUP(I282,'Budget-S&amp;U Codes Lookup'!$A$7:$B$564,2,FALSE))</f>
        <v/>
      </c>
      <c r="K282" s="2490"/>
      <c r="L282" s="1627"/>
      <c r="M282" s="2212" t="str">
        <f>IF(L282="","",VLOOKUP(L282,'Budget-S&amp;U Codes Lookup'!$E$7:$F$89,2,FALSE))</f>
        <v/>
      </c>
      <c r="N282" s="2213"/>
      <c r="O282" s="468"/>
      <c r="P282" s="468"/>
      <c r="Q282" s="468"/>
      <c r="R282" s="468"/>
      <c r="S282" s="468"/>
      <c r="T282" s="468"/>
      <c r="U282" s="468"/>
      <c r="V282" s="468"/>
      <c r="W282" s="468"/>
      <c r="X282" s="468"/>
      <c r="Y282" s="468"/>
      <c r="Z282" s="468"/>
      <c r="AA282" s="468"/>
      <c r="AB282" s="468"/>
      <c r="AC282" s="468"/>
      <c r="AD282" s="468"/>
    </row>
    <row r="283" spans="1:30" ht="17.100000000000001" customHeight="1">
      <c r="A283" s="2407"/>
      <c r="B283" s="2413"/>
      <c r="C283" s="2403"/>
      <c r="D283" s="2407"/>
      <c r="E283" s="2407"/>
      <c r="F283" s="2408"/>
      <c r="G283" s="1223"/>
      <c r="H283" s="1633"/>
      <c r="I283" s="1625"/>
      <c r="J283" s="2490" t="str">
        <f>IF(I283="","",VLOOKUP(I283,'Budget-S&amp;U Codes Lookup'!$A$7:$B$564,2,FALSE))</f>
        <v/>
      </c>
      <c r="K283" s="2490"/>
      <c r="L283" s="1627"/>
      <c r="M283" s="2212" t="str">
        <f>IF(L283="","",VLOOKUP(L283,'Budget-S&amp;U Codes Lookup'!$E$7:$F$89,2,FALSE))</f>
        <v/>
      </c>
      <c r="N283" s="2213"/>
      <c r="O283" s="468"/>
      <c r="P283" s="468"/>
      <c r="Q283" s="468"/>
      <c r="R283" s="468"/>
      <c r="S283" s="468"/>
      <c r="T283" s="468"/>
      <c r="U283" s="468"/>
      <c r="V283" s="468"/>
      <c r="W283" s="468"/>
      <c r="X283" s="468"/>
      <c r="Y283" s="468"/>
      <c r="Z283" s="468"/>
      <c r="AA283" s="468"/>
      <c r="AB283" s="468"/>
      <c r="AC283" s="468"/>
      <c r="AD283" s="468"/>
    </row>
    <row r="284" spans="1:30" ht="17.100000000000001" customHeight="1">
      <c r="A284" s="2407"/>
      <c r="B284" s="2413"/>
      <c r="C284" s="2403"/>
      <c r="D284" s="2407"/>
      <c r="E284" s="2407"/>
      <c r="F284" s="2408"/>
      <c r="G284" s="1223"/>
      <c r="H284" s="1633"/>
      <c r="I284" s="1625"/>
      <c r="J284" s="2490" t="str">
        <f>IF(I284="","",VLOOKUP(I284,'Budget-S&amp;U Codes Lookup'!$A$7:$B$564,2,FALSE))</f>
        <v/>
      </c>
      <c r="K284" s="2490"/>
      <c r="L284" s="1627"/>
      <c r="M284" s="2212" t="str">
        <f>IF(L284="","",VLOOKUP(L284,'Budget-S&amp;U Codes Lookup'!$E$7:$F$89,2,FALSE))</f>
        <v/>
      </c>
      <c r="N284" s="2213"/>
      <c r="O284" s="468"/>
      <c r="P284" s="468"/>
      <c r="Q284" s="468"/>
      <c r="R284" s="468"/>
      <c r="S284" s="468"/>
      <c r="T284" s="468"/>
      <c r="U284" s="468"/>
      <c r="V284" s="468"/>
      <c r="W284" s="468"/>
      <c r="X284" s="468"/>
      <c r="Y284" s="468"/>
      <c r="Z284" s="468"/>
      <c r="AA284" s="468"/>
      <c r="AB284" s="468"/>
      <c r="AC284" s="468"/>
      <c r="AD284" s="468"/>
    </row>
    <row r="285" spans="1:30" ht="17.100000000000001" customHeight="1">
      <c r="A285" s="2407"/>
      <c r="B285" s="2413"/>
      <c r="C285" s="2403"/>
      <c r="D285" s="2407"/>
      <c r="E285" s="2407"/>
      <c r="F285" s="2408"/>
      <c r="G285" s="1223"/>
      <c r="H285" s="1633"/>
      <c r="I285" s="1625"/>
      <c r="J285" s="2490" t="str">
        <f>IF(I285="","",VLOOKUP(I285,'Budget-S&amp;U Codes Lookup'!$A$7:$B$564,2,FALSE))</f>
        <v/>
      </c>
      <c r="K285" s="2490"/>
      <c r="L285" s="1627"/>
      <c r="M285" s="2212" t="str">
        <f>IF(L285="","",VLOOKUP(L285,'Budget-S&amp;U Codes Lookup'!$E$7:$F$89,2,FALSE))</f>
        <v/>
      </c>
      <c r="N285" s="2213"/>
      <c r="O285" s="468"/>
      <c r="P285" s="468"/>
      <c r="Q285" s="468"/>
      <c r="R285" s="468"/>
      <c r="S285" s="468"/>
      <c r="T285" s="468"/>
      <c r="U285" s="468"/>
      <c r="V285" s="468"/>
      <c r="W285" s="468"/>
      <c r="X285" s="468"/>
      <c r="Y285" s="468"/>
      <c r="Z285" s="468"/>
      <c r="AA285" s="468"/>
      <c r="AB285" s="468"/>
      <c r="AC285" s="468"/>
      <c r="AD285" s="468"/>
    </row>
    <row r="286" spans="1:30" ht="17.100000000000001" customHeight="1">
      <c r="A286" s="2407"/>
      <c r="B286" s="2503"/>
      <c r="C286" s="2507"/>
      <c r="D286" s="2407"/>
      <c r="E286" s="2407"/>
      <c r="F286" s="2408"/>
      <c r="G286" s="542"/>
      <c r="H286" s="1634"/>
      <c r="I286" s="1625"/>
      <c r="J286" s="2490" t="str">
        <f>IF(I286="","",VLOOKUP(I286,'Budget-S&amp;U Codes Lookup'!$A$7:$B$564,2,FALSE))</f>
        <v/>
      </c>
      <c r="K286" s="2490"/>
      <c r="L286" s="1627"/>
      <c r="M286" s="2212" t="str">
        <f>IF(L286="","",VLOOKUP(L286,'Budget-S&amp;U Codes Lookup'!$E$7:$F$89,2,FALSE))</f>
        <v/>
      </c>
      <c r="N286" s="2213"/>
      <c r="O286" s="468"/>
      <c r="P286" s="468"/>
      <c r="Q286" s="468"/>
      <c r="R286" s="468"/>
      <c r="S286" s="468"/>
      <c r="T286" s="468"/>
      <c r="U286" s="468"/>
      <c r="V286" s="468"/>
      <c r="W286" s="468"/>
      <c r="X286" s="468"/>
      <c r="Y286" s="468"/>
      <c r="Z286" s="468"/>
      <c r="AA286" s="468"/>
      <c r="AB286" s="468"/>
      <c r="AC286" s="468"/>
      <c r="AD286" s="468"/>
    </row>
    <row r="287" spans="1:30" ht="17.100000000000001" customHeight="1">
      <c r="A287" s="2407"/>
      <c r="B287" s="2503"/>
      <c r="C287" s="2507"/>
      <c r="D287" s="2407"/>
      <c r="E287" s="2407"/>
      <c r="F287" s="2408"/>
      <c r="G287" s="542"/>
      <c r="H287" s="1634"/>
      <c r="I287" s="1625"/>
      <c r="J287" s="2490" t="str">
        <f>IF(I287="","",VLOOKUP(I287,'Budget-S&amp;U Codes Lookup'!$A$7:$B$564,2,FALSE))</f>
        <v/>
      </c>
      <c r="K287" s="2490"/>
      <c r="L287" s="1627"/>
      <c r="M287" s="2212" t="str">
        <f>IF(L287="","",VLOOKUP(L287,'Budget-S&amp;U Codes Lookup'!$E$7:$F$89,2,FALSE))</f>
        <v/>
      </c>
      <c r="N287" s="2213"/>
      <c r="O287" s="468"/>
      <c r="P287" s="468"/>
      <c r="Q287" s="468"/>
      <c r="R287" s="468"/>
      <c r="S287" s="468"/>
      <c r="T287" s="468"/>
      <c r="U287" s="468"/>
      <c r="V287" s="468"/>
      <c r="W287" s="468"/>
      <c r="X287" s="468"/>
      <c r="Y287" s="468"/>
      <c r="Z287" s="468"/>
      <c r="AA287" s="468"/>
      <c r="AB287" s="468"/>
      <c r="AC287" s="468"/>
      <c r="AD287" s="468"/>
    </row>
    <row r="288" spans="1:30" ht="17.100000000000001" customHeight="1">
      <c r="A288" s="2407"/>
      <c r="B288" s="2503"/>
      <c r="C288" s="2507"/>
      <c r="D288" s="2407"/>
      <c r="E288" s="2407"/>
      <c r="F288" s="2408"/>
      <c r="G288" s="542"/>
      <c r="H288" s="1634"/>
      <c r="I288" s="1625"/>
      <c r="J288" s="2490" t="str">
        <f>IF(I288="","",VLOOKUP(I288,'Budget-S&amp;U Codes Lookup'!$A$7:$B$564,2,FALSE))</f>
        <v/>
      </c>
      <c r="K288" s="2490"/>
      <c r="L288" s="1627"/>
      <c r="M288" s="2212" t="str">
        <f>IF(L288="","",VLOOKUP(L288,'Budget-S&amp;U Codes Lookup'!$E$7:$F$89,2,FALSE))</f>
        <v/>
      </c>
      <c r="N288" s="2213"/>
      <c r="O288" s="468"/>
      <c r="P288" s="468"/>
      <c r="Q288" s="468"/>
      <c r="R288" s="468"/>
      <c r="S288" s="468"/>
      <c r="T288" s="468"/>
      <c r="U288" s="468"/>
      <c r="V288" s="468"/>
      <c r="W288" s="468"/>
      <c r="X288" s="468"/>
      <c r="Y288" s="468"/>
      <c r="Z288" s="468"/>
      <c r="AA288" s="468"/>
      <c r="AB288" s="468"/>
      <c r="AC288" s="468"/>
      <c r="AD288" s="468"/>
    </row>
    <row r="289" spans="1:30">
      <c r="A289" s="543" t="s">
        <v>364</v>
      </c>
      <c r="B289" s="543"/>
      <c r="C289" s="543"/>
      <c r="D289" s="1375"/>
      <c r="E289" s="1376"/>
      <c r="F289" s="545"/>
      <c r="G289" s="546"/>
      <c r="H289" s="547">
        <f>G244-H245-H246-SUM(H279:H288)</f>
        <v>0</v>
      </c>
      <c r="I289" s="548"/>
      <c r="J289" s="2490" t="str">
        <f>IF(I289="","",VLOOKUP(I289,'Budget-S&amp;U Codes Lookup'!$A$7:$B$564,2,FALSE))</f>
        <v/>
      </c>
      <c r="K289" s="2490"/>
      <c r="L289" s="549"/>
      <c r="M289" s="548"/>
      <c r="N289" s="548"/>
      <c r="O289" s="468"/>
      <c r="P289" s="468"/>
      <c r="Q289" s="468"/>
      <c r="R289" s="468"/>
      <c r="S289" s="468"/>
      <c r="T289" s="468"/>
      <c r="U289" s="468"/>
      <c r="V289" s="468"/>
      <c r="W289" s="468"/>
      <c r="X289" s="468"/>
      <c r="Y289" s="468"/>
      <c r="Z289" s="468"/>
      <c r="AA289" s="468"/>
      <c r="AB289" s="468"/>
      <c r="AC289" s="468"/>
      <c r="AD289" s="468"/>
    </row>
    <row r="290" spans="1:30">
      <c r="A290" s="550" t="s">
        <v>324</v>
      </c>
      <c r="B290" s="550"/>
      <c r="C290" s="550"/>
      <c r="D290" s="1377"/>
      <c r="E290" s="374"/>
      <c r="F290" s="550"/>
      <c r="G290" s="552">
        <f>G244</f>
        <v>0</v>
      </c>
      <c r="H290" s="553">
        <f>SUM(H245:H246,H279:H289)</f>
        <v>0</v>
      </c>
      <c r="I290" s="554"/>
      <c r="J290" s="554"/>
      <c r="K290" s="554"/>
      <c r="L290" s="555"/>
      <c r="M290" s="554"/>
      <c r="N290" s="554"/>
      <c r="O290" s="468"/>
      <c r="P290" s="468"/>
      <c r="Q290" s="468"/>
      <c r="R290" s="468"/>
      <c r="S290" s="468"/>
      <c r="T290" s="468"/>
      <c r="U290" s="468"/>
      <c r="V290" s="468"/>
      <c r="W290" s="468"/>
      <c r="X290" s="468"/>
      <c r="Y290" s="468"/>
      <c r="Z290" s="468"/>
      <c r="AA290" s="468"/>
      <c r="AB290" s="468"/>
      <c r="AC290" s="468"/>
      <c r="AD290" s="468"/>
    </row>
    <row r="291" spans="1:30">
      <c r="A291" s="556"/>
      <c r="B291" s="556"/>
      <c r="C291" s="556"/>
      <c r="D291" s="1378"/>
      <c r="E291" s="1379"/>
      <c r="F291" s="556"/>
      <c r="G291" s="557"/>
      <c r="H291" s="524"/>
      <c r="I291" s="470"/>
      <c r="J291" s="470"/>
      <c r="K291" s="470"/>
      <c r="L291" s="558"/>
      <c r="M291" s="470"/>
      <c r="N291" s="470"/>
      <c r="O291" s="468"/>
      <c r="P291" s="468"/>
      <c r="Q291" s="468"/>
      <c r="R291" s="468"/>
      <c r="S291" s="468"/>
      <c r="T291" s="468"/>
      <c r="U291" s="468"/>
      <c r="V291" s="468"/>
      <c r="W291" s="468"/>
      <c r="X291" s="468"/>
      <c r="Y291" s="468"/>
      <c r="Z291" s="468"/>
      <c r="AA291" s="468"/>
      <c r="AB291" s="468"/>
      <c r="AC291" s="468"/>
      <c r="AD291" s="468"/>
    </row>
    <row r="292" spans="1:30">
      <c r="A292" s="556"/>
      <c r="B292" s="556"/>
      <c r="C292" s="556"/>
      <c r="D292" s="1378"/>
      <c r="E292" s="1379"/>
      <c r="F292" s="556"/>
      <c r="G292" s="557"/>
      <c r="H292" s="524"/>
      <c r="I292" s="470"/>
      <c r="J292" s="470"/>
      <c r="K292" s="470"/>
      <c r="L292" s="558"/>
      <c r="M292" s="470"/>
      <c r="N292" s="470"/>
      <c r="O292" s="468"/>
      <c r="P292" s="468"/>
      <c r="Q292" s="468"/>
      <c r="R292" s="468"/>
      <c r="S292" s="468"/>
      <c r="T292" s="468"/>
      <c r="U292" s="468"/>
      <c r="V292" s="468"/>
      <c r="W292" s="468"/>
      <c r="X292" s="468"/>
      <c r="Y292" s="468"/>
      <c r="Z292" s="468"/>
      <c r="AA292" s="468"/>
      <c r="AB292" s="468"/>
      <c r="AC292" s="468"/>
      <c r="AD292" s="468"/>
    </row>
    <row r="293" spans="1:30" ht="37.5">
      <c r="A293" s="1170"/>
      <c r="B293" s="1170"/>
      <c r="C293" s="1170"/>
      <c r="D293" s="1374" t="s">
        <v>360</v>
      </c>
      <c r="E293" s="1374"/>
      <c r="F293" s="1170"/>
      <c r="G293" s="1170"/>
      <c r="H293" s="1171" t="s">
        <v>361</v>
      </c>
      <c r="I293" s="2406" t="s">
        <v>362</v>
      </c>
      <c r="J293" s="2536"/>
      <c r="K293" s="2536"/>
      <c r="L293" s="2406" t="s">
        <v>363</v>
      </c>
      <c r="M293" s="2508"/>
      <c r="N293" s="2509"/>
      <c r="O293" s="468"/>
      <c r="P293" s="468"/>
      <c r="Q293" s="468"/>
      <c r="R293" s="468"/>
      <c r="S293" s="468"/>
      <c r="T293" s="468"/>
      <c r="U293" s="468"/>
      <c r="V293" s="468"/>
      <c r="W293" s="468"/>
      <c r="X293" s="468"/>
      <c r="Y293" s="468"/>
      <c r="Z293" s="468"/>
      <c r="AA293" s="468"/>
      <c r="AB293" s="468"/>
      <c r="AC293" s="468"/>
      <c r="AD293" s="468"/>
    </row>
    <row r="294" spans="1:30" ht="18.75">
      <c r="A294" s="1152" t="s">
        <v>365</v>
      </c>
      <c r="B294" s="1165"/>
      <c r="C294" s="1165"/>
      <c r="D294" s="1380"/>
      <c r="E294" s="1380"/>
      <c r="F294" s="1165"/>
      <c r="G294" s="1165"/>
      <c r="H294" s="1166"/>
      <c r="I294" s="1167"/>
      <c r="J294" s="1167"/>
      <c r="K294" s="1167"/>
      <c r="L294" s="1167"/>
      <c r="M294" s="1168"/>
      <c r="N294" s="1169"/>
      <c r="O294" s="468"/>
      <c r="P294" s="468"/>
      <c r="Q294" s="468"/>
      <c r="R294" s="468"/>
      <c r="S294" s="468"/>
      <c r="T294" s="468"/>
      <c r="U294" s="468"/>
      <c r="V294" s="468"/>
      <c r="W294" s="468"/>
      <c r="X294" s="468"/>
      <c r="Y294" s="468"/>
      <c r="Z294" s="468"/>
      <c r="AA294" s="468"/>
      <c r="AB294" s="468"/>
      <c r="AC294" s="468"/>
      <c r="AD294" s="468"/>
    </row>
    <row r="295" spans="1:30" ht="19.5" thickBot="1">
      <c r="A295" s="653"/>
      <c r="B295" s="2413"/>
      <c r="C295" s="2413"/>
      <c r="D295" s="1471" t="str">
        <f>B2</f>
        <v>Berkadia Commercial Mortgage</v>
      </c>
      <c r="E295" s="2503"/>
      <c r="F295" s="2507"/>
      <c r="G295" s="559"/>
      <c r="H295" s="528"/>
      <c r="I295" s="560"/>
      <c r="J295" s="1977"/>
      <c r="K295" s="1977"/>
      <c r="L295" s="561"/>
      <c r="M295" s="529"/>
      <c r="N295" s="1977"/>
      <c r="O295" s="468"/>
      <c r="P295" s="468"/>
      <c r="Q295" s="468"/>
      <c r="R295" s="468"/>
      <c r="S295" s="468"/>
      <c r="T295" s="468"/>
      <c r="U295" s="468"/>
      <c r="V295" s="468"/>
      <c r="W295" s="468"/>
      <c r="X295" s="468"/>
      <c r="Y295" s="468"/>
      <c r="Z295" s="468"/>
      <c r="AA295" s="468"/>
      <c r="AB295" s="468"/>
      <c r="AC295" s="468"/>
      <c r="AD295" s="468"/>
    </row>
    <row r="296" spans="1:30" ht="18" customHeight="1" thickBot="1">
      <c r="A296" s="2413" t="s">
        <v>366</v>
      </c>
      <c r="B296" s="2403"/>
      <c r="C296" s="2403"/>
      <c r="D296" s="2507"/>
      <c r="E296" s="2507"/>
      <c r="F296" s="2504"/>
      <c r="G296" s="1008"/>
      <c r="H296" s="562">
        <f>+'Tax Reserve'!H49</f>
        <v>0</v>
      </c>
      <c r="I296" s="1625"/>
      <c r="J296" s="2490" t="str">
        <f>IF(I296="","",VLOOKUP(I296,'Budget-S&amp;U Codes Lookup'!$A$7:$B$564,2,FALSE))</f>
        <v/>
      </c>
      <c r="K296" s="2490"/>
      <c r="L296" s="1627">
        <v>14</v>
      </c>
      <c r="M296" s="2212" t="str">
        <f>IF(L296="","",VLOOKUP(L296,'Budget-S&amp;U Codes Lookup'!$E$7:$F$89,2,FALSE))</f>
        <v>Taxes &amp; Insurance</v>
      </c>
      <c r="N296" s="2213"/>
      <c r="O296" s="479" t="s">
        <v>367</v>
      </c>
      <c r="P296" s="563"/>
      <c r="Q296" s="564"/>
      <c r="R296" s="564"/>
      <c r="S296" s="565"/>
      <c r="T296" s="468"/>
      <c r="U296" s="468"/>
      <c r="V296" s="468"/>
      <c r="W296" s="468"/>
      <c r="X296" s="468"/>
      <c r="Y296" s="468"/>
      <c r="Z296" s="468"/>
      <c r="AA296" s="468"/>
      <c r="AB296" s="468"/>
      <c r="AC296" s="468"/>
      <c r="AD296" s="468"/>
    </row>
    <row r="297" spans="1:30" ht="18" customHeight="1" thickBot="1">
      <c r="A297" s="2413" t="s">
        <v>368</v>
      </c>
      <c r="B297" s="2403"/>
      <c r="C297" s="2403"/>
      <c r="D297" s="2507"/>
      <c r="E297" s="2507"/>
      <c r="F297" s="2504"/>
      <c r="G297" s="1008"/>
      <c r="H297" s="566">
        <f>+'Insurance Reserve'!F41</f>
        <v>0</v>
      </c>
      <c r="I297" s="1625"/>
      <c r="J297" s="2490" t="str">
        <f>IF(I297="","",VLOOKUP(I297,'Budget-S&amp;U Codes Lookup'!$A$7:$B$564,2,FALSE))</f>
        <v/>
      </c>
      <c r="K297" s="2490"/>
      <c r="L297" s="1627">
        <v>14</v>
      </c>
      <c r="M297" s="2212" t="str">
        <f>IF(L297="","",VLOOKUP(L297,'Budget-S&amp;U Codes Lookup'!$E$7:$F$89,2,FALSE))</f>
        <v>Taxes &amp; Insurance</v>
      </c>
      <c r="N297" s="2213"/>
      <c r="O297" s="479" t="s">
        <v>369</v>
      </c>
      <c r="P297" s="563"/>
      <c r="Q297" s="564"/>
      <c r="R297" s="564"/>
      <c r="S297" s="565"/>
      <c r="T297" s="468"/>
      <c r="U297" s="468"/>
      <c r="V297" s="468"/>
      <c r="W297" s="468"/>
      <c r="X297" s="468"/>
      <c r="Y297" s="468"/>
      <c r="Z297" s="468"/>
      <c r="AA297" s="468"/>
      <c r="AB297" s="468"/>
      <c r="AC297" s="468"/>
      <c r="AD297" s="468"/>
    </row>
    <row r="298" spans="1:30" ht="25.35" customHeight="1" thickBot="1">
      <c r="A298" s="1636"/>
      <c r="B298" s="2403"/>
      <c r="C298" s="2403"/>
      <c r="D298" s="2507"/>
      <c r="E298" s="2507"/>
      <c r="F298" s="2504"/>
      <c r="G298" s="1008"/>
      <c r="H298" s="566"/>
      <c r="I298" s="1625"/>
      <c r="J298" s="2490"/>
      <c r="K298" s="2490"/>
      <c r="L298" s="1627"/>
      <c r="M298" s="2212" t="str">
        <f>IF(L298="","",VLOOKUP(L298,'Budget-S&amp;U Codes Lookup'!$E$7:$F$89,2,FALSE))</f>
        <v/>
      </c>
      <c r="N298" s="2213"/>
      <c r="O298" s="2549" t="s">
        <v>370</v>
      </c>
      <c r="P298" s="2475"/>
      <c r="Q298" s="2475"/>
      <c r="R298" s="2475"/>
      <c r="S298" s="2476"/>
      <c r="T298" s="468"/>
      <c r="U298" s="468"/>
      <c r="V298" s="468"/>
      <c r="W298" s="468"/>
      <c r="X298" s="468"/>
      <c r="Y298" s="468"/>
      <c r="Z298" s="468"/>
      <c r="AA298" s="468"/>
      <c r="AB298" s="468"/>
      <c r="AC298" s="468"/>
      <c r="AD298" s="468"/>
    </row>
    <row r="299" spans="1:30" ht="24" customHeight="1" thickBot="1">
      <c r="A299" s="1636"/>
      <c r="B299" s="2403"/>
      <c r="C299" s="2403"/>
      <c r="D299" s="2507"/>
      <c r="E299" s="2507"/>
      <c r="F299" s="2504"/>
      <c r="G299" s="1008"/>
      <c r="H299" s="1634"/>
      <c r="I299" s="1625"/>
      <c r="J299" s="2490"/>
      <c r="K299" s="2490"/>
      <c r="L299" s="1627"/>
      <c r="M299" s="2212" t="str">
        <f>IF(L299="","",VLOOKUP(L299,'Budget-S&amp;U Codes Lookup'!$E$7:$F$89,2,FALSE))</f>
        <v/>
      </c>
      <c r="N299" s="2213"/>
      <c r="O299" s="479" t="s">
        <v>371</v>
      </c>
      <c r="P299" s="563"/>
      <c r="Q299" s="564"/>
      <c r="R299" s="564"/>
      <c r="S299" s="565"/>
      <c r="T299" s="468"/>
      <c r="U299" s="468"/>
      <c r="V299" s="468"/>
      <c r="W299" s="468"/>
      <c r="X299" s="468"/>
      <c r="Y299" s="468"/>
      <c r="Z299" s="468"/>
      <c r="AA299" s="468"/>
      <c r="AB299" s="468"/>
      <c r="AC299" s="468"/>
      <c r="AD299" s="468"/>
    </row>
    <row r="300" spans="1:30" ht="19.350000000000001" customHeight="1">
      <c r="A300" s="1636"/>
      <c r="B300" s="2403"/>
      <c r="C300" s="2403"/>
      <c r="D300" s="2507"/>
      <c r="E300" s="2507"/>
      <c r="F300" s="2504"/>
      <c r="G300" s="1008"/>
      <c r="H300" s="1634"/>
      <c r="I300" s="1625"/>
      <c r="J300" s="2490" t="str">
        <f>IF(I300="","",VLOOKUP(I300,'Budget-S&amp;U Codes Lookup'!$A$7:$B$564,2,FALSE))</f>
        <v/>
      </c>
      <c r="K300" s="2490"/>
      <c r="L300" s="1627"/>
      <c r="M300" s="2212" t="str">
        <f>IF(L300="","",VLOOKUP(L300,'Budget-S&amp;U Codes Lookup'!$E$7:$F$89,2,FALSE))</f>
        <v/>
      </c>
      <c r="N300" s="2213"/>
      <c r="O300" s="468"/>
      <c r="P300" s="468"/>
      <c r="Q300" s="468"/>
      <c r="R300" s="468"/>
      <c r="S300" s="468"/>
      <c r="T300" s="468"/>
      <c r="U300" s="468"/>
      <c r="V300" s="468"/>
      <c r="W300" s="468"/>
      <c r="X300" s="468"/>
      <c r="Y300" s="468"/>
      <c r="Z300" s="468"/>
      <c r="AA300" s="468"/>
      <c r="AB300" s="468"/>
      <c r="AC300" s="468"/>
      <c r="AD300" s="468"/>
    </row>
    <row r="301" spans="1:30" ht="19.350000000000001" customHeight="1">
      <c r="A301" s="1636"/>
      <c r="B301" s="2403"/>
      <c r="C301" s="2403"/>
      <c r="D301" s="2507"/>
      <c r="E301" s="2507"/>
      <c r="F301" s="2504"/>
      <c r="G301" s="1008"/>
      <c r="H301" s="1634"/>
      <c r="I301" s="1625"/>
      <c r="J301" s="2490" t="str">
        <f>IF(I301="","",VLOOKUP(I301,'Budget-S&amp;U Codes Lookup'!$A$7:$B$564,2,FALSE))</f>
        <v/>
      </c>
      <c r="K301" s="2490"/>
      <c r="L301" s="1627"/>
      <c r="M301" s="2212" t="str">
        <f>IF(L301="","",VLOOKUP(L301,'Budget-S&amp;U Codes Lookup'!$E$7:$F$89,2,FALSE))</f>
        <v/>
      </c>
      <c r="N301" s="2213"/>
      <c r="O301" s="468"/>
      <c r="P301" s="468"/>
      <c r="Q301" s="468"/>
      <c r="R301" s="468"/>
      <c r="S301" s="468"/>
      <c r="T301" s="468"/>
      <c r="U301" s="468"/>
      <c r="V301" s="468"/>
      <c r="W301" s="468"/>
      <c r="X301" s="468"/>
      <c r="Y301" s="468"/>
      <c r="Z301" s="468"/>
      <c r="AA301" s="468"/>
      <c r="AB301" s="468"/>
      <c r="AC301" s="468"/>
      <c r="AD301" s="468"/>
    </row>
    <row r="302" spans="1:30" ht="19.350000000000001" customHeight="1">
      <c r="A302" s="1636"/>
      <c r="B302" s="2403"/>
      <c r="C302" s="2403"/>
      <c r="D302" s="2507"/>
      <c r="E302" s="2507"/>
      <c r="F302" s="2504"/>
      <c r="G302" s="1008"/>
      <c r="H302" s="1634"/>
      <c r="I302" s="1625"/>
      <c r="J302" s="2490" t="str">
        <f>IF(I302="","",VLOOKUP(I302,'Budget-S&amp;U Codes Lookup'!$A$7:$B$564,2,FALSE))</f>
        <v/>
      </c>
      <c r="K302" s="2490"/>
      <c r="L302" s="1627"/>
      <c r="M302" s="2212" t="str">
        <f>IF(L302="","",VLOOKUP(L302,'Budget-S&amp;U Codes Lookup'!$E$7:$F$89,2,FALSE))</f>
        <v/>
      </c>
      <c r="N302" s="2213"/>
      <c r="O302" s="468"/>
      <c r="P302" s="468"/>
      <c r="Q302" s="468"/>
      <c r="R302" s="468"/>
      <c r="S302" s="468"/>
      <c r="T302" s="468"/>
      <c r="U302" s="468"/>
      <c r="V302" s="468"/>
      <c r="W302" s="468"/>
      <c r="X302" s="468"/>
      <c r="Y302" s="468"/>
      <c r="Z302" s="468"/>
      <c r="AA302" s="468"/>
      <c r="AB302" s="468"/>
      <c r="AC302" s="468"/>
      <c r="AD302" s="468"/>
    </row>
    <row r="303" spans="1:30" ht="19.350000000000001" customHeight="1">
      <c r="A303" s="1636"/>
      <c r="B303" s="2403"/>
      <c r="C303" s="2403"/>
      <c r="D303" s="2507"/>
      <c r="E303" s="2507"/>
      <c r="F303" s="2504"/>
      <c r="G303" s="1008"/>
      <c r="H303" s="1634"/>
      <c r="I303" s="1625"/>
      <c r="J303" s="2490" t="str">
        <f>IF(I303="","",VLOOKUP(I303,'Budget-S&amp;U Codes Lookup'!$A$7:$B$564,2,FALSE))</f>
        <v/>
      </c>
      <c r="K303" s="2490"/>
      <c r="L303" s="1627"/>
      <c r="M303" s="2212" t="str">
        <f>IF(L303="","",VLOOKUP(L303,'Budget-S&amp;U Codes Lookup'!$E$7:$F$89,2,FALSE))</f>
        <v/>
      </c>
      <c r="N303" s="2213"/>
      <c r="O303" s="468"/>
      <c r="P303" s="468"/>
      <c r="Q303" s="468"/>
      <c r="R303" s="468"/>
      <c r="S303" s="468"/>
      <c r="T303" s="468"/>
      <c r="U303" s="468"/>
      <c r="V303" s="468"/>
      <c r="W303" s="468"/>
      <c r="X303" s="468"/>
      <c r="Y303" s="468"/>
      <c r="Z303" s="468"/>
      <c r="AA303" s="468"/>
      <c r="AB303" s="468"/>
      <c r="AC303" s="468"/>
      <c r="AD303" s="468"/>
    </row>
    <row r="304" spans="1:30" ht="19.350000000000001" customHeight="1">
      <c r="A304" s="1636"/>
      <c r="B304" s="2403"/>
      <c r="C304" s="2403"/>
      <c r="D304" s="2507"/>
      <c r="E304" s="2507"/>
      <c r="F304" s="2504"/>
      <c r="G304" s="1008"/>
      <c r="H304" s="1634"/>
      <c r="I304" s="1625"/>
      <c r="J304" s="2490" t="str">
        <f>IF(I304="","",VLOOKUP(I304,'Budget-S&amp;U Codes Lookup'!$A$7:$B$564,2,FALSE))</f>
        <v/>
      </c>
      <c r="K304" s="2490"/>
      <c r="L304" s="1627"/>
      <c r="M304" s="2212" t="str">
        <f>IF(L304="","",VLOOKUP(L304,'Budget-S&amp;U Codes Lookup'!$E$7:$F$89,2,FALSE))</f>
        <v/>
      </c>
      <c r="N304" s="2213"/>
      <c r="O304" s="468"/>
      <c r="P304" s="468"/>
      <c r="Q304" s="468"/>
      <c r="R304" s="468"/>
      <c r="S304" s="468"/>
      <c r="T304" s="468"/>
      <c r="U304" s="468"/>
      <c r="V304" s="468"/>
      <c r="W304" s="468"/>
      <c r="X304" s="468"/>
      <c r="Y304" s="468"/>
      <c r="Z304" s="468"/>
      <c r="AA304" s="468"/>
      <c r="AB304" s="468"/>
      <c r="AC304" s="468"/>
      <c r="AD304" s="468"/>
    </row>
    <row r="305" spans="1:30" ht="19.350000000000001" customHeight="1">
      <c r="A305" s="1636"/>
      <c r="B305" s="2403"/>
      <c r="C305" s="2403"/>
      <c r="D305" s="2507"/>
      <c r="E305" s="2507"/>
      <c r="F305" s="2504"/>
      <c r="G305" s="1008"/>
      <c r="H305" s="1634"/>
      <c r="I305" s="1625"/>
      <c r="J305" s="2490" t="str">
        <f>IF(I305="","",VLOOKUP(I305,'Budget-S&amp;U Codes Lookup'!$A$7:$B$564,2,FALSE))</f>
        <v/>
      </c>
      <c r="K305" s="2490"/>
      <c r="L305" s="1627"/>
      <c r="M305" s="2212" t="str">
        <f>IF(L305="","",VLOOKUP(L305,'Budget-S&amp;U Codes Lookup'!$E$7:$F$89,2,FALSE))</f>
        <v/>
      </c>
      <c r="N305" s="2213"/>
      <c r="O305" s="468"/>
      <c r="P305" s="468"/>
      <c r="Q305" s="468"/>
      <c r="R305" s="468"/>
      <c r="S305" s="468"/>
      <c r="T305" s="468"/>
      <c r="U305" s="468"/>
      <c r="V305" s="468"/>
      <c r="W305" s="468"/>
      <c r="X305" s="468"/>
      <c r="Y305" s="468"/>
      <c r="Z305" s="468"/>
      <c r="AA305" s="468"/>
      <c r="AB305" s="468"/>
      <c r="AC305" s="468"/>
      <c r="AD305" s="468"/>
    </row>
    <row r="306" spans="1:30" ht="19.350000000000001" customHeight="1" thickBot="1">
      <c r="A306" s="1636"/>
      <c r="B306" s="2403"/>
      <c r="C306" s="2403"/>
      <c r="D306" s="2507"/>
      <c r="E306" s="2507"/>
      <c r="F306" s="2504"/>
      <c r="G306" s="1008"/>
      <c r="H306" s="1634"/>
      <c r="I306" s="1625"/>
      <c r="J306" s="2490" t="str">
        <f>IF(I306="","",VLOOKUP(I306,'Budget-S&amp;U Codes Lookup'!$A$7:$B$564,2,FALSE))</f>
        <v/>
      </c>
      <c r="K306" s="2490"/>
      <c r="L306" s="1627"/>
      <c r="M306" s="2212" t="str">
        <f>IF(L306="","",VLOOKUP(L306,'Budget-S&amp;U Codes Lookup'!$E$7:$F$89,2,FALSE))</f>
        <v/>
      </c>
      <c r="N306" s="2213"/>
      <c r="O306" s="468"/>
      <c r="P306" s="468"/>
      <c r="Q306" s="468"/>
      <c r="R306" s="468"/>
      <c r="S306" s="468"/>
      <c r="T306" s="468"/>
      <c r="U306" s="468"/>
      <c r="V306" s="468"/>
      <c r="W306" s="468"/>
      <c r="X306" s="468"/>
      <c r="Y306" s="468"/>
      <c r="Z306" s="468"/>
      <c r="AA306" s="468"/>
      <c r="AB306" s="468"/>
      <c r="AC306" s="468"/>
      <c r="AD306" s="468"/>
    </row>
    <row r="307" spans="1:30" ht="29.45" customHeight="1" thickBot="1">
      <c r="A307" s="567" t="s">
        <v>372</v>
      </c>
      <c r="B307" s="2403"/>
      <c r="C307" s="2403"/>
      <c r="D307" s="2507"/>
      <c r="E307" s="2507"/>
      <c r="F307" s="2504"/>
      <c r="G307" s="1008"/>
      <c r="H307" s="566"/>
      <c r="I307" s="764">
        <v>600</v>
      </c>
      <c r="J307" s="2490" t="str">
        <f>IF(I307="","",VLOOKUP(I307,'Budget-S&amp;U Codes Lookup'!$A$7:$B$564,2,FALSE))</f>
        <v>Construction Draw Reserve for Future Advance</v>
      </c>
      <c r="K307" s="2490"/>
      <c r="L307" s="1627"/>
      <c r="M307" s="2212" t="str">
        <f>IF(L307="","",VLOOKUP(L307,'Budget-S&amp;U Codes Lookup'!$E$7:$F$89,2,FALSE))</f>
        <v/>
      </c>
      <c r="N307" s="2213"/>
      <c r="O307" s="2549"/>
      <c r="P307" s="2475"/>
      <c r="Q307" s="2475"/>
      <c r="R307" s="2475"/>
      <c r="S307" s="2476"/>
      <c r="T307" s="468"/>
      <c r="U307" s="468"/>
      <c r="V307" s="468"/>
      <c r="W307" s="468"/>
      <c r="X307" s="468"/>
      <c r="Y307" s="468"/>
      <c r="Z307" s="468"/>
      <c r="AA307" s="468"/>
      <c r="AB307" s="468"/>
      <c r="AC307" s="468"/>
      <c r="AD307" s="468"/>
    </row>
    <row r="308" spans="1:30" ht="29.85" customHeight="1" thickBot="1">
      <c r="A308" s="567" t="s">
        <v>373</v>
      </c>
      <c r="B308" s="2403"/>
      <c r="C308" s="2403"/>
      <c r="D308" s="2507"/>
      <c r="E308" s="2507"/>
      <c r="F308" s="2504"/>
      <c r="G308" s="1008"/>
      <c r="H308" s="1634"/>
      <c r="I308" s="536"/>
      <c r="J308" s="2490" t="s">
        <v>374</v>
      </c>
      <c r="K308" s="2490"/>
      <c r="L308" s="1627"/>
      <c r="M308" s="2212" t="str">
        <f>IF(L308="","",VLOOKUP(L308,'Budget-S&amp;U Codes Lookup'!$E$7:$F$89,2,FALSE))</f>
        <v/>
      </c>
      <c r="N308" s="2213"/>
      <c r="O308" s="479"/>
      <c r="P308" s="563"/>
      <c r="Q308" s="564"/>
      <c r="R308" s="564"/>
      <c r="S308" s="565"/>
      <c r="T308" s="468"/>
      <c r="U308" s="468"/>
      <c r="V308" s="468"/>
      <c r="W308" s="468"/>
      <c r="X308" s="468"/>
      <c r="Y308" s="468"/>
      <c r="Z308" s="468"/>
      <c r="AA308" s="468"/>
      <c r="AB308" s="468"/>
      <c r="AC308" s="468"/>
      <c r="AD308" s="468"/>
    </row>
    <row r="309" spans="1:30" ht="19.350000000000001" customHeight="1">
      <c r="A309" s="1636"/>
      <c r="B309" s="2403"/>
      <c r="C309" s="2403"/>
      <c r="D309" s="2507"/>
      <c r="E309" s="2507"/>
      <c r="F309" s="2504"/>
      <c r="G309" s="1008"/>
      <c r="H309" s="1634"/>
      <c r="I309" s="1625"/>
      <c r="J309" s="2490" t="str">
        <f>IF(I309="","",VLOOKUP(I309,'Budget-S&amp;U Codes Lookup'!$A$7:$B$564,2,FALSE))</f>
        <v/>
      </c>
      <c r="K309" s="2490"/>
      <c r="L309" s="1627"/>
      <c r="M309" s="2212" t="str">
        <f>IF(L309="","",VLOOKUP(L309,'Budget-S&amp;U Codes Lookup'!$E$7:$F$89,2,FALSE))</f>
        <v/>
      </c>
      <c r="N309" s="2213"/>
      <c r="O309" s="468"/>
      <c r="P309" s="468"/>
      <c r="Q309" s="468"/>
      <c r="R309" s="468"/>
      <c r="S309" s="468"/>
      <c r="T309" s="468"/>
      <c r="U309" s="468"/>
      <c r="V309" s="468"/>
      <c r="W309" s="468"/>
      <c r="X309" s="468"/>
      <c r="Y309" s="468"/>
      <c r="Z309" s="468"/>
      <c r="AA309" s="468"/>
      <c r="AB309" s="468"/>
      <c r="AC309" s="468"/>
      <c r="AD309" s="468"/>
    </row>
    <row r="310" spans="1:30" ht="19.350000000000001" customHeight="1">
      <c r="A310" s="1636"/>
      <c r="B310" s="2403"/>
      <c r="C310" s="2403"/>
      <c r="D310" s="2534"/>
      <c r="E310" s="2534"/>
      <c r="F310" s="2535"/>
      <c r="G310" s="1008"/>
      <c r="H310" s="1635"/>
      <c r="I310" s="1626"/>
      <c r="J310" s="2490" t="str">
        <f>IF(I310="","",VLOOKUP(I310,'Budget-S&amp;U Codes Lookup'!$A$7:$B$564,2,FALSE))</f>
        <v/>
      </c>
      <c r="K310" s="2490"/>
      <c r="L310" s="1628"/>
      <c r="M310" s="2212" t="str">
        <f>IF(L310="","",VLOOKUP(L310,'Budget-S&amp;U Codes Lookup'!$E$7:$F$89,2,FALSE))</f>
        <v/>
      </c>
      <c r="N310" s="2213"/>
      <c r="O310" s="468"/>
      <c r="P310" s="468"/>
      <c r="Q310" s="468"/>
      <c r="R310" s="468"/>
      <c r="S310" s="468"/>
      <c r="T310" s="468"/>
      <c r="U310" s="468"/>
      <c r="V310" s="468"/>
      <c r="W310" s="468"/>
      <c r="X310" s="468"/>
      <c r="Y310" s="468"/>
      <c r="Z310" s="468"/>
      <c r="AA310" s="468"/>
      <c r="AB310" s="468"/>
      <c r="AC310" s="468"/>
      <c r="AD310" s="468"/>
    </row>
    <row r="311" spans="1:30">
      <c r="A311" s="550" t="s">
        <v>375</v>
      </c>
      <c r="B311" s="550"/>
      <c r="C311" s="550"/>
      <c r="D311" s="374"/>
      <c r="E311" s="374"/>
      <c r="F311" s="550"/>
      <c r="G311" s="1009"/>
      <c r="H311" s="568">
        <f>SUM(H296:H310)</f>
        <v>0</v>
      </c>
      <c r="I311" s="569"/>
      <c r="J311" s="532"/>
      <c r="K311" s="532"/>
      <c r="L311" s="569"/>
      <c r="M311" s="533"/>
      <c r="N311" s="532"/>
      <c r="O311" s="468"/>
      <c r="P311" s="468"/>
      <c r="Q311" s="468"/>
      <c r="R311" s="468"/>
      <c r="S311" s="468"/>
      <c r="T311" s="468"/>
      <c r="U311" s="468"/>
      <c r="V311" s="468"/>
      <c r="W311" s="468"/>
      <c r="X311" s="468"/>
      <c r="Y311" s="468"/>
      <c r="Z311" s="468"/>
      <c r="AA311" s="468"/>
      <c r="AB311" s="468"/>
      <c r="AC311" s="468"/>
      <c r="AD311" s="468"/>
    </row>
    <row r="312" spans="1:30">
      <c r="A312" s="468"/>
      <c r="B312" s="468"/>
      <c r="C312" s="468"/>
      <c r="D312" s="655"/>
      <c r="E312" s="655"/>
      <c r="F312" s="468"/>
      <c r="G312" s="507"/>
      <c r="H312" s="523"/>
      <c r="I312" s="558"/>
      <c r="J312" s="470"/>
      <c r="K312" s="470"/>
      <c r="L312" s="558"/>
      <c r="M312" s="524"/>
      <c r="N312" s="470"/>
      <c r="O312" s="468"/>
      <c r="P312" s="468"/>
      <c r="Q312" s="468"/>
      <c r="R312" s="468"/>
      <c r="S312" s="468"/>
      <c r="T312" s="468"/>
      <c r="U312" s="468"/>
      <c r="V312" s="468"/>
      <c r="W312" s="468"/>
      <c r="X312" s="468"/>
      <c r="Y312" s="468"/>
      <c r="Z312" s="468"/>
      <c r="AA312" s="468"/>
      <c r="AB312" s="468"/>
      <c r="AC312" s="468"/>
      <c r="AD312" s="468"/>
    </row>
    <row r="313" spans="1:30" ht="37.5" customHeight="1">
      <c r="A313" s="1177" t="s">
        <v>376</v>
      </c>
      <c r="B313" s="1177" t="s">
        <v>377</v>
      </c>
      <c r="C313" s="1077"/>
      <c r="D313" s="1374" t="s">
        <v>360</v>
      </c>
      <c r="E313" s="1374"/>
      <c r="F313" s="1170"/>
      <c r="G313" s="1170"/>
      <c r="H313" s="1171" t="s">
        <v>361</v>
      </c>
      <c r="I313" s="2406" t="s">
        <v>362</v>
      </c>
      <c r="J313" s="2536"/>
      <c r="K313" s="2536"/>
      <c r="L313" s="2406" t="s">
        <v>363</v>
      </c>
      <c r="M313" s="2508"/>
      <c r="N313" s="2509"/>
      <c r="O313" s="468"/>
      <c r="P313" s="468"/>
      <c r="Q313" s="468"/>
      <c r="R313" s="468"/>
      <c r="S313" s="468"/>
      <c r="T313" s="468"/>
      <c r="U313" s="468"/>
      <c r="V313" s="468"/>
      <c r="W313" s="468"/>
      <c r="X313" s="468"/>
      <c r="Y313" s="468"/>
      <c r="Z313" s="468"/>
      <c r="AA313" s="468"/>
      <c r="AB313" s="468"/>
      <c r="AC313" s="468"/>
      <c r="AD313" s="468"/>
    </row>
    <row r="314" spans="1:30" ht="19.5" thickBot="1">
      <c r="A314" s="1156" t="s">
        <v>378</v>
      </c>
      <c r="B314" s="1172"/>
      <c r="C314" s="1173"/>
      <c r="D314" s="1191"/>
      <c r="E314" s="1191"/>
      <c r="F314" s="1173"/>
      <c r="G314" s="1158"/>
      <c r="H314" s="1159"/>
      <c r="I314" s="1174"/>
      <c r="J314" s="1175"/>
      <c r="K314" s="1175"/>
      <c r="L314" s="1174"/>
      <c r="M314" s="1176"/>
      <c r="N314" s="1175"/>
      <c r="O314" s="468"/>
      <c r="P314" s="468"/>
      <c r="Q314" s="468"/>
      <c r="R314" s="468"/>
      <c r="S314" s="468"/>
      <c r="T314" s="468"/>
      <c r="U314" s="468"/>
      <c r="V314" s="468"/>
      <c r="W314" s="468"/>
      <c r="X314" s="468"/>
      <c r="Y314" s="468"/>
      <c r="Z314" s="468"/>
      <c r="AA314" s="468"/>
      <c r="AB314" s="468"/>
      <c r="AC314" s="468"/>
      <c r="AD314" s="468"/>
    </row>
    <row r="315" spans="1:30" ht="18" customHeight="1">
      <c r="A315" s="2402" t="s">
        <v>379</v>
      </c>
      <c r="B315" s="2500"/>
      <c r="C315" s="2502"/>
      <c r="D315" s="2401"/>
      <c r="E315" s="2407"/>
      <c r="F315" s="2402"/>
      <c r="G315" s="559"/>
      <c r="H315" s="1632"/>
      <c r="I315" s="1625"/>
      <c r="J315" s="2490" t="str">
        <f>IF(I315="","",VLOOKUP(I315,'Budget-S&amp;U Codes Lookup'!$A$7:$B$564,2,FALSE))</f>
        <v/>
      </c>
      <c r="K315" s="2490"/>
      <c r="L315" s="1627">
        <v>12</v>
      </c>
      <c r="M315" s="2212" t="str">
        <f>IF(L315="","",VLOOKUP(L315,'Budget-S&amp;U Codes Lookup'!$E$7:$F$89,2,FALSE))</f>
        <v>Closing Costs</v>
      </c>
      <c r="N315" s="2213"/>
      <c r="O315" s="468"/>
      <c r="P315" s="468"/>
      <c r="Q315" s="468"/>
      <c r="R315" s="468"/>
      <c r="S315" s="468"/>
      <c r="T315" s="468"/>
      <c r="U315" s="468"/>
      <c r="V315" s="468"/>
      <c r="W315" s="468"/>
      <c r="X315" s="468"/>
      <c r="Y315" s="468"/>
      <c r="Z315" s="468"/>
      <c r="AA315" s="468"/>
      <c r="AB315" s="468"/>
      <c r="AC315" s="468"/>
      <c r="AD315" s="468"/>
    </row>
    <row r="316" spans="1:30" ht="18" customHeight="1">
      <c r="A316" s="2402" t="s">
        <v>380</v>
      </c>
      <c r="B316" s="2555"/>
      <c r="C316" s="2502"/>
      <c r="D316" s="2401"/>
      <c r="E316" s="2407"/>
      <c r="F316" s="2402"/>
      <c r="G316" s="559"/>
      <c r="H316" s="1634"/>
      <c r="I316" s="1625"/>
      <c r="J316" s="2490" t="str">
        <f>IF(I316="","",VLOOKUP(I316,'Budget-S&amp;U Codes Lookup'!$A$7:$B$564,2,FALSE))</f>
        <v/>
      </c>
      <c r="K316" s="2490"/>
      <c r="L316" s="1627">
        <v>12</v>
      </c>
      <c r="M316" s="2212" t="str">
        <f>IF(L316="","",VLOOKUP(L316,'Budget-S&amp;U Codes Lookup'!$E$7:$F$89,2,FALSE))</f>
        <v>Closing Costs</v>
      </c>
      <c r="N316" s="2213"/>
      <c r="O316" s="468"/>
      <c r="P316" s="468"/>
      <c r="Q316" s="468"/>
      <c r="R316" s="468"/>
      <c r="S316" s="468"/>
      <c r="T316" s="468"/>
      <c r="U316" s="468"/>
      <c r="V316" s="468"/>
      <c r="W316" s="468"/>
      <c r="X316" s="468"/>
      <c r="Y316" s="468"/>
      <c r="Z316" s="468"/>
      <c r="AA316" s="468"/>
      <c r="AB316" s="468"/>
      <c r="AC316" s="468"/>
      <c r="AD316" s="468"/>
    </row>
    <row r="317" spans="1:30" ht="18" customHeight="1">
      <c r="A317" s="2402" t="s">
        <v>381</v>
      </c>
      <c r="B317" s="2555"/>
      <c r="C317" s="2502"/>
      <c r="D317" s="2216"/>
      <c r="E317" s="2407"/>
      <c r="F317" s="2402"/>
      <c r="G317" s="559"/>
      <c r="H317" s="1634"/>
      <c r="I317" s="1625"/>
      <c r="J317" s="2490" t="str">
        <f>IF(I317="","",VLOOKUP(I317,'Budget-S&amp;U Codes Lookup'!$A$7:$B$564,2,FALSE))</f>
        <v/>
      </c>
      <c r="K317" s="2490"/>
      <c r="L317" s="1627">
        <v>12</v>
      </c>
      <c r="M317" s="2212" t="str">
        <f>IF(L317="","",VLOOKUP(L317,'Budget-S&amp;U Codes Lookup'!$E$7:$F$89,2,FALSE))</f>
        <v>Closing Costs</v>
      </c>
      <c r="N317" s="2213"/>
      <c r="O317" s="468"/>
      <c r="P317" s="468"/>
      <c r="Q317" s="468"/>
      <c r="R317" s="468"/>
      <c r="S317" s="468"/>
      <c r="T317" s="468"/>
      <c r="U317" s="468"/>
      <c r="V317" s="468"/>
      <c r="W317" s="468"/>
      <c r="X317" s="468"/>
      <c r="Y317" s="468"/>
      <c r="Z317" s="468"/>
      <c r="AA317" s="468"/>
      <c r="AB317" s="468"/>
      <c r="AC317" s="468"/>
      <c r="AD317" s="468"/>
    </row>
    <row r="318" spans="1:30" ht="18" customHeight="1">
      <c r="A318" s="2402" t="s">
        <v>382</v>
      </c>
      <c r="B318" s="2500"/>
      <c r="C318" s="2502"/>
      <c r="D318" s="2401" t="s">
        <v>383</v>
      </c>
      <c r="E318" s="2407"/>
      <c r="F318" s="2402"/>
      <c r="G318" s="559"/>
      <c r="H318" s="1634"/>
      <c r="I318" s="1625"/>
      <c r="J318" s="2490" t="str">
        <f>IF(I318="","",VLOOKUP(I318,'Budget-S&amp;U Codes Lookup'!$A$7:$B$564,2,FALSE))</f>
        <v/>
      </c>
      <c r="K318" s="2490"/>
      <c r="L318" s="1627">
        <v>12</v>
      </c>
      <c r="M318" s="2212" t="str">
        <f>IF(L318="","",VLOOKUP(L318,'Budget-S&amp;U Codes Lookup'!$E$7:$F$89,2,FALSE))</f>
        <v>Closing Costs</v>
      </c>
      <c r="N318" s="2213"/>
      <c r="O318" s="468"/>
      <c r="P318" s="468"/>
      <c r="Q318" s="468"/>
      <c r="R318" s="468"/>
      <c r="S318" s="468"/>
      <c r="T318" s="468"/>
      <c r="U318" s="468"/>
      <c r="V318" s="468"/>
      <c r="W318" s="468"/>
      <c r="X318" s="468"/>
      <c r="Y318" s="468"/>
      <c r="Z318" s="468"/>
      <c r="AA318" s="468"/>
      <c r="AB318" s="468"/>
      <c r="AC318" s="468"/>
      <c r="AD318" s="468"/>
    </row>
    <row r="319" spans="1:30" ht="18" customHeight="1">
      <c r="A319" s="2402" t="s">
        <v>384</v>
      </c>
      <c r="B319" s="2500"/>
      <c r="C319" s="2502"/>
      <c r="D319" s="2401"/>
      <c r="E319" s="2407"/>
      <c r="F319" s="2402"/>
      <c r="G319" s="559"/>
      <c r="H319" s="1634"/>
      <c r="I319" s="1625"/>
      <c r="J319" s="2490" t="str">
        <f>IF(I319="","",VLOOKUP(I319,'Budget-S&amp;U Codes Lookup'!$A$7:$B$564,2,FALSE))</f>
        <v/>
      </c>
      <c r="K319" s="2490"/>
      <c r="L319" s="1627">
        <v>12</v>
      </c>
      <c r="M319" s="2212" t="str">
        <f>IF(L319="","",VLOOKUP(L319,'Budget-S&amp;U Codes Lookup'!$E$7:$F$89,2,FALSE))</f>
        <v>Closing Costs</v>
      </c>
      <c r="N319" s="2213"/>
      <c r="O319" s="468"/>
      <c r="P319" s="468"/>
      <c r="Q319" s="468"/>
      <c r="R319" s="468"/>
      <c r="S319" s="468"/>
      <c r="T319" s="468"/>
      <c r="U319" s="468"/>
      <c r="V319" s="468"/>
      <c r="W319" s="468"/>
      <c r="X319" s="468"/>
      <c r="Y319" s="468"/>
      <c r="Z319" s="468"/>
      <c r="AA319" s="468"/>
      <c r="AB319" s="468"/>
      <c r="AC319" s="468"/>
      <c r="AD319" s="468"/>
    </row>
    <row r="320" spans="1:30" ht="18" customHeight="1">
      <c r="A320" s="2402" t="s">
        <v>385</v>
      </c>
      <c r="B320" s="2500"/>
      <c r="C320" s="2502"/>
      <c r="D320" s="2401" t="s">
        <v>386</v>
      </c>
      <c r="E320" s="2407"/>
      <c r="F320" s="2402"/>
      <c r="G320" s="559"/>
      <c r="H320" s="1634"/>
      <c r="I320" s="1625"/>
      <c r="J320" s="2490" t="str">
        <f>IF(I320="","",VLOOKUP(I320,'Budget-S&amp;U Codes Lookup'!$A$7:$B$564,2,FALSE))</f>
        <v/>
      </c>
      <c r="K320" s="2490"/>
      <c r="L320" s="1627">
        <v>12</v>
      </c>
      <c r="M320" s="2212" t="str">
        <f>IF(L320="","",VLOOKUP(L320,'Budget-S&amp;U Codes Lookup'!$E$7:$F$89,2,FALSE))</f>
        <v>Closing Costs</v>
      </c>
      <c r="N320" s="2213"/>
      <c r="O320" s="468"/>
      <c r="P320" s="468"/>
      <c r="Q320" s="468"/>
      <c r="R320" s="468"/>
      <c r="S320" s="468"/>
      <c r="T320" s="468"/>
      <c r="U320" s="468"/>
      <c r="V320" s="468"/>
      <c r="W320" s="468"/>
      <c r="X320" s="468"/>
      <c r="Y320" s="468"/>
      <c r="Z320" s="468"/>
      <c r="AA320" s="468"/>
      <c r="AB320" s="468"/>
      <c r="AC320" s="468"/>
      <c r="AD320" s="468"/>
    </row>
    <row r="321" spans="1:30" ht="18" customHeight="1">
      <c r="A321" s="2402" t="s">
        <v>387</v>
      </c>
      <c r="B321" s="2500"/>
      <c r="C321" s="2502"/>
      <c r="D321" s="2401"/>
      <c r="E321" s="2407"/>
      <c r="F321" s="2402"/>
      <c r="G321" s="559"/>
      <c r="H321" s="1634"/>
      <c r="I321" s="1625"/>
      <c r="J321" s="2490" t="str">
        <f>IF(I321="","",VLOOKUP(I321,'Budget-S&amp;U Codes Lookup'!$A$7:$B$564,2,FALSE))</f>
        <v/>
      </c>
      <c r="K321" s="2490"/>
      <c r="L321" s="1627">
        <v>12</v>
      </c>
      <c r="M321" s="2212" t="str">
        <f>IF(L321="","",VLOOKUP(L321,'Budget-S&amp;U Codes Lookup'!$E$7:$F$89,2,FALSE))</f>
        <v>Closing Costs</v>
      </c>
      <c r="N321" s="2213"/>
      <c r="O321" s="468"/>
      <c r="P321" s="468"/>
      <c r="Q321" s="468"/>
      <c r="R321" s="468"/>
      <c r="S321" s="468"/>
      <c r="T321" s="468"/>
      <c r="U321" s="468"/>
      <c r="V321" s="468"/>
      <c r="W321" s="468"/>
      <c r="X321" s="468"/>
      <c r="Y321" s="468"/>
      <c r="Z321" s="468"/>
      <c r="AA321" s="468"/>
      <c r="AB321" s="468"/>
      <c r="AC321" s="468"/>
      <c r="AD321" s="468"/>
    </row>
    <row r="322" spans="1:30" ht="18" customHeight="1">
      <c r="A322" s="2402" t="s">
        <v>388</v>
      </c>
      <c r="B322" s="2555"/>
      <c r="C322" s="2502"/>
      <c r="D322" s="2401"/>
      <c r="E322" s="2407"/>
      <c r="F322" s="2402"/>
      <c r="G322" s="559"/>
      <c r="H322" s="1634"/>
      <c r="I322" s="1625"/>
      <c r="J322" s="2490" t="str">
        <f>IF(I322="","",VLOOKUP(I322,'Budget-S&amp;U Codes Lookup'!$A$7:$B$564,2,FALSE))</f>
        <v/>
      </c>
      <c r="K322" s="2490"/>
      <c r="L322" s="1627">
        <v>12</v>
      </c>
      <c r="M322" s="2212" t="str">
        <f>IF(L322="","",VLOOKUP(L322,'Budget-S&amp;U Codes Lookup'!$E$7:$F$89,2,FALSE))</f>
        <v>Closing Costs</v>
      </c>
      <c r="N322" s="2213"/>
      <c r="O322" s="468"/>
      <c r="P322" s="468"/>
      <c r="Q322" s="468"/>
      <c r="R322" s="468"/>
      <c r="S322" s="468"/>
      <c r="T322" s="468"/>
      <c r="U322" s="468"/>
      <c r="V322" s="468"/>
      <c r="W322" s="468"/>
      <c r="X322" s="468"/>
      <c r="Y322" s="468"/>
      <c r="Z322" s="468"/>
      <c r="AA322" s="468"/>
      <c r="AB322" s="468"/>
      <c r="AC322" s="468"/>
      <c r="AD322" s="468"/>
    </row>
    <row r="323" spans="1:30" ht="18" customHeight="1">
      <c r="A323" s="2402"/>
      <c r="B323" s="2555"/>
      <c r="C323" s="2502"/>
      <c r="D323" s="2401"/>
      <c r="E323" s="2407"/>
      <c r="F323" s="2402"/>
      <c r="G323" s="559"/>
      <c r="H323" s="1634"/>
      <c r="I323" s="1625"/>
      <c r="J323" s="2490" t="str">
        <f>IF(I323="","",VLOOKUP(I323,'Budget-S&amp;U Codes Lookup'!$A$7:$B$564,2,FALSE))</f>
        <v/>
      </c>
      <c r="K323" s="2490"/>
      <c r="L323" s="1627">
        <v>12</v>
      </c>
      <c r="M323" s="2212" t="str">
        <f>IF(L323="","",VLOOKUP(L323,'Budget-S&amp;U Codes Lookup'!$E$7:$F$89,2,FALSE))</f>
        <v>Closing Costs</v>
      </c>
      <c r="N323" s="2213"/>
      <c r="O323" s="468"/>
      <c r="P323" s="468"/>
      <c r="Q323" s="468"/>
      <c r="R323" s="468"/>
      <c r="S323" s="468"/>
      <c r="T323" s="468"/>
      <c r="U323" s="468"/>
      <c r="V323" s="468"/>
      <c r="W323" s="468"/>
      <c r="X323" s="468"/>
      <c r="Y323" s="468"/>
      <c r="Z323" s="468"/>
      <c r="AA323" s="468"/>
      <c r="AB323" s="468"/>
      <c r="AC323" s="468"/>
      <c r="AD323" s="468"/>
    </row>
    <row r="324" spans="1:30" ht="18" customHeight="1">
      <c r="A324" s="2402"/>
      <c r="B324" s="2500"/>
      <c r="C324" s="2502"/>
      <c r="D324" s="2401"/>
      <c r="E324" s="2407"/>
      <c r="F324" s="2402"/>
      <c r="G324" s="559"/>
      <c r="H324" s="1634"/>
      <c r="I324" s="1625"/>
      <c r="J324" s="2490" t="str">
        <f>IF(I324="","",VLOOKUP(I324,'Budget-S&amp;U Codes Lookup'!$A$7:$B$564,2,FALSE))</f>
        <v/>
      </c>
      <c r="K324" s="2490"/>
      <c r="L324" s="1627">
        <v>12</v>
      </c>
      <c r="M324" s="2212" t="str">
        <f>IF(L324="","",VLOOKUP(L324,'Budget-S&amp;U Codes Lookup'!$E$7:$F$89,2,FALSE))</f>
        <v>Closing Costs</v>
      </c>
      <c r="N324" s="2213"/>
      <c r="O324" s="468"/>
      <c r="P324" s="468"/>
      <c r="Q324" s="468"/>
      <c r="R324" s="468"/>
      <c r="S324" s="468"/>
      <c r="T324" s="468"/>
      <c r="U324" s="468"/>
      <c r="V324" s="468"/>
      <c r="W324" s="468"/>
      <c r="X324" s="468"/>
      <c r="Y324" s="468"/>
      <c r="Z324" s="468"/>
      <c r="AA324" s="468"/>
      <c r="AB324" s="468"/>
      <c r="AC324" s="468"/>
      <c r="AD324" s="468"/>
    </row>
    <row r="325" spans="1:30" ht="18" customHeight="1">
      <c r="A325" s="2402"/>
      <c r="B325" s="2500"/>
      <c r="C325" s="2502"/>
      <c r="D325" s="2401"/>
      <c r="E325" s="2407"/>
      <c r="F325" s="2402"/>
      <c r="G325" s="559"/>
      <c r="H325" s="1634"/>
      <c r="I325" s="1625"/>
      <c r="J325" s="2490" t="str">
        <f>IF(I325="","",VLOOKUP(I325,'Budget-S&amp;U Codes Lookup'!$A$7:$B$564,2,FALSE))</f>
        <v/>
      </c>
      <c r="K325" s="2490"/>
      <c r="L325" s="1627">
        <v>12</v>
      </c>
      <c r="M325" s="2212" t="str">
        <f>IF(L325="","",VLOOKUP(L325,'Budget-S&amp;U Codes Lookup'!$E$7:$F$89,2,FALSE))</f>
        <v>Closing Costs</v>
      </c>
      <c r="N325" s="2213"/>
      <c r="O325" s="468"/>
      <c r="P325" s="468"/>
      <c r="Q325" s="468"/>
      <c r="R325" s="468"/>
      <c r="S325" s="468"/>
      <c r="T325" s="468"/>
      <c r="U325" s="468"/>
      <c r="V325" s="468"/>
      <c r="W325" s="468"/>
      <c r="X325" s="468"/>
      <c r="Y325" s="468"/>
      <c r="Z325" s="468"/>
      <c r="AA325" s="468"/>
      <c r="AB325" s="468"/>
      <c r="AC325" s="468"/>
      <c r="AD325" s="468"/>
    </row>
    <row r="326" spans="1:30" ht="18" customHeight="1">
      <c r="A326" s="2402"/>
      <c r="B326" s="2500"/>
      <c r="C326" s="2502"/>
      <c r="D326" s="2401"/>
      <c r="E326" s="2407"/>
      <c r="F326" s="2402"/>
      <c r="G326" s="559"/>
      <c r="H326" s="1634"/>
      <c r="I326" s="1625"/>
      <c r="J326" s="2490" t="str">
        <f>IF(I326="","",VLOOKUP(I326,'Budget-S&amp;U Codes Lookup'!$A$7:$B$564,2,FALSE))</f>
        <v/>
      </c>
      <c r="K326" s="2490"/>
      <c r="L326" s="1627">
        <v>12</v>
      </c>
      <c r="M326" s="2212" t="str">
        <f>IF(L326="","",VLOOKUP(L326,'Budget-S&amp;U Codes Lookup'!$E$7:$F$89,2,FALSE))</f>
        <v>Closing Costs</v>
      </c>
      <c r="N326" s="2213"/>
      <c r="O326" s="468"/>
      <c r="P326" s="468"/>
      <c r="Q326" s="468"/>
      <c r="R326" s="468"/>
      <c r="S326" s="468"/>
      <c r="T326" s="468"/>
      <c r="U326" s="468"/>
      <c r="V326" s="468"/>
      <c r="W326" s="468"/>
      <c r="X326" s="468"/>
      <c r="Y326" s="468"/>
      <c r="Z326" s="468"/>
      <c r="AA326" s="468"/>
      <c r="AB326" s="468"/>
      <c r="AC326" s="468"/>
      <c r="AD326" s="468"/>
    </row>
    <row r="327" spans="1:30" ht="18" customHeight="1">
      <c r="A327" s="2402"/>
      <c r="B327" s="2500"/>
      <c r="C327" s="2502"/>
      <c r="D327" s="2401"/>
      <c r="E327" s="2407"/>
      <c r="F327" s="2402"/>
      <c r="G327" s="559"/>
      <c r="H327" s="1634"/>
      <c r="I327" s="1625"/>
      <c r="J327" s="2490" t="str">
        <f>IF(I327="","",VLOOKUP(I327,'Budget-S&amp;U Codes Lookup'!$A$7:$B$564,2,FALSE))</f>
        <v/>
      </c>
      <c r="K327" s="2490"/>
      <c r="L327" s="1627">
        <v>12</v>
      </c>
      <c r="M327" s="2212" t="str">
        <f>IF(L327="","",VLOOKUP(L327,'Budget-S&amp;U Codes Lookup'!$E$7:$F$89,2,FALSE))</f>
        <v>Closing Costs</v>
      </c>
      <c r="N327" s="2213"/>
      <c r="O327" s="468"/>
      <c r="P327" s="468"/>
      <c r="Q327" s="468"/>
      <c r="R327" s="468"/>
      <c r="S327" s="468"/>
      <c r="T327" s="468"/>
      <c r="U327" s="468"/>
      <c r="V327" s="468"/>
      <c r="W327" s="468"/>
      <c r="X327" s="468"/>
      <c r="Y327" s="468"/>
      <c r="Z327" s="468"/>
      <c r="AA327" s="468"/>
      <c r="AB327" s="468"/>
      <c r="AC327" s="468"/>
      <c r="AD327" s="468"/>
    </row>
    <row r="328" spans="1:30" ht="18" customHeight="1">
      <c r="A328" s="2402"/>
      <c r="B328" s="2500"/>
      <c r="C328" s="2502"/>
      <c r="D328" s="2401"/>
      <c r="E328" s="2407"/>
      <c r="F328" s="2402"/>
      <c r="G328" s="559"/>
      <c r="H328" s="1634"/>
      <c r="I328" s="1625"/>
      <c r="J328" s="2490" t="str">
        <f>IF(I328="","",VLOOKUP(I328,'Budget-S&amp;U Codes Lookup'!$A$7:$B$564,2,FALSE))</f>
        <v/>
      </c>
      <c r="K328" s="2490"/>
      <c r="L328" s="1627">
        <v>12</v>
      </c>
      <c r="M328" s="2212" t="str">
        <f>IF(L328="","",VLOOKUP(L328,'Budget-S&amp;U Codes Lookup'!$E$7:$F$89,2,FALSE))</f>
        <v>Closing Costs</v>
      </c>
      <c r="N328" s="2213"/>
      <c r="O328" s="468"/>
      <c r="P328" s="468"/>
      <c r="Q328" s="468"/>
      <c r="R328" s="468"/>
      <c r="S328" s="468"/>
      <c r="T328" s="468"/>
      <c r="U328" s="468"/>
      <c r="V328" s="468"/>
      <c r="W328" s="468"/>
      <c r="X328" s="468"/>
      <c r="Y328" s="468"/>
      <c r="Z328" s="468"/>
      <c r="AA328" s="468"/>
      <c r="AB328" s="468"/>
      <c r="AC328" s="468"/>
      <c r="AD328" s="468"/>
    </row>
    <row r="329" spans="1:30" ht="18" customHeight="1">
      <c r="A329" s="2402"/>
      <c r="B329" s="2500"/>
      <c r="C329" s="2502"/>
      <c r="D329" s="2401"/>
      <c r="E329" s="2407"/>
      <c r="F329" s="2402"/>
      <c r="G329" s="559"/>
      <c r="H329" s="1634"/>
      <c r="I329" s="1625"/>
      <c r="J329" s="2490" t="str">
        <f>IF(I329="","",VLOOKUP(I329,'Budget-S&amp;U Codes Lookup'!$A$7:$B$564,2,FALSE))</f>
        <v/>
      </c>
      <c r="K329" s="2490"/>
      <c r="L329" s="1627">
        <v>12</v>
      </c>
      <c r="M329" s="2212" t="str">
        <f>IF(L329="","",VLOOKUP(L329,'Budget-S&amp;U Codes Lookup'!$E$7:$F$89,2,FALSE))</f>
        <v>Closing Costs</v>
      </c>
      <c r="N329" s="2213"/>
      <c r="O329" s="468"/>
      <c r="P329" s="468"/>
      <c r="Q329" s="468"/>
      <c r="R329" s="468"/>
      <c r="S329" s="468"/>
      <c r="T329" s="468"/>
      <c r="U329" s="468"/>
      <c r="V329" s="468"/>
      <c r="W329" s="468"/>
      <c r="X329" s="468"/>
      <c r="Y329" s="468"/>
      <c r="Z329" s="468"/>
      <c r="AA329" s="468"/>
      <c r="AB329" s="468"/>
      <c r="AC329" s="468"/>
      <c r="AD329" s="468"/>
    </row>
    <row r="330" spans="1:30" ht="18" customHeight="1">
      <c r="A330" s="2402"/>
      <c r="B330" s="2500"/>
      <c r="C330" s="2502"/>
      <c r="D330" s="2401"/>
      <c r="E330" s="2407"/>
      <c r="F330" s="2402"/>
      <c r="G330" s="559"/>
      <c r="H330" s="1634"/>
      <c r="I330" s="1625"/>
      <c r="J330" s="2490" t="str">
        <f>IF(I330="","",VLOOKUP(I330,'Budget-S&amp;U Codes Lookup'!$A$7:$B$564,2,FALSE))</f>
        <v/>
      </c>
      <c r="K330" s="2490"/>
      <c r="L330" s="1627">
        <v>12</v>
      </c>
      <c r="M330" s="2212" t="str">
        <f>IF(L330="","",VLOOKUP(L330,'Budget-S&amp;U Codes Lookup'!$E$7:$F$89,2,FALSE))</f>
        <v>Closing Costs</v>
      </c>
      <c r="N330" s="2213"/>
      <c r="O330" s="468"/>
      <c r="P330" s="468"/>
      <c r="Q330" s="468"/>
      <c r="R330" s="468"/>
      <c r="S330" s="468"/>
      <c r="T330" s="468"/>
      <c r="U330" s="468"/>
      <c r="V330" s="468"/>
      <c r="W330" s="468"/>
      <c r="X330" s="468"/>
      <c r="Y330" s="468"/>
      <c r="Z330" s="468"/>
      <c r="AA330" s="468"/>
      <c r="AB330" s="468"/>
      <c r="AC330" s="468"/>
      <c r="AD330" s="468"/>
    </row>
    <row r="331" spans="1:30" ht="18" customHeight="1">
      <c r="A331" s="2402"/>
      <c r="B331" s="2500"/>
      <c r="C331" s="2502"/>
      <c r="D331" s="2401"/>
      <c r="E331" s="2407"/>
      <c r="F331" s="2402"/>
      <c r="G331" s="559"/>
      <c r="H331" s="1634"/>
      <c r="I331" s="1625"/>
      <c r="J331" s="2490" t="str">
        <f>IF(I331="","",VLOOKUP(I331,'Budget-S&amp;U Codes Lookup'!$A$7:$B$564,2,FALSE))</f>
        <v/>
      </c>
      <c r="K331" s="2490"/>
      <c r="L331" s="1627">
        <v>12</v>
      </c>
      <c r="M331" s="2212" t="str">
        <f>IF(L331="","",VLOOKUP(L331,'Budget-S&amp;U Codes Lookup'!$E$7:$F$89,2,FALSE))</f>
        <v>Closing Costs</v>
      </c>
      <c r="N331" s="2213"/>
      <c r="O331" s="468"/>
      <c r="P331" s="468"/>
      <c r="Q331" s="468"/>
      <c r="R331" s="468"/>
      <c r="S331" s="468"/>
      <c r="T331" s="468"/>
      <c r="U331" s="468"/>
      <c r="V331" s="468"/>
      <c r="W331" s="468"/>
      <c r="X331" s="468"/>
      <c r="Y331" s="468"/>
      <c r="Z331" s="468"/>
      <c r="AA331" s="468"/>
      <c r="AB331" s="468"/>
      <c r="AC331" s="468"/>
      <c r="AD331" s="468"/>
    </row>
    <row r="332" spans="1:30" ht="18" customHeight="1">
      <c r="A332" s="2402"/>
      <c r="B332" s="2500"/>
      <c r="C332" s="2502"/>
      <c r="D332" s="2401"/>
      <c r="E332" s="2407"/>
      <c r="F332" s="2402"/>
      <c r="G332" s="559"/>
      <c r="H332" s="1634"/>
      <c r="I332" s="1625"/>
      <c r="J332" s="2490" t="str">
        <f>IF(I332="","",VLOOKUP(I332,'Budget-S&amp;U Codes Lookup'!$A$7:$B$564,2,FALSE))</f>
        <v/>
      </c>
      <c r="K332" s="2490"/>
      <c r="L332" s="1627">
        <v>12</v>
      </c>
      <c r="M332" s="2212" t="str">
        <f>IF(L332="","",VLOOKUP(L332,'Budget-S&amp;U Codes Lookup'!$E$7:$F$89,2,FALSE))</f>
        <v>Closing Costs</v>
      </c>
      <c r="N332" s="2213"/>
      <c r="O332" s="468"/>
      <c r="P332" s="468"/>
      <c r="Q332" s="468"/>
      <c r="R332" s="468"/>
      <c r="S332" s="468"/>
      <c r="T332" s="468"/>
      <c r="U332" s="468"/>
      <c r="V332" s="468"/>
      <c r="W332" s="468"/>
      <c r="X332" s="468"/>
      <c r="Y332" s="468"/>
      <c r="Z332" s="468"/>
      <c r="AA332" s="468"/>
      <c r="AB332" s="468"/>
      <c r="AC332" s="468"/>
      <c r="AD332" s="468"/>
    </row>
    <row r="333" spans="1:30" ht="18" customHeight="1">
      <c r="A333" s="2402"/>
      <c r="B333" s="2500"/>
      <c r="C333" s="2502"/>
      <c r="D333" s="2401"/>
      <c r="E333" s="2407"/>
      <c r="F333" s="2402"/>
      <c r="G333" s="559"/>
      <c r="H333" s="1634"/>
      <c r="I333" s="1625"/>
      <c r="J333" s="2490" t="str">
        <f>IF(I333="","",VLOOKUP(I333,'Budget-S&amp;U Codes Lookup'!$A$7:$B$564,2,FALSE))</f>
        <v/>
      </c>
      <c r="K333" s="2490"/>
      <c r="L333" s="1627">
        <v>12</v>
      </c>
      <c r="M333" s="2212" t="str">
        <f>IF(L333="","",VLOOKUP(L333,'Budget-S&amp;U Codes Lookup'!$E$7:$F$89,2,FALSE))</f>
        <v>Closing Costs</v>
      </c>
      <c r="N333" s="2213"/>
      <c r="O333" s="468"/>
      <c r="P333" s="468"/>
      <c r="Q333" s="468"/>
      <c r="R333" s="468"/>
      <c r="S333" s="468"/>
      <c r="T333" s="468"/>
      <c r="U333" s="468"/>
      <c r="V333" s="468"/>
      <c r="W333" s="468"/>
      <c r="X333" s="468"/>
      <c r="Y333" s="468"/>
      <c r="Z333" s="468"/>
      <c r="AA333" s="468"/>
      <c r="AB333" s="468"/>
      <c r="AC333" s="468"/>
      <c r="AD333" s="468"/>
    </row>
    <row r="334" spans="1:30" ht="18" customHeight="1">
      <c r="A334" s="2402"/>
      <c r="B334" s="2500"/>
      <c r="C334" s="2502"/>
      <c r="D334" s="2401"/>
      <c r="E334" s="2407"/>
      <c r="F334" s="2402"/>
      <c r="G334" s="527"/>
      <c r="H334" s="1635"/>
      <c r="I334" s="1626"/>
      <c r="J334" s="2490" t="str">
        <f>IF(I334="","",VLOOKUP(I334,'Budget-S&amp;U Codes Lookup'!$A$7:$B$564,2,FALSE))</f>
        <v/>
      </c>
      <c r="K334" s="2490"/>
      <c r="L334" s="1628"/>
      <c r="M334" s="2212" t="str">
        <f>IF(L334="","",VLOOKUP(L334,'Budget-S&amp;U Codes Lookup'!$E$7:$F$89,2,FALSE))</f>
        <v/>
      </c>
      <c r="N334" s="2213"/>
      <c r="O334" s="468"/>
      <c r="P334" s="468"/>
      <c r="Q334" s="468"/>
      <c r="R334" s="468"/>
      <c r="S334" s="468"/>
      <c r="T334" s="468"/>
      <c r="U334" s="468"/>
      <c r="V334" s="468"/>
      <c r="W334" s="468"/>
      <c r="X334" s="468"/>
      <c r="Y334" s="468"/>
      <c r="Z334" s="468"/>
      <c r="AA334" s="468"/>
      <c r="AB334" s="468"/>
      <c r="AC334" s="468"/>
      <c r="AD334" s="468"/>
    </row>
    <row r="335" spans="1:30">
      <c r="A335" s="550" t="s">
        <v>375</v>
      </c>
      <c r="B335" s="550"/>
      <c r="C335" s="550"/>
      <c r="D335" s="1381"/>
      <c r="E335" s="374"/>
      <c r="F335" s="570"/>
      <c r="G335" s="551"/>
      <c r="H335" s="568">
        <f>SUM(H315:H334)</f>
        <v>0</v>
      </c>
      <c r="I335" s="569"/>
      <c r="J335" s="532"/>
      <c r="K335" s="532"/>
      <c r="L335" s="569"/>
      <c r="M335" s="533"/>
      <c r="N335" s="532"/>
      <c r="O335" s="468"/>
      <c r="P335" s="468"/>
      <c r="Q335" s="468"/>
      <c r="R335" s="468"/>
      <c r="S335" s="468"/>
      <c r="T335" s="468"/>
      <c r="U335" s="468"/>
      <c r="V335" s="468"/>
      <c r="W335" s="468"/>
      <c r="X335" s="468"/>
      <c r="Y335" s="468"/>
      <c r="Z335" s="468"/>
      <c r="AA335" s="468"/>
      <c r="AB335" s="468"/>
      <c r="AC335" s="468"/>
      <c r="AD335" s="468"/>
    </row>
    <row r="336" spans="1:30">
      <c r="A336" s="571"/>
      <c r="B336" s="571"/>
      <c r="C336" s="571"/>
      <c r="D336" s="1382"/>
      <c r="E336" s="1382"/>
      <c r="F336" s="571"/>
      <c r="G336" s="571"/>
      <c r="H336" s="571"/>
      <c r="I336" s="571"/>
      <c r="J336" s="571"/>
      <c r="K336" s="571"/>
      <c r="L336" s="571"/>
      <c r="M336" s="571"/>
      <c r="N336" s="571"/>
      <c r="O336" s="468"/>
      <c r="P336" s="468"/>
      <c r="Q336" s="468"/>
      <c r="R336" s="468"/>
      <c r="S336" s="468"/>
      <c r="T336" s="468"/>
      <c r="U336" s="468"/>
      <c r="V336" s="468"/>
      <c r="W336" s="468"/>
      <c r="X336" s="468"/>
      <c r="Y336" s="468"/>
      <c r="Z336" s="468"/>
      <c r="AA336" s="468"/>
      <c r="AB336" s="468"/>
      <c r="AC336" s="468"/>
      <c r="AD336" s="468"/>
    </row>
    <row r="337" spans="1:30">
      <c r="A337" s="468"/>
      <c r="B337" s="468"/>
      <c r="C337" s="468"/>
      <c r="D337" s="655"/>
      <c r="E337" s="655"/>
      <c r="F337" s="468"/>
      <c r="G337" s="507"/>
      <c r="H337" s="523"/>
      <c r="I337" s="572"/>
      <c r="J337" s="470"/>
      <c r="K337" s="470"/>
      <c r="L337" s="558"/>
      <c r="M337" s="524"/>
      <c r="N337" s="470"/>
      <c r="O337" s="468"/>
      <c r="P337" s="468"/>
      <c r="Q337" s="468"/>
      <c r="R337" s="468"/>
      <c r="S337" s="468"/>
      <c r="T337" s="468"/>
      <c r="U337" s="468"/>
      <c r="V337" s="468"/>
      <c r="W337" s="468"/>
      <c r="X337" s="468"/>
      <c r="Y337" s="468"/>
      <c r="Z337" s="468"/>
      <c r="AA337" s="468"/>
      <c r="AB337" s="468"/>
      <c r="AC337" s="468"/>
      <c r="AD337" s="468"/>
    </row>
    <row r="338" spans="1:30" ht="37.5">
      <c r="A338" s="573"/>
      <c r="B338" s="1077" t="s">
        <v>377</v>
      </c>
      <c r="C338" s="573"/>
      <c r="D338" s="1383" t="s">
        <v>360</v>
      </c>
      <c r="E338" s="1374"/>
      <c r="F338" s="1170"/>
      <c r="G338" s="1170"/>
      <c r="H338" s="1171" t="s">
        <v>361</v>
      </c>
      <c r="I338" s="2406" t="s">
        <v>362</v>
      </c>
      <c r="J338" s="2536"/>
      <c r="K338" s="2536"/>
      <c r="L338" s="2406" t="s">
        <v>363</v>
      </c>
      <c r="M338" s="2508"/>
      <c r="N338" s="2509"/>
      <c r="O338" s="468"/>
      <c r="P338" s="468"/>
      <c r="Q338" s="468"/>
      <c r="R338" s="468"/>
      <c r="S338" s="468"/>
      <c r="T338" s="468"/>
      <c r="U338" s="468"/>
      <c r="V338" s="468"/>
      <c r="W338" s="468"/>
      <c r="X338" s="468"/>
      <c r="Y338" s="468"/>
      <c r="Z338" s="468"/>
      <c r="AA338" s="468"/>
      <c r="AB338" s="468"/>
      <c r="AC338" s="468"/>
      <c r="AD338" s="468"/>
    </row>
    <row r="339" spans="1:30" ht="19.5" thickBot="1">
      <c r="A339" s="1156" t="s">
        <v>389</v>
      </c>
      <c r="B339" s="1173"/>
      <c r="C339" s="1173"/>
      <c r="D339" s="1191"/>
      <c r="E339" s="1191"/>
      <c r="F339" s="1173"/>
      <c r="G339" s="1158"/>
      <c r="H339" s="1159"/>
      <c r="I339" s="1174"/>
      <c r="J339" s="1175"/>
      <c r="K339" s="1175"/>
      <c r="L339" s="1174"/>
      <c r="M339" s="1176"/>
      <c r="N339" s="1175"/>
      <c r="O339" s="468"/>
      <c r="P339" s="468"/>
      <c r="Q339" s="468"/>
      <c r="R339" s="468"/>
      <c r="S339" s="468"/>
      <c r="T339" s="468"/>
      <c r="U339" s="468"/>
      <c r="V339" s="468"/>
      <c r="W339" s="468"/>
      <c r="X339" s="468"/>
      <c r="Y339" s="468"/>
      <c r="Z339" s="468"/>
      <c r="AA339" s="468"/>
      <c r="AB339" s="468"/>
      <c r="AC339" s="468"/>
      <c r="AD339" s="468"/>
    </row>
    <row r="340" spans="1:30" ht="15.75" thickBot="1">
      <c r="A340" s="1638" t="s">
        <v>390</v>
      </c>
      <c r="B340" s="2500"/>
      <c r="C340" s="2502"/>
      <c r="D340" s="2401"/>
      <c r="E340" s="2407"/>
      <c r="F340" s="2402"/>
      <c r="G340" s="559"/>
      <c r="H340" s="566">
        <f>+'Tax Reserve'!J41</f>
        <v>0</v>
      </c>
      <c r="I340" s="1625"/>
      <c r="J340" s="2490" t="str">
        <f>IF(I340="","",VLOOKUP(I340,'Budget-S&amp;U Codes Lookup'!$A$7:$B$564,2,FALSE))</f>
        <v/>
      </c>
      <c r="K340" s="2490"/>
      <c r="L340" s="1627">
        <v>14</v>
      </c>
      <c r="M340" s="2212" t="str">
        <f>IF(L340="","",VLOOKUP(L340,'Budget-S&amp;U Codes Lookup'!$E$7:$F$89,2,FALSE))</f>
        <v>Taxes &amp; Insurance</v>
      </c>
      <c r="N340" s="2213"/>
      <c r="O340" s="479" t="s">
        <v>391</v>
      </c>
      <c r="P340" s="564"/>
      <c r="Q340" s="480"/>
      <c r="R340" s="468"/>
      <c r="S340" s="468"/>
      <c r="T340" s="468"/>
      <c r="U340" s="468"/>
      <c r="V340" s="468"/>
      <c r="W340" s="468"/>
      <c r="X340" s="468"/>
      <c r="Y340" s="468"/>
      <c r="Z340" s="468"/>
      <c r="AA340" s="468"/>
      <c r="AB340" s="468"/>
      <c r="AC340" s="468"/>
      <c r="AD340" s="468"/>
    </row>
    <row r="341" spans="1:30" ht="23.25" customHeight="1" thickBot="1">
      <c r="A341" s="2217" t="s">
        <v>392</v>
      </c>
      <c r="B341" s="2500"/>
      <c r="C341" s="2502"/>
      <c r="D341" s="2401"/>
      <c r="E341" s="2407"/>
      <c r="F341" s="2402"/>
      <c r="G341" s="559"/>
      <c r="H341" s="566">
        <f>+'Insurance Reserve'!H33</f>
        <v>0</v>
      </c>
      <c r="I341" s="1625"/>
      <c r="J341" s="2490" t="str">
        <f>IF(I341="","",VLOOKUP(I341,'Budget-S&amp;U Codes Lookup'!$A$7:$B$564,2,FALSE))</f>
        <v/>
      </c>
      <c r="K341" s="2490"/>
      <c r="L341" s="1627">
        <v>14</v>
      </c>
      <c r="M341" s="2212" t="str">
        <f>IF(L341="","",VLOOKUP(L341,'Budget-S&amp;U Codes Lookup'!$E$7:$F$89,2,FALSE))</f>
        <v>Taxes &amp; Insurance</v>
      </c>
      <c r="N341" s="2213"/>
      <c r="O341" s="479" t="s">
        <v>393</v>
      </c>
      <c r="P341" s="564"/>
      <c r="Q341" s="480"/>
      <c r="R341" s="468"/>
      <c r="S341" s="468"/>
      <c r="T341" s="468"/>
      <c r="U341" s="468"/>
      <c r="V341" s="468"/>
      <c r="W341" s="468"/>
      <c r="X341" s="468"/>
      <c r="Y341" s="468"/>
      <c r="Z341" s="468"/>
      <c r="AA341" s="468"/>
      <c r="AB341" s="468"/>
      <c r="AC341" s="468"/>
      <c r="AD341" s="468"/>
    </row>
    <row r="342" spans="1:30" ht="45" customHeight="1" thickBot="1">
      <c r="A342" s="1638" t="s">
        <v>394</v>
      </c>
      <c r="B342" s="2500"/>
      <c r="C342" s="2502"/>
      <c r="D342" s="2401"/>
      <c r="E342" s="2407"/>
      <c r="F342" s="2402"/>
      <c r="G342" s="559"/>
      <c r="H342" s="1634">
        <v>0</v>
      </c>
      <c r="I342" s="1625"/>
      <c r="J342" s="2490" t="str">
        <f>IF(I342="","",VLOOKUP(I342,'Budget-S&amp;U Codes Lookup'!$A$7:$B$564,2,FALSE))</f>
        <v/>
      </c>
      <c r="K342" s="2490"/>
      <c r="L342" s="1627">
        <v>12</v>
      </c>
      <c r="M342" s="2212" t="str">
        <f>IF(L342="","",VLOOKUP(L342,'Budget-S&amp;U Codes Lookup'!$E$7:$F$89,2,FALSE))</f>
        <v>Closing Costs</v>
      </c>
      <c r="N342" s="2213"/>
      <c r="O342" s="2549" t="s">
        <v>395</v>
      </c>
      <c r="P342" s="2475"/>
      <c r="Q342" s="2475"/>
      <c r="R342" s="2475"/>
      <c r="S342" s="2476"/>
      <c r="T342" s="468"/>
      <c r="U342" s="468"/>
      <c r="V342" s="468"/>
      <c r="W342" s="468"/>
      <c r="X342" s="468"/>
      <c r="Y342" s="468"/>
      <c r="Z342" s="468"/>
      <c r="AA342" s="468"/>
      <c r="AB342" s="468"/>
      <c r="AC342" s="468"/>
      <c r="AD342" s="468"/>
    </row>
    <row r="343" spans="1:30" ht="21" customHeight="1">
      <c r="A343" s="1638"/>
      <c r="B343" s="2500"/>
      <c r="C343" s="2502"/>
      <c r="D343" s="2401"/>
      <c r="E343" s="2407"/>
      <c r="F343" s="2402"/>
      <c r="G343" s="559"/>
      <c r="H343" s="1634">
        <v>0</v>
      </c>
      <c r="I343" s="1625"/>
      <c r="J343" s="2490" t="str">
        <f>IF(I343="","",VLOOKUP(I343,'Budget-S&amp;U Codes Lookup'!$A$7:$B$564,2,FALSE))</f>
        <v/>
      </c>
      <c r="K343" s="2490"/>
      <c r="L343" s="1627">
        <v>12</v>
      </c>
      <c r="M343" s="2212" t="str">
        <f>IF(L343="","",VLOOKUP(L343,'Budget-S&amp;U Codes Lookup'!$E$7:$F$89,2,FALSE))</f>
        <v>Closing Costs</v>
      </c>
      <c r="N343" s="2213"/>
      <c r="O343" s="468"/>
      <c r="P343" s="468"/>
      <c r="Q343" s="468"/>
      <c r="R343" s="468"/>
      <c r="S343" s="468"/>
      <c r="T343" s="468"/>
      <c r="U343" s="468"/>
      <c r="V343" s="468"/>
      <c r="W343" s="468"/>
      <c r="X343" s="468"/>
      <c r="Y343" s="468"/>
      <c r="Z343" s="468"/>
      <c r="AA343" s="468"/>
      <c r="AB343" s="468"/>
      <c r="AC343" s="468"/>
      <c r="AD343" s="468"/>
    </row>
    <row r="344" spans="1:30" ht="21" customHeight="1">
      <c r="A344" s="1638"/>
      <c r="B344" s="2500"/>
      <c r="C344" s="2502"/>
      <c r="D344" s="2401"/>
      <c r="E344" s="2407"/>
      <c r="F344" s="2402"/>
      <c r="G344" s="559"/>
      <c r="H344" s="1634"/>
      <c r="I344" s="1625"/>
      <c r="J344" s="2490" t="str">
        <f>IF(I344="","",VLOOKUP(I344,'Budget-S&amp;U Codes Lookup'!$A$7:$B$564,2,FALSE))</f>
        <v/>
      </c>
      <c r="K344" s="2490"/>
      <c r="L344" s="1627">
        <v>12</v>
      </c>
      <c r="M344" s="2212" t="str">
        <f>IF(L344="","",VLOOKUP(L344,'Budget-S&amp;U Codes Lookup'!$E$7:$F$89,2,FALSE))</f>
        <v>Closing Costs</v>
      </c>
      <c r="N344" s="2213"/>
      <c r="O344" s="468"/>
      <c r="P344" s="468"/>
      <c r="Q344" s="468"/>
      <c r="R344" s="468"/>
      <c r="S344" s="468"/>
      <c r="T344" s="468"/>
      <c r="U344" s="468"/>
      <c r="V344" s="468"/>
      <c r="W344" s="468"/>
      <c r="X344" s="468"/>
      <c r="Y344" s="468"/>
      <c r="Z344" s="468"/>
      <c r="AA344" s="468"/>
      <c r="AB344" s="468"/>
      <c r="AC344" s="468"/>
      <c r="AD344" s="468"/>
    </row>
    <row r="345" spans="1:30" ht="21" customHeight="1">
      <c r="A345" s="1638"/>
      <c r="B345" s="2500"/>
      <c r="C345" s="2502"/>
      <c r="D345" s="2401"/>
      <c r="E345" s="2407"/>
      <c r="F345" s="2402"/>
      <c r="G345" s="559"/>
      <c r="H345" s="1634"/>
      <c r="I345" s="1625"/>
      <c r="J345" s="2490" t="str">
        <f>IF(I345="","",VLOOKUP(I345,'Budget-S&amp;U Codes Lookup'!$A$7:$B$564,2,FALSE))</f>
        <v/>
      </c>
      <c r="K345" s="2490"/>
      <c r="L345" s="1627">
        <v>12</v>
      </c>
      <c r="M345" s="2212" t="str">
        <f>IF(L345="","",VLOOKUP(L345,'Budget-S&amp;U Codes Lookup'!$E$7:$F$89,2,FALSE))</f>
        <v>Closing Costs</v>
      </c>
      <c r="N345" s="2213"/>
      <c r="O345" s="468"/>
      <c r="P345" s="468"/>
      <c r="Q345" s="468"/>
      <c r="R345" s="468"/>
      <c r="S345" s="468"/>
      <c r="T345" s="468"/>
      <c r="U345" s="468"/>
      <c r="V345" s="468"/>
      <c r="W345" s="468"/>
      <c r="X345" s="468"/>
      <c r="Y345" s="468"/>
      <c r="Z345" s="468"/>
      <c r="AA345" s="468"/>
      <c r="AB345" s="468"/>
      <c r="AC345" s="468"/>
      <c r="AD345" s="468"/>
    </row>
    <row r="346" spans="1:30" ht="21" customHeight="1">
      <c r="A346" s="1638"/>
      <c r="B346" s="2500"/>
      <c r="C346" s="2502"/>
      <c r="D346" s="2401"/>
      <c r="E346" s="2407"/>
      <c r="F346" s="2402"/>
      <c r="G346" s="559"/>
      <c r="H346" s="1634"/>
      <c r="I346" s="1625"/>
      <c r="J346" s="2490" t="str">
        <f>IF(I346="","",VLOOKUP(I346,'Budget-S&amp;U Codes Lookup'!$A$7:$B$564,2,FALSE))</f>
        <v/>
      </c>
      <c r="K346" s="2490"/>
      <c r="L346" s="1627">
        <v>12</v>
      </c>
      <c r="M346" s="2212" t="str">
        <f>IF(L346="","",VLOOKUP(L346,'Budget-S&amp;U Codes Lookup'!$E$7:$F$89,2,FALSE))</f>
        <v>Closing Costs</v>
      </c>
      <c r="N346" s="2213"/>
      <c r="O346" s="468"/>
      <c r="P346" s="468"/>
      <c r="Q346" s="468"/>
      <c r="R346" s="468"/>
      <c r="S346" s="468"/>
      <c r="T346" s="468"/>
      <c r="U346" s="468"/>
      <c r="V346" s="468"/>
      <c r="W346" s="468"/>
      <c r="X346" s="468"/>
      <c r="Y346" s="468"/>
      <c r="Z346" s="468"/>
      <c r="AA346" s="468"/>
      <c r="AB346" s="468"/>
      <c r="AC346" s="468"/>
      <c r="AD346" s="468"/>
    </row>
    <row r="347" spans="1:30" ht="21" customHeight="1">
      <c r="A347" s="1638"/>
      <c r="B347" s="2500"/>
      <c r="C347" s="2502"/>
      <c r="D347" s="2401"/>
      <c r="E347" s="2407"/>
      <c r="F347" s="2402"/>
      <c r="G347" s="559"/>
      <c r="H347" s="1634"/>
      <c r="I347" s="1625"/>
      <c r="J347" s="2490" t="str">
        <f>IF(I347="","",VLOOKUP(I347,'Budget-S&amp;U Codes Lookup'!$A$7:$B$564,2,FALSE))</f>
        <v/>
      </c>
      <c r="K347" s="2490"/>
      <c r="L347" s="1627">
        <v>12</v>
      </c>
      <c r="M347" s="2212" t="str">
        <f>IF(L347="","",VLOOKUP(L347,'Budget-S&amp;U Codes Lookup'!$E$7:$F$89,2,FALSE))</f>
        <v>Closing Costs</v>
      </c>
      <c r="N347" s="2213"/>
      <c r="O347" s="468"/>
      <c r="P347" s="468"/>
      <c r="Q347" s="468"/>
      <c r="R347" s="468"/>
      <c r="S347" s="468"/>
      <c r="T347" s="468"/>
      <c r="U347" s="468"/>
      <c r="V347" s="468"/>
      <c r="W347" s="468"/>
      <c r="X347" s="468"/>
      <c r="Y347" s="468"/>
      <c r="Z347" s="468"/>
      <c r="AA347" s="468"/>
      <c r="AB347" s="468"/>
      <c r="AC347" s="468"/>
      <c r="AD347" s="468"/>
    </row>
    <row r="348" spans="1:30" ht="21" customHeight="1">
      <c r="A348" s="1638"/>
      <c r="B348" s="2500"/>
      <c r="C348" s="2502"/>
      <c r="D348" s="2401"/>
      <c r="E348" s="2407"/>
      <c r="F348" s="2402"/>
      <c r="G348" s="559"/>
      <c r="H348" s="1634"/>
      <c r="I348" s="1625"/>
      <c r="J348" s="2490" t="str">
        <f>IF(I348="","",VLOOKUP(I348,'Budget-S&amp;U Codes Lookup'!$A$7:$B$564,2,FALSE))</f>
        <v/>
      </c>
      <c r="K348" s="2490"/>
      <c r="L348" s="1627">
        <v>12</v>
      </c>
      <c r="M348" s="2212" t="str">
        <f>IF(L348="","",VLOOKUP(L348,'Budget-S&amp;U Codes Lookup'!$E$7:$F$89,2,FALSE))</f>
        <v>Closing Costs</v>
      </c>
      <c r="N348" s="2213"/>
      <c r="O348" s="468"/>
      <c r="P348" s="468"/>
      <c r="Q348" s="468"/>
      <c r="R348" s="468"/>
      <c r="S348" s="468"/>
      <c r="T348" s="468"/>
      <c r="U348" s="468"/>
      <c r="V348" s="468"/>
      <c r="W348" s="468"/>
      <c r="X348" s="468"/>
      <c r="Y348" s="468"/>
      <c r="Z348" s="468"/>
      <c r="AA348" s="468"/>
      <c r="AB348" s="468"/>
      <c r="AC348" s="468"/>
      <c r="AD348" s="468"/>
    </row>
    <row r="349" spans="1:30" ht="21" customHeight="1" thickBot="1">
      <c r="A349" s="1638"/>
      <c r="B349" s="2500"/>
      <c r="C349" s="2502"/>
      <c r="D349" s="2401"/>
      <c r="E349" s="2407"/>
      <c r="F349" s="2402"/>
      <c r="G349" s="559"/>
      <c r="H349" s="1634"/>
      <c r="I349" s="1625"/>
      <c r="J349" s="2490" t="str">
        <f>IF(I349="","",VLOOKUP(I349,'Budget-S&amp;U Codes Lookup'!$A$7:$B$564,2,FALSE))</f>
        <v/>
      </c>
      <c r="K349" s="2490"/>
      <c r="L349" s="1627"/>
      <c r="M349" s="2212" t="str">
        <f>IF(L349="","",VLOOKUP(L349,'Budget-S&amp;U Codes Lookup'!$E$7:$F$89,2,FALSE))</f>
        <v/>
      </c>
      <c r="N349" s="2213"/>
      <c r="O349" s="468"/>
      <c r="P349" s="468"/>
      <c r="Q349" s="468"/>
      <c r="R349" s="468"/>
      <c r="S349" s="468"/>
      <c r="T349" s="468"/>
      <c r="U349" s="468"/>
      <c r="V349" s="468"/>
      <c r="W349" s="468"/>
      <c r="X349" s="468"/>
      <c r="Y349" s="468"/>
      <c r="Z349" s="468"/>
      <c r="AA349" s="468"/>
      <c r="AB349" s="468"/>
      <c r="AC349" s="468"/>
      <c r="AD349" s="468"/>
    </row>
    <row r="350" spans="1:30" ht="45" customHeight="1" thickBot="1">
      <c r="A350" s="1078" t="s">
        <v>396</v>
      </c>
      <c r="B350" s="2500"/>
      <c r="C350" s="2502"/>
      <c r="D350" s="2401"/>
      <c r="E350" s="2407"/>
      <c r="F350" s="2402"/>
      <c r="G350" s="559"/>
      <c r="H350" s="1634"/>
      <c r="I350" s="764">
        <v>600</v>
      </c>
      <c r="J350" s="2490" t="str">
        <f>IF(I350="","",VLOOKUP(I350,'Budget-S&amp;U Codes Lookup'!$A$7:$B$564,2,FALSE))</f>
        <v>Construction Draw Reserve for Future Advance</v>
      </c>
      <c r="K350" s="2490"/>
      <c r="L350" s="1627"/>
      <c r="M350" s="2212" t="str">
        <f>IF(L350="","",VLOOKUP(L350,'Budget-S&amp;U Codes Lookup'!$E$7:$F$89,2,FALSE))</f>
        <v/>
      </c>
      <c r="N350" s="2213"/>
      <c r="O350" s="2549"/>
      <c r="P350" s="2475"/>
      <c r="Q350" s="2475"/>
      <c r="R350" s="2475"/>
      <c r="S350" s="2476"/>
      <c r="T350" s="468"/>
      <c r="U350" s="468"/>
      <c r="V350" s="468"/>
      <c r="W350" s="468"/>
      <c r="X350" s="468"/>
      <c r="Y350" s="468"/>
      <c r="Z350" s="468"/>
      <c r="AA350" s="468"/>
      <c r="AB350" s="468"/>
      <c r="AC350" s="468"/>
      <c r="AD350" s="468"/>
    </row>
    <row r="351" spans="1:30" ht="21" customHeight="1">
      <c r="A351" s="1638"/>
      <c r="B351" s="2500"/>
      <c r="C351" s="2502"/>
      <c r="D351" s="2401"/>
      <c r="E351" s="2407"/>
      <c r="F351" s="2402"/>
      <c r="G351" s="527"/>
      <c r="H351" s="1635"/>
      <c r="I351" s="1626"/>
      <c r="J351" s="2490" t="str">
        <f>IF(I351="","",VLOOKUP(I351,'Budget-S&amp;U Codes Lookup'!$A$7:$B$564,2,FALSE))</f>
        <v/>
      </c>
      <c r="K351" s="2490"/>
      <c r="L351" s="1628"/>
      <c r="M351" s="2212" t="str">
        <f>IF(L351="","",VLOOKUP(L351,'Budget-S&amp;U Codes Lookup'!$E$7:$F$89,2,FALSE))</f>
        <v/>
      </c>
      <c r="N351" s="2213"/>
      <c r="O351" s="468"/>
      <c r="P351" s="468"/>
      <c r="Q351" s="468"/>
      <c r="R351" s="468"/>
      <c r="S351" s="468"/>
      <c r="T351" s="468"/>
      <c r="U351" s="468"/>
      <c r="V351" s="468"/>
      <c r="W351" s="468"/>
      <c r="X351" s="468"/>
      <c r="Y351" s="468"/>
      <c r="Z351" s="468"/>
      <c r="AA351" s="468"/>
      <c r="AB351" s="468"/>
      <c r="AC351" s="468"/>
      <c r="AD351" s="468"/>
    </row>
    <row r="352" spans="1:30">
      <c r="A352" s="550" t="s">
        <v>375</v>
      </c>
      <c r="B352" s="550"/>
      <c r="C352" s="550"/>
      <c r="D352" s="374"/>
      <c r="E352" s="374"/>
      <c r="F352" s="550"/>
      <c r="G352" s="551"/>
      <c r="H352" s="568">
        <f>SUM(H340:H351)</f>
        <v>0</v>
      </c>
      <c r="I352" s="569"/>
      <c r="J352" s="532"/>
      <c r="K352" s="532"/>
      <c r="L352" s="569"/>
      <c r="M352" s="533"/>
      <c r="N352" s="532"/>
      <c r="O352" s="468"/>
      <c r="P352" s="468"/>
      <c r="Q352" s="468"/>
      <c r="R352" s="468"/>
      <c r="S352" s="468"/>
      <c r="T352" s="468"/>
      <c r="U352" s="468"/>
      <c r="V352" s="468"/>
      <c r="W352" s="468"/>
      <c r="X352" s="468"/>
      <c r="Y352" s="468"/>
      <c r="Z352" s="468"/>
      <c r="AA352" s="468"/>
      <c r="AB352" s="468"/>
      <c r="AC352" s="468"/>
      <c r="AD352" s="468"/>
    </row>
    <row r="353" spans="1:30">
      <c r="A353" s="468"/>
      <c r="B353" s="468"/>
      <c r="C353" s="468"/>
      <c r="D353" s="655"/>
      <c r="E353" s="655"/>
      <c r="F353" s="468"/>
      <c r="G353" s="507"/>
      <c r="H353" s="523"/>
      <c r="I353" s="558"/>
      <c r="J353" s="470"/>
      <c r="K353" s="470"/>
      <c r="L353" s="558"/>
      <c r="M353" s="524"/>
      <c r="N353" s="470"/>
      <c r="O353" s="468"/>
      <c r="P353" s="468"/>
      <c r="Q353" s="468"/>
      <c r="R353" s="468"/>
      <c r="S353" s="468"/>
      <c r="T353" s="468"/>
      <c r="U353" s="468"/>
      <c r="V353" s="468"/>
      <c r="W353" s="468"/>
      <c r="X353" s="468"/>
      <c r="Y353" s="468"/>
      <c r="Z353" s="468"/>
      <c r="AA353" s="468"/>
      <c r="AB353" s="468"/>
      <c r="AC353" s="468"/>
      <c r="AD353" s="468"/>
    </row>
    <row r="354" spans="1:30" ht="60.75" customHeight="1">
      <c r="A354" s="2556" t="s">
        <v>397</v>
      </c>
      <c r="B354" s="2557"/>
      <c r="C354" s="2557"/>
      <c r="D354" s="2557"/>
      <c r="E354" s="2557"/>
      <c r="F354" s="2557"/>
      <c r="G354" s="544"/>
      <c r="H354" s="574">
        <f>G225-H233+G244-H245-H246-H311-H335-H352</f>
        <v>225273318.66</v>
      </c>
      <c r="I354" s="575"/>
      <c r="J354" s="576"/>
      <c r="K354" s="576"/>
      <c r="L354" s="575"/>
      <c r="M354" s="577"/>
      <c r="N354" s="576"/>
      <c r="O354" s="468"/>
      <c r="P354" s="468"/>
      <c r="Q354" s="468"/>
      <c r="R354" s="468"/>
      <c r="S354" s="468"/>
      <c r="T354" s="468"/>
      <c r="U354" s="468"/>
      <c r="V354" s="468"/>
      <c r="W354" s="468"/>
      <c r="X354" s="468"/>
      <c r="Y354" s="468"/>
      <c r="Z354" s="468"/>
      <c r="AA354" s="468"/>
      <c r="AB354" s="468"/>
      <c r="AC354" s="468"/>
      <c r="AD354" s="468"/>
    </row>
    <row r="355" spans="1:30">
      <c r="A355" s="578"/>
      <c r="B355" s="578"/>
      <c r="C355" s="578"/>
      <c r="D355" s="1384"/>
      <c r="E355" s="1384"/>
      <c r="F355" s="578"/>
      <c r="G355" s="579"/>
      <c r="H355" s="1923">
        <f>'Loan Settlement Stmt'!I154</f>
        <v>225273318.66</v>
      </c>
      <c r="I355" s="1332" t="s">
        <v>398</v>
      </c>
      <c r="J355" s="538"/>
      <c r="K355" s="538"/>
      <c r="L355" s="580"/>
      <c r="M355" s="581"/>
      <c r="N355" s="538"/>
      <c r="O355" s="468"/>
      <c r="P355" s="468"/>
      <c r="Q355" s="468"/>
      <c r="R355" s="468"/>
      <c r="S355" s="468"/>
      <c r="T355" s="468"/>
      <c r="U355" s="468"/>
      <c r="V355" s="468"/>
      <c r="W355" s="468"/>
      <c r="X355" s="468"/>
      <c r="Y355" s="468"/>
      <c r="Z355" s="468"/>
      <c r="AA355" s="468"/>
      <c r="AB355" s="468"/>
      <c r="AC355" s="468"/>
      <c r="AD355" s="468"/>
    </row>
    <row r="356" spans="1:30">
      <c r="A356" s="468"/>
      <c r="B356" s="468"/>
      <c r="C356" s="468"/>
      <c r="D356" s="655"/>
      <c r="E356" s="655"/>
      <c r="F356" s="468"/>
      <c r="G356" s="507"/>
      <c r="H356" s="523"/>
      <c r="I356" s="558"/>
      <c r="J356" s="470"/>
      <c r="K356" s="470"/>
      <c r="L356" s="558"/>
      <c r="M356" s="524"/>
      <c r="N356" s="470"/>
      <c r="O356" s="468"/>
      <c r="P356" s="468"/>
      <c r="Q356" s="468"/>
      <c r="R356" s="468"/>
      <c r="S356" s="468"/>
      <c r="T356" s="468"/>
      <c r="U356" s="468"/>
      <c r="V356" s="468"/>
      <c r="W356" s="468"/>
      <c r="X356" s="468"/>
      <c r="Y356" s="468"/>
      <c r="Z356" s="468"/>
      <c r="AA356" s="468"/>
      <c r="AB356" s="468"/>
      <c r="AC356" s="468"/>
      <c r="AD356" s="468"/>
    </row>
    <row r="357" spans="1:30" ht="18.75">
      <c r="A357" s="1156" t="s">
        <v>399</v>
      </c>
      <c r="B357" s="1173"/>
      <c r="C357" s="1173"/>
      <c r="D357" s="1191"/>
      <c r="E357" s="1191"/>
      <c r="F357" s="1157"/>
      <c r="G357" s="1188"/>
      <c r="H357" s="1188"/>
      <c r="I357" s="1188"/>
      <c r="J357" s="1175"/>
      <c r="K357" s="1175"/>
      <c r="L357" s="1174"/>
      <c r="M357" s="1176"/>
      <c r="N357" s="1175"/>
      <c r="O357" s="468"/>
      <c r="P357" s="468"/>
      <c r="Q357" s="468"/>
      <c r="R357" s="468"/>
      <c r="S357" s="468"/>
      <c r="T357" s="468"/>
      <c r="U357" s="468"/>
      <c r="V357" s="468"/>
      <c r="W357" s="468"/>
      <c r="X357" s="468"/>
      <c r="Y357" s="468"/>
      <c r="Z357" s="468"/>
      <c r="AA357" s="468"/>
      <c r="AB357" s="468"/>
      <c r="AC357" s="468"/>
      <c r="AD357" s="468"/>
    </row>
    <row r="358" spans="1:30" ht="18.75">
      <c r="A358" s="1178"/>
      <c r="B358" s="1179" t="s">
        <v>400</v>
      </c>
      <c r="C358" s="1179"/>
      <c r="D358" s="1180" t="s">
        <v>401</v>
      </c>
      <c r="E358" s="1180"/>
      <c r="F358" s="1177"/>
      <c r="G358" s="1181" t="s">
        <v>402</v>
      </c>
      <c r="H358" s="1182"/>
      <c r="I358" s="1183" t="s">
        <v>403</v>
      </c>
      <c r="J358" s="1184"/>
      <c r="K358" s="1185"/>
      <c r="L358" s="1186" t="s">
        <v>363</v>
      </c>
      <c r="M358" s="1187"/>
      <c r="N358" s="1185"/>
      <c r="O358" s="468"/>
      <c r="P358" s="468"/>
      <c r="Q358" s="468"/>
      <c r="R358" s="468"/>
      <c r="S358" s="468"/>
      <c r="T358" s="468"/>
      <c r="U358" s="468"/>
      <c r="V358" s="468"/>
      <c r="W358" s="468"/>
      <c r="X358" s="468"/>
      <c r="Y358" s="468"/>
      <c r="Z358" s="468"/>
      <c r="AA358" s="468"/>
      <c r="AB358" s="468"/>
      <c r="AC358" s="468"/>
      <c r="AD358" s="468"/>
    </row>
    <row r="359" spans="1:30" ht="16.5" thickBot="1">
      <c r="A359" s="1189" t="s">
        <v>404</v>
      </c>
      <c r="B359" s="1190"/>
      <c r="C359" s="1173"/>
      <c r="D359" s="1191"/>
      <c r="E359" s="1191"/>
      <c r="F359" s="1153"/>
      <c r="G359" s="1192"/>
      <c r="H359" s="1193"/>
      <c r="I359" s="1194"/>
      <c r="J359" s="1195"/>
      <c r="K359" s="1175"/>
      <c r="L359" s="1174"/>
      <c r="M359" s="1176"/>
      <c r="N359" s="1175"/>
      <c r="O359" s="468"/>
      <c r="P359" s="468"/>
      <c r="Q359" s="468"/>
      <c r="R359" s="468"/>
      <c r="S359" s="468"/>
      <c r="T359" s="468"/>
      <c r="U359" s="468"/>
      <c r="V359" s="468"/>
      <c r="W359" s="468"/>
      <c r="X359" s="468"/>
      <c r="Y359" s="468"/>
      <c r="Z359" s="468"/>
      <c r="AA359" s="468"/>
      <c r="AB359" s="468"/>
      <c r="AC359" s="468"/>
      <c r="AD359" s="468"/>
    </row>
    <row r="360" spans="1:30" ht="14.85" customHeight="1">
      <c r="A360" s="2402"/>
      <c r="B360" s="2505"/>
      <c r="C360" s="2504"/>
      <c r="D360" s="2401"/>
      <c r="E360" s="2407"/>
      <c r="F360" s="2408"/>
      <c r="G360" s="1639"/>
      <c r="H360" s="592"/>
      <c r="I360" s="593"/>
      <c r="J360" s="2490" t="s">
        <v>405</v>
      </c>
      <c r="K360" s="2490"/>
      <c r="L360" s="1627"/>
      <c r="M360" s="2212" t="str">
        <f>IF(L360="","",VLOOKUP(L360,'Budget-S&amp;U Codes Lookup'!$E$8:$F$17,2,FALSE))</f>
        <v/>
      </c>
      <c r="N360" s="2213"/>
      <c r="O360" s="468"/>
      <c r="P360" s="468"/>
      <c r="Q360" s="468"/>
      <c r="R360" s="468"/>
      <c r="S360" s="468"/>
      <c r="T360" s="468"/>
      <c r="U360" s="468"/>
      <c r="V360" s="468"/>
      <c r="W360" s="468"/>
      <c r="X360" s="468"/>
      <c r="Y360" s="468"/>
      <c r="Z360" s="468"/>
      <c r="AA360" s="468"/>
      <c r="AB360" s="468"/>
      <c r="AC360" s="468"/>
      <c r="AD360" s="468"/>
    </row>
    <row r="361" spans="1:30" ht="14.85" customHeight="1">
      <c r="A361" s="2402"/>
      <c r="B361" s="2505"/>
      <c r="C361" s="2504"/>
      <c r="D361" s="2401"/>
      <c r="E361" s="2407"/>
      <c r="F361" s="2408"/>
      <c r="G361" s="1640"/>
      <c r="H361" s="592"/>
      <c r="I361" s="593"/>
      <c r="J361" s="2490" t="s">
        <v>405</v>
      </c>
      <c r="K361" s="2490"/>
      <c r="L361" s="1627"/>
      <c r="M361" s="2212" t="str">
        <f>IF(L361="","",VLOOKUP(L361,'Budget-S&amp;U Codes Lookup'!$E$8:$F$17,2,FALSE))</f>
        <v/>
      </c>
      <c r="N361" s="2213"/>
      <c r="O361" s="468"/>
      <c r="P361" s="468"/>
      <c r="Q361" s="468"/>
      <c r="R361" s="468"/>
      <c r="S361" s="468"/>
      <c r="T361" s="468"/>
      <c r="U361" s="468"/>
      <c r="V361" s="468"/>
      <c r="W361" s="468"/>
      <c r="X361" s="468"/>
      <c r="Y361" s="468"/>
      <c r="Z361" s="468"/>
      <c r="AA361" s="468"/>
      <c r="AB361" s="468"/>
      <c r="AC361" s="468"/>
      <c r="AD361" s="468"/>
    </row>
    <row r="362" spans="1:30" ht="14.85" customHeight="1">
      <c r="A362" s="2402"/>
      <c r="B362" s="2505"/>
      <c r="C362" s="2504"/>
      <c r="D362" s="2401"/>
      <c r="E362" s="2407"/>
      <c r="F362" s="2408"/>
      <c r="G362" s="1640"/>
      <c r="H362" s="592"/>
      <c r="I362" s="593"/>
      <c r="J362" s="2490" t="s">
        <v>405</v>
      </c>
      <c r="K362" s="2490"/>
      <c r="L362" s="1627"/>
      <c r="M362" s="2212" t="str">
        <f>IF(L362="","",VLOOKUP(L362,'Budget-S&amp;U Codes Lookup'!$E$8:$F$17,2,FALSE))</f>
        <v/>
      </c>
      <c r="N362" s="2213"/>
      <c r="O362" s="468"/>
      <c r="P362" s="468"/>
      <c r="Q362" s="468"/>
      <c r="R362" s="468"/>
      <c r="S362" s="468"/>
      <c r="T362" s="468"/>
      <c r="U362" s="468"/>
      <c r="V362" s="468"/>
      <c r="W362" s="468"/>
      <c r="X362" s="468"/>
      <c r="Y362" s="468"/>
      <c r="Z362" s="468"/>
      <c r="AA362" s="468"/>
      <c r="AB362" s="468"/>
      <c r="AC362" s="468"/>
      <c r="AD362" s="468"/>
    </row>
    <row r="363" spans="1:30" ht="14.85" customHeight="1">
      <c r="A363" s="2402"/>
      <c r="B363" s="2505"/>
      <c r="C363" s="2504"/>
      <c r="D363" s="2401"/>
      <c r="E363" s="2407"/>
      <c r="F363" s="2408"/>
      <c r="G363" s="1640"/>
      <c r="H363" s="592"/>
      <c r="I363" s="593"/>
      <c r="J363" s="2490" t="s">
        <v>405</v>
      </c>
      <c r="K363" s="2490"/>
      <c r="L363" s="1627"/>
      <c r="M363" s="2212" t="str">
        <f>IF(L363="","",VLOOKUP(L363,'Budget-S&amp;U Codes Lookup'!$E$8:$F$17,2,FALSE))</f>
        <v/>
      </c>
      <c r="N363" s="2213"/>
      <c r="O363" s="468"/>
      <c r="P363" s="468"/>
      <c r="Q363" s="468"/>
      <c r="R363" s="468"/>
      <c r="S363" s="468"/>
      <c r="T363" s="468"/>
      <c r="U363" s="468"/>
      <c r="V363" s="468"/>
      <c r="W363" s="468"/>
      <c r="X363" s="468"/>
      <c r="Y363" s="468"/>
      <c r="Z363" s="468"/>
      <c r="AA363" s="468"/>
      <c r="AB363" s="468"/>
      <c r="AC363" s="468"/>
      <c r="AD363" s="468"/>
    </row>
    <row r="364" spans="1:30" ht="14.85" customHeight="1">
      <c r="A364" s="2402"/>
      <c r="B364" s="2505"/>
      <c r="C364" s="2504"/>
      <c r="D364" s="2401"/>
      <c r="E364" s="2407"/>
      <c r="F364" s="2408"/>
      <c r="G364" s="1640"/>
      <c r="H364" s="592"/>
      <c r="I364" s="593"/>
      <c r="J364" s="2490" t="s">
        <v>405</v>
      </c>
      <c r="K364" s="2490"/>
      <c r="L364" s="1627"/>
      <c r="M364" s="2212" t="str">
        <f>IF(L364="","",VLOOKUP(L364,'Budget-S&amp;U Codes Lookup'!$E$8:$F$17,2,FALSE))</f>
        <v/>
      </c>
      <c r="N364" s="2213"/>
      <c r="O364" s="468"/>
      <c r="P364" s="468"/>
      <c r="Q364" s="468"/>
      <c r="R364" s="468"/>
      <c r="S364" s="468"/>
      <c r="T364" s="468"/>
      <c r="U364" s="468"/>
      <c r="V364" s="468"/>
      <c r="W364" s="468"/>
      <c r="X364" s="468"/>
      <c r="Y364" s="468"/>
      <c r="Z364" s="468"/>
      <c r="AA364" s="468"/>
      <c r="AB364" s="468"/>
      <c r="AC364" s="468"/>
      <c r="AD364" s="468"/>
    </row>
    <row r="365" spans="1:30" ht="14.85" customHeight="1">
      <c r="A365" s="2402"/>
      <c r="B365" s="2505"/>
      <c r="C365" s="2504"/>
      <c r="D365" s="2401"/>
      <c r="E365" s="2407"/>
      <c r="F365" s="2408"/>
      <c r="G365" s="1640"/>
      <c r="H365" s="592"/>
      <c r="I365" s="593"/>
      <c r="J365" s="2490" t="s">
        <v>405</v>
      </c>
      <c r="K365" s="2490"/>
      <c r="L365" s="1627"/>
      <c r="M365" s="2212" t="str">
        <f>IF(L365="","",VLOOKUP(L365,'Budget-S&amp;U Codes Lookup'!$E$8:$F$17,2,FALSE))</f>
        <v/>
      </c>
      <c r="N365" s="2213"/>
      <c r="O365" s="468"/>
      <c r="P365" s="468"/>
      <c r="Q365" s="468"/>
      <c r="R365" s="468"/>
      <c r="S365" s="468"/>
      <c r="T365" s="468"/>
      <c r="U365" s="468"/>
      <c r="V365" s="468"/>
      <c r="W365" s="468"/>
      <c r="X365" s="468"/>
      <c r="Y365" s="468"/>
      <c r="Z365" s="468"/>
      <c r="AA365" s="468"/>
      <c r="AB365" s="468"/>
      <c r="AC365" s="468"/>
      <c r="AD365" s="468"/>
    </row>
    <row r="366" spans="1:30" ht="14.85" customHeight="1">
      <c r="A366" s="2402"/>
      <c r="B366" s="2505"/>
      <c r="C366" s="2504"/>
      <c r="D366" s="2401"/>
      <c r="E366" s="2407"/>
      <c r="F366" s="2408"/>
      <c r="G366" s="1640"/>
      <c r="H366" s="592"/>
      <c r="I366" s="593"/>
      <c r="J366" s="2490" t="s">
        <v>405</v>
      </c>
      <c r="K366" s="2490"/>
      <c r="L366" s="1627"/>
      <c r="M366" s="2212" t="str">
        <f>IF(L366="","",VLOOKUP(L366,'Budget-S&amp;U Codes Lookup'!$E$8:$F$17,2,FALSE))</f>
        <v/>
      </c>
      <c r="N366" s="2213"/>
      <c r="O366" s="468"/>
      <c r="P366" s="468"/>
      <c r="Q366" s="468"/>
      <c r="R366" s="468"/>
      <c r="S366" s="468"/>
      <c r="T366" s="468"/>
      <c r="U366" s="468"/>
      <c r="V366" s="468"/>
      <c r="W366" s="468"/>
      <c r="X366" s="468"/>
      <c r="Y366" s="468"/>
      <c r="Z366" s="468"/>
      <c r="AA366" s="468"/>
      <c r="AB366" s="468"/>
      <c r="AC366" s="468"/>
      <c r="AD366" s="468"/>
    </row>
    <row r="367" spans="1:30" ht="14.85" customHeight="1">
      <c r="A367" s="2402"/>
      <c r="B367" s="2505"/>
      <c r="C367" s="2504"/>
      <c r="D367" s="2401"/>
      <c r="E367" s="2407"/>
      <c r="F367" s="2408"/>
      <c r="G367" s="1640"/>
      <c r="H367" s="592"/>
      <c r="I367" s="593"/>
      <c r="J367" s="2490" t="s">
        <v>405</v>
      </c>
      <c r="K367" s="2490"/>
      <c r="L367" s="1627"/>
      <c r="M367" s="2212" t="str">
        <f>IF(L367="","",VLOOKUP(L367,'Budget-S&amp;U Codes Lookup'!$E$8:$F$17,2,FALSE))</f>
        <v/>
      </c>
      <c r="N367" s="2213"/>
      <c r="O367" s="468"/>
      <c r="P367" s="468"/>
      <c r="Q367" s="468"/>
      <c r="R367" s="468"/>
      <c r="S367" s="468"/>
      <c r="T367" s="468"/>
      <c r="U367" s="468"/>
      <c r="V367" s="468"/>
      <c r="W367" s="468"/>
      <c r="X367" s="468"/>
      <c r="Y367" s="468"/>
      <c r="Z367" s="468"/>
      <c r="AA367" s="468"/>
      <c r="AB367" s="468"/>
      <c r="AC367" s="468"/>
      <c r="AD367" s="468"/>
    </row>
    <row r="368" spans="1:30" ht="14.85" customHeight="1">
      <c r="A368" s="2402"/>
      <c r="B368" s="2505"/>
      <c r="C368" s="2504"/>
      <c r="D368" s="2401"/>
      <c r="E368" s="2407"/>
      <c r="F368" s="2408"/>
      <c r="G368" s="1640"/>
      <c r="H368" s="592"/>
      <c r="I368" s="593"/>
      <c r="J368" s="2490" t="s">
        <v>405</v>
      </c>
      <c r="K368" s="2490"/>
      <c r="L368" s="1627"/>
      <c r="M368" s="2212" t="str">
        <f>IF(L368="","",VLOOKUP(L368,'Budget-S&amp;U Codes Lookup'!$E$8:$F$17,2,FALSE))</f>
        <v/>
      </c>
      <c r="N368" s="2213"/>
      <c r="O368" s="468"/>
      <c r="P368" s="468"/>
      <c r="Q368" s="468"/>
      <c r="R368" s="468"/>
      <c r="S368" s="468"/>
      <c r="T368" s="468"/>
      <c r="U368" s="468"/>
      <c r="V368" s="468"/>
      <c r="W368" s="468"/>
      <c r="X368" s="468"/>
      <c r="Y368" s="468"/>
      <c r="Z368" s="468"/>
      <c r="AA368" s="468"/>
      <c r="AB368" s="468"/>
      <c r="AC368" s="468"/>
      <c r="AD368" s="468"/>
    </row>
    <row r="369" spans="1:30" ht="14.85" customHeight="1">
      <c r="A369" s="2402"/>
      <c r="B369" s="2505"/>
      <c r="C369" s="2504"/>
      <c r="D369" s="2401"/>
      <c r="E369" s="2407"/>
      <c r="F369" s="2408"/>
      <c r="G369" s="1640"/>
      <c r="H369" s="592"/>
      <c r="I369" s="593"/>
      <c r="J369" s="2490" t="s">
        <v>405</v>
      </c>
      <c r="K369" s="2490"/>
      <c r="L369" s="1627"/>
      <c r="M369" s="2212" t="str">
        <f>IF(L369="","",VLOOKUP(L369,'Budget-S&amp;U Codes Lookup'!$E$8:$F$17,2,FALSE))</f>
        <v/>
      </c>
      <c r="N369" s="2213"/>
      <c r="O369" s="468"/>
      <c r="P369" s="468"/>
      <c r="Q369" s="468"/>
      <c r="R369" s="468"/>
      <c r="S369" s="468"/>
      <c r="T369" s="468"/>
      <c r="U369" s="468"/>
      <c r="V369" s="468"/>
      <c r="W369" s="468"/>
      <c r="X369" s="468"/>
      <c r="Y369" s="468"/>
      <c r="Z369" s="468"/>
      <c r="AA369" s="468"/>
      <c r="AB369" s="468"/>
      <c r="AC369" s="468"/>
      <c r="AD369" s="468"/>
    </row>
    <row r="370" spans="1:30" ht="14.85" customHeight="1">
      <c r="A370" s="2402"/>
      <c r="B370" s="2505"/>
      <c r="C370" s="2504"/>
      <c r="D370" s="2401"/>
      <c r="E370" s="2407"/>
      <c r="F370" s="2408"/>
      <c r="G370" s="1641"/>
      <c r="H370" s="592"/>
      <c r="I370" s="593"/>
      <c r="J370" s="2490" t="s">
        <v>405</v>
      </c>
      <c r="K370" s="2490"/>
      <c r="L370" s="1627"/>
      <c r="M370" s="2212" t="str">
        <f>IF(L370="","",VLOOKUP(L370,'Budget-S&amp;U Codes Lookup'!$E$8:$F$17,2,FALSE))</f>
        <v/>
      </c>
      <c r="N370" s="2213"/>
      <c r="O370" s="468"/>
      <c r="P370" s="468"/>
      <c r="Q370" s="468"/>
      <c r="R370" s="468"/>
      <c r="S370" s="468"/>
      <c r="T370" s="468"/>
      <c r="U370" s="468"/>
      <c r="V370" s="468"/>
      <c r="W370" s="468"/>
      <c r="X370" s="468"/>
      <c r="Y370" s="468"/>
      <c r="Z370" s="468"/>
      <c r="AA370" s="468"/>
      <c r="AB370" s="468"/>
      <c r="AC370" s="468"/>
      <c r="AD370" s="468"/>
    </row>
    <row r="371" spans="1:30" ht="14.85" customHeight="1">
      <c r="A371" s="2402"/>
      <c r="B371" s="2505"/>
      <c r="C371" s="2504"/>
      <c r="D371" s="2401"/>
      <c r="E371" s="2407"/>
      <c r="F371" s="2408"/>
      <c r="G371" s="1641"/>
      <c r="H371" s="592"/>
      <c r="I371" s="593"/>
      <c r="J371" s="2490" t="s">
        <v>405</v>
      </c>
      <c r="K371" s="2490"/>
      <c r="L371" s="1627"/>
      <c r="M371" s="2212" t="str">
        <f>IF(L371="","",VLOOKUP(L371,'Budget-S&amp;U Codes Lookup'!$E$8:$F$17,2,FALSE))</f>
        <v/>
      </c>
      <c r="N371" s="2213"/>
      <c r="O371" s="468"/>
      <c r="P371" s="468"/>
      <c r="Q371" s="468"/>
      <c r="R371" s="468"/>
      <c r="S371" s="468"/>
      <c r="T371" s="468"/>
      <c r="U371" s="468"/>
      <c r="V371" s="468"/>
      <c r="W371" s="468"/>
      <c r="X371" s="468"/>
      <c r="Y371" s="468"/>
      <c r="Z371" s="468"/>
      <c r="AA371" s="468"/>
      <c r="AB371" s="468"/>
      <c r="AC371" s="468"/>
      <c r="AD371" s="468"/>
    </row>
    <row r="372" spans="1:30" ht="14.85" customHeight="1">
      <c r="A372" s="2402"/>
      <c r="B372" s="2505"/>
      <c r="C372" s="2504"/>
      <c r="D372" s="2401"/>
      <c r="E372" s="2407"/>
      <c r="F372" s="2408"/>
      <c r="G372" s="1641"/>
      <c r="H372" s="592"/>
      <c r="I372" s="593"/>
      <c r="J372" s="2490" t="s">
        <v>405</v>
      </c>
      <c r="K372" s="2490"/>
      <c r="L372" s="1627"/>
      <c r="M372" s="2212" t="str">
        <f>IF(L372="","",VLOOKUP(L372,'Budget-S&amp;U Codes Lookup'!$E$8:$F$17,2,FALSE))</f>
        <v/>
      </c>
      <c r="N372" s="2213"/>
      <c r="O372" s="468"/>
      <c r="P372" s="468"/>
      <c r="Q372" s="468"/>
      <c r="R372" s="468"/>
      <c r="S372" s="468"/>
      <c r="T372" s="468"/>
      <c r="U372" s="468"/>
      <c r="V372" s="468"/>
      <c r="W372" s="468"/>
      <c r="X372" s="468"/>
      <c r="Y372" s="468"/>
      <c r="Z372" s="468"/>
      <c r="AA372" s="468"/>
      <c r="AB372" s="468"/>
      <c r="AC372" s="468"/>
      <c r="AD372" s="468"/>
    </row>
    <row r="373" spans="1:30" ht="15.75">
      <c r="A373" s="1189" t="s">
        <v>406</v>
      </c>
      <c r="B373" s="1196"/>
      <c r="C373" s="1157"/>
      <c r="D373" s="1370"/>
      <c r="E373" s="1370"/>
      <c r="F373" s="1157"/>
      <c r="G373" s="1197"/>
      <c r="H373" s="1198"/>
      <c r="I373" s="1188"/>
      <c r="J373" s="2551"/>
      <c r="K373" s="2551"/>
      <c r="L373" s="1188"/>
      <c r="M373" s="2559"/>
      <c r="N373" s="2551"/>
      <c r="O373" s="468"/>
      <c r="P373" s="468"/>
      <c r="Q373" s="468"/>
      <c r="R373" s="468"/>
      <c r="S373" s="468"/>
      <c r="T373" s="468"/>
      <c r="U373" s="468"/>
      <c r="V373" s="468"/>
      <c r="W373" s="468"/>
      <c r="X373" s="468"/>
      <c r="Y373" s="468"/>
      <c r="Z373" s="468"/>
      <c r="AA373" s="468"/>
      <c r="AB373" s="468"/>
      <c r="AC373" s="468"/>
      <c r="AD373" s="468"/>
    </row>
    <row r="374" spans="1:30" ht="21" customHeight="1">
      <c r="A374" s="2402"/>
      <c r="B374" s="2505"/>
      <c r="C374" s="2504"/>
      <c r="D374" s="2401"/>
      <c r="E374" s="2407"/>
      <c r="F374" s="2408"/>
      <c r="G374" s="1641"/>
      <c r="H374" s="592"/>
      <c r="I374" s="1627"/>
      <c r="J374" s="2490" t="str">
        <f>IF(I374="","",VLOOKUP(I374,'Budget-S&amp;U Codes Lookup'!$A$552:$B$563,2,FALSE))</f>
        <v/>
      </c>
      <c r="K374" s="2490"/>
      <c r="L374" s="1627"/>
      <c r="M374" s="2212" t="str">
        <f>IF(L374="","",VLOOKUP(L374,'Budget-S&amp;U Codes Lookup'!$E$8:$F$17,2,FALSE))</f>
        <v/>
      </c>
      <c r="N374" s="2213"/>
      <c r="O374" s="468"/>
      <c r="P374" s="468"/>
      <c r="Q374" s="468"/>
      <c r="R374" s="468"/>
      <c r="S374" s="468"/>
      <c r="T374" s="468"/>
      <c r="U374" s="468"/>
      <c r="V374" s="468"/>
      <c r="W374" s="468"/>
      <c r="X374" s="468"/>
      <c r="Y374" s="468"/>
      <c r="Z374" s="468"/>
      <c r="AA374" s="468"/>
      <c r="AB374" s="468"/>
      <c r="AC374" s="468"/>
      <c r="AD374" s="468"/>
    </row>
    <row r="375" spans="1:30" ht="21" customHeight="1">
      <c r="A375" s="2402"/>
      <c r="B375" s="2505"/>
      <c r="C375" s="2504"/>
      <c r="D375" s="2401"/>
      <c r="E375" s="2407"/>
      <c r="F375" s="2408"/>
      <c r="G375" s="1641"/>
      <c r="H375" s="592"/>
      <c r="I375" s="1627"/>
      <c r="J375" s="2490" t="str">
        <f>IF(I375="","",VLOOKUP(I375,'Budget-S&amp;U Codes Lookup'!$A$552:$B$563,2,FALSE))</f>
        <v/>
      </c>
      <c r="K375" s="2490"/>
      <c r="L375" s="1627"/>
      <c r="M375" s="2212" t="str">
        <f>IF(L375="","",VLOOKUP(L375,'Budget-S&amp;U Codes Lookup'!$E$8:$F$17,2,FALSE))</f>
        <v/>
      </c>
      <c r="N375" s="2213"/>
      <c r="O375" s="468"/>
      <c r="P375" s="468"/>
      <c r="Q375" s="468"/>
      <c r="R375" s="468"/>
      <c r="S375" s="468"/>
      <c r="T375" s="468"/>
      <c r="U375" s="468"/>
      <c r="V375" s="468"/>
      <c r="W375" s="468"/>
      <c r="X375" s="468"/>
      <c r="Y375" s="468"/>
      <c r="Z375" s="468"/>
      <c r="AA375" s="468"/>
      <c r="AB375" s="468"/>
      <c r="AC375" s="468"/>
      <c r="AD375" s="468"/>
    </row>
    <row r="376" spans="1:30" ht="21" customHeight="1">
      <c r="A376" s="2402"/>
      <c r="B376" s="2505"/>
      <c r="C376" s="2504"/>
      <c r="D376" s="2401"/>
      <c r="E376" s="2407"/>
      <c r="F376" s="2408"/>
      <c r="G376" s="1641"/>
      <c r="H376" s="592"/>
      <c r="I376" s="1627"/>
      <c r="J376" s="2490" t="str">
        <f>IF(I376="","",VLOOKUP(I376,'Budget-S&amp;U Codes Lookup'!$A$552:$B$563,2,FALSE))</f>
        <v/>
      </c>
      <c r="K376" s="2490"/>
      <c r="L376" s="1627"/>
      <c r="M376" s="2212" t="str">
        <f>IF(L376="","",VLOOKUP(L376,'Budget-S&amp;U Codes Lookup'!$E$8:$F$17,2,FALSE))</f>
        <v/>
      </c>
      <c r="N376" s="2213"/>
      <c r="O376" s="468"/>
      <c r="P376" s="468"/>
      <c r="Q376" s="468"/>
      <c r="R376" s="468"/>
      <c r="S376" s="468"/>
      <c r="T376" s="468"/>
      <c r="U376" s="468"/>
      <c r="V376" s="468"/>
      <c r="W376" s="468"/>
      <c r="X376" s="468"/>
      <c r="Y376" s="468"/>
      <c r="Z376" s="468"/>
      <c r="AA376" s="468"/>
      <c r="AB376" s="468"/>
      <c r="AC376" s="468"/>
      <c r="AD376" s="468"/>
    </row>
    <row r="377" spans="1:30" ht="21" customHeight="1">
      <c r="A377" s="2402"/>
      <c r="B377" s="2505"/>
      <c r="C377" s="2504"/>
      <c r="D377" s="2401"/>
      <c r="E377" s="2407"/>
      <c r="F377" s="2408"/>
      <c r="G377" s="1641"/>
      <c r="H377" s="592"/>
      <c r="I377" s="1627"/>
      <c r="J377" s="2490" t="str">
        <f>IF(I377="","",VLOOKUP(I377,'Budget-S&amp;U Codes Lookup'!$A$552:$B$563,2,FALSE))</f>
        <v/>
      </c>
      <c r="K377" s="2490"/>
      <c r="L377" s="1627"/>
      <c r="M377" s="2212" t="str">
        <f>IF(L377="","",VLOOKUP(L377,'Budget-S&amp;U Codes Lookup'!$E$8:$F$17,2,FALSE))</f>
        <v/>
      </c>
      <c r="N377" s="2213"/>
      <c r="O377" s="468"/>
      <c r="P377" s="468"/>
      <c r="Q377" s="468"/>
      <c r="R377" s="468"/>
      <c r="S377" s="468"/>
      <c r="T377" s="468"/>
      <c r="U377" s="468"/>
      <c r="V377" s="468"/>
      <c r="W377" s="468"/>
      <c r="X377" s="468"/>
      <c r="Y377" s="468"/>
      <c r="Z377" s="468"/>
      <c r="AA377" s="468"/>
      <c r="AB377" s="468"/>
      <c r="AC377" s="468"/>
      <c r="AD377" s="468"/>
    </row>
    <row r="378" spans="1:30" ht="21" customHeight="1">
      <c r="A378" s="2402"/>
      <c r="B378" s="2505"/>
      <c r="C378" s="2504"/>
      <c r="D378" s="2401"/>
      <c r="E378" s="2407"/>
      <c r="F378" s="2408"/>
      <c r="G378" s="1641"/>
      <c r="H378" s="592"/>
      <c r="I378" s="1627"/>
      <c r="J378" s="2490" t="str">
        <f>IF(I378="","",VLOOKUP(I378,'Budget-S&amp;U Codes Lookup'!$A$552:$B$563,2,FALSE))</f>
        <v/>
      </c>
      <c r="K378" s="2490"/>
      <c r="L378" s="1627"/>
      <c r="M378" s="2212" t="str">
        <f>IF(L378="","",VLOOKUP(L378,'Budget-S&amp;U Codes Lookup'!$E$8:$F$17,2,FALSE))</f>
        <v/>
      </c>
      <c r="N378" s="2213"/>
      <c r="O378" s="468"/>
      <c r="P378" s="468"/>
      <c r="Q378" s="468"/>
      <c r="R378" s="468"/>
      <c r="S378" s="468"/>
      <c r="T378" s="468"/>
      <c r="U378" s="468"/>
      <c r="V378" s="468"/>
      <c r="W378" s="468"/>
      <c r="X378" s="468"/>
      <c r="Y378" s="468"/>
      <c r="Z378" s="468"/>
      <c r="AA378" s="468"/>
      <c r="AB378" s="468"/>
      <c r="AC378" s="468"/>
      <c r="AD378" s="468"/>
    </row>
    <row r="379" spans="1:30" ht="21" customHeight="1">
      <c r="A379" s="2402"/>
      <c r="B379" s="2505"/>
      <c r="C379" s="2504"/>
      <c r="D379" s="2401"/>
      <c r="E379" s="2407"/>
      <c r="F379" s="2408"/>
      <c r="G379" s="1641"/>
      <c r="H379" s="592"/>
      <c r="I379" s="1627"/>
      <c r="J379" s="2490" t="str">
        <f>IF(I379="","",VLOOKUP(I379,'Budget-S&amp;U Codes Lookup'!$A$552:$B$563,2,FALSE))</f>
        <v/>
      </c>
      <c r="K379" s="2490"/>
      <c r="L379" s="1627"/>
      <c r="M379" s="2212" t="str">
        <f>IF(L379="","",VLOOKUP(L379,'Budget-S&amp;U Codes Lookup'!$E$8:$F$17,2,FALSE))</f>
        <v/>
      </c>
      <c r="N379" s="2213"/>
      <c r="O379" s="468"/>
      <c r="P379" s="468"/>
      <c r="Q379" s="468"/>
      <c r="R379" s="468"/>
      <c r="S379" s="468"/>
      <c r="T379" s="468"/>
      <c r="U379" s="468"/>
      <c r="V379" s="468"/>
      <c r="W379" s="468"/>
      <c r="X379" s="468"/>
      <c r="Y379" s="468"/>
      <c r="Z379" s="468"/>
      <c r="AA379" s="468"/>
      <c r="AB379" s="468"/>
      <c r="AC379" s="468"/>
      <c r="AD379" s="468"/>
    </row>
    <row r="380" spans="1:30" ht="21" customHeight="1">
      <c r="A380" s="2402"/>
      <c r="B380" s="2505"/>
      <c r="C380" s="2504"/>
      <c r="D380" s="2401"/>
      <c r="E380" s="2407"/>
      <c r="F380" s="2408"/>
      <c r="G380" s="1641"/>
      <c r="H380" s="592"/>
      <c r="I380" s="1627"/>
      <c r="J380" s="2490" t="str">
        <f>IF(I380="","",VLOOKUP(I380,'Budget-S&amp;U Codes Lookup'!$A$552:$B$563,2,FALSE))</f>
        <v/>
      </c>
      <c r="K380" s="2490"/>
      <c r="L380" s="1627"/>
      <c r="M380" s="2212" t="str">
        <f>IF(L380="","",VLOOKUP(L380,'Budget-S&amp;U Codes Lookup'!$E$8:$F$17,2,FALSE))</f>
        <v/>
      </c>
      <c r="N380" s="2213"/>
      <c r="O380" s="468"/>
      <c r="P380" s="468"/>
      <c r="Q380" s="468"/>
      <c r="R380" s="468"/>
      <c r="S380" s="468"/>
      <c r="T380" s="468"/>
      <c r="U380" s="468"/>
      <c r="V380" s="468"/>
      <c r="W380" s="468"/>
      <c r="X380" s="468"/>
      <c r="Y380" s="468"/>
      <c r="Z380" s="468"/>
      <c r="AA380" s="468"/>
      <c r="AB380" s="468"/>
      <c r="AC380" s="468"/>
      <c r="AD380" s="468"/>
    </row>
    <row r="381" spans="1:30" ht="21" customHeight="1">
      <c r="A381" s="2402"/>
      <c r="B381" s="2505"/>
      <c r="C381" s="2504"/>
      <c r="D381" s="2401"/>
      <c r="E381" s="2407"/>
      <c r="F381" s="2408"/>
      <c r="G381" s="1641"/>
      <c r="H381" s="592"/>
      <c r="I381" s="1627"/>
      <c r="J381" s="2490" t="str">
        <f>IF(I381="","",VLOOKUP(I381,'Budget-S&amp;U Codes Lookup'!$A$552:$B$563,2,FALSE))</f>
        <v/>
      </c>
      <c r="K381" s="2490"/>
      <c r="L381" s="1627"/>
      <c r="M381" s="2212" t="str">
        <f>IF(L381="","",VLOOKUP(L381,'Budget-S&amp;U Codes Lookup'!$E$8:$F$17,2,FALSE))</f>
        <v/>
      </c>
      <c r="N381" s="2213"/>
      <c r="O381" s="468"/>
      <c r="P381" s="468"/>
      <c r="Q381" s="468"/>
      <c r="R381" s="468"/>
      <c r="S381" s="468"/>
      <c r="T381" s="468"/>
      <c r="U381" s="468"/>
      <c r="V381" s="468"/>
      <c r="W381" s="468"/>
      <c r="X381" s="468"/>
      <c r="Y381" s="468"/>
      <c r="Z381" s="468"/>
      <c r="AA381" s="468"/>
      <c r="AB381" s="468"/>
      <c r="AC381" s="468"/>
      <c r="AD381" s="468"/>
    </row>
    <row r="382" spans="1:30" ht="21" customHeight="1">
      <c r="A382" s="2402"/>
      <c r="B382" s="2505"/>
      <c r="C382" s="2504"/>
      <c r="D382" s="2401"/>
      <c r="E382" s="2407"/>
      <c r="F382" s="2408"/>
      <c r="G382" s="1641"/>
      <c r="H382" s="592"/>
      <c r="I382" s="1627"/>
      <c r="J382" s="2490" t="str">
        <f>IF(I382="","",VLOOKUP(I382,'Budget-S&amp;U Codes Lookup'!$A$552:$B$563,2,FALSE))</f>
        <v/>
      </c>
      <c r="K382" s="2490"/>
      <c r="L382" s="1627"/>
      <c r="M382" s="2212" t="str">
        <f>IF(L382="","",VLOOKUP(L382,'Budget-S&amp;U Codes Lookup'!$E$8:$F$17,2,FALSE))</f>
        <v/>
      </c>
      <c r="N382" s="2213"/>
      <c r="O382" s="468"/>
      <c r="P382" s="468"/>
      <c r="Q382" s="468"/>
      <c r="R382" s="468"/>
      <c r="S382" s="468"/>
      <c r="T382" s="468"/>
      <c r="U382" s="468"/>
      <c r="V382" s="468"/>
      <c r="W382" s="468"/>
      <c r="X382" s="468"/>
      <c r="Y382" s="468"/>
      <c r="Z382" s="468"/>
      <c r="AA382" s="468"/>
      <c r="AB382" s="468"/>
      <c r="AC382" s="468"/>
      <c r="AD382" s="468"/>
    </row>
    <row r="383" spans="1:30" ht="21" customHeight="1">
      <c r="A383" s="2402"/>
      <c r="B383" s="2505"/>
      <c r="C383" s="2504"/>
      <c r="D383" s="2401"/>
      <c r="E383" s="2407"/>
      <c r="F383" s="2408"/>
      <c r="G383" s="1641"/>
      <c r="H383" s="592"/>
      <c r="I383" s="1627"/>
      <c r="J383" s="2490" t="str">
        <f>IF(I383="","",VLOOKUP(I383,'Budget-S&amp;U Codes Lookup'!$A$552:$B$563,2,FALSE))</f>
        <v/>
      </c>
      <c r="K383" s="2490"/>
      <c r="L383" s="1627"/>
      <c r="M383" s="2212" t="str">
        <f>IF(L383="","",VLOOKUP(L383,'Budget-S&amp;U Codes Lookup'!$E$8:$F$17,2,FALSE))</f>
        <v/>
      </c>
      <c r="N383" s="2213"/>
      <c r="O383" s="468"/>
      <c r="P383" s="468"/>
      <c r="Q383" s="468"/>
      <c r="R383" s="468"/>
      <c r="S383" s="468"/>
      <c r="T383" s="468"/>
      <c r="U383" s="468"/>
      <c r="V383" s="468"/>
      <c r="W383" s="468"/>
      <c r="X383" s="468"/>
      <c r="Y383" s="468"/>
      <c r="Z383" s="468"/>
      <c r="AA383" s="468"/>
      <c r="AB383" s="468"/>
      <c r="AC383" s="468"/>
      <c r="AD383" s="468"/>
    </row>
    <row r="384" spans="1:30" ht="21" hidden="1" customHeight="1" outlineLevel="1">
      <c r="A384" s="2402"/>
      <c r="B384" s="2505"/>
      <c r="C384" s="2504"/>
      <c r="D384" s="2500"/>
      <c r="E384" s="2501"/>
      <c r="F384" s="2506"/>
      <c r="G384" s="1641"/>
      <c r="H384" s="592"/>
      <c r="I384" s="1627"/>
      <c r="J384" s="2490" t="str">
        <f>IF(I384="","",VLOOKUP(I384,'Budget-S&amp;U Codes Lookup'!$A$552:$B$563,2,FALSE))</f>
        <v/>
      </c>
      <c r="K384" s="2490"/>
      <c r="L384" s="1627"/>
      <c r="M384" s="2212" t="str">
        <f>IF(L384="","",VLOOKUP(L384,'Budget-S&amp;U Codes Lookup'!$E$8:$F$17,2,FALSE))</f>
        <v/>
      </c>
      <c r="N384" s="2213"/>
      <c r="O384" s="468"/>
      <c r="P384" s="468"/>
      <c r="Q384" s="468"/>
      <c r="R384" s="468"/>
      <c r="S384" s="468"/>
      <c r="T384" s="468"/>
      <c r="U384" s="468"/>
      <c r="V384" s="468"/>
      <c r="W384" s="468"/>
      <c r="X384" s="468"/>
      <c r="Y384" s="468"/>
      <c r="Z384" s="468"/>
      <c r="AA384" s="468"/>
      <c r="AB384" s="468"/>
      <c r="AC384" s="468"/>
      <c r="AD384" s="468"/>
    </row>
    <row r="385" spans="1:30" ht="21" hidden="1" customHeight="1" outlineLevel="1">
      <c r="A385" s="2402"/>
      <c r="B385" s="2505"/>
      <c r="C385" s="2504"/>
      <c r="D385" s="2500"/>
      <c r="E385" s="2501"/>
      <c r="F385" s="2506"/>
      <c r="G385" s="1641"/>
      <c r="H385" s="592"/>
      <c r="I385" s="1627"/>
      <c r="J385" s="2490" t="str">
        <f>IF(I385="","",VLOOKUP(I385,'Budget-S&amp;U Codes Lookup'!$A$552:$B$563,2,FALSE))</f>
        <v/>
      </c>
      <c r="K385" s="2490"/>
      <c r="L385" s="1627"/>
      <c r="M385" s="2212" t="str">
        <f>IF(L385="","",VLOOKUP(L385,'Budget-S&amp;U Codes Lookup'!$E$8:$F$17,2,FALSE))</f>
        <v/>
      </c>
      <c r="N385" s="2213"/>
      <c r="O385" s="468"/>
      <c r="P385" s="468"/>
      <c r="Q385" s="468"/>
      <c r="R385" s="468"/>
      <c r="S385" s="468"/>
      <c r="T385" s="468"/>
      <c r="U385" s="468"/>
      <c r="V385" s="468"/>
      <c r="W385" s="468"/>
      <c r="X385" s="468"/>
      <c r="Y385" s="468"/>
      <c r="Z385" s="468"/>
      <c r="AA385" s="468"/>
      <c r="AB385" s="468"/>
      <c r="AC385" s="468"/>
      <c r="AD385" s="468"/>
    </row>
    <row r="386" spans="1:30" ht="21" hidden="1" customHeight="1" outlineLevel="1">
      <c r="A386" s="2402"/>
      <c r="B386" s="2505"/>
      <c r="C386" s="2504"/>
      <c r="D386" s="2500"/>
      <c r="E386" s="2501"/>
      <c r="F386" s="2506"/>
      <c r="G386" s="1641"/>
      <c r="H386" s="592"/>
      <c r="I386" s="1627"/>
      <c r="J386" s="2490" t="str">
        <f>IF(I386="","",VLOOKUP(I386,'Budget-S&amp;U Codes Lookup'!$A$552:$B$563,2,FALSE))</f>
        <v/>
      </c>
      <c r="K386" s="2490"/>
      <c r="L386" s="1627"/>
      <c r="M386" s="2212" t="str">
        <f>IF(L386="","",VLOOKUP(L386,'Budget-S&amp;U Codes Lookup'!$E$8:$F$17,2,FALSE))</f>
        <v/>
      </c>
      <c r="N386" s="2213"/>
      <c r="O386" s="468"/>
      <c r="P386" s="468"/>
      <c r="Q386" s="468"/>
      <c r="R386" s="468"/>
      <c r="S386" s="468"/>
      <c r="T386" s="468"/>
      <c r="U386" s="468"/>
      <c r="V386" s="468"/>
      <c r="W386" s="468"/>
      <c r="X386" s="468"/>
      <c r="Y386" s="468"/>
      <c r="Z386" s="468"/>
      <c r="AA386" s="468"/>
      <c r="AB386" s="468"/>
      <c r="AC386" s="468"/>
      <c r="AD386" s="468"/>
    </row>
    <row r="387" spans="1:30" ht="21" hidden="1" customHeight="1" outlineLevel="1">
      <c r="A387" s="2402"/>
      <c r="B387" s="2505"/>
      <c r="C387" s="2504"/>
      <c r="D387" s="2500"/>
      <c r="E387" s="2501"/>
      <c r="F387" s="2506"/>
      <c r="G387" s="1641"/>
      <c r="H387" s="592"/>
      <c r="I387" s="1627"/>
      <c r="J387" s="2490" t="str">
        <f>IF(I387="","",VLOOKUP(I387,'Budget-S&amp;U Codes Lookup'!$A$552:$B$563,2,FALSE))</f>
        <v/>
      </c>
      <c r="K387" s="2490"/>
      <c r="L387" s="1627"/>
      <c r="M387" s="2212" t="str">
        <f>IF(L387="","",VLOOKUP(L387,'Budget-S&amp;U Codes Lookup'!$E$8:$F$17,2,FALSE))</f>
        <v/>
      </c>
      <c r="N387" s="2213"/>
      <c r="O387" s="468"/>
      <c r="P387" s="468"/>
      <c r="Q387" s="468"/>
      <c r="R387" s="468"/>
      <c r="S387" s="468"/>
      <c r="T387" s="468"/>
      <c r="U387" s="468"/>
      <c r="V387" s="468"/>
      <c r="W387" s="468"/>
      <c r="X387" s="468"/>
      <c r="Y387" s="468"/>
      <c r="Z387" s="468"/>
      <c r="AA387" s="468"/>
      <c r="AB387" s="468"/>
      <c r="AC387" s="468"/>
      <c r="AD387" s="468"/>
    </row>
    <row r="388" spans="1:30" ht="21" hidden="1" customHeight="1" outlineLevel="1">
      <c r="A388" s="2402"/>
      <c r="B388" s="2505"/>
      <c r="C388" s="2504"/>
      <c r="D388" s="2500"/>
      <c r="E388" s="2501"/>
      <c r="F388" s="2506"/>
      <c r="G388" s="1641"/>
      <c r="H388" s="592"/>
      <c r="I388" s="1627"/>
      <c r="J388" s="2490" t="str">
        <f>IF(I388="","",VLOOKUP(I388,'Budget-S&amp;U Codes Lookup'!$A$552:$B$563,2,FALSE))</f>
        <v/>
      </c>
      <c r="K388" s="2490"/>
      <c r="L388" s="1627"/>
      <c r="M388" s="2212" t="str">
        <f>IF(L388="","",VLOOKUP(L388,'Budget-S&amp;U Codes Lookup'!$E$8:$F$17,2,FALSE))</f>
        <v/>
      </c>
      <c r="N388" s="2213"/>
      <c r="O388" s="468"/>
      <c r="P388" s="468"/>
      <c r="Q388" s="468"/>
      <c r="R388" s="468"/>
      <c r="S388" s="468"/>
      <c r="T388" s="468"/>
      <c r="U388" s="468"/>
      <c r="V388" s="468"/>
      <c r="W388" s="468"/>
      <c r="X388" s="468"/>
      <c r="Y388" s="468"/>
      <c r="Z388" s="468"/>
      <c r="AA388" s="468"/>
      <c r="AB388" s="468"/>
      <c r="AC388" s="468"/>
      <c r="AD388" s="468"/>
    </row>
    <row r="389" spans="1:30" ht="21" hidden="1" customHeight="1" outlineLevel="1">
      <c r="A389" s="2402"/>
      <c r="B389" s="2505"/>
      <c r="C389" s="2504"/>
      <c r="D389" s="2500"/>
      <c r="E389" s="2501"/>
      <c r="F389" s="2506"/>
      <c r="G389" s="1641"/>
      <c r="H389" s="592"/>
      <c r="I389" s="1627"/>
      <c r="J389" s="2490" t="str">
        <f>IF(I389="","",VLOOKUP(I389,'Budget-S&amp;U Codes Lookup'!$A$552:$B$563,2,FALSE))</f>
        <v/>
      </c>
      <c r="K389" s="2490"/>
      <c r="L389" s="1627"/>
      <c r="M389" s="2212" t="str">
        <f>IF(L389="","",VLOOKUP(L389,'Budget-S&amp;U Codes Lookup'!$E$8:$F$17,2,FALSE))</f>
        <v/>
      </c>
      <c r="N389" s="2213"/>
      <c r="O389" s="468"/>
      <c r="P389" s="468"/>
      <c r="Q389" s="468"/>
      <c r="R389" s="468"/>
      <c r="S389" s="468"/>
      <c r="T389" s="468"/>
      <c r="U389" s="468"/>
      <c r="V389" s="468"/>
      <c r="W389" s="468"/>
      <c r="X389" s="468"/>
      <c r="Y389" s="468"/>
      <c r="Z389" s="468"/>
      <c r="AA389" s="468"/>
      <c r="AB389" s="468"/>
      <c r="AC389" s="468"/>
      <c r="AD389" s="468"/>
    </row>
    <row r="390" spans="1:30" ht="21" hidden="1" customHeight="1" outlineLevel="1">
      <c r="A390" s="2402"/>
      <c r="B390" s="2505"/>
      <c r="C390" s="2504"/>
      <c r="D390" s="2500"/>
      <c r="E390" s="2501"/>
      <c r="F390" s="2506"/>
      <c r="G390" s="1641"/>
      <c r="H390" s="592"/>
      <c r="I390" s="1627"/>
      <c r="J390" s="2490" t="str">
        <f>IF(I390="","",VLOOKUP(I390,'Budget-S&amp;U Codes Lookup'!$A$552:$B$563,2,FALSE))</f>
        <v/>
      </c>
      <c r="K390" s="2490"/>
      <c r="L390" s="1627"/>
      <c r="M390" s="2212" t="str">
        <f>IF(L390="","",VLOOKUP(L390,'Budget-S&amp;U Codes Lookup'!$E$8:$F$17,2,FALSE))</f>
        <v/>
      </c>
      <c r="N390" s="2213"/>
      <c r="O390" s="468"/>
      <c r="P390" s="468"/>
      <c r="Q390" s="468"/>
      <c r="R390" s="468"/>
      <c r="S390" s="468"/>
      <c r="T390" s="468"/>
      <c r="U390" s="468"/>
      <c r="V390" s="468"/>
      <c r="W390" s="468"/>
      <c r="X390" s="468"/>
      <c r="Y390" s="468"/>
      <c r="Z390" s="468"/>
      <c r="AA390" s="468"/>
      <c r="AB390" s="468"/>
      <c r="AC390" s="468"/>
      <c r="AD390" s="468"/>
    </row>
    <row r="391" spans="1:30" ht="21" hidden="1" customHeight="1" outlineLevel="1">
      <c r="A391" s="2402"/>
      <c r="B391" s="2505"/>
      <c r="C391" s="2504"/>
      <c r="D391" s="2500"/>
      <c r="E391" s="2501"/>
      <c r="F391" s="2506"/>
      <c r="G391" s="1641"/>
      <c r="H391" s="592"/>
      <c r="I391" s="1627"/>
      <c r="J391" s="2490" t="str">
        <f>IF(I391="","",VLOOKUP(I391,'Budget-S&amp;U Codes Lookup'!$A$552:$B$563,2,FALSE))</f>
        <v/>
      </c>
      <c r="K391" s="2490"/>
      <c r="L391" s="1627"/>
      <c r="M391" s="2212" t="str">
        <f>IF(L391="","",VLOOKUP(L391,'Budget-S&amp;U Codes Lookup'!$E$8:$F$17,2,FALSE))</f>
        <v/>
      </c>
      <c r="N391" s="2213"/>
      <c r="O391" s="468"/>
      <c r="P391" s="468"/>
      <c r="Q391" s="468"/>
      <c r="R391" s="468"/>
      <c r="S391" s="468"/>
      <c r="T391" s="468"/>
      <c r="U391" s="468"/>
      <c r="V391" s="468"/>
      <c r="W391" s="468"/>
      <c r="X391" s="468"/>
      <c r="Y391" s="468"/>
      <c r="Z391" s="468"/>
      <c r="AA391" s="468"/>
      <c r="AB391" s="468"/>
      <c r="AC391" s="468"/>
      <c r="AD391" s="468"/>
    </row>
    <row r="392" spans="1:30" ht="21" hidden="1" customHeight="1" outlineLevel="1">
      <c r="A392" s="2402"/>
      <c r="B392" s="2505"/>
      <c r="C392" s="2504"/>
      <c r="D392" s="2500"/>
      <c r="E392" s="2501"/>
      <c r="F392" s="2506"/>
      <c r="G392" s="1641"/>
      <c r="H392" s="592"/>
      <c r="I392" s="1627"/>
      <c r="J392" s="2490" t="str">
        <f>IF(I392="","",VLOOKUP(I392,'Budget-S&amp;U Codes Lookup'!$A$552:$B$563,2,FALSE))</f>
        <v/>
      </c>
      <c r="K392" s="2490"/>
      <c r="L392" s="1627"/>
      <c r="M392" s="2212" t="str">
        <f>IF(L392="","",VLOOKUP(L392,'Budget-S&amp;U Codes Lookup'!$E$8:$F$17,2,FALSE))</f>
        <v/>
      </c>
      <c r="N392" s="2213"/>
      <c r="O392" s="468"/>
      <c r="P392" s="468"/>
      <c r="Q392" s="468"/>
      <c r="R392" s="468"/>
      <c r="S392" s="468"/>
      <c r="T392" s="468"/>
      <c r="U392" s="468"/>
      <c r="V392" s="468"/>
      <c r="W392" s="468"/>
      <c r="X392" s="468"/>
      <c r="Y392" s="468"/>
      <c r="Z392" s="468"/>
      <c r="AA392" s="468"/>
      <c r="AB392" s="468"/>
      <c r="AC392" s="468"/>
      <c r="AD392" s="468"/>
    </row>
    <row r="393" spans="1:30" ht="21" hidden="1" customHeight="1" outlineLevel="1">
      <c r="A393" s="2402"/>
      <c r="B393" s="2505"/>
      <c r="C393" s="2504"/>
      <c r="D393" s="2500"/>
      <c r="E393" s="2501"/>
      <c r="F393" s="2506"/>
      <c r="G393" s="1642"/>
      <c r="H393" s="592"/>
      <c r="I393" s="1627"/>
      <c r="J393" s="2490" t="str">
        <f>IF(I393="","",VLOOKUP(I393,'Budget-S&amp;U Codes Lookup'!$A$552:$B$563,2,FALSE))</f>
        <v/>
      </c>
      <c r="K393" s="2490"/>
      <c r="L393" s="1627"/>
      <c r="M393" s="2212" t="str">
        <f>IF(L393="","",VLOOKUP(L393,'Budget-S&amp;U Codes Lookup'!$E$8:$F$17,2,FALSE))</f>
        <v/>
      </c>
      <c r="N393" s="2213"/>
      <c r="O393" s="468"/>
      <c r="P393" s="468"/>
      <c r="Q393" s="468"/>
      <c r="R393" s="468"/>
      <c r="S393" s="468"/>
      <c r="T393" s="468"/>
      <c r="U393" s="468"/>
      <c r="V393" s="468"/>
      <c r="W393" s="468"/>
      <c r="X393" s="468"/>
      <c r="Y393" s="468"/>
      <c r="Z393" s="468"/>
      <c r="AA393" s="468"/>
      <c r="AB393" s="468"/>
      <c r="AC393" s="468"/>
      <c r="AD393" s="468"/>
    </row>
    <row r="394" spans="1:30" ht="15.75" collapsed="1" thickBot="1">
      <c r="A394" s="550" t="s">
        <v>407</v>
      </c>
      <c r="B394" s="550"/>
      <c r="C394" s="550"/>
      <c r="D394" s="374"/>
      <c r="E394" s="374"/>
      <c r="F394" s="550"/>
      <c r="G394" s="594">
        <f>SUM(G360:G393)</f>
        <v>0</v>
      </c>
      <c r="H394" s="595"/>
      <c r="I394" s="561"/>
      <c r="J394" s="1977"/>
      <c r="K394" s="1977"/>
      <c r="L394" s="561"/>
      <c r="M394" s="2212" t="str">
        <f>IF(L394="","",VLOOKUP(L394,'Budget-S&amp;U Codes Lookup'!$E$8:$F$17,2,FALSE))</f>
        <v/>
      </c>
      <c r="N394" s="1977"/>
      <c r="O394" s="468"/>
      <c r="P394" s="468"/>
      <c r="Q394" s="468"/>
      <c r="R394" s="468"/>
      <c r="S394" s="468"/>
      <c r="T394" s="468"/>
      <c r="U394" s="468"/>
      <c r="V394" s="468"/>
      <c r="W394" s="468"/>
      <c r="X394" s="468"/>
      <c r="Y394" s="468"/>
      <c r="Z394" s="468"/>
      <c r="AA394" s="468"/>
      <c r="AB394" s="468"/>
      <c r="AC394" s="468"/>
      <c r="AD394" s="468"/>
    </row>
    <row r="395" spans="1:30">
      <c r="A395" s="468"/>
      <c r="B395" s="468"/>
      <c r="C395" s="468"/>
      <c r="D395" s="655"/>
      <c r="E395" s="655"/>
      <c r="F395" s="468"/>
      <c r="G395" s="507"/>
      <c r="H395" s="581"/>
      <c r="I395" s="580"/>
      <c r="J395" s="538"/>
      <c r="K395" s="538"/>
      <c r="L395" s="580"/>
      <c r="M395" s="538"/>
      <c r="N395" s="538"/>
      <c r="O395" s="468"/>
      <c r="P395" s="468"/>
      <c r="Q395" s="468"/>
      <c r="R395" s="468"/>
      <c r="S395" s="468"/>
      <c r="T395" s="468"/>
      <c r="U395" s="468"/>
      <c r="V395" s="468"/>
      <c r="W395" s="468"/>
      <c r="X395" s="468"/>
      <c r="Y395" s="468"/>
      <c r="Z395" s="468"/>
      <c r="AA395" s="468"/>
      <c r="AB395" s="468"/>
      <c r="AC395" s="468"/>
      <c r="AD395" s="468"/>
    </row>
    <row r="396" spans="1:30">
      <c r="A396" s="468"/>
      <c r="B396" s="468"/>
      <c r="C396" s="468"/>
      <c r="D396" s="655"/>
      <c r="E396" s="655"/>
      <c r="F396" s="468"/>
      <c r="G396" s="507"/>
      <c r="H396" s="524"/>
      <c r="I396" s="558"/>
      <c r="J396" s="470"/>
      <c r="K396" s="470"/>
      <c r="L396" s="558"/>
      <c r="M396" s="470"/>
      <c r="N396" s="470"/>
      <c r="O396" s="468"/>
      <c r="P396" s="468"/>
      <c r="Q396" s="468"/>
      <c r="R396" s="468"/>
      <c r="S396" s="468"/>
      <c r="T396" s="468"/>
      <c r="U396" s="468"/>
      <c r="V396" s="468"/>
      <c r="W396" s="468"/>
      <c r="X396" s="468"/>
      <c r="Y396" s="468"/>
      <c r="Z396" s="468"/>
      <c r="AA396" s="468"/>
      <c r="AB396" s="468"/>
      <c r="AC396" s="468"/>
      <c r="AD396" s="468"/>
    </row>
    <row r="397" spans="1:30" ht="18.75">
      <c r="A397" s="1156" t="s">
        <v>408</v>
      </c>
      <c r="B397" s="1157"/>
      <c r="C397" s="1157"/>
      <c r="D397" s="1370"/>
      <c r="E397" s="1370"/>
      <c r="F397" s="1157"/>
      <c r="G397" s="1197"/>
      <c r="H397" s="1197"/>
      <c r="I397" s="1188"/>
      <c r="J397" s="1161"/>
      <c r="K397" s="1161"/>
      <c r="L397" s="1188"/>
      <c r="M397" s="1161"/>
      <c r="N397" s="1161"/>
      <c r="O397" s="468"/>
      <c r="P397" s="468"/>
      <c r="Q397" s="468"/>
      <c r="R397" s="468"/>
      <c r="S397" s="468"/>
      <c r="T397" s="468"/>
      <c r="U397" s="468"/>
      <c r="V397" s="468"/>
      <c r="W397" s="468"/>
      <c r="X397" s="468"/>
      <c r="Y397" s="468"/>
      <c r="Z397" s="468"/>
      <c r="AA397" s="468"/>
      <c r="AB397" s="468"/>
      <c r="AC397" s="468"/>
      <c r="AD397" s="468"/>
    </row>
    <row r="398" spans="1:30">
      <c r="A398" s="596" t="s">
        <v>409</v>
      </c>
      <c r="B398" s="597"/>
      <c r="C398" s="597"/>
      <c r="D398" s="1385"/>
      <c r="E398" s="1385"/>
      <c r="F398" s="597"/>
      <c r="G398" s="598"/>
      <c r="H398" s="598"/>
      <c r="I398" s="561"/>
      <c r="J398" s="1977"/>
      <c r="K398" s="1977"/>
      <c r="L398" s="561"/>
      <c r="M398" s="1977"/>
      <c r="N398" s="1977"/>
      <c r="O398" s="468"/>
      <c r="P398" s="468"/>
      <c r="Q398" s="468"/>
      <c r="R398" s="468"/>
      <c r="S398" s="468"/>
      <c r="T398" s="468"/>
      <c r="U398" s="468"/>
      <c r="V398" s="468"/>
      <c r="W398" s="468"/>
      <c r="X398" s="468"/>
      <c r="Y398" s="468"/>
      <c r="Z398" s="468"/>
      <c r="AA398" s="468"/>
      <c r="AB398" s="468"/>
      <c r="AC398" s="468"/>
      <c r="AD398" s="468"/>
    </row>
    <row r="399" spans="1:30" ht="37.5">
      <c r="A399" s="582"/>
      <c r="B399" s="583"/>
      <c r="C399" s="583"/>
      <c r="D399" s="1383"/>
      <c r="E399" s="1374"/>
      <c r="F399" s="1170"/>
      <c r="G399" s="1170"/>
      <c r="H399" s="1171" t="s">
        <v>361</v>
      </c>
      <c r="I399" s="2406" t="s">
        <v>362</v>
      </c>
      <c r="J399" s="2536"/>
      <c r="K399" s="2536"/>
      <c r="L399" s="2406" t="s">
        <v>363</v>
      </c>
      <c r="M399" s="2508"/>
      <c r="N399" s="2509"/>
      <c r="O399" s="468"/>
      <c r="P399" s="468"/>
      <c r="Q399" s="468"/>
      <c r="R399" s="468"/>
      <c r="S399" s="468"/>
      <c r="T399" s="468"/>
      <c r="U399" s="468"/>
      <c r="V399" s="468"/>
      <c r="W399" s="468"/>
      <c r="X399" s="468"/>
      <c r="Y399" s="468"/>
      <c r="Z399" s="468"/>
      <c r="AA399" s="468"/>
      <c r="AB399" s="468"/>
      <c r="AC399" s="468"/>
      <c r="AD399" s="468"/>
    </row>
    <row r="400" spans="1:30" ht="16.5" thickBot="1">
      <c r="A400" s="1209" t="s">
        <v>410</v>
      </c>
      <c r="B400" s="1199"/>
      <c r="C400" s="1199"/>
      <c r="D400" s="1386"/>
      <c r="E400" s="1386"/>
      <c r="F400" s="1199"/>
      <c r="G400" s="1200"/>
      <c r="H400" s="1201"/>
      <c r="I400" s="1200"/>
      <c r="J400" s="1200"/>
      <c r="K400" s="1200"/>
      <c r="L400" s="1200"/>
      <c r="M400" s="1200"/>
      <c r="N400" s="1200"/>
      <c r="O400" s="468"/>
      <c r="P400" s="468"/>
      <c r="Q400" s="468"/>
      <c r="R400" s="468"/>
      <c r="S400" s="468"/>
      <c r="T400" s="468"/>
      <c r="U400" s="468"/>
      <c r="V400" s="468"/>
      <c r="W400" s="468"/>
      <c r="X400" s="468"/>
      <c r="Y400" s="468"/>
      <c r="Z400" s="468"/>
      <c r="AA400" s="468"/>
      <c r="AB400" s="468"/>
      <c r="AC400" s="468"/>
      <c r="AD400" s="468"/>
    </row>
    <row r="401" spans="1:30" ht="32.25" customHeight="1">
      <c r="A401" s="1977" t="s">
        <v>411</v>
      </c>
      <c r="B401" s="1977"/>
      <c r="C401" s="1977"/>
      <c r="D401" s="1387"/>
      <c r="E401" s="561"/>
      <c r="F401" s="1977"/>
      <c r="G401" s="624"/>
      <c r="H401" s="1644"/>
      <c r="I401" s="1645"/>
      <c r="J401" s="2490" t="str">
        <f>IF(I401="","",VLOOKUP(I401,'Budget-S&amp;U Codes Lookup'!$A$7:$B$564,2,FALSE))</f>
        <v/>
      </c>
      <c r="K401" s="2490"/>
      <c r="L401" s="1627"/>
      <c r="M401" s="2212" t="str">
        <f>IF(L401="","",VLOOKUP(L401,'Budget-S&amp;U Codes Lookup'!$E$7:$F$89,2,FALSE))</f>
        <v/>
      </c>
      <c r="N401" s="2213"/>
      <c r="O401" s="468"/>
      <c r="P401" s="468"/>
      <c r="Q401" s="468"/>
      <c r="R401" s="468"/>
      <c r="S401" s="468"/>
      <c r="T401" s="468"/>
      <c r="U401" s="468"/>
      <c r="V401" s="468"/>
      <c r="W401" s="468"/>
      <c r="X401" s="468"/>
      <c r="Y401" s="468"/>
      <c r="Z401" s="468"/>
      <c r="AA401" s="468"/>
      <c r="AB401" s="468"/>
      <c r="AC401" s="468"/>
      <c r="AD401" s="468"/>
    </row>
    <row r="402" spans="1:30" ht="23.1" customHeight="1">
      <c r="A402" s="1643"/>
      <c r="B402" s="1977"/>
      <c r="C402" s="2403"/>
      <c r="D402" s="2403"/>
      <c r="E402" s="2403"/>
      <c r="F402" s="2405"/>
      <c r="G402" s="624"/>
      <c r="H402" s="1646"/>
      <c r="I402" s="1645"/>
      <c r="J402" s="2490" t="str">
        <f>IF(I402="","",VLOOKUP(I402,'Budget-S&amp;U Codes Lookup'!$A$7:$B$564,2,FALSE))</f>
        <v/>
      </c>
      <c r="K402" s="2490"/>
      <c r="L402" s="1627"/>
      <c r="M402" s="2212" t="str">
        <f>IF(L402="","",VLOOKUP(L402,'Budget-S&amp;U Codes Lookup'!$E$7:$F$89,2,FALSE))</f>
        <v/>
      </c>
      <c r="N402" s="2213"/>
      <c r="O402" s="468"/>
      <c r="P402" s="468"/>
      <c r="Q402" s="468"/>
      <c r="R402" s="468"/>
      <c r="S402" s="468"/>
      <c r="T402" s="468"/>
      <c r="U402" s="468"/>
      <c r="V402" s="468"/>
      <c r="W402" s="468"/>
      <c r="X402" s="468"/>
      <c r="Y402" s="468"/>
      <c r="Z402" s="468"/>
      <c r="AA402" s="468"/>
      <c r="AB402" s="468"/>
      <c r="AC402" s="468"/>
      <c r="AD402" s="468"/>
    </row>
    <row r="403" spans="1:30" ht="23.1" customHeight="1">
      <c r="A403" s="1643"/>
      <c r="B403" s="1977"/>
      <c r="C403" s="2403"/>
      <c r="D403" s="2403"/>
      <c r="E403" s="2403"/>
      <c r="F403" s="2405"/>
      <c r="G403" s="624"/>
      <c r="H403" s="1646"/>
      <c r="I403" s="1645"/>
      <c r="J403" s="2490" t="str">
        <f>IF(I403="","",VLOOKUP(I403,'Budget-S&amp;U Codes Lookup'!$A$7:$B$564,2,FALSE))</f>
        <v/>
      </c>
      <c r="K403" s="2490"/>
      <c r="L403" s="1627"/>
      <c r="M403" s="2212" t="str">
        <f>IF(L403="","",VLOOKUP(L403,'Budget-S&amp;U Codes Lookup'!$E$7:$F$89,2,FALSE))</f>
        <v/>
      </c>
      <c r="N403" s="2213"/>
      <c r="O403" s="468"/>
      <c r="P403" s="468"/>
      <c r="Q403" s="468"/>
      <c r="R403" s="468"/>
      <c r="S403" s="468"/>
      <c r="T403" s="468"/>
      <c r="U403" s="468"/>
      <c r="V403" s="468"/>
      <c r="W403" s="468"/>
      <c r="X403" s="468"/>
      <c r="Y403" s="468"/>
      <c r="Z403" s="468"/>
      <c r="AA403" s="468"/>
      <c r="AB403" s="468"/>
      <c r="AC403" s="468"/>
      <c r="AD403" s="468"/>
    </row>
    <row r="404" spans="1:30" ht="23.1" customHeight="1">
      <c r="A404" s="1643"/>
      <c r="B404" s="1977"/>
      <c r="C404" s="2403"/>
      <c r="D404" s="2403"/>
      <c r="E404" s="2403"/>
      <c r="F404" s="2405"/>
      <c r="G404" s="624"/>
      <c r="H404" s="1646"/>
      <c r="I404" s="1645"/>
      <c r="J404" s="2490" t="str">
        <f>IF(I404="","",VLOOKUP(I404,'Budget-S&amp;U Codes Lookup'!$A$7:$B$564,2,FALSE))</f>
        <v/>
      </c>
      <c r="K404" s="2490"/>
      <c r="L404" s="1627"/>
      <c r="M404" s="2212" t="str">
        <f>IF(L404="","",VLOOKUP(L404,'Budget-S&amp;U Codes Lookup'!$E$7:$F$89,2,FALSE))</f>
        <v/>
      </c>
      <c r="N404" s="2213"/>
      <c r="O404" s="468"/>
      <c r="P404" s="468"/>
      <c r="Q404" s="468"/>
      <c r="R404" s="468"/>
      <c r="S404" s="468"/>
      <c r="T404" s="468"/>
      <c r="U404" s="468"/>
      <c r="V404" s="468"/>
      <c r="W404" s="468"/>
      <c r="X404" s="468"/>
      <c r="Y404" s="468"/>
      <c r="Z404" s="468"/>
      <c r="AA404" s="468"/>
      <c r="AB404" s="468"/>
      <c r="AC404" s="468"/>
      <c r="AD404" s="468"/>
    </row>
    <row r="405" spans="1:30" ht="23.1" customHeight="1">
      <c r="A405" s="1643"/>
      <c r="B405" s="1977"/>
      <c r="C405" s="2403"/>
      <c r="D405" s="2403"/>
      <c r="E405" s="2403"/>
      <c r="F405" s="2405"/>
      <c r="G405" s="624"/>
      <c r="H405" s="1646"/>
      <c r="I405" s="1645"/>
      <c r="J405" s="2490" t="str">
        <f>IF(I405="","",VLOOKUP(I405,'Budget-S&amp;U Codes Lookup'!$A$7:$B$564,2,FALSE))</f>
        <v/>
      </c>
      <c r="K405" s="2490"/>
      <c r="L405" s="1627"/>
      <c r="M405" s="2212" t="str">
        <f>IF(L405="","",VLOOKUP(L405,'Budget-S&amp;U Codes Lookup'!$E$7:$F$89,2,FALSE))</f>
        <v/>
      </c>
      <c r="N405" s="2213"/>
      <c r="O405" s="468"/>
      <c r="P405" s="468"/>
      <c r="Q405" s="468"/>
      <c r="R405" s="468"/>
      <c r="S405" s="468"/>
      <c r="T405" s="468"/>
      <c r="U405" s="468"/>
      <c r="V405" s="468"/>
      <c r="W405" s="468"/>
      <c r="X405" s="468"/>
      <c r="Y405" s="468"/>
      <c r="Z405" s="468"/>
      <c r="AA405" s="468"/>
      <c r="AB405" s="468"/>
      <c r="AC405" s="468"/>
      <c r="AD405" s="468"/>
    </row>
    <row r="406" spans="1:30" ht="23.1" customHeight="1">
      <c r="A406" s="1643"/>
      <c r="B406" s="1977"/>
      <c r="C406" s="2403"/>
      <c r="D406" s="2403"/>
      <c r="E406" s="2403"/>
      <c r="F406" s="2405"/>
      <c r="G406" s="624"/>
      <c r="H406" s="1646"/>
      <c r="I406" s="1645"/>
      <c r="J406" s="2490" t="str">
        <f>IF(I406="","",VLOOKUP(I406,'Budget-S&amp;U Codes Lookup'!$A$7:$B$564,2,FALSE))</f>
        <v/>
      </c>
      <c r="K406" s="2490"/>
      <c r="L406" s="1627"/>
      <c r="M406" s="2212" t="str">
        <f>IF(L406="","",VLOOKUP(L406,'Budget-S&amp;U Codes Lookup'!$E$7:$F$89,2,FALSE))</f>
        <v/>
      </c>
      <c r="N406" s="2213"/>
      <c r="O406" s="468"/>
      <c r="P406" s="468"/>
      <c r="Q406" s="468"/>
      <c r="R406" s="468"/>
      <c r="S406" s="468"/>
      <c r="T406" s="468"/>
      <c r="U406" s="468"/>
      <c r="V406" s="468"/>
      <c r="W406" s="468"/>
      <c r="X406" s="468"/>
      <c r="Y406" s="468"/>
      <c r="Z406" s="468"/>
      <c r="AA406" s="468"/>
      <c r="AB406" s="468"/>
      <c r="AC406" s="468"/>
      <c r="AD406" s="468"/>
    </row>
    <row r="407" spans="1:30" ht="23.1" hidden="1" customHeight="1" outlineLevel="1">
      <c r="A407" s="1643"/>
      <c r="B407" s="1977"/>
      <c r="C407" s="2403"/>
      <c r="D407" s="2403"/>
      <c r="E407" s="2403"/>
      <c r="F407" s="2405"/>
      <c r="G407" s="624"/>
      <c r="H407" s="1646"/>
      <c r="I407" s="1645"/>
      <c r="J407" s="2490" t="str">
        <f>IF(I407="","",VLOOKUP(I407,'Budget-S&amp;U Codes Lookup'!$A$7:$B$564,2,FALSE))</f>
        <v/>
      </c>
      <c r="K407" s="2490"/>
      <c r="L407" s="1627"/>
      <c r="M407" s="2212" t="str">
        <f>IF(L407="","",VLOOKUP(L407,'Budget-S&amp;U Codes Lookup'!$E$7:$F$89,2,FALSE))</f>
        <v/>
      </c>
      <c r="N407" s="2213"/>
      <c r="O407" s="468"/>
      <c r="P407" s="468"/>
      <c r="Q407" s="468"/>
      <c r="R407" s="468"/>
      <c r="S407" s="468"/>
      <c r="T407" s="468"/>
      <c r="U407" s="468"/>
      <c r="V407" s="468"/>
      <c r="W407" s="468"/>
      <c r="X407" s="468"/>
      <c r="Y407" s="468"/>
      <c r="Z407" s="468"/>
      <c r="AA407" s="468"/>
      <c r="AB407" s="468"/>
      <c r="AC407" s="468"/>
      <c r="AD407" s="468"/>
    </row>
    <row r="408" spans="1:30" ht="23.1" hidden="1" customHeight="1" outlineLevel="1">
      <c r="A408" s="1643"/>
      <c r="B408" s="1977"/>
      <c r="C408" s="2403"/>
      <c r="D408" s="2403"/>
      <c r="E408" s="2403"/>
      <c r="F408" s="2405"/>
      <c r="G408" s="624"/>
      <c r="H408" s="1646"/>
      <c r="I408" s="1645"/>
      <c r="J408" s="2490" t="str">
        <f>IF(I408="","",VLOOKUP(I408,'Budget-S&amp;U Codes Lookup'!$A$7:$B$564,2,FALSE))</f>
        <v/>
      </c>
      <c r="K408" s="2490"/>
      <c r="L408" s="1627"/>
      <c r="M408" s="2212" t="str">
        <f>IF(L408="","",VLOOKUP(L408,'Budget-S&amp;U Codes Lookup'!$E$7:$F$89,2,FALSE))</f>
        <v/>
      </c>
      <c r="N408" s="2213"/>
      <c r="O408" s="468"/>
      <c r="P408" s="468"/>
      <c r="Q408" s="468"/>
      <c r="R408" s="468"/>
      <c r="S408" s="468"/>
      <c r="T408" s="468"/>
      <c r="U408" s="468"/>
      <c r="V408" s="468"/>
      <c r="W408" s="468"/>
      <c r="X408" s="468"/>
      <c r="Y408" s="468"/>
      <c r="Z408" s="468"/>
      <c r="AA408" s="468"/>
      <c r="AB408" s="468"/>
      <c r="AC408" s="468"/>
      <c r="AD408" s="468"/>
    </row>
    <row r="409" spans="1:30" ht="23.1" hidden="1" customHeight="1" outlineLevel="1">
      <c r="A409" s="1643"/>
      <c r="B409" s="1977"/>
      <c r="C409" s="2403"/>
      <c r="D409" s="2403"/>
      <c r="E409" s="2403"/>
      <c r="F409" s="2405"/>
      <c r="G409" s="624"/>
      <c r="H409" s="1646"/>
      <c r="I409" s="1645"/>
      <c r="J409" s="2490" t="str">
        <f>IF(I409="","",VLOOKUP(I409,'Budget-S&amp;U Codes Lookup'!$A$7:$B$564,2,FALSE))</f>
        <v/>
      </c>
      <c r="K409" s="2490"/>
      <c r="L409" s="1627"/>
      <c r="M409" s="2212" t="str">
        <f>IF(L409="","",VLOOKUP(L409,'Budget-S&amp;U Codes Lookup'!$E$7:$F$89,2,FALSE))</f>
        <v/>
      </c>
      <c r="N409" s="2213"/>
      <c r="O409" s="468"/>
      <c r="P409" s="468"/>
      <c r="Q409" s="468"/>
      <c r="R409" s="468"/>
      <c r="S409" s="468"/>
      <c r="T409" s="468"/>
      <c r="U409" s="468"/>
      <c r="V409" s="468"/>
      <c r="W409" s="468"/>
      <c r="X409" s="468"/>
      <c r="Y409" s="468"/>
      <c r="Z409" s="468"/>
      <c r="AA409" s="468"/>
      <c r="AB409" s="468"/>
      <c r="AC409" s="468"/>
      <c r="AD409" s="468"/>
    </row>
    <row r="410" spans="1:30" ht="23.1" hidden="1" customHeight="1" outlineLevel="1">
      <c r="A410" s="1643"/>
      <c r="B410" s="1977"/>
      <c r="C410" s="2403"/>
      <c r="D410" s="2403"/>
      <c r="E410" s="2403"/>
      <c r="F410" s="2405"/>
      <c r="G410" s="624"/>
      <c r="H410" s="1646"/>
      <c r="I410" s="1645"/>
      <c r="J410" s="2490" t="str">
        <f>IF(I410="","",VLOOKUP(I410,'Budget-S&amp;U Codes Lookup'!$A$7:$B$564,2,FALSE))</f>
        <v/>
      </c>
      <c r="K410" s="2490"/>
      <c r="L410" s="1627"/>
      <c r="M410" s="2212" t="str">
        <f>IF(L410="","",VLOOKUP(L410,'Budget-S&amp;U Codes Lookup'!$E$7:$F$89,2,FALSE))</f>
        <v/>
      </c>
      <c r="N410" s="2213"/>
      <c r="O410" s="468"/>
      <c r="P410" s="468"/>
      <c r="Q410" s="468"/>
      <c r="R410" s="468"/>
      <c r="S410" s="468"/>
      <c r="T410" s="468"/>
      <c r="U410" s="468"/>
      <c r="V410" s="468"/>
      <c r="W410" s="468"/>
      <c r="X410" s="468"/>
      <c r="Y410" s="468"/>
      <c r="Z410" s="468"/>
      <c r="AA410" s="468"/>
      <c r="AB410" s="468"/>
      <c r="AC410" s="468"/>
      <c r="AD410" s="468"/>
    </row>
    <row r="411" spans="1:30" ht="23.1" hidden="1" customHeight="1" outlineLevel="1">
      <c r="A411" s="1643"/>
      <c r="B411" s="1977"/>
      <c r="C411" s="2403"/>
      <c r="D411" s="2403"/>
      <c r="E411" s="2403"/>
      <c r="F411" s="2405"/>
      <c r="G411" s="631"/>
      <c r="H411" s="1647"/>
      <c r="I411" s="1648"/>
      <c r="J411" s="2490" t="str">
        <f>IF(I411="","",VLOOKUP(I411,'Budget-S&amp;U Codes Lookup'!$A$7:$B$564,2,FALSE))</f>
        <v/>
      </c>
      <c r="K411" s="2490"/>
      <c r="L411" s="1627"/>
      <c r="M411" s="2212" t="str">
        <f>IF(L411="","",VLOOKUP(L411,'Budget-S&amp;U Codes Lookup'!$E$7:$F$89,2,FALSE))</f>
        <v/>
      </c>
      <c r="N411" s="2213"/>
      <c r="O411" s="468"/>
      <c r="P411" s="468"/>
      <c r="Q411" s="468"/>
      <c r="R411" s="468"/>
      <c r="S411" s="468"/>
      <c r="T411" s="468"/>
      <c r="U411" s="468"/>
      <c r="V411" s="468"/>
      <c r="W411" s="468"/>
      <c r="X411" s="468"/>
      <c r="Y411" s="468"/>
      <c r="Z411" s="468"/>
      <c r="AA411" s="468"/>
      <c r="AB411" s="468"/>
      <c r="AC411" s="468"/>
      <c r="AD411" s="468"/>
    </row>
    <row r="412" spans="1:30" ht="15.75" collapsed="1" thickBot="1">
      <c r="A412" s="550" t="s">
        <v>412</v>
      </c>
      <c r="B412" s="554"/>
      <c r="C412" s="554"/>
      <c r="D412" s="555"/>
      <c r="E412" s="555"/>
      <c r="F412" s="554"/>
      <c r="G412" s="1010"/>
      <c r="H412" s="600">
        <f>SUM(H401:H411)</f>
        <v>0</v>
      </c>
      <c r="I412" s="555"/>
      <c r="J412" s="601"/>
      <c r="K412" s="601"/>
      <c r="L412" s="602"/>
      <c r="M412" s="601"/>
      <c r="N412" s="601"/>
      <c r="O412" s="468"/>
      <c r="P412" s="468"/>
      <c r="Q412" s="468"/>
      <c r="R412" s="468"/>
      <c r="S412" s="468"/>
      <c r="T412" s="468"/>
      <c r="U412" s="468"/>
      <c r="V412" s="468"/>
      <c r="W412" s="468"/>
      <c r="X412" s="468"/>
      <c r="Y412" s="468"/>
      <c r="Z412" s="468"/>
      <c r="AA412" s="468"/>
      <c r="AB412" s="468"/>
      <c r="AC412" s="468"/>
      <c r="AD412" s="468"/>
    </row>
    <row r="413" spans="1:30" ht="15.75" thickBot="1">
      <c r="A413" s="582"/>
      <c r="B413" s="583"/>
      <c r="C413" s="583"/>
      <c r="D413" s="584" t="s">
        <v>360</v>
      </c>
      <c r="E413" s="584"/>
      <c r="F413" s="573"/>
      <c r="G413" s="585"/>
      <c r="H413" s="586" t="s">
        <v>361</v>
      </c>
      <c r="I413" s="587" t="s">
        <v>403</v>
      </c>
      <c r="J413" s="588"/>
      <c r="K413" s="589"/>
      <c r="L413" s="590" t="s">
        <v>363</v>
      </c>
      <c r="M413" s="591"/>
      <c r="N413" s="589"/>
      <c r="O413" s="468"/>
      <c r="P413" s="468"/>
      <c r="Q413" s="468"/>
      <c r="R413" s="468"/>
      <c r="S413" s="468"/>
      <c r="T413" s="468"/>
      <c r="U413" s="468"/>
      <c r="V413" s="468"/>
      <c r="W413" s="468"/>
      <c r="X413" s="468"/>
      <c r="Y413" s="468"/>
      <c r="Z413" s="468"/>
      <c r="AA413" s="468"/>
      <c r="AB413" s="468"/>
      <c r="AC413" s="468"/>
      <c r="AD413" s="468"/>
    </row>
    <row r="414" spans="1:30" ht="16.5" thickBot="1">
      <c r="A414" s="1209" t="s">
        <v>413</v>
      </c>
      <c r="B414" s="1199"/>
      <c r="C414" s="1199"/>
      <c r="D414" s="1386"/>
      <c r="E414" s="1386"/>
      <c r="F414" s="1199"/>
      <c r="G414" s="1202"/>
      <c r="H414" s="1203"/>
      <c r="I414" s="1204"/>
      <c r="J414" s="1205" t="s">
        <v>414</v>
      </c>
      <c r="K414" s="1206"/>
      <c r="L414" s="1204" t="s">
        <v>415</v>
      </c>
      <c r="M414" s="1206"/>
      <c r="N414" s="1206"/>
      <c r="O414" s="468"/>
      <c r="P414" s="468"/>
      <c r="Q414" s="468"/>
      <c r="R414" s="468"/>
      <c r="S414" s="468"/>
      <c r="T414" s="468"/>
      <c r="U414" s="468"/>
      <c r="V414" s="468"/>
      <c r="W414" s="468"/>
      <c r="X414" s="468"/>
      <c r="Y414" s="468"/>
      <c r="Z414" s="468"/>
      <c r="AA414" s="468"/>
      <c r="AB414" s="468"/>
      <c r="AC414" s="468"/>
      <c r="AD414" s="468"/>
    </row>
    <row r="415" spans="1:30" ht="20.100000000000001" customHeight="1">
      <c r="A415" s="2407"/>
      <c r="B415" s="2413"/>
      <c r="C415" s="603"/>
      <c r="D415" s="2401"/>
      <c r="E415" s="2407"/>
      <c r="F415" s="2402"/>
      <c r="G415" s="1011"/>
      <c r="H415" s="1649"/>
      <c r="I415" s="536"/>
      <c r="J415" s="1015"/>
      <c r="K415" s="1016"/>
      <c r="L415" s="1627"/>
      <c r="M415" s="2212" t="str">
        <f>IF(L415="","",VLOOKUP(L415,'Budget-S&amp;U Codes Lookup'!$E$7:$F$89,2,FALSE))</f>
        <v/>
      </c>
      <c r="N415" s="2213"/>
      <c r="O415" s="468"/>
      <c r="P415" s="468"/>
      <c r="Q415" s="468"/>
      <c r="R415" s="468"/>
      <c r="S415" s="468"/>
      <c r="T415" s="468"/>
      <c r="U415" s="468"/>
      <c r="V415" s="468"/>
      <c r="W415" s="468"/>
      <c r="X415" s="468"/>
      <c r="Y415" s="468"/>
      <c r="Z415" s="468"/>
      <c r="AA415" s="468"/>
      <c r="AB415" s="468"/>
      <c r="AC415" s="468"/>
      <c r="AD415" s="468"/>
    </row>
    <row r="416" spans="1:30" ht="20.100000000000001" customHeight="1">
      <c r="A416" s="2407"/>
      <c r="B416" s="567"/>
      <c r="C416" s="604"/>
      <c r="D416" s="2401"/>
      <c r="E416" s="2407"/>
      <c r="F416" s="2402"/>
      <c r="G416" s="1012"/>
      <c r="H416" s="1650"/>
      <c r="I416" s="605"/>
      <c r="J416" s="1015"/>
      <c r="K416" s="1016"/>
      <c r="L416" s="1627"/>
      <c r="M416" s="2212" t="str">
        <f>IF(L416="","",VLOOKUP(L416,'Budget-S&amp;U Codes Lookup'!$E$7:$F$89,2,FALSE))</f>
        <v/>
      </c>
      <c r="N416" s="2213"/>
      <c r="O416" s="468"/>
      <c r="P416" s="468"/>
      <c r="Q416" s="468"/>
      <c r="R416" s="468"/>
      <c r="S416" s="468"/>
      <c r="T416" s="468"/>
      <c r="U416" s="468"/>
      <c r="V416" s="468"/>
      <c r="W416" s="468"/>
      <c r="X416" s="468"/>
      <c r="Y416" s="468"/>
      <c r="Z416" s="468"/>
      <c r="AA416" s="468"/>
      <c r="AB416" s="468"/>
      <c r="AC416" s="468"/>
      <c r="AD416" s="468"/>
    </row>
    <row r="417" spans="1:59" ht="13.5" customHeight="1">
      <c r="A417" s="2407"/>
      <c r="B417" s="567"/>
      <c r="C417" s="604"/>
      <c r="D417" s="2401"/>
      <c r="E417" s="2407"/>
      <c r="F417" s="2402"/>
      <c r="G417" s="1012"/>
      <c r="H417" s="1650"/>
      <c r="I417" s="605"/>
      <c r="J417" s="1015"/>
      <c r="K417" s="1016"/>
      <c r="L417" s="1627"/>
      <c r="M417" s="2212" t="str">
        <f>IF(L417="","",VLOOKUP(L417,'Budget-S&amp;U Codes Lookup'!$E$7:$F$89,2,FALSE))</f>
        <v/>
      </c>
      <c r="N417" s="2213"/>
      <c r="O417" s="468"/>
      <c r="P417" s="468"/>
      <c r="Q417" s="468"/>
      <c r="R417" s="468"/>
      <c r="S417" s="468"/>
      <c r="T417" s="468"/>
      <c r="U417" s="468"/>
      <c r="V417" s="468"/>
      <c r="W417" s="468"/>
      <c r="X417" s="468"/>
      <c r="Y417" s="468"/>
      <c r="Z417" s="468"/>
      <c r="AA417" s="468"/>
      <c r="AB417" s="468"/>
      <c r="AC417" s="468"/>
      <c r="AD417" s="468"/>
    </row>
    <row r="418" spans="1:59" ht="13.5" customHeight="1">
      <c r="A418" s="2407"/>
      <c r="B418" s="567"/>
      <c r="C418" s="604"/>
      <c r="D418" s="2401"/>
      <c r="E418" s="2407"/>
      <c r="F418" s="2402"/>
      <c r="G418" s="1012"/>
      <c r="H418" s="1650"/>
      <c r="I418" s="605"/>
      <c r="J418" s="1015"/>
      <c r="K418" s="1016"/>
      <c r="L418" s="1627"/>
      <c r="M418" s="2212" t="str">
        <f>IF(L418="","",VLOOKUP(L418,'Budget-S&amp;U Codes Lookup'!$E$7:$F$89,2,FALSE))</f>
        <v/>
      </c>
      <c r="N418" s="2213"/>
      <c r="O418" s="468"/>
      <c r="P418" s="468"/>
      <c r="Q418" s="468"/>
      <c r="R418" s="468"/>
      <c r="S418" s="468"/>
      <c r="T418" s="468"/>
      <c r="U418" s="468"/>
      <c r="V418" s="468"/>
      <c r="W418" s="468"/>
      <c r="X418" s="468"/>
      <c r="Y418" s="468"/>
      <c r="Z418" s="468"/>
      <c r="AA418" s="468"/>
      <c r="AB418" s="468"/>
      <c r="AC418" s="468"/>
      <c r="AD418" s="468"/>
    </row>
    <row r="419" spans="1:59" ht="20.100000000000001" customHeight="1">
      <c r="A419" s="2407"/>
      <c r="B419" s="2413"/>
      <c r="C419" s="603"/>
      <c r="D419" s="2401"/>
      <c r="E419" s="2407"/>
      <c r="F419" s="2402"/>
      <c r="G419" s="1011"/>
      <c r="H419" s="1650"/>
      <c r="I419" s="536"/>
      <c r="J419" s="1015"/>
      <c r="K419" s="1016"/>
      <c r="L419" s="1627"/>
      <c r="M419" s="2212" t="str">
        <f>IF(L419="","",VLOOKUP(L419,'Budget-S&amp;U Codes Lookup'!$E$7:$F$89,2,FALSE))</f>
        <v/>
      </c>
      <c r="N419" s="2213"/>
      <c r="O419" s="468"/>
      <c r="P419" s="468"/>
      <c r="Q419" s="468"/>
      <c r="R419" s="468"/>
      <c r="S419" s="468"/>
      <c r="T419" s="468"/>
      <c r="U419" s="468"/>
      <c r="V419" s="468"/>
      <c r="W419" s="468"/>
      <c r="X419" s="468"/>
      <c r="Y419" s="468"/>
      <c r="Z419" s="468"/>
      <c r="AA419" s="468"/>
      <c r="AB419" s="468"/>
      <c r="AC419" s="468"/>
      <c r="AD419" s="468"/>
    </row>
    <row r="420" spans="1:59" ht="20.100000000000001" customHeight="1">
      <c r="A420" s="2407"/>
      <c r="B420" s="567"/>
      <c r="C420" s="604"/>
      <c r="D420" s="2401"/>
      <c r="E420" s="2407"/>
      <c r="F420" s="2402"/>
      <c r="G420" s="1012"/>
      <c r="H420" s="1650"/>
      <c r="I420" s="605"/>
      <c r="J420" s="1015"/>
      <c r="K420" s="1016"/>
      <c r="L420" s="1627"/>
      <c r="M420" s="2212" t="str">
        <f>IF(L420="","",VLOOKUP(L420,'Budget-S&amp;U Codes Lookup'!$E$7:$F$89,2,FALSE))</f>
        <v/>
      </c>
      <c r="N420" s="2213"/>
      <c r="O420" s="468"/>
      <c r="P420" s="468"/>
      <c r="Q420" s="468"/>
      <c r="R420" s="468"/>
      <c r="S420" s="468"/>
      <c r="T420" s="468"/>
      <c r="U420" s="468"/>
      <c r="V420" s="468"/>
      <c r="W420" s="468"/>
      <c r="X420" s="468"/>
      <c r="Y420" s="468"/>
      <c r="Z420" s="468"/>
      <c r="AA420" s="468"/>
      <c r="AB420" s="468"/>
      <c r="AC420" s="468"/>
      <c r="AD420" s="468"/>
    </row>
    <row r="421" spans="1:59" s="20" customFormat="1" ht="13.5" customHeight="1">
      <c r="A421" s="2407"/>
      <c r="B421" s="567"/>
      <c r="C421" s="604"/>
      <c r="D421" s="2401"/>
      <c r="E421" s="2407"/>
      <c r="F421" s="2402"/>
      <c r="G421" s="1012"/>
      <c r="H421" s="1650"/>
      <c r="I421" s="605"/>
      <c r="J421" s="1015"/>
      <c r="K421" s="1016"/>
      <c r="L421" s="1627"/>
      <c r="M421" s="2212" t="str">
        <f>IF(L421="","",VLOOKUP(L421,'Budget-S&amp;U Codes Lookup'!$E$7:$F$89,2,FALSE))</f>
        <v/>
      </c>
      <c r="N421" s="2213"/>
      <c r="O421" s="468"/>
      <c r="P421" s="468"/>
      <c r="Q421" s="468"/>
      <c r="R421" s="468"/>
      <c r="S421" s="468"/>
      <c r="T421" s="468"/>
      <c r="U421" s="468"/>
      <c r="V421" s="468"/>
      <c r="W421" s="468"/>
      <c r="X421" s="468"/>
      <c r="Y421" s="468"/>
      <c r="Z421" s="468"/>
      <c r="AA421" s="468"/>
      <c r="AB421" s="468"/>
      <c r="AC421" s="468"/>
      <c r="AD421" s="468"/>
      <c r="BG421" s="1593"/>
    </row>
    <row r="422" spans="1:59" s="20" customFormat="1" ht="13.5" customHeight="1">
      <c r="A422" s="2407"/>
      <c r="B422" s="567"/>
      <c r="C422" s="604"/>
      <c r="D422" s="2401"/>
      <c r="E422" s="2407"/>
      <c r="F422" s="2402"/>
      <c r="G422" s="1012"/>
      <c r="H422" s="1650"/>
      <c r="I422" s="605"/>
      <c r="J422" s="1015"/>
      <c r="K422" s="1016"/>
      <c r="L422" s="1627"/>
      <c r="M422" s="2212" t="str">
        <f>IF(L422="","",VLOOKUP(L422,'Budget-S&amp;U Codes Lookup'!$E$7:$F$89,2,FALSE))</f>
        <v/>
      </c>
      <c r="N422" s="2213"/>
      <c r="O422" s="468"/>
      <c r="P422" s="468"/>
      <c r="Q422" s="468"/>
      <c r="R422" s="468"/>
      <c r="S422" s="468"/>
      <c r="T422" s="468"/>
      <c r="U422" s="468"/>
      <c r="V422" s="468"/>
      <c r="W422" s="468"/>
      <c r="X422" s="468"/>
      <c r="Y422" s="468"/>
      <c r="Z422" s="468"/>
      <c r="AA422" s="468"/>
      <c r="AB422" s="468"/>
      <c r="AC422" s="468"/>
      <c r="AD422" s="468"/>
      <c r="BG422" s="1593"/>
    </row>
    <row r="423" spans="1:59" ht="21" customHeight="1">
      <c r="A423" s="2407"/>
      <c r="B423" s="2413"/>
      <c r="C423" s="603"/>
      <c r="D423" s="2401"/>
      <c r="E423" s="2407"/>
      <c r="F423" s="2402"/>
      <c r="G423" s="1011"/>
      <c r="H423" s="1650"/>
      <c r="I423" s="536"/>
      <c r="J423" s="1015"/>
      <c r="K423" s="1016"/>
      <c r="L423" s="1627"/>
      <c r="M423" s="2212" t="str">
        <f>IF(L423="","",VLOOKUP(L423,'Budget-S&amp;U Codes Lookup'!$E$7:$F$89,2,FALSE))</f>
        <v/>
      </c>
      <c r="N423" s="2213"/>
      <c r="O423" s="468"/>
      <c r="P423" s="468"/>
      <c r="Q423" s="468"/>
      <c r="R423" s="468"/>
      <c r="S423" s="468"/>
      <c r="T423" s="468"/>
      <c r="U423" s="468"/>
      <c r="V423" s="468"/>
      <c r="W423" s="468"/>
      <c r="X423" s="468"/>
      <c r="Y423" s="468"/>
      <c r="Z423" s="468"/>
      <c r="AA423" s="468"/>
      <c r="AB423" s="468"/>
      <c r="AC423" s="468"/>
      <c r="AD423" s="468"/>
    </row>
    <row r="424" spans="1:59" ht="21" customHeight="1">
      <c r="A424" s="2407"/>
      <c r="B424" s="567"/>
      <c r="C424" s="604"/>
      <c r="D424" s="2401"/>
      <c r="E424" s="2407"/>
      <c r="F424" s="2402"/>
      <c r="G424" s="1012"/>
      <c r="H424" s="1651"/>
      <c r="I424" s="605"/>
      <c r="J424" s="1015"/>
      <c r="K424" s="1016"/>
      <c r="L424" s="1627"/>
      <c r="M424" s="2212" t="str">
        <f>IF(L424="","",VLOOKUP(L424,'Budget-S&amp;U Codes Lookup'!$E$7:$F$89,2,FALSE))</f>
        <v/>
      </c>
      <c r="N424" s="2213"/>
      <c r="O424" s="468"/>
      <c r="P424" s="468"/>
      <c r="Q424" s="468"/>
      <c r="R424" s="468"/>
      <c r="S424" s="468"/>
      <c r="T424" s="468"/>
      <c r="U424" s="468"/>
      <c r="V424" s="468"/>
      <c r="W424" s="468"/>
      <c r="X424" s="468"/>
      <c r="Y424" s="468"/>
      <c r="Z424" s="468"/>
      <c r="AA424" s="468"/>
      <c r="AB424" s="468"/>
      <c r="AC424" s="468"/>
      <c r="AD424" s="468"/>
    </row>
    <row r="425" spans="1:59" ht="13.5" customHeight="1" thickBot="1">
      <c r="A425" s="550" t="s">
        <v>416</v>
      </c>
      <c r="B425" s="550"/>
      <c r="C425" s="550"/>
      <c r="D425" s="374"/>
      <c r="E425" s="374"/>
      <c r="F425" s="550"/>
      <c r="G425" s="1013"/>
      <c r="H425" s="606">
        <f>SUM(H415:H424)</f>
        <v>0</v>
      </c>
      <c r="I425" s="569"/>
      <c r="J425" s="2412"/>
      <c r="K425" s="2412"/>
      <c r="L425" s="607"/>
      <c r="M425" s="2411"/>
      <c r="N425" s="2412"/>
      <c r="O425" s="468"/>
      <c r="P425" s="468"/>
      <c r="Q425" s="468"/>
      <c r="R425" s="468"/>
      <c r="S425" s="468"/>
      <c r="T425" s="468"/>
      <c r="U425" s="468"/>
      <c r="V425" s="468"/>
      <c r="W425" s="468"/>
      <c r="X425" s="468"/>
      <c r="Y425" s="468"/>
      <c r="Z425" s="468"/>
      <c r="AA425" s="468"/>
      <c r="AB425" s="468"/>
      <c r="AC425" s="468"/>
      <c r="AD425" s="468"/>
    </row>
    <row r="426" spans="1:59" ht="13.5" customHeight="1">
      <c r="A426" s="608"/>
      <c r="B426" s="608"/>
      <c r="C426" s="608"/>
      <c r="D426" s="1358"/>
      <c r="E426" s="1358"/>
      <c r="F426" s="608"/>
      <c r="G426" s="1014"/>
      <c r="H426" s="610"/>
      <c r="I426" s="609"/>
      <c r="J426" s="2552"/>
      <c r="K426" s="2552"/>
      <c r="L426" s="609"/>
      <c r="M426" s="2558"/>
      <c r="N426" s="2552"/>
      <c r="O426" s="468"/>
      <c r="P426" s="468"/>
      <c r="Q426" s="468"/>
      <c r="R426" s="468"/>
      <c r="S426" s="468"/>
      <c r="T426" s="468"/>
      <c r="U426" s="468"/>
      <c r="V426" s="468"/>
      <c r="W426" s="468"/>
      <c r="X426" s="468"/>
      <c r="Y426" s="468"/>
      <c r="Z426" s="468"/>
      <c r="AA426" s="468"/>
      <c r="AB426" s="468"/>
      <c r="AC426" s="468"/>
      <c r="AD426" s="468"/>
    </row>
    <row r="427" spans="1:59" ht="13.5" customHeight="1" thickBot="1">
      <c r="A427" s="1209" t="s">
        <v>417</v>
      </c>
      <c r="B427" s="1199"/>
      <c r="C427" s="1199"/>
      <c r="D427" s="1386"/>
      <c r="E427" s="1386"/>
      <c r="F427" s="1199"/>
      <c r="G427" s="1202"/>
      <c r="H427" s="1207"/>
      <c r="I427" s="1204"/>
      <c r="J427" s="2550" t="s">
        <v>418</v>
      </c>
      <c r="K427" s="2550"/>
      <c r="L427" s="1208" t="s">
        <v>415</v>
      </c>
      <c r="M427" s="2560"/>
      <c r="N427" s="2561"/>
      <c r="O427" s="468"/>
      <c r="P427" s="468"/>
      <c r="Q427" s="468"/>
      <c r="R427" s="468"/>
      <c r="S427" s="468"/>
      <c r="T427" s="468"/>
      <c r="U427" s="468"/>
      <c r="V427" s="468"/>
      <c r="W427" s="468"/>
      <c r="X427" s="468"/>
      <c r="Y427" s="468"/>
      <c r="Z427" s="468"/>
      <c r="AA427" s="468"/>
      <c r="AB427" s="468"/>
      <c r="AC427" s="468"/>
      <c r="AD427" s="468"/>
    </row>
    <row r="428" spans="1:59" ht="16.350000000000001" customHeight="1">
      <c r="A428" s="2407"/>
      <c r="B428" s="2413"/>
      <c r="C428" s="603"/>
      <c r="D428" s="2401"/>
      <c r="E428" s="2407"/>
      <c r="F428" s="2402"/>
      <c r="G428" s="1011"/>
      <c r="H428" s="1644"/>
      <c r="I428" s="1050"/>
      <c r="J428" s="2490"/>
      <c r="K428" s="2490"/>
      <c r="L428" s="1627"/>
      <c r="M428" s="2212" t="str">
        <f>IF(L428="","",VLOOKUP(L428,'Budget-S&amp;U Codes Lookup'!$E$7:$F$89,2,FALSE))</f>
        <v/>
      </c>
      <c r="N428" s="2213"/>
      <c r="O428" s="468"/>
      <c r="P428" s="468"/>
      <c r="Q428" s="468"/>
      <c r="R428" s="468"/>
      <c r="S428" s="468"/>
      <c r="T428" s="468"/>
      <c r="U428" s="468"/>
      <c r="V428" s="468"/>
      <c r="W428" s="468"/>
      <c r="X428" s="468"/>
      <c r="Y428" s="468"/>
      <c r="Z428" s="468"/>
      <c r="AA428" s="468"/>
      <c r="AB428" s="468"/>
      <c r="AC428" s="468"/>
      <c r="AD428" s="468"/>
    </row>
    <row r="429" spans="1:59" ht="16.350000000000001" customHeight="1">
      <c r="A429" s="2407"/>
      <c r="B429" s="2413"/>
      <c r="C429" s="603"/>
      <c r="D429" s="2401"/>
      <c r="E429" s="2407"/>
      <c r="F429" s="2402"/>
      <c r="G429" s="1011"/>
      <c r="H429" s="1652"/>
      <c r="I429" s="536"/>
      <c r="J429" s="2490"/>
      <c r="K429" s="2490"/>
      <c r="L429" s="1627"/>
      <c r="M429" s="2212" t="str">
        <f>IF(L429="","",VLOOKUP(L429,'Budget-S&amp;U Codes Lookup'!$E$7:$F$89,2,FALSE))</f>
        <v/>
      </c>
      <c r="N429" s="2213"/>
      <c r="O429" s="468"/>
      <c r="P429" s="468"/>
      <c r="Q429" s="468"/>
      <c r="R429" s="468"/>
      <c r="S429" s="468"/>
      <c r="T429" s="468"/>
      <c r="U429" s="468"/>
      <c r="V429" s="468"/>
      <c r="W429" s="468"/>
      <c r="X429" s="468"/>
      <c r="Y429" s="468"/>
      <c r="Z429" s="468"/>
      <c r="AA429" s="468"/>
      <c r="AB429" s="468"/>
      <c r="AC429" s="468"/>
      <c r="AD429" s="468"/>
    </row>
    <row r="430" spans="1:59" ht="16.350000000000001" customHeight="1">
      <c r="A430" s="2407"/>
      <c r="B430" s="2413"/>
      <c r="C430" s="603"/>
      <c r="D430" s="2401"/>
      <c r="E430" s="2407"/>
      <c r="F430" s="2402"/>
      <c r="G430" s="1011"/>
      <c r="H430" s="1652"/>
      <c r="I430" s="536"/>
      <c r="J430" s="2490"/>
      <c r="K430" s="2490"/>
      <c r="L430" s="1627"/>
      <c r="M430" s="2212" t="str">
        <f>IF(L430="","",VLOOKUP(L430,'Budget-S&amp;U Codes Lookup'!$E$7:$F$89,2,FALSE))</f>
        <v/>
      </c>
      <c r="N430" s="2213"/>
      <c r="O430" s="468"/>
      <c r="P430" s="468"/>
      <c r="Q430" s="468"/>
      <c r="R430" s="468"/>
      <c r="S430" s="468"/>
      <c r="T430" s="468"/>
      <c r="U430" s="468"/>
      <c r="V430" s="468"/>
      <c r="W430" s="468"/>
      <c r="X430" s="468"/>
      <c r="Y430" s="468"/>
      <c r="Z430" s="468"/>
      <c r="AA430" s="468"/>
      <c r="AB430" s="468"/>
      <c r="AC430" s="468"/>
      <c r="AD430" s="468"/>
    </row>
    <row r="431" spans="1:59" ht="16.350000000000001" customHeight="1">
      <c r="A431" s="2407"/>
      <c r="B431" s="2413"/>
      <c r="C431" s="603"/>
      <c r="D431" s="2401"/>
      <c r="E431" s="2407"/>
      <c r="F431" s="2402"/>
      <c r="G431" s="1011"/>
      <c r="H431" s="1652"/>
      <c r="I431" s="536"/>
      <c r="J431" s="2490"/>
      <c r="K431" s="2490"/>
      <c r="L431" s="1627"/>
      <c r="M431" s="2212" t="str">
        <f>IF(L431="","",VLOOKUP(L431,'Budget-S&amp;U Codes Lookup'!$E$7:$F$89,2,FALSE))</f>
        <v/>
      </c>
      <c r="N431" s="2213"/>
      <c r="O431" s="468"/>
      <c r="P431" s="468"/>
      <c r="Q431" s="468"/>
      <c r="R431" s="468"/>
      <c r="S431" s="468"/>
      <c r="T431" s="468"/>
      <c r="U431" s="468"/>
      <c r="V431" s="468"/>
      <c r="W431" s="468"/>
      <c r="X431" s="468"/>
      <c r="Y431" s="468"/>
      <c r="Z431" s="468"/>
      <c r="AA431" s="468"/>
      <c r="AB431" s="468"/>
      <c r="AC431" s="468"/>
      <c r="AD431" s="468"/>
    </row>
    <row r="432" spans="1:59" ht="16.350000000000001" customHeight="1">
      <c r="A432" s="2407"/>
      <c r="B432" s="2413"/>
      <c r="C432" s="603"/>
      <c r="D432" s="2401"/>
      <c r="E432" s="2407"/>
      <c r="F432" s="2402"/>
      <c r="G432" s="1011"/>
      <c r="H432" s="1652"/>
      <c r="I432" s="536"/>
      <c r="J432" s="2490"/>
      <c r="K432" s="2490"/>
      <c r="L432" s="1627"/>
      <c r="M432" s="2212" t="str">
        <f>IF(L432="","",VLOOKUP(L432,'Budget-S&amp;U Codes Lookup'!$E$7:$F$89,2,FALSE))</f>
        <v/>
      </c>
      <c r="N432" s="2213"/>
      <c r="O432" s="468"/>
      <c r="P432" s="468"/>
      <c r="Q432" s="468"/>
      <c r="R432" s="468"/>
      <c r="S432" s="468"/>
      <c r="T432" s="468"/>
      <c r="U432" s="468"/>
      <c r="V432" s="468"/>
      <c r="W432" s="468"/>
      <c r="X432" s="468"/>
      <c r="Y432" s="468"/>
      <c r="Z432" s="468"/>
      <c r="AA432" s="468"/>
      <c r="AB432" s="468"/>
      <c r="AC432" s="468"/>
      <c r="AD432" s="468"/>
    </row>
    <row r="433" spans="1:59" ht="16.350000000000001" customHeight="1">
      <c r="A433" s="2407"/>
      <c r="B433" s="2413"/>
      <c r="C433" s="603"/>
      <c r="D433" s="2401"/>
      <c r="E433" s="2407"/>
      <c r="F433" s="2402"/>
      <c r="G433" s="1011"/>
      <c r="H433" s="1652"/>
      <c r="I433" s="536"/>
      <c r="J433" s="2490"/>
      <c r="K433" s="2490"/>
      <c r="L433" s="1627"/>
      <c r="M433" s="2212" t="str">
        <f>IF(L433="","",VLOOKUP(L433,'Budget-S&amp;U Codes Lookup'!$E$7:$F$89,2,FALSE))</f>
        <v/>
      </c>
      <c r="N433" s="2213"/>
      <c r="O433" s="468"/>
      <c r="P433" s="468"/>
      <c r="Q433" s="468"/>
      <c r="R433" s="468"/>
      <c r="S433" s="468"/>
      <c r="T433" s="468"/>
      <c r="U433" s="468"/>
      <c r="V433" s="468"/>
      <c r="W433" s="468"/>
      <c r="X433" s="468"/>
      <c r="Y433" s="468"/>
      <c r="Z433" s="468"/>
      <c r="AA433" s="468"/>
      <c r="AB433" s="468"/>
      <c r="AC433" s="468"/>
      <c r="AD433" s="468"/>
    </row>
    <row r="434" spans="1:59" ht="16.350000000000001" customHeight="1">
      <c r="A434" s="1637"/>
      <c r="B434" s="567"/>
      <c r="C434" s="604"/>
      <c r="D434" s="2401"/>
      <c r="E434" s="2407"/>
      <c r="F434" s="2402"/>
      <c r="G434" s="1012"/>
      <c r="H434" s="1647"/>
      <c r="I434" s="605"/>
      <c r="J434" s="2490"/>
      <c r="K434" s="2490"/>
      <c r="L434" s="1627"/>
      <c r="M434" s="2212" t="str">
        <f>IF(L434="","",VLOOKUP(L434,'Budget-S&amp;U Codes Lookup'!$E$7:$F$89,2,FALSE))</f>
        <v/>
      </c>
      <c r="N434" s="2213"/>
      <c r="O434" s="468"/>
      <c r="P434" s="468"/>
      <c r="Q434" s="468"/>
      <c r="R434" s="468"/>
      <c r="S434" s="468"/>
      <c r="T434" s="468"/>
      <c r="U434" s="468"/>
      <c r="V434" s="468"/>
      <c r="W434" s="468"/>
      <c r="X434" s="468"/>
      <c r="Y434" s="468"/>
      <c r="Z434" s="468"/>
      <c r="AA434" s="468"/>
      <c r="AB434" s="468"/>
      <c r="AC434" s="468"/>
      <c r="AD434" s="468"/>
    </row>
    <row r="435" spans="1:59" s="1" customFormat="1" ht="13.5" customHeight="1">
      <c r="A435" s="550" t="s">
        <v>419</v>
      </c>
      <c r="B435" s="550"/>
      <c r="C435" s="550"/>
      <c r="D435" s="374"/>
      <c r="E435" s="374"/>
      <c r="F435" s="550"/>
      <c r="G435" s="1013"/>
      <c r="H435" s="553">
        <f>SUM(H428:H434)</f>
        <v>0</v>
      </c>
      <c r="I435" s="569"/>
      <c r="J435" s="2553"/>
      <c r="K435" s="2554"/>
      <c r="L435" s="607"/>
      <c r="M435" s="2411"/>
      <c r="N435" s="2412"/>
      <c r="O435" s="556"/>
      <c r="P435" s="556"/>
      <c r="Q435" s="556"/>
      <c r="R435" s="556"/>
      <c r="S435" s="556"/>
      <c r="T435" s="556"/>
      <c r="U435" s="556"/>
      <c r="V435" s="556"/>
      <c r="W435" s="556"/>
      <c r="X435" s="556"/>
      <c r="Y435" s="556"/>
      <c r="Z435" s="556"/>
      <c r="AA435" s="556"/>
      <c r="AB435" s="556"/>
      <c r="AC435" s="556"/>
      <c r="AD435" s="556"/>
      <c r="BG435" s="1462"/>
    </row>
    <row r="436" spans="1:59" ht="13.5" customHeight="1">
      <c r="A436" s="608"/>
      <c r="B436" s="608"/>
      <c r="C436" s="608"/>
      <c r="D436" s="1358"/>
      <c r="E436" s="1358"/>
      <c r="F436" s="608"/>
      <c r="G436" s="1014"/>
      <c r="H436" s="610"/>
      <c r="I436" s="609"/>
      <c r="J436" s="2410"/>
      <c r="K436" s="2410"/>
      <c r="L436" s="609"/>
      <c r="M436" s="2409"/>
      <c r="N436" s="2410"/>
      <c r="O436" s="468"/>
      <c r="P436" s="468"/>
      <c r="Q436" s="468"/>
      <c r="R436" s="468"/>
      <c r="S436" s="468"/>
      <c r="T436" s="468"/>
      <c r="U436" s="468"/>
      <c r="V436" s="468"/>
      <c r="W436" s="468"/>
      <c r="X436" s="468"/>
      <c r="Y436" s="468"/>
      <c r="Z436" s="468"/>
      <c r="AA436" s="468"/>
      <c r="AB436" s="468"/>
      <c r="AC436" s="468"/>
      <c r="AD436" s="468"/>
    </row>
    <row r="437" spans="1:59" ht="13.5" customHeight="1">
      <c r="A437" s="1209" t="s">
        <v>420</v>
      </c>
      <c r="B437" s="2413"/>
      <c r="C437" s="603"/>
      <c r="D437" s="1388"/>
      <c r="E437" s="1354"/>
      <c r="F437" s="2413"/>
      <c r="G437" s="1011"/>
      <c r="H437" s="611"/>
      <c r="I437" s="536"/>
      <c r="J437" s="2490"/>
      <c r="K437" s="2490"/>
      <c r="L437" s="593"/>
      <c r="M437" s="2212"/>
      <c r="N437" s="2213"/>
      <c r="O437" s="468"/>
      <c r="P437" s="468"/>
      <c r="Q437" s="468"/>
      <c r="R437" s="468"/>
      <c r="S437" s="468"/>
      <c r="T437" s="468"/>
      <c r="U437" s="468"/>
      <c r="V437" s="468"/>
      <c r="W437" s="468"/>
      <c r="X437" s="468"/>
      <c r="Y437" s="468"/>
      <c r="Z437" s="468"/>
      <c r="AA437" s="468"/>
      <c r="AB437" s="468"/>
      <c r="AC437" s="468"/>
      <c r="AD437" s="468"/>
    </row>
    <row r="438" spans="1:59">
      <c r="A438" s="2407"/>
      <c r="B438" s="2413"/>
      <c r="C438" s="603"/>
      <c r="D438" s="2401"/>
      <c r="E438" s="2407"/>
      <c r="F438" s="2402"/>
      <c r="G438" s="1011"/>
      <c r="H438" s="1646"/>
      <c r="I438" s="1625"/>
      <c r="J438" s="2490" t="str">
        <f>IF(I438="","",VLOOKUP(I438,'Budget-S&amp;U Codes Lookup'!$A$7:$B$550,2,FALSE))</f>
        <v/>
      </c>
      <c r="K438" s="2490"/>
      <c r="L438" s="1627">
        <v>12</v>
      </c>
      <c r="M438" s="2212" t="str">
        <f>IF(L438="","",VLOOKUP(L438,'Budget-S&amp;U Codes Lookup'!$E$7:$F$89,2,FALSE))</f>
        <v>Closing Costs</v>
      </c>
      <c r="N438" s="2213"/>
      <c r="O438" s="468"/>
      <c r="P438" s="468"/>
      <c r="Q438" s="468"/>
      <c r="R438" s="468"/>
      <c r="S438" s="468"/>
      <c r="T438" s="468"/>
      <c r="U438" s="468"/>
      <c r="V438" s="468"/>
      <c r="W438" s="468"/>
      <c r="X438" s="468"/>
      <c r="Y438" s="468"/>
      <c r="Z438" s="468"/>
      <c r="AA438" s="468"/>
      <c r="AB438" s="468"/>
      <c r="AC438" s="468"/>
      <c r="AD438" s="468"/>
    </row>
    <row r="439" spans="1:59">
      <c r="A439" s="2407"/>
      <c r="B439" s="2413"/>
      <c r="C439" s="603"/>
      <c r="D439" s="2401"/>
      <c r="E439" s="2407"/>
      <c r="F439" s="2402"/>
      <c r="G439" s="1011"/>
      <c r="H439" s="1646"/>
      <c r="I439" s="1625"/>
      <c r="J439" s="2490" t="str">
        <f>IF(I439="","",VLOOKUP(I439,'Budget-S&amp;U Codes Lookup'!$A$7:$B$550,2,FALSE))</f>
        <v/>
      </c>
      <c r="K439" s="2490"/>
      <c r="L439" s="1627">
        <v>12</v>
      </c>
      <c r="M439" s="2212" t="str">
        <f>IF(L439="","",VLOOKUP(L439,'Budget-S&amp;U Codes Lookup'!$E$7:$F$89,2,FALSE))</f>
        <v>Closing Costs</v>
      </c>
      <c r="N439" s="2213"/>
      <c r="O439" s="468"/>
      <c r="P439" s="468"/>
      <c r="Q439" s="468"/>
      <c r="R439" s="468"/>
      <c r="S439" s="468"/>
      <c r="T439" s="468"/>
      <c r="U439" s="468"/>
      <c r="V439" s="468"/>
      <c r="W439" s="468"/>
      <c r="X439" s="468"/>
      <c r="Y439" s="468"/>
      <c r="Z439" s="468"/>
      <c r="AA439" s="468"/>
      <c r="AB439" s="468"/>
      <c r="AC439" s="468"/>
      <c r="AD439" s="468"/>
    </row>
    <row r="440" spans="1:59">
      <c r="A440" s="2407"/>
      <c r="B440" s="2413"/>
      <c r="C440" s="603"/>
      <c r="D440" s="2401"/>
      <c r="E440" s="2407"/>
      <c r="F440" s="2402"/>
      <c r="G440" s="1011"/>
      <c r="H440" s="1646"/>
      <c r="I440" s="1625"/>
      <c r="J440" s="2490" t="str">
        <f>IF(I440="","",VLOOKUP(I440,'Budget-S&amp;U Codes Lookup'!$A$7:$B$550,2,FALSE))</f>
        <v/>
      </c>
      <c r="K440" s="2490"/>
      <c r="L440" s="1627">
        <v>12</v>
      </c>
      <c r="M440" s="2212" t="str">
        <f>IF(L440="","",VLOOKUP(L440,'Budget-S&amp;U Codes Lookup'!$E$7:$F$89,2,FALSE))</f>
        <v>Closing Costs</v>
      </c>
      <c r="N440" s="2213"/>
      <c r="O440" s="468"/>
      <c r="P440" s="468"/>
      <c r="Q440" s="468"/>
      <c r="R440" s="468"/>
      <c r="S440" s="468"/>
      <c r="T440" s="468"/>
      <c r="U440" s="468"/>
      <c r="V440" s="468"/>
      <c r="W440" s="468"/>
      <c r="X440" s="468"/>
      <c r="Y440" s="468"/>
      <c r="Z440" s="468"/>
      <c r="AA440" s="468"/>
      <c r="AB440" s="468"/>
      <c r="AC440" s="468"/>
      <c r="AD440" s="468"/>
    </row>
    <row r="441" spans="1:59">
      <c r="A441" s="2407"/>
      <c r="B441" s="2413"/>
      <c r="C441" s="603"/>
      <c r="D441" s="2401"/>
      <c r="E441" s="2407"/>
      <c r="F441" s="2402"/>
      <c r="G441" s="1011"/>
      <c r="H441" s="1646"/>
      <c r="I441" s="1625"/>
      <c r="J441" s="2490" t="str">
        <f>IF(I441="","",VLOOKUP(I441,'Budget-S&amp;U Codes Lookup'!$A$7:$B$550,2,FALSE))</f>
        <v/>
      </c>
      <c r="K441" s="2490"/>
      <c r="L441" s="1627">
        <v>12</v>
      </c>
      <c r="M441" s="2212" t="str">
        <f>IF(L441="","",VLOOKUP(L441,'Budget-S&amp;U Codes Lookup'!$E$7:$F$89,2,FALSE))</f>
        <v>Closing Costs</v>
      </c>
      <c r="N441" s="2213"/>
      <c r="O441" s="468"/>
      <c r="P441" s="468"/>
      <c r="Q441" s="468"/>
      <c r="R441" s="468"/>
      <c r="S441" s="468"/>
      <c r="T441" s="468"/>
      <c r="U441" s="468"/>
      <c r="V441" s="468"/>
      <c r="W441" s="468"/>
      <c r="X441" s="468"/>
      <c r="Y441" s="468"/>
      <c r="Z441" s="468"/>
      <c r="AA441" s="468"/>
      <c r="AB441" s="468"/>
      <c r="AC441" s="468"/>
      <c r="AD441" s="468"/>
    </row>
    <row r="442" spans="1:59">
      <c r="A442" s="2407"/>
      <c r="B442" s="2413"/>
      <c r="C442" s="603"/>
      <c r="D442" s="2401"/>
      <c r="E442" s="2407"/>
      <c r="F442" s="2402"/>
      <c r="G442" s="1011"/>
      <c r="H442" s="1646"/>
      <c r="I442" s="1625"/>
      <c r="J442" s="2490" t="str">
        <f>IF(I442="","",VLOOKUP(I442,'Budget-S&amp;U Codes Lookup'!$A$7:$B$550,2,FALSE))</f>
        <v/>
      </c>
      <c r="K442" s="2490"/>
      <c r="L442" s="1627">
        <v>12</v>
      </c>
      <c r="M442" s="2212" t="str">
        <f>IF(L442="","",VLOOKUP(L442,'Budget-S&amp;U Codes Lookup'!$E$7:$F$89,2,FALSE))</f>
        <v>Closing Costs</v>
      </c>
      <c r="N442" s="2213"/>
      <c r="O442" s="468"/>
      <c r="P442" s="468"/>
      <c r="Q442" s="468"/>
      <c r="R442" s="468"/>
      <c r="S442" s="468"/>
      <c r="T442" s="468"/>
      <c r="U442" s="468"/>
      <c r="V442" s="468"/>
      <c r="W442" s="468"/>
      <c r="X442" s="468"/>
      <c r="Y442" s="468"/>
      <c r="Z442" s="468"/>
      <c r="AA442" s="468"/>
      <c r="AB442" s="468"/>
      <c r="AC442" s="468"/>
      <c r="AD442" s="468"/>
    </row>
    <row r="443" spans="1:59">
      <c r="A443" s="2407"/>
      <c r="B443" s="2413"/>
      <c r="C443" s="603"/>
      <c r="D443" s="2401"/>
      <c r="E443" s="2407"/>
      <c r="F443" s="2402"/>
      <c r="G443" s="1011"/>
      <c r="H443" s="1646"/>
      <c r="I443" s="1625"/>
      <c r="J443" s="2490" t="str">
        <f>IF(I443="","",VLOOKUP(I443,'Budget-S&amp;U Codes Lookup'!$A$7:$B$550,2,FALSE))</f>
        <v/>
      </c>
      <c r="K443" s="2490"/>
      <c r="L443" s="1627">
        <v>12</v>
      </c>
      <c r="M443" s="2212" t="str">
        <f>IF(L443="","",VLOOKUP(L443,'Budget-S&amp;U Codes Lookup'!$E$7:$F$89,2,FALSE))</f>
        <v>Closing Costs</v>
      </c>
      <c r="N443" s="2213"/>
      <c r="O443" s="468"/>
      <c r="P443" s="468"/>
      <c r="Q443" s="468"/>
      <c r="R443" s="468"/>
      <c r="S443" s="468"/>
      <c r="T443" s="468"/>
      <c r="U443" s="468"/>
      <c r="V443" s="468"/>
      <c r="W443" s="468"/>
      <c r="X443" s="468"/>
      <c r="Y443" s="468"/>
      <c r="Z443" s="468"/>
      <c r="AA443" s="468"/>
      <c r="AB443" s="468"/>
      <c r="AC443" s="468"/>
      <c r="AD443" s="468"/>
    </row>
    <row r="444" spans="1:59">
      <c r="A444" s="2407"/>
      <c r="B444" s="2413"/>
      <c r="C444" s="603"/>
      <c r="D444" s="2401"/>
      <c r="E444" s="2407"/>
      <c r="F444" s="2402"/>
      <c r="G444" s="1011"/>
      <c r="H444" s="1646"/>
      <c r="I444" s="1625"/>
      <c r="J444" s="2490" t="str">
        <f>IF(I444="","",VLOOKUP(I444,'Budget-S&amp;U Codes Lookup'!$A$7:$B$550,2,FALSE))</f>
        <v/>
      </c>
      <c r="K444" s="2490"/>
      <c r="L444" s="1627">
        <v>12</v>
      </c>
      <c r="M444" s="2212" t="str">
        <f>IF(L444="","",VLOOKUP(L444,'Budget-S&amp;U Codes Lookup'!$E$7:$F$89,2,FALSE))</f>
        <v>Closing Costs</v>
      </c>
      <c r="N444" s="2213"/>
      <c r="O444" s="468"/>
      <c r="P444" s="468"/>
      <c r="Q444" s="468"/>
      <c r="R444" s="468"/>
      <c r="S444" s="468"/>
      <c r="T444" s="468"/>
      <c r="U444" s="468"/>
      <c r="V444" s="468"/>
      <c r="W444" s="468"/>
      <c r="X444" s="468"/>
      <c r="Y444" s="468"/>
      <c r="Z444" s="468"/>
      <c r="AA444" s="468"/>
      <c r="AB444" s="468"/>
      <c r="AC444" s="468"/>
      <c r="AD444" s="468"/>
    </row>
    <row r="445" spans="1:59">
      <c r="A445" s="2407"/>
      <c r="B445" s="2413"/>
      <c r="C445" s="603"/>
      <c r="D445" s="2401"/>
      <c r="E445" s="2407"/>
      <c r="F445" s="2402"/>
      <c r="G445" s="1011"/>
      <c r="H445" s="1646"/>
      <c r="I445" s="1625"/>
      <c r="J445" s="2490" t="str">
        <f>IF(I445="","",VLOOKUP(I445,'Budget-S&amp;U Codes Lookup'!$A$7:$B$550,2,FALSE))</f>
        <v/>
      </c>
      <c r="K445" s="2490"/>
      <c r="L445" s="1627">
        <v>12</v>
      </c>
      <c r="M445" s="2212" t="str">
        <f>IF(L445="","",VLOOKUP(L445,'Budget-S&amp;U Codes Lookup'!$E$7:$F$89,2,FALSE))</f>
        <v>Closing Costs</v>
      </c>
      <c r="N445" s="2213"/>
      <c r="O445" s="468"/>
      <c r="P445" s="468"/>
      <c r="Q445" s="468"/>
      <c r="R445" s="468"/>
      <c r="S445" s="468"/>
      <c r="T445" s="468"/>
      <c r="U445" s="468"/>
      <c r="V445" s="468"/>
      <c r="W445" s="468"/>
      <c r="X445" s="468"/>
      <c r="Y445" s="468"/>
      <c r="Z445" s="468"/>
      <c r="AA445" s="468"/>
      <c r="AB445" s="468"/>
      <c r="AC445" s="468"/>
      <c r="AD445" s="468"/>
    </row>
    <row r="446" spans="1:59">
      <c r="A446" s="2407"/>
      <c r="B446" s="2413"/>
      <c r="C446" s="603"/>
      <c r="D446" s="2401"/>
      <c r="E446" s="2407"/>
      <c r="F446" s="2402"/>
      <c r="G446" s="1011"/>
      <c r="H446" s="1646"/>
      <c r="I446" s="1625"/>
      <c r="J446" s="2490" t="str">
        <f>IF(I446="","",VLOOKUP(I446,'Budget-S&amp;U Codes Lookup'!$A$7:$B$550,2,FALSE))</f>
        <v/>
      </c>
      <c r="K446" s="2490"/>
      <c r="L446" s="1627">
        <v>12</v>
      </c>
      <c r="M446" s="2212" t="str">
        <f>IF(L446="","",VLOOKUP(L446,'Budget-S&amp;U Codes Lookup'!$E$7:$F$89,2,FALSE))</f>
        <v>Closing Costs</v>
      </c>
      <c r="N446" s="2213"/>
      <c r="O446" s="468"/>
      <c r="P446" s="468"/>
      <c r="Q446" s="468"/>
      <c r="R446" s="468"/>
      <c r="S446" s="468"/>
      <c r="T446" s="468"/>
      <c r="U446" s="468"/>
      <c r="V446" s="468"/>
      <c r="W446" s="468"/>
      <c r="X446" s="468"/>
      <c r="Y446" s="468"/>
      <c r="Z446" s="468"/>
      <c r="AA446" s="468"/>
      <c r="AB446" s="468"/>
      <c r="AC446" s="468"/>
      <c r="AD446" s="468"/>
    </row>
    <row r="447" spans="1:59">
      <c r="A447" s="2407"/>
      <c r="B447" s="2413"/>
      <c r="C447" s="603"/>
      <c r="D447" s="2401"/>
      <c r="E447" s="2407"/>
      <c r="F447" s="2402"/>
      <c r="G447" s="1011"/>
      <c r="H447" s="1646"/>
      <c r="I447" s="1625"/>
      <c r="J447" s="2490" t="str">
        <f>IF(I447="","",VLOOKUP(I447,'Budget-S&amp;U Codes Lookup'!$A$7:$B$550,2,FALSE))</f>
        <v/>
      </c>
      <c r="K447" s="2490"/>
      <c r="L447" s="1627">
        <v>12</v>
      </c>
      <c r="M447" s="2212" t="str">
        <f>IF(L447="","",VLOOKUP(L447,'Budget-S&amp;U Codes Lookup'!$E$7:$F$89,2,FALSE))</f>
        <v>Closing Costs</v>
      </c>
      <c r="N447" s="2213"/>
      <c r="O447" s="468"/>
      <c r="P447" s="468"/>
      <c r="Q447" s="468"/>
      <c r="R447" s="468"/>
      <c r="S447" s="468"/>
      <c r="T447" s="468"/>
      <c r="U447" s="468"/>
      <c r="V447" s="468"/>
      <c r="W447" s="468"/>
      <c r="X447" s="468"/>
      <c r="Y447" s="468"/>
      <c r="Z447" s="468"/>
      <c r="AA447" s="468"/>
      <c r="AB447" s="468"/>
      <c r="AC447" s="468"/>
      <c r="AD447" s="468"/>
    </row>
    <row r="448" spans="1:59">
      <c r="A448" s="2407"/>
      <c r="B448" s="2413"/>
      <c r="C448" s="603"/>
      <c r="D448" s="2401"/>
      <c r="E448" s="2407"/>
      <c r="F448" s="2402"/>
      <c r="G448" s="1011"/>
      <c r="H448" s="1646"/>
      <c r="I448" s="1625"/>
      <c r="J448" s="2490" t="str">
        <f>IF(I448="","",VLOOKUP(I448,'Budget-S&amp;U Codes Lookup'!$A$7:$B$550,2,FALSE))</f>
        <v/>
      </c>
      <c r="K448" s="2490"/>
      <c r="L448" s="1627">
        <v>12</v>
      </c>
      <c r="M448" s="2212" t="str">
        <f>IF(L448="","",VLOOKUP(L448,'Budget-S&amp;U Codes Lookup'!$E$7:$F$89,2,FALSE))</f>
        <v>Closing Costs</v>
      </c>
      <c r="N448" s="2213"/>
      <c r="O448" s="468"/>
      <c r="P448" s="468"/>
      <c r="Q448" s="468"/>
      <c r="R448" s="468"/>
      <c r="S448" s="468"/>
      <c r="T448" s="468"/>
      <c r="U448" s="468"/>
      <c r="V448" s="468"/>
      <c r="W448" s="468"/>
      <c r="X448" s="468"/>
      <c r="Y448" s="468"/>
      <c r="Z448" s="468"/>
      <c r="AA448" s="468"/>
      <c r="AB448" s="468"/>
      <c r="AC448" s="468"/>
      <c r="AD448" s="468"/>
    </row>
    <row r="449" spans="1:30">
      <c r="A449" s="2407"/>
      <c r="B449" s="2413"/>
      <c r="C449" s="603"/>
      <c r="D449" s="2401"/>
      <c r="E449" s="2407"/>
      <c r="F449" s="2402"/>
      <c r="G449" s="1011"/>
      <c r="H449" s="1646"/>
      <c r="I449" s="1625"/>
      <c r="J449" s="2490" t="str">
        <f>IF(I449="","",VLOOKUP(I449,'Budget-S&amp;U Codes Lookup'!$A$7:$B$550,2,FALSE))</f>
        <v/>
      </c>
      <c r="K449" s="2490"/>
      <c r="L449" s="1627">
        <v>12</v>
      </c>
      <c r="M449" s="2212" t="str">
        <f>IF(L449="","",VLOOKUP(L449,'Budget-S&amp;U Codes Lookup'!$E$7:$F$89,2,FALSE))</f>
        <v>Closing Costs</v>
      </c>
      <c r="N449" s="2213"/>
      <c r="O449" s="468"/>
      <c r="P449" s="468"/>
      <c r="Q449" s="468"/>
      <c r="R449" s="468"/>
      <c r="S449" s="468"/>
      <c r="T449" s="468"/>
      <c r="U449" s="468"/>
      <c r="V449" s="468"/>
      <c r="W449" s="468"/>
      <c r="X449" s="468"/>
      <c r="Y449" s="468"/>
      <c r="Z449" s="468"/>
      <c r="AA449" s="468"/>
      <c r="AB449" s="468"/>
      <c r="AC449" s="468"/>
      <c r="AD449" s="468"/>
    </row>
    <row r="450" spans="1:30">
      <c r="A450" s="2407"/>
      <c r="B450" s="2413"/>
      <c r="C450" s="603"/>
      <c r="D450" s="2401"/>
      <c r="E450" s="2407"/>
      <c r="F450" s="2402"/>
      <c r="G450" s="1011"/>
      <c r="H450" s="1646"/>
      <c r="I450" s="1625"/>
      <c r="J450" s="2490" t="str">
        <f>IF(I450="","",VLOOKUP(I450,'Budget-S&amp;U Codes Lookup'!$A$7:$B$550,2,FALSE))</f>
        <v/>
      </c>
      <c r="K450" s="2490"/>
      <c r="L450" s="1627">
        <v>12</v>
      </c>
      <c r="M450" s="2212" t="str">
        <f>IF(L450="","",VLOOKUP(L450,'Budget-S&amp;U Codes Lookup'!$E$7:$F$89,2,FALSE))</f>
        <v>Closing Costs</v>
      </c>
      <c r="N450" s="2213"/>
      <c r="O450" s="468"/>
      <c r="P450" s="468"/>
      <c r="Q450" s="468"/>
      <c r="R450" s="468"/>
      <c r="S450" s="468"/>
      <c r="T450" s="468"/>
      <c r="U450" s="468"/>
      <c r="V450" s="468"/>
      <c r="W450" s="468"/>
      <c r="X450" s="468"/>
      <c r="Y450" s="468"/>
      <c r="Z450" s="468"/>
      <c r="AA450" s="468"/>
      <c r="AB450" s="468"/>
      <c r="AC450" s="468"/>
      <c r="AD450" s="468"/>
    </row>
    <row r="451" spans="1:30">
      <c r="A451" s="2407"/>
      <c r="B451" s="2413"/>
      <c r="C451" s="603"/>
      <c r="D451" s="2401"/>
      <c r="E451" s="2407"/>
      <c r="F451" s="2402"/>
      <c r="G451" s="1011"/>
      <c r="H451" s="1646"/>
      <c r="I451" s="1625"/>
      <c r="J451" s="2490" t="str">
        <f>IF(I451="","",VLOOKUP(I451,'Budget-S&amp;U Codes Lookup'!$A$7:$B$550,2,FALSE))</f>
        <v/>
      </c>
      <c r="K451" s="2490"/>
      <c r="L451" s="1627">
        <v>12</v>
      </c>
      <c r="M451" s="2212" t="str">
        <f>IF(L451="","",VLOOKUP(L451,'Budget-S&amp;U Codes Lookup'!$E$7:$F$89,2,FALSE))</f>
        <v>Closing Costs</v>
      </c>
      <c r="N451" s="2213"/>
      <c r="O451" s="468"/>
      <c r="P451" s="468"/>
      <c r="Q451" s="468"/>
      <c r="R451" s="468"/>
      <c r="S451" s="468"/>
      <c r="T451" s="468"/>
      <c r="U451" s="468"/>
      <c r="V451" s="468"/>
      <c r="W451" s="468"/>
      <c r="X451" s="468"/>
      <c r="Y451" s="468"/>
      <c r="Z451" s="468"/>
      <c r="AA451" s="468"/>
      <c r="AB451" s="468"/>
      <c r="AC451" s="468"/>
      <c r="AD451" s="468"/>
    </row>
    <row r="452" spans="1:30">
      <c r="A452" s="2407"/>
      <c r="B452" s="2413"/>
      <c r="C452" s="603"/>
      <c r="D452" s="2401"/>
      <c r="E452" s="2407"/>
      <c r="F452" s="2402"/>
      <c r="G452" s="1011"/>
      <c r="H452" s="1646"/>
      <c r="I452" s="1625"/>
      <c r="J452" s="2490" t="str">
        <f>IF(I452="","",VLOOKUP(I452,'Budget-S&amp;U Codes Lookup'!$A$7:$B$550,2,FALSE))</f>
        <v/>
      </c>
      <c r="K452" s="2490"/>
      <c r="L452" s="1627">
        <v>12</v>
      </c>
      <c r="M452" s="2212" t="str">
        <f>IF(L452="","",VLOOKUP(L452,'Budget-S&amp;U Codes Lookup'!$E$7:$F$89,2,FALSE))</f>
        <v>Closing Costs</v>
      </c>
      <c r="N452" s="2213"/>
      <c r="O452" s="468"/>
      <c r="P452" s="468"/>
      <c r="Q452" s="468"/>
      <c r="R452" s="468"/>
      <c r="S452" s="468"/>
      <c r="T452" s="468"/>
      <c r="U452" s="468"/>
      <c r="V452" s="468"/>
      <c r="W452" s="468"/>
      <c r="X452" s="468"/>
      <c r="Y452" s="468"/>
      <c r="Z452" s="468"/>
      <c r="AA452" s="468"/>
      <c r="AB452" s="468"/>
      <c r="AC452" s="468"/>
      <c r="AD452" s="468"/>
    </row>
    <row r="453" spans="1:30">
      <c r="A453" s="2407"/>
      <c r="B453" s="2413"/>
      <c r="C453" s="603"/>
      <c r="D453" s="2401"/>
      <c r="E453" s="2407"/>
      <c r="F453" s="2402"/>
      <c r="G453" s="1011"/>
      <c r="H453" s="1646"/>
      <c r="I453" s="1625"/>
      <c r="J453" s="2490" t="str">
        <f>IF(I453="","",VLOOKUP(I453,'Budget-S&amp;U Codes Lookup'!$A$7:$B$550,2,FALSE))</f>
        <v/>
      </c>
      <c r="K453" s="2490"/>
      <c r="L453" s="1627">
        <v>12</v>
      </c>
      <c r="M453" s="2212" t="str">
        <f>IF(L453="","",VLOOKUP(L453,'Budget-S&amp;U Codes Lookup'!$E$7:$F$89,2,FALSE))</f>
        <v>Closing Costs</v>
      </c>
      <c r="N453" s="2213"/>
      <c r="O453" s="468"/>
      <c r="P453" s="468"/>
      <c r="Q453" s="468"/>
      <c r="R453" s="468"/>
      <c r="S453" s="468"/>
      <c r="T453" s="468"/>
      <c r="U453" s="468"/>
      <c r="V453" s="468"/>
      <c r="W453" s="468"/>
      <c r="X453" s="468"/>
      <c r="Y453" s="468"/>
      <c r="Z453" s="468"/>
      <c r="AA453" s="468"/>
      <c r="AB453" s="468"/>
      <c r="AC453" s="468"/>
      <c r="AD453" s="468"/>
    </row>
    <row r="454" spans="1:30">
      <c r="A454" s="2407"/>
      <c r="B454" s="2413"/>
      <c r="C454" s="603"/>
      <c r="D454" s="2401"/>
      <c r="E454" s="2407"/>
      <c r="F454" s="2402"/>
      <c r="G454" s="1011"/>
      <c r="H454" s="1646"/>
      <c r="I454" s="1625"/>
      <c r="J454" s="2490" t="str">
        <f>IF(I454="","",VLOOKUP(I454,'Budget-S&amp;U Codes Lookup'!$A$7:$B$550,2,FALSE))</f>
        <v/>
      </c>
      <c r="K454" s="2490"/>
      <c r="L454" s="1627">
        <v>12</v>
      </c>
      <c r="M454" s="2212" t="str">
        <f>IF(L454="","",VLOOKUP(L454,'Budget-S&amp;U Codes Lookup'!$E$7:$F$89,2,FALSE))</f>
        <v>Closing Costs</v>
      </c>
      <c r="N454" s="2213"/>
      <c r="O454" s="468"/>
      <c r="P454" s="468"/>
      <c r="Q454" s="468"/>
      <c r="R454" s="468"/>
      <c r="S454" s="468"/>
      <c r="T454" s="468"/>
      <c r="U454" s="468"/>
      <c r="V454" s="468"/>
      <c r="W454" s="468"/>
      <c r="X454" s="468"/>
      <c r="Y454" s="468"/>
      <c r="Z454" s="468"/>
      <c r="AA454" s="468"/>
      <c r="AB454" s="468"/>
      <c r="AC454" s="468"/>
      <c r="AD454" s="468"/>
    </row>
    <row r="455" spans="1:30">
      <c r="A455" s="2407"/>
      <c r="B455" s="2413"/>
      <c r="C455" s="603"/>
      <c r="D455" s="2401"/>
      <c r="E455" s="2407"/>
      <c r="F455" s="2402"/>
      <c r="G455" s="1011"/>
      <c r="H455" s="1646"/>
      <c r="I455" s="1625"/>
      <c r="J455" s="2490" t="str">
        <f>IF(I455="","",VLOOKUP(I455,'Budget-S&amp;U Codes Lookup'!$A$7:$B$550,2,FALSE))</f>
        <v/>
      </c>
      <c r="K455" s="2490"/>
      <c r="L455" s="1627">
        <v>12</v>
      </c>
      <c r="M455" s="2212" t="str">
        <f>IF(L455="","",VLOOKUP(L455,'Budget-S&amp;U Codes Lookup'!$E$7:$F$89,2,FALSE))</f>
        <v>Closing Costs</v>
      </c>
      <c r="N455" s="2213"/>
      <c r="O455" s="468"/>
      <c r="P455" s="468"/>
      <c r="Q455" s="468"/>
      <c r="R455" s="468"/>
      <c r="S455" s="468"/>
      <c r="T455" s="468"/>
      <c r="U455" s="468"/>
      <c r="V455" s="468"/>
      <c r="W455" s="468"/>
      <c r="X455" s="468"/>
      <c r="Y455" s="468"/>
      <c r="Z455" s="468"/>
      <c r="AA455" s="468"/>
      <c r="AB455" s="468"/>
      <c r="AC455" s="468"/>
      <c r="AD455" s="468"/>
    </row>
    <row r="456" spans="1:30">
      <c r="A456" s="2407"/>
      <c r="B456" s="2413"/>
      <c r="C456" s="603"/>
      <c r="D456" s="2401"/>
      <c r="E456" s="2407"/>
      <c r="F456" s="2402"/>
      <c r="G456" s="1011"/>
      <c r="H456" s="1646"/>
      <c r="I456" s="1625"/>
      <c r="J456" s="2490" t="str">
        <f>IF(I456="","",VLOOKUP(I456,'Budget-S&amp;U Codes Lookup'!$A$7:$B$550,2,FALSE))</f>
        <v/>
      </c>
      <c r="K456" s="2490"/>
      <c r="L456" s="1627">
        <v>12</v>
      </c>
      <c r="M456" s="2212" t="str">
        <f>IF(L456="","",VLOOKUP(L456,'Budget-S&amp;U Codes Lookup'!$E$7:$F$89,2,FALSE))</f>
        <v>Closing Costs</v>
      </c>
      <c r="N456" s="2213"/>
      <c r="O456" s="468"/>
      <c r="P456" s="468"/>
      <c r="Q456" s="468"/>
      <c r="R456" s="468"/>
      <c r="S456" s="468"/>
      <c r="T456" s="468"/>
      <c r="U456" s="468"/>
      <c r="V456" s="468"/>
      <c r="W456" s="468"/>
      <c r="X456" s="468"/>
      <c r="Y456" s="468"/>
      <c r="Z456" s="468"/>
      <c r="AA456" s="468"/>
      <c r="AB456" s="468"/>
      <c r="AC456" s="468"/>
      <c r="AD456" s="468"/>
    </row>
    <row r="457" spans="1:30">
      <c r="A457" s="2407"/>
      <c r="B457" s="2413"/>
      <c r="C457" s="603"/>
      <c r="D457" s="2401"/>
      <c r="E457" s="2407"/>
      <c r="F457" s="2402"/>
      <c r="G457" s="1011"/>
      <c r="H457" s="1646"/>
      <c r="I457" s="1625"/>
      <c r="J457" s="2490" t="str">
        <f>IF(I457="","",VLOOKUP(I457,'Budget-S&amp;U Codes Lookup'!$A$7:$B$550,2,FALSE))</f>
        <v/>
      </c>
      <c r="K457" s="2490"/>
      <c r="L457" s="1627">
        <v>12</v>
      </c>
      <c r="M457" s="2212" t="str">
        <f>IF(L457="","",VLOOKUP(L457,'Budget-S&amp;U Codes Lookup'!$E$7:$F$89,2,FALSE))</f>
        <v>Closing Costs</v>
      </c>
      <c r="N457" s="2213"/>
      <c r="O457" s="468"/>
      <c r="P457" s="468"/>
      <c r="Q457" s="468"/>
      <c r="R457" s="468"/>
      <c r="S457" s="468"/>
      <c r="T457" s="468"/>
      <c r="U457" s="468"/>
      <c r="V457" s="468"/>
      <c r="W457" s="468"/>
      <c r="X457" s="468"/>
      <c r="Y457" s="468"/>
      <c r="Z457" s="468"/>
      <c r="AA457" s="468"/>
      <c r="AB457" s="468"/>
      <c r="AC457" s="468"/>
      <c r="AD457" s="468"/>
    </row>
    <row r="458" spans="1:30" ht="14.85" hidden="1" customHeight="1" outlineLevel="1">
      <c r="A458" s="2407"/>
      <c r="B458" s="2413"/>
      <c r="C458" s="603"/>
      <c r="D458" s="2401"/>
      <c r="E458" s="2407"/>
      <c r="F458" s="2402"/>
      <c r="G458" s="1011"/>
      <c r="H458" s="1646"/>
      <c r="I458" s="1625"/>
      <c r="J458" s="2490" t="str">
        <f>IF(I458="","",VLOOKUP(I458,'Budget-S&amp;U Codes Lookup'!$A$7:$B$550,2,FALSE))</f>
        <v/>
      </c>
      <c r="K458" s="2490"/>
      <c r="L458" s="1627">
        <v>12</v>
      </c>
      <c r="M458" s="2212" t="str">
        <f>IF(L458="","",VLOOKUP(L458,'Budget-S&amp;U Codes Lookup'!$E$7:$F$89,2,FALSE))</f>
        <v>Closing Costs</v>
      </c>
      <c r="N458" s="2213"/>
      <c r="O458" s="468"/>
      <c r="P458" s="468"/>
      <c r="Q458" s="468"/>
      <c r="R458" s="468"/>
      <c r="S458" s="468"/>
      <c r="T458" s="468"/>
      <c r="U458" s="468"/>
      <c r="V458" s="468"/>
      <c r="W458" s="468"/>
      <c r="X458" s="468"/>
      <c r="Y458" s="468"/>
      <c r="Z458" s="468"/>
      <c r="AA458" s="468"/>
      <c r="AB458" s="468"/>
      <c r="AC458" s="468"/>
      <c r="AD458" s="468"/>
    </row>
    <row r="459" spans="1:30" ht="14.85" hidden="1" customHeight="1" outlineLevel="1">
      <c r="A459" s="2407"/>
      <c r="B459" s="2413"/>
      <c r="C459" s="603"/>
      <c r="D459" s="2401"/>
      <c r="E459" s="2407"/>
      <c r="F459" s="2402"/>
      <c r="G459" s="1011"/>
      <c r="H459" s="1646"/>
      <c r="I459" s="1625"/>
      <c r="J459" s="2490" t="str">
        <f>IF(I459="","",VLOOKUP(I459,'Budget-S&amp;U Codes Lookup'!$A$7:$B$550,2,FALSE))</f>
        <v/>
      </c>
      <c r="K459" s="2490"/>
      <c r="L459" s="1627">
        <v>12</v>
      </c>
      <c r="M459" s="2212" t="str">
        <f>IF(L459="","",VLOOKUP(L459,'Budget-S&amp;U Codes Lookup'!$E$7:$F$89,2,FALSE))</f>
        <v>Closing Costs</v>
      </c>
      <c r="N459" s="2213"/>
      <c r="O459" s="468"/>
      <c r="P459" s="468"/>
      <c r="Q459" s="468"/>
      <c r="R459" s="468"/>
      <c r="S459" s="468"/>
      <c r="T459" s="468"/>
      <c r="U459" s="468"/>
      <c r="V459" s="468"/>
      <c r="W459" s="468"/>
      <c r="X459" s="468"/>
      <c r="Y459" s="468"/>
      <c r="Z459" s="468"/>
      <c r="AA459" s="468"/>
      <c r="AB459" s="468"/>
      <c r="AC459" s="468"/>
      <c r="AD459" s="468"/>
    </row>
    <row r="460" spans="1:30" ht="14.85" hidden="1" customHeight="1" outlineLevel="1">
      <c r="A460" s="2407"/>
      <c r="B460" s="2413"/>
      <c r="C460" s="603"/>
      <c r="D460" s="2401"/>
      <c r="E460" s="2407"/>
      <c r="F460" s="2402"/>
      <c r="G460" s="1011"/>
      <c r="H460" s="1646"/>
      <c r="I460" s="1625"/>
      <c r="J460" s="2490" t="str">
        <f>IF(I460="","",VLOOKUP(I460,'Budget-S&amp;U Codes Lookup'!$A$7:$B$550,2,FALSE))</f>
        <v/>
      </c>
      <c r="K460" s="2490"/>
      <c r="L460" s="1627">
        <v>12</v>
      </c>
      <c r="M460" s="2212" t="str">
        <f>IF(L460="","",VLOOKUP(L460,'Budget-S&amp;U Codes Lookup'!$E$7:$F$89,2,FALSE))</f>
        <v>Closing Costs</v>
      </c>
      <c r="N460" s="2213"/>
      <c r="O460" s="468"/>
      <c r="P460" s="468"/>
      <c r="Q460" s="468"/>
      <c r="R460" s="468"/>
      <c r="S460" s="468"/>
      <c r="T460" s="468"/>
      <c r="U460" s="468"/>
      <c r="V460" s="468"/>
      <c r="W460" s="468"/>
      <c r="X460" s="468"/>
      <c r="Y460" s="468"/>
      <c r="Z460" s="468"/>
      <c r="AA460" s="468"/>
      <c r="AB460" s="468"/>
      <c r="AC460" s="468"/>
      <c r="AD460" s="468"/>
    </row>
    <row r="461" spans="1:30" ht="14.85" hidden="1" customHeight="1" outlineLevel="1">
      <c r="A461" s="2407"/>
      <c r="B461" s="2413"/>
      <c r="C461" s="603"/>
      <c r="D461" s="2401"/>
      <c r="E461" s="2407"/>
      <c r="F461" s="2402"/>
      <c r="G461" s="1011"/>
      <c r="H461" s="1646"/>
      <c r="I461" s="1625"/>
      <c r="J461" s="2490" t="str">
        <f>IF(I461="","",VLOOKUP(I461,'Budget-S&amp;U Codes Lookup'!$A$7:$B$550,2,FALSE))</f>
        <v/>
      </c>
      <c r="K461" s="2490"/>
      <c r="L461" s="1627">
        <v>12</v>
      </c>
      <c r="M461" s="2212" t="str">
        <f>IF(L461="","",VLOOKUP(L461,'Budget-S&amp;U Codes Lookup'!$E$7:$F$89,2,FALSE))</f>
        <v>Closing Costs</v>
      </c>
      <c r="N461" s="2213"/>
      <c r="O461" s="468"/>
      <c r="P461" s="468"/>
      <c r="Q461" s="468"/>
      <c r="R461" s="468"/>
      <c r="S461" s="468"/>
      <c r="T461" s="468"/>
      <c r="U461" s="468"/>
      <c r="V461" s="468"/>
      <c r="W461" s="468"/>
      <c r="X461" s="468"/>
      <c r="Y461" s="468"/>
      <c r="Z461" s="468"/>
      <c r="AA461" s="468"/>
      <c r="AB461" s="468"/>
      <c r="AC461" s="468"/>
      <c r="AD461" s="468"/>
    </row>
    <row r="462" spans="1:30" ht="14.85" hidden="1" customHeight="1" outlineLevel="1">
      <c r="A462" s="2407"/>
      <c r="B462" s="2413"/>
      <c r="C462" s="603"/>
      <c r="D462" s="2401"/>
      <c r="E462" s="2407"/>
      <c r="F462" s="2402"/>
      <c r="G462" s="1011"/>
      <c r="H462" s="1646"/>
      <c r="I462" s="1625"/>
      <c r="J462" s="2490" t="str">
        <f>IF(I462="","",VLOOKUP(I462,'Budget-S&amp;U Codes Lookup'!$A$7:$B$550,2,FALSE))</f>
        <v/>
      </c>
      <c r="K462" s="2490"/>
      <c r="L462" s="1627">
        <v>12</v>
      </c>
      <c r="M462" s="2212" t="str">
        <f>IF(L462="","",VLOOKUP(L462,'Budget-S&amp;U Codes Lookup'!$E$7:$F$89,2,FALSE))</f>
        <v>Closing Costs</v>
      </c>
      <c r="N462" s="2213"/>
      <c r="O462" s="468"/>
      <c r="P462" s="468"/>
      <c r="Q462" s="468"/>
      <c r="R462" s="468"/>
      <c r="S462" s="468"/>
      <c r="T462" s="468"/>
      <c r="U462" s="468"/>
      <c r="V462" s="468"/>
      <c r="W462" s="468"/>
      <c r="X462" s="468"/>
      <c r="Y462" s="468"/>
      <c r="Z462" s="468"/>
      <c r="AA462" s="468"/>
      <c r="AB462" s="468"/>
      <c r="AC462" s="468"/>
      <c r="AD462" s="468"/>
    </row>
    <row r="463" spans="1:30" ht="14.85" hidden="1" customHeight="1" outlineLevel="1">
      <c r="A463" s="2407"/>
      <c r="B463" s="2413"/>
      <c r="C463" s="603"/>
      <c r="D463" s="2401"/>
      <c r="E463" s="2407"/>
      <c r="F463" s="2402"/>
      <c r="G463" s="1011"/>
      <c r="H463" s="1646"/>
      <c r="I463" s="1625"/>
      <c r="J463" s="2490" t="str">
        <f>IF(I463="","",VLOOKUP(I463,'Budget-S&amp;U Codes Lookup'!$A$7:$B$550,2,FALSE))</f>
        <v/>
      </c>
      <c r="K463" s="2490"/>
      <c r="L463" s="1627">
        <v>12</v>
      </c>
      <c r="M463" s="2212" t="str">
        <f>IF(L463="","",VLOOKUP(L463,'Budget-S&amp;U Codes Lookup'!$E$7:$F$89,2,FALSE))</f>
        <v>Closing Costs</v>
      </c>
      <c r="N463" s="2213"/>
      <c r="O463" s="468"/>
      <c r="P463" s="468"/>
      <c r="Q463" s="468"/>
      <c r="R463" s="468"/>
      <c r="S463" s="468"/>
      <c r="T463" s="468"/>
      <c r="U463" s="468"/>
      <c r="V463" s="468"/>
      <c r="W463" s="468"/>
      <c r="X463" s="468"/>
      <c r="Y463" s="468"/>
      <c r="Z463" s="468"/>
      <c r="AA463" s="468"/>
      <c r="AB463" s="468"/>
      <c r="AC463" s="468"/>
      <c r="AD463" s="468"/>
    </row>
    <row r="464" spans="1:30" ht="14.85" hidden="1" customHeight="1" outlineLevel="1">
      <c r="A464" s="2407"/>
      <c r="B464" s="2413"/>
      <c r="C464" s="603"/>
      <c r="D464" s="2401"/>
      <c r="E464" s="2407"/>
      <c r="F464" s="2402"/>
      <c r="G464" s="1011"/>
      <c r="H464" s="1646"/>
      <c r="I464" s="1625"/>
      <c r="J464" s="2490" t="str">
        <f>IF(I464="","",VLOOKUP(I464,'Budget-S&amp;U Codes Lookup'!$A$7:$B$550,2,FALSE))</f>
        <v/>
      </c>
      <c r="K464" s="2490"/>
      <c r="L464" s="1627">
        <v>12</v>
      </c>
      <c r="M464" s="2212" t="str">
        <f>IF(L464="","",VLOOKUP(L464,'Budget-S&amp;U Codes Lookup'!$E$7:$F$89,2,FALSE))</f>
        <v>Closing Costs</v>
      </c>
      <c r="N464" s="2213"/>
      <c r="O464" s="468"/>
      <c r="P464" s="468"/>
      <c r="Q464" s="468"/>
      <c r="R464" s="468"/>
      <c r="S464" s="468"/>
      <c r="T464" s="468"/>
      <c r="U464" s="468"/>
      <c r="V464" s="468"/>
      <c r="W464" s="468"/>
      <c r="X464" s="468"/>
      <c r="Y464" s="468"/>
      <c r="Z464" s="468"/>
      <c r="AA464" s="468"/>
      <c r="AB464" s="468"/>
      <c r="AC464" s="468"/>
      <c r="AD464" s="468"/>
    </row>
    <row r="465" spans="1:30" ht="14.85" hidden="1" customHeight="1" outlineLevel="1">
      <c r="A465" s="2407"/>
      <c r="B465" s="2413"/>
      <c r="C465" s="603"/>
      <c r="D465" s="2401"/>
      <c r="E465" s="2407"/>
      <c r="F465" s="2402"/>
      <c r="G465" s="1011"/>
      <c r="H465" s="1646"/>
      <c r="I465" s="1625"/>
      <c r="J465" s="2490" t="str">
        <f>IF(I465="","",VLOOKUP(I465,'Budget-S&amp;U Codes Lookup'!$A$7:$B$550,2,FALSE))</f>
        <v/>
      </c>
      <c r="K465" s="2490"/>
      <c r="L465" s="1627">
        <v>12</v>
      </c>
      <c r="M465" s="2212" t="str">
        <f>IF(L465="","",VLOOKUP(L465,'Budget-S&amp;U Codes Lookup'!$E$7:$F$89,2,FALSE))</f>
        <v>Closing Costs</v>
      </c>
      <c r="N465" s="2213"/>
      <c r="O465" s="468"/>
      <c r="P465" s="468"/>
      <c r="Q465" s="468"/>
      <c r="R465" s="468"/>
      <c r="S465" s="468"/>
      <c r="T465" s="468"/>
      <c r="U465" s="468"/>
      <c r="V465" s="468"/>
      <c r="W465" s="468"/>
      <c r="X465" s="468"/>
      <c r="Y465" s="468"/>
      <c r="Z465" s="468"/>
      <c r="AA465" s="468"/>
      <c r="AB465" s="468"/>
      <c r="AC465" s="468"/>
      <c r="AD465" s="468"/>
    </row>
    <row r="466" spans="1:30" ht="14.85" hidden="1" customHeight="1" outlineLevel="1">
      <c r="A466" s="2407"/>
      <c r="B466" s="2413"/>
      <c r="C466" s="603"/>
      <c r="D466" s="2401"/>
      <c r="E466" s="2407"/>
      <c r="F466" s="2402"/>
      <c r="G466" s="1011"/>
      <c r="H466" s="1646"/>
      <c r="I466" s="1625"/>
      <c r="J466" s="2490" t="str">
        <f>IF(I466="","",VLOOKUP(I466,'Budget-S&amp;U Codes Lookup'!$A$7:$B$550,2,FALSE))</f>
        <v/>
      </c>
      <c r="K466" s="2490"/>
      <c r="L466" s="1627">
        <v>12</v>
      </c>
      <c r="M466" s="2212" t="str">
        <f>IF(L466="","",VLOOKUP(L466,'Budget-S&amp;U Codes Lookup'!$E$7:$F$89,2,FALSE))</f>
        <v>Closing Costs</v>
      </c>
      <c r="N466" s="2213"/>
      <c r="O466" s="468"/>
      <c r="P466" s="468"/>
      <c r="Q466" s="468"/>
      <c r="R466" s="468"/>
      <c r="S466" s="468"/>
      <c r="T466" s="468"/>
      <c r="U466" s="468"/>
      <c r="V466" s="468"/>
      <c r="W466" s="468"/>
      <c r="X466" s="468"/>
      <c r="Y466" s="468"/>
      <c r="Z466" s="468"/>
      <c r="AA466" s="468"/>
      <c r="AB466" s="468"/>
      <c r="AC466" s="468"/>
      <c r="AD466" s="468"/>
    </row>
    <row r="467" spans="1:30" ht="14.85" hidden="1" customHeight="1" outlineLevel="1">
      <c r="A467" s="2407"/>
      <c r="B467" s="2413"/>
      <c r="C467" s="603"/>
      <c r="D467" s="2401"/>
      <c r="E467" s="2407"/>
      <c r="F467" s="2402"/>
      <c r="G467" s="1011"/>
      <c r="H467" s="1646"/>
      <c r="I467" s="1625"/>
      <c r="J467" s="2490" t="str">
        <f>IF(I467="","",VLOOKUP(I467,'Budget-S&amp;U Codes Lookup'!$A$7:$B$550,2,FALSE))</f>
        <v/>
      </c>
      <c r="K467" s="2490"/>
      <c r="L467" s="1627">
        <v>12</v>
      </c>
      <c r="M467" s="2212" t="str">
        <f>IF(L467="","",VLOOKUP(L467,'Budget-S&amp;U Codes Lookup'!$E$7:$F$89,2,FALSE))</f>
        <v>Closing Costs</v>
      </c>
      <c r="N467" s="2213"/>
      <c r="O467" s="468"/>
      <c r="P467" s="468"/>
      <c r="Q467" s="468"/>
      <c r="R467" s="468"/>
      <c r="S467" s="468"/>
      <c r="T467" s="468"/>
      <c r="U467" s="468"/>
      <c r="V467" s="468"/>
      <c r="W467" s="468"/>
      <c r="X467" s="468"/>
      <c r="Y467" s="468"/>
      <c r="Z467" s="468"/>
      <c r="AA467" s="468"/>
      <c r="AB467" s="468"/>
      <c r="AC467" s="468"/>
      <c r="AD467" s="468"/>
    </row>
    <row r="468" spans="1:30" collapsed="1">
      <c r="A468" s="2407"/>
      <c r="B468" s="2413"/>
      <c r="C468" s="603"/>
      <c r="D468" s="2401"/>
      <c r="E468" s="2407"/>
      <c r="F468" s="2402"/>
      <c r="G468" s="1011"/>
      <c r="H468" s="1646"/>
      <c r="I468" s="1625"/>
      <c r="J468" s="2490" t="str">
        <f>IF(I468="","",VLOOKUP(I468,'Budget-S&amp;U Codes Lookup'!$A$7:$B$550,2,FALSE))</f>
        <v/>
      </c>
      <c r="K468" s="2490"/>
      <c r="L468" s="1627">
        <v>12</v>
      </c>
      <c r="M468" s="2212" t="str">
        <f>IF(L468="","",VLOOKUP(L468,'Budget-S&amp;U Codes Lookup'!$E$7:$F$89,2,FALSE))</f>
        <v>Closing Costs</v>
      </c>
      <c r="N468" s="2213"/>
      <c r="O468" s="468"/>
      <c r="P468" s="468"/>
      <c r="Q468" s="468"/>
      <c r="R468" s="468"/>
      <c r="S468" s="468"/>
      <c r="T468" s="468"/>
      <c r="U468" s="468"/>
      <c r="V468" s="468"/>
      <c r="W468" s="468"/>
      <c r="X468" s="468"/>
      <c r="Y468" s="468"/>
      <c r="Z468" s="468"/>
      <c r="AA468" s="468"/>
      <c r="AB468" s="468"/>
      <c r="AC468" s="468"/>
      <c r="AD468" s="468"/>
    </row>
    <row r="469" spans="1:30" ht="14.85" hidden="1" customHeight="1" outlineLevel="1">
      <c r="A469" s="2407"/>
      <c r="B469" s="2413"/>
      <c r="C469" s="603"/>
      <c r="D469" s="2401"/>
      <c r="E469" s="2407"/>
      <c r="F469" s="2402"/>
      <c r="G469" s="1011"/>
      <c r="H469" s="1646"/>
      <c r="I469" s="1625"/>
      <c r="J469" s="2490" t="str">
        <f>IF(I469="","",VLOOKUP(I469,'Budget-S&amp;U Codes Lookup'!$A$7:$B$550,2,FALSE))</f>
        <v/>
      </c>
      <c r="K469" s="2490"/>
      <c r="L469" s="1627">
        <v>12</v>
      </c>
      <c r="M469" s="2212" t="str">
        <f>IF(L469="","",VLOOKUP(L469,'Budget-S&amp;U Codes Lookup'!$E$7:$F$89,2,FALSE))</f>
        <v>Closing Costs</v>
      </c>
      <c r="N469" s="2213"/>
      <c r="O469" s="468"/>
      <c r="P469" s="468"/>
      <c r="Q469" s="468"/>
      <c r="R469" s="468"/>
      <c r="S469" s="468"/>
      <c r="T469" s="468"/>
      <c r="U469" s="468"/>
      <c r="V469" s="468"/>
      <c r="W469" s="468"/>
      <c r="X469" s="468"/>
      <c r="Y469" s="468"/>
      <c r="Z469" s="468"/>
      <c r="AA469" s="468"/>
      <c r="AB469" s="468"/>
      <c r="AC469" s="468"/>
      <c r="AD469" s="468"/>
    </row>
    <row r="470" spans="1:30" ht="14.85" hidden="1" customHeight="1" outlineLevel="1">
      <c r="A470" s="2407"/>
      <c r="B470" s="2413"/>
      <c r="C470" s="603"/>
      <c r="D470" s="2401"/>
      <c r="E470" s="2407"/>
      <c r="F470" s="2402"/>
      <c r="G470" s="1011"/>
      <c r="H470" s="1646"/>
      <c r="I470" s="1625"/>
      <c r="J470" s="2490" t="str">
        <f>IF(I470="","",VLOOKUP(I470,'Budget-S&amp;U Codes Lookup'!$A$7:$B$550,2,FALSE))</f>
        <v/>
      </c>
      <c r="K470" s="2490"/>
      <c r="L470" s="1627">
        <v>12</v>
      </c>
      <c r="M470" s="2212" t="str">
        <f>IF(L470="","",VLOOKUP(L470,'Budget-S&amp;U Codes Lookup'!$E$7:$F$89,2,FALSE))</f>
        <v>Closing Costs</v>
      </c>
      <c r="N470" s="2213"/>
      <c r="O470" s="468"/>
      <c r="P470" s="468"/>
      <c r="Q470" s="468"/>
      <c r="R470" s="468"/>
      <c r="S470" s="468"/>
      <c r="T470" s="468"/>
      <c r="U470" s="468"/>
      <c r="V470" s="468"/>
      <c r="W470" s="468"/>
      <c r="X470" s="468"/>
      <c r="Y470" s="468"/>
      <c r="Z470" s="468"/>
      <c r="AA470" s="468"/>
      <c r="AB470" s="468"/>
      <c r="AC470" s="468"/>
      <c r="AD470" s="468"/>
    </row>
    <row r="471" spans="1:30" ht="14.85" hidden="1" customHeight="1" outlineLevel="1">
      <c r="A471" s="2407"/>
      <c r="B471" s="2413"/>
      <c r="C471" s="603"/>
      <c r="D471" s="2401"/>
      <c r="E471" s="2407"/>
      <c r="F471" s="2402"/>
      <c r="G471" s="1011"/>
      <c r="H471" s="1646"/>
      <c r="I471" s="1625"/>
      <c r="J471" s="2490" t="str">
        <f>IF(I471="","",VLOOKUP(I471,'Budget-S&amp;U Codes Lookup'!$A$7:$B$550,2,FALSE))</f>
        <v/>
      </c>
      <c r="K471" s="2490"/>
      <c r="L471" s="1627">
        <v>12</v>
      </c>
      <c r="M471" s="2212" t="str">
        <f>IF(L471="","",VLOOKUP(L471,'Budget-S&amp;U Codes Lookup'!$E$7:$F$89,2,FALSE))</f>
        <v>Closing Costs</v>
      </c>
      <c r="N471" s="2213"/>
      <c r="O471" s="468"/>
      <c r="P471" s="468"/>
      <c r="Q471" s="468"/>
      <c r="R471" s="468"/>
      <c r="S471" s="468"/>
      <c r="T471" s="468"/>
      <c r="U471" s="468"/>
      <c r="V471" s="468"/>
      <c r="W471" s="468"/>
      <c r="X471" s="468"/>
      <c r="Y471" s="468"/>
      <c r="Z471" s="468"/>
      <c r="AA471" s="468"/>
      <c r="AB471" s="468"/>
      <c r="AC471" s="468"/>
      <c r="AD471" s="468"/>
    </row>
    <row r="472" spans="1:30" ht="14.85" hidden="1" customHeight="1" outlineLevel="1">
      <c r="A472" s="2407"/>
      <c r="B472" s="2413"/>
      <c r="C472" s="603"/>
      <c r="D472" s="2401"/>
      <c r="E472" s="2407"/>
      <c r="F472" s="2402"/>
      <c r="G472" s="1011"/>
      <c r="H472" s="1646"/>
      <c r="I472" s="1625"/>
      <c r="J472" s="2490" t="str">
        <f>IF(I472="","",VLOOKUP(I472,'Budget-S&amp;U Codes Lookup'!$A$7:$B$550,2,FALSE))</f>
        <v/>
      </c>
      <c r="K472" s="2490"/>
      <c r="L472" s="1627">
        <v>12</v>
      </c>
      <c r="M472" s="2212" t="str">
        <f>IF(L472="","",VLOOKUP(L472,'Budget-S&amp;U Codes Lookup'!$E$7:$F$89,2,FALSE))</f>
        <v>Closing Costs</v>
      </c>
      <c r="N472" s="2213"/>
      <c r="O472" s="468"/>
      <c r="P472" s="468"/>
      <c r="Q472" s="468"/>
      <c r="R472" s="468"/>
      <c r="S472" s="468"/>
      <c r="T472" s="468"/>
      <c r="U472" s="468"/>
      <c r="V472" s="468"/>
      <c r="W472" s="468"/>
      <c r="X472" s="468"/>
      <c r="Y472" s="468"/>
      <c r="Z472" s="468"/>
      <c r="AA472" s="468"/>
      <c r="AB472" s="468"/>
      <c r="AC472" s="468"/>
      <c r="AD472" s="468"/>
    </row>
    <row r="473" spans="1:30" ht="14.85" hidden="1" customHeight="1" outlineLevel="1">
      <c r="A473" s="2407"/>
      <c r="B473" s="2413"/>
      <c r="C473" s="603"/>
      <c r="D473" s="2401"/>
      <c r="E473" s="2407"/>
      <c r="F473" s="2402"/>
      <c r="G473" s="1011"/>
      <c r="H473" s="1646"/>
      <c r="I473" s="1625"/>
      <c r="J473" s="2490" t="str">
        <f>IF(I473="","",VLOOKUP(I473,'Budget-S&amp;U Codes Lookup'!$A$7:$B$550,2,FALSE))</f>
        <v/>
      </c>
      <c r="K473" s="2490"/>
      <c r="L473" s="1627">
        <v>12</v>
      </c>
      <c r="M473" s="2212" t="str">
        <f>IF(L473="","",VLOOKUP(L473,'Budget-S&amp;U Codes Lookup'!$E$7:$F$89,2,FALSE))</f>
        <v>Closing Costs</v>
      </c>
      <c r="N473" s="2213"/>
      <c r="O473" s="468"/>
      <c r="P473" s="468"/>
      <c r="Q473" s="468"/>
      <c r="R473" s="468"/>
      <c r="S473" s="468"/>
      <c r="T473" s="468"/>
      <c r="U473" s="468"/>
      <c r="V473" s="468"/>
      <c r="W473" s="468"/>
      <c r="X473" s="468"/>
      <c r="Y473" s="468"/>
      <c r="Z473" s="468"/>
      <c r="AA473" s="468"/>
      <c r="AB473" s="468"/>
      <c r="AC473" s="468"/>
      <c r="AD473" s="468"/>
    </row>
    <row r="474" spans="1:30" ht="14.85" hidden="1" customHeight="1" outlineLevel="1">
      <c r="A474" s="2407"/>
      <c r="B474" s="2413"/>
      <c r="C474" s="603"/>
      <c r="D474" s="2401"/>
      <c r="E474" s="2407"/>
      <c r="F474" s="2402"/>
      <c r="G474" s="1011"/>
      <c r="H474" s="1646"/>
      <c r="I474" s="1625"/>
      <c r="J474" s="2490" t="str">
        <f>IF(I474="","",VLOOKUP(I474,'Budget-S&amp;U Codes Lookup'!$A$7:$B$550,2,FALSE))</f>
        <v/>
      </c>
      <c r="K474" s="2490"/>
      <c r="L474" s="1627">
        <v>12</v>
      </c>
      <c r="M474" s="2212" t="str">
        <f>IF(L474="","",VLOOKUP(L474,'Budget-S&amp;U Codes Lookup'!$E$7:$F$89,2,FALSE))</f>
        <v>Closing Costs</v>
      </c>
      <c r="N474" s="2213"/>
      <c r="O474" s="468"/>
      <c r="P474" s="468"/>
      <c r="Q474" s="468"/>
      <c r="R474" s="468"/>
      <c r="S474" s="468"/>
      <c r="T474" s="468"/>
      <c r="U474" s="468"/>
      <c r="V474" s="468"/>
      <c r="W474" s="468"/>
      <c r="X474" s="468"/>
      <c r="Y474" s="468"/>
      <c r="Z474" s="468"/>
      <c r="AA474" s="468"/>
      <c r="AB474" s="468"/>
      <c r="AC474" s="468"/>
      <c r="AD474" s="468"/>
    </row>
    <row r="475" spans="1:30" ht="14.85" hidden="1" customHeight="1" outlineLevel="1">
      <c r="A475" s="2407"/>
      <c r="B475" s="2413"/>
      <c r="C475" s="603"/>
      <c r="D475" s="2401"/>
      <c r="E475" s="2407"/>
      <c r="F475" s="2402"/>
      <c r="G475" s="1011"/>
      <c r="H475" s="1646"/>
      <c r="I475" s="1625"/>
      <c r="J475" s="2490" t="str">
        <f>IF(I475="","",VLOOKUP(I475,'Budget-S&amp;U Codes Lookup'!$A$7:$B$550,2,FALSE))</f>
        <v/>
      </c>
      <c r="K475" s="2490"/>
      <c r="L475" s="1627">
        <v>12</v>
      </c>
      <c r="M475" s="2212" t="str">
        <f>IF(L475="","",VLOOKUP(L475,'Budget-S&amp;U Codes Lookup'!$E$7:$F$89,2,FALSE))</f>
        <v>Closing Costs</v>
      </c>
      <c r="N475" s="2213"/>
      <c r="O475" s="468"/>
      <c r="P475" s="468"/>
      <c r="Q475" s="468"/>
      <c r="R475" s="468"/>
      <c r="S475" s="468"/>
      <c r="T475" s="468"/>
      <c r="U475" s="468"/>
      <c r="V475" s="468"/>
      <c r="W475" s="468"/>
      <c r="X475" s="468"/>
      <c r="Y475" s="468"/>
      <c r="Z475" s="468"/>
      <c r="AA475" s="468"/>
      <c r="AB475" s="468"/>
      <c r="AC475" s="468"/>
      <c r="AD475" s="468"/>
    </row>
    <row r="476" spans="1:30" ht="14.85" hidden="1" customHeight="1" outlineLevel="1">
      <c r="A476" s="2407"/>
      <c r="B476" s="2413"/>
      <c r="C476" s="603"/>
      <c r="D476" s="2401"/>
      <c r="E476" s="2407"/>
      <c r="F476" s="2402"/>
      <c r="G476" s="1011"/>
      <c r="H476" s="1646"/>
      <c r="I476" s="1625"/>
      <c r="J476" s="2490" t="str">
        <f>IF(I476="","",VLOOKUP(I476,'Budget-S&amp;U Codes Lookup'!$A$7:$B$550,2,FALSE))</f>
        <v/>
      </c>
      <c r="K476" s="2490"/>
      <c r="L476" s="1627">
        <v>12</v>
      </c>
      <c r="M476" s="2212" t="str">
        <f>IF(L476="","",VLOOKUP(L476,'Budget-S&amp;U Codes Lookup'!$E$7:$F$89,2,FALSE))</f>
        <v>Closing Costs</v>
      </c>
      <c r="N476" s="2213"/>
      <c r="O476" s="468"/>
      <c r="P476" s="468"/>
      <c r="Q476" s="468"/>
      <c r="R476" s="468"/>
      <c r="S476" s="468"/>
      <c r="T476" s="468"/>
      <c r="U476" s="468"/>
      <c r="V476" s="468"/>
      <c r="W476" s="468"/>
      <c r="X476" s="468"/>
      <c r="Y476" s="468"/>
      <c r="Z476" s="468"/>
      <c r="AA476" s="468"/>
      <c r="AB476" s="468"/>
      <c r="AC476" s="468"/>
      <c r="AD476" s="468"/>
    </row>
    <row r="477" spans="1:30" ht="14.85" hidden="1" customHeight="1" outlineLevel="1">
      <c r="A477" s="2407"/>
      <c r="B477" s="2413"/>
      <c r="C477" s="603"/>
      <c r="D477" s="2401"/>
      <c r="E477" s="2407"/>
      <c r="F477" s="2402"/>
      <c r="G477" s="1011"/>
      <c r="H477" s="1646"/>
      <c r="I477" s="1625"/>
      <c r="J477" s="2490" t="str">
        <f>IF(I477="","",VLOOKUP(I477,'Budget-S&amp;U Codes Lookup'!$A$7:$B$550,2,FALSE))</f>
        <v/>
      </c>
      <c r="K477" s="2490"/>
      <c r="L477" s="1627">
        <v>12</v>
      </c>
      <c r="M477" s="2212" t="str">
        <f>IF(L477="","",VLOOKUP(L477,'Budget-S&amp;U Codes Lookup'!$E$7:$F$89,2,FALSE))</f>
        <v>Closing Costs</v>
      </c>
      <c r="N477" s="2213"/>
      <c r="O477" s="468"/>
      <c r="P477" s="468"/>
      <c r="Q477" s="468"/>
      <c r="R477" s="468"/>
      <c r="S477" s="468"/>
      <c r="T477" s="468"/>
      <c r="U477" s="468"/>
      <c r="V477" s="468"/>
      <c r="W477" s="468"/>
      <c r="X477" s="468"/>
      <c r="Y477" s="468"/>
      <c r="Z477" s="468"/>
      <c r="AA477" s="468"/>
      <c r="AB477" s="468"/>
      <c r="AC477" s="468"/>
      <c r="AD477" s="468"/>
    </row>
    <row r="478" spans="1:30" ht="14.85" hidden="1" customHeight="1" outlineLevel="1">
      <c r="A478" s="2407"/>
      <c r="B478" s="2413"/>
      <c r="C478" s="603"/>
      <c r="D478" s="2401"/>
      <c r="E478" s="2407"/>
      <c r="F478" s="2402"/>
      <c r="G478" s="1011"/>
      <c r="H478" s="1646"/>
      <c r="I478" s="1625"/>
      <c r="J478" s="2490" t="str">
        <f>IF(I478="","",VLOOKUP(I478,'Budget-S&amp;U Codes Lookup'!$A$7:$B$550,2,FALSE))</f>
        <v/>
      </c>
      <c r="K478" s="2490"/>
      <c r="L478" s="1627">
        <v>12</v>
      </c>
      <c r="M478" s="2212" t="str">
        <f>IF(L478="","",VLOOKUP(L478,'Budget-S&amp;U Codes Lookup'!$E$7:$F$89,2,FALSE))</f>
        <v>Closing Costs</v>
      </c>
      <c r="N478" s="2213"/>
      <c r="O478" s="468"/>
      <c r="P478" s="468"/>
      <c r="Q478" s="468"/>
      <c r="R478" s="468"/>
      <c r="S478" s="468"/>
      <c r="T478" s="468"/>
      <c r="U478" s="468"/>
      <c r="V478" s="468"/>
      <c r="W478" s="468"/>
      <c r="X478" s="468"/>
      <c r="Y478" s="468"/>
      <c r="Z478" s="468"/>
      <c r="AA478" s="468"/>
      <c r="AB478" s="468"/>
      <c r="AC478" s="468"/>
      <c r="AD478" s="468"/>
    </row>
    <row r="479" spans="1:30" ht="14.85" hidden="1" customHeight="1" outlineLevel="1">
      <c r="A479" s="2407"/>
      <c r="B479" s="2413"/>
      <c r="C479" s="603"/>
      <c r="D479" s="2401"/>
      <c r="E479" s="2407"/>
      <c r="F479" s="2402"/>
      <c r="G479" s="1011"/>
      <c r="H479" s="1646"/>
      <c r="I479" s="1625"/>
      <c r="J479" s="2490" t="str">
        <f>IF(I479="","",VLOOKUP(I479,'Budget-S&amp;U Codes Lookup'!$A$7:$B$550,2,FALSE))</f>
        <v/>
      </c>
      <c r="K479" s="2490"/>
      <c r="L479" s="1627">
        <v>12</v>
      </c>
      <c r="M479" s="2212" t="str">
        <f>IF(L479="","",VLOOKUP(L479,'Budget-S&amp;U Codes Lookup'!$E$7:$F$89,2,FALSE))</f>
        <v>Closing Costs</v>
      </c>
      <c r="N479" s="2213"/>
      <c r="O479" s="468"/>
      <c r="P479" s="468"/>
      <c r="Q479" s="468"/>
      <c r="R479" s="468"/>
      <c r="S479" s="468"/>
      <c r="T479" s="468"/>
      <c r="U479" s="468"/>
      <c r="V479" s="468"/>
      <c r="W479" s="468"/>
      <c r="X479" s="468"/>
      <c r="Y479" s="468"/>
      <c r="Z479" s="468"/>
      <c r="AA479" s="468"/>
      <c r="AB479" s="468"/>
      <c r="AC479" s="468"/>
      <c r="AD479" s="468"/>
    </row>
    <row r="480" spans="1:30" ht="14.85" hidden="1" customHeight="1" outlineLevel="1">
      <c r="A480" s="2407"/>
      <c r="B480" s="2413"/>
      <c r="C480" s="603"/>
      <c r="D480" s="2401"/>
      <c r="E480" s="2407"/>
      <c r="F480" s="2402"/>
      <c r="G480" s="1011"/>
      <c r="H480" s="1646"/>
      <c r="I480" s="1625"/>
      <c r="J480" s="2490" t="str">
        <f>IF(I480="","",VLOOKUP(I480,'Budget-S&amp;U Codes Lookup'!$A$7:$B$550,2,FALSE))</f>
        <v/>
      </c>
      <c r="K480" s="2490"/>
      <c r="L480" s="1627">
        <v>12</v>
      </c>
      <c r="M480" s="2212" t="str">
        <f>IF(L480="","",VLOOKUP(L480,'Budget-S&amp;U Codes Lookup'!$E$7:$F$89,2,FALSE))</f>
        <v>Closing Costs</v>
      </c>
      <c r="N480" s="2213"/>
      <c r="O480" s="468"/>
      <c r="P480" s="468"/>
      <c r="Q480" s="468"/>
      <c r="R480" s="468"/>
      <c r="S480" s="468"/>
      <c r="T480" s="468"/>
      <c r="U480" s="468"/>
      <c r="V480" s="468"/>
      <c r="W480" s="468"/>
      <c r="X480" s="468"/>
      <c r="Y480" s="468"/>
      <c r="Z480" s="468"/>
      <c r="AA480" s="468"/>
      <c r="AB480" s="468"/>
      <c r="AC480" s="468"/>
      <c r="AD480" s="468"/>
    </row>
    <row r="481" spans="1:30" collapsed="1">
      <c r="A481" s="2407"/>
      <c r="B481" s="2413"/>
      <c r="C481" s="603"/>
      <c r="D481" s="2401"/>
      <c r="E481" s="2407"/>
      <c r="F481" s="2402"/>
      <c r="G481" s="1011"/>
      <c r="H481" s="1646"/>
      <c r="I481" s="1625"/>
      <c r="J481" s="2490" t="str">
        <f>IF(I481="","",VLOOKUP(I481,'Budget-S&amp;U Codes Lookup'!$A$7:$B$550,2,FALSE))</f>
        <v/>
      </c>
      <c r="K481" s="2490"/>
      <c r="L481" s="1627">
        <v>12</v>
      </c>
      <c r="M481" s="2212" t="str">
        <f>IF(L481="","",VLOOKUP(L481,'Budget-S&amp;U Codes Lookup'!$E$7:$F$89,2,FALSE))</f>
        <v>Closing Costs</v>
      </c>
      <c r="N481" s="2213"/>
      <c r="O481" s="468"/>
      <c r="P481" s="468"/>
      <c r="Q481" s="468"/>
      <c r="R481" s="468"/>
      <c r="S481" s="468"/>
      <c r="T481" s="468"/>
      <c r="U481" s="468"/>
      <c r="V481" s="468"/>
      <c r="W481" s="468"/>
      <c r="X481" s="468"/>
      <c r="Y481" s="468"/>
      <c r="Z481" s="468"/>
      <c r="AA481" s="468"/>
      <c r="AB481" s="468"/>
      <c r="AC481" s="468"/>
      <c r="AD481" s="468"/>
    </row>
    <row r="482" spans="1:30">
      <c r="A482" s="2407"/>
      <c r="B482" s="2413"/>
      <c r="C482" s="603"/>
      <c r="D482" s="2401"/>
      <c r="E482" s="2407"/>
      <c r="F482" s="2402"/>
      <c r="G482" s="1011"/>
      <c r="H482" s="1646"/>
      <c r="I482" s="1625"/>
      <c r="J482" s="2490" t="str">
        <f>IF(I482="","",VLOOKUP(I482,'Budget-S&amp;U Codes Lookup'!$A$7:$B$550,2,FALSE))</f>
        <v/>
      </c>
      <c r="K482" s="2490"/>
      <c r="L482" s="1627">
        <v>12</v>
      </c>
      <c r="M482" s="2212" t="str">
        <f>IF(L482="","",VLOOKUP(L482,'Budget-S&amp;U Codes Lookup'!$E$7:$F$89,2,FALSE))</f>
        <v>Closing Costs</v>
      </c>
      <c r="N482" s="2213"/>
      <c r="O482" s="468"/>
      <c r="P482" s="468"/>
      <c r="Q482" s="468"/>
      <c r="R482" s="468"/>
      <c r="S482" s="468"/>
      <c r="T482" s="468"/>
      <c r="U482" s="468"/>
      <c r="V482" s="468"/>
      <c r="W482" s="468"/>
      <c r="X482" s="468"/>
      <c r="Y482" s="468"/>
      <c r="Z482" s="468"/>
      <c r="AA482" s="468"/>
      <c r="AB482" s="468"/>
      <c r="AC482" s="468"/>
      <c r="AD482" s="468"/>
    </row>
    <row r="483" spans="1:30">
      <c r="A483" s="2407"/>
      <c r="B483" s="2413"/>
      <c r="C483" s="603"/>
      <c r="D483" s="2401"/>
      <c r="E483" s="2407"/>
      <c r="F483" s="2402"/>
      <c r="G483" s="1011"/>
      <c r="H483" s="1646"/>
      <c r="I483" s="1625"/>
      <c r="J483" s="2490" t="str">
        <f>IF(I483="","",VLOOKUP(I483,'Budget-S&amp;U Codes Lookup'!$A$7:$B$550,2,FALSE))</f>
        <v/>
      </c>
      <c r="K483" s="2490"/>
      <c r="L483" s="1627">
        <v>12</v>
      </c>
      <c r="M483" s="2212" t="str">
        <f>IF(L483="","",VLOOKUP(L483,'Budget-S&amp;U Codes Lookup'!$E$7:$F$89,2,FALSE))</f>
        <v>Closing Costs</v>
      </c>
      <c r="N483" s="2213"/>
      <c r="O483" s="468"/>
      <c r="P483" s="468"/>
      <c r="Q483" s="468"/>
      <c r="R483" s="468"/>
      <c r="S483" s="468"/>
      <c r="T483" s="468"/>
      <c r="U483" s="468"/>
      <c r="V483" s="468"/>
      <c r="W483" s="468"/>
      <c r="X483" s="468"/>
      <c r="Y483" s="468"/>
      <c r="Z483" s="468"/>
      <c r="AA483" s="468"/>
      <c r="AB483" s="468"/>
      <c r="AC483" s="468"/>
      <c r="AD483" s="468"/>
    </row>
    <row r="484" spans="1:30" ht="14.85" hidden="1" customHeight="1" outlineLevel="1">
      <c r="A484" s="2407"/>
      <c r="B484" s="2413"/>
      <c r="C484" s="603"/>
      <c r="D484" s="2500"/>
      <c r="E484" s="2501"/>
      <c r="F484" s="2502"/>
      <c r="G484" s="1011"/>
      <c r="H484" s="1646"/>
      <c r="I484" s="1625"/>
      <c r="J484" s="2490" t="str">
        <f>IF(I484="","",VLOOKUP(I484,'Budget-S&amp;U Codes Lookup'!$A$7:$B$550,2,FALSE))</f>
        <v/>
      </c>
      <c r="K484" s="2490"/>
      <c r="L484" s="1627"/>
      <c r="M484" s="2212" t="str">
        <f>IF(L484="","",VLOOKUP(L484,'Budget-S&amp;U Codes Lookup'!$E$7:$F$89,2,FALSE))</f>
        <v/>
      </c>
      <c r="N484" s="2213"/>
      <c r="O484" s="468"/>
      <c r="P484" s="468"/>
      <c r="Q484" s="468"/>
      <c r="R484" s="468"/>
      <c r="S484" s="468"/>
      <c r="T484" s="468"/>
      <c r="U484" s="468"/>
      <c r="V484" s="468"/>
      <c r="W484" s="468"/>
      <c r="X484" s="468"/>
      <c r="Y484" s="468"/>
      <c r="Z484" s="468"/>
      <c r="AA484" s="468"/>
      <c r="AB484" s="468"/>
      <c r="AC484" s="468"/>
      <c r="AD484" s="468"/>
    </row>
    <row r="485" spans="1:30" ht="14.85" hidden="1" customHeight="1" outlineLevel="1">
      <c r="A485" s="2407"/>
      <c r="B485" s="2413"/>
      <c r="C485" s="603"/>
      <c r="D485" s="2500"/>
      <c r="E485" s="2501"/>
      <c r="F485" s="2502"/>
      <c r="G485" s="1011"/>
      <c r="H485" s="1646"/>
      <c r="I485" s="1625"/>
      <c r="J485" s="2490" t="str">
        <f>IF(I485="","",VLOOKUP(I485,'Budget-S&amp;U Codes Lookup'!$A$7:$B$550,2,FALSE))</f>
        <v/>
      </c>
      <c r="K485" s="2490"/>
      <c r="L485" s="1627"/>
      <c r="M485" s="2212" t="str">
        <f>IF(L485="","",VLOOKUP(L485,'Budget-S&amp;U Codes Lookup'!$E$7:$F$89,2,FALSE))</f>
        <v/>
      </c>
      <c r="N485" s="2213"/>
      <c r="O485" s="468"/>
      <c r="P485" s="468"/>
      <c r="Q485" s="468"/>
      <c r="R485" s="468"/>
      <c r="S485" s="468"/>
      <c r="T485" s="468"/>
      <c r="U485" s="468"/>
      <c r="V485" s="468"/>
      <c r="W485" s="468"/>
      <c r="X485" s="468"/>
      <c r="Y485" s="468"/>
      <c r="Z485" s="468"/>
      <c r="AA485" s="468"/>
      <c r="AB485" s="468"/>
      <c r="AC485" s="468"/>
      <c r="AD485" s="468"/>
    </row>
    <row r="486" spans="1:30" ht="14.85" hidden="1" customHeight="1" outlineLevel="1">
      <c r="A486" s="2407"/>
      <c r="B486" s="2413"/>
      <c r="C486" s="603"/>
      <c r="D486" s="2500"/>
      <c r="E486" s="2501"/>
      <c r="F486" s="2502"/>
      <c r="G486" s="1011"/>
      <c r="H486" s="1646"/>
      <c r="I486" s="1625"/>
      <c r="J486" s="2490" t="str">
        <f>IF(I486="","",VLOOKUP(I486,'Budget-S&amp;U Codes Lookup'!$A$7:$B$550,2,FALSE))</f>
        <v/>
      </c>
      <c r="K486" s="2490"/>
      <c r="L486" s="1627"/>
      <c r="M486" s="2212" t="str">
        <f>IF(L486="","",VLOOKUP(L486,'Budget-S&amp;U Codes Lookup'!$E$7:$F$89,2,FALSE))</f>
        <v/>
      </c>
      <c r="N486" s="2213"/>
      <c r="O486" s="468"/>
      <c r="P486" s="468"/>
      <c r="Q486" s="468"/>
      <c r="R486" s="468"/>
      <c r="S486" s="468"/>
      <c r="T486" s="468"/>
      <c r="U486" s="468"/>
      <c r="V486" s="468"/>
      <c r="W486" s="468"/>
      <c r="X486" s="468"/>
      <c r="Y486" s="468"/>
      <c r="Z486" s="468"/>
      <c r="AA486" s="468"/>
      <c r="AB486" s="468"/>
      <c r="AC486" s="468"/>
      <c r="AD486" s="468"/>
    </row>
    <row r="487" spans="1:30" ht="14.85" hidden="1" customHeight="1" outlineLevel="1">
      <c r="A487" s="2407"/>
      <c r="B487" s="2413"/>
      <c r="C487" s="603"/>
      <c r="D487" s="2500"/>
      <c r="E487" s="2501"/>
      <c r="F487" s="2502"/>
      <c r="G487" s="1011"/>
      <c r="H487" s="1646"/>
      <c r="I487" s="1625"/>
      <c r="J487" s="2490" t="str">
        <f>IF(I487="","",VLOOKUP(I487,'Budget-S&amp;U Codes Lookup'!$A$7:$B$550,2,FALSE))</f>
        <v/>
      </c>
      <c r="K487" s="2490"/>
      <c r="L487" s="1627"/>
      <c r="M487" s="2212" t="str">
        <f>IF(L487="","",VLOOKUP(L487,'Budget-S&amp;U Codes Lookup'!$E$7:$F$89,2,FALSE))</f>
        <v/>
      </c>
      <c r="N487" s="2213"/>
      <c r="O487" s="468"/>
      <c r="P487" s="468"/>
      <c r="Q487" s="468"/>
      <c r="R487" s="468"/>
      <c r="S487" s="468"/>
      <c r="T487" s="468"/>
      <c r="U487" s="468"/>
      <c r="V487" s="468"/>
      <c r="W487" s="468"/>
      <c r="X487" s="468"/>
      <c r="Y487" s="468"/>
      <c r="Z487" s="468"/>
      <c r="AA487" s="468"/>
      <c r="AB487" s="468"/>
      <c r="AC487" s="468"/>
      <c r="AD487" s="468"/>
    </row>
    <row r="488" spans="1:30" ht="14.85" hidden="1" customHeight="1" outlineLevel="1">
      <c r="A488" s="2407"/>
      <c r="B488" s="2413"/>
      <c r="C488" s="603"/>
      <c r="D488" s="2500"/>
      <c r="E488" s="2501"/>
      <c r="F488" s="2502"/>
      <c r="G488" s="1011"/>
      <c r="H488" s="1646"/>
      <c r="I488" s="1625"/>
      <c r="J488" s="2490" t="str">
        <f>IF(I488="","",VLOOKUP(I488,'Budget-S&amp;U Codes Lookup'!$A$7:$B$550,2,FALSE))</f>
        <v/>
      </c>
      <c r="K488" s="2490"/>
      <c r="L488" s="1627"/>
      <c r="M488" s="2212" t="str">
        <f>IF(L488="","",VLOOKUP(L488,'Budget-S&amp;U Codes Lookup'!$E$7:$F$89,2,FALSE))</f>
        <v/>
      </c>
      <c r="N488" s="2213"/>
      <c r="O488" s="468"/>
      <c r="P488" s="468"/>
      <c r="Q488" s="468"/>
      <c r="R488" s="468"/>
      <c r="S488" s="468"/>
      <c r="T488" s="468"/>
      <c r="U488" s="468"/>
      <c r="V488" s="468"/>
      <c r="W488" s="468"/>
      <c r="X488" s="468"/>
      <c r="Y488" s="468"/>
      <c r="Z488" s="468"/>
      <c r="AA488" s="468"/>
      <c r="AB488" s="468"/>
      <c r="AC488" s="468"/>
      <c r="AD488" s="468"/>
    </row>
    <row r="489" spans="1:30" ht="14.85" hidden="1" customHeight="1" outlineLevel="1">
      <c r="A489" s="2407"/>
      <c r="B489" s="2413"/>
      <c r="C489" s="603"/>
      <c r="D489" s="2500"/>
      <c r="E489" s="2501"/>
      <c r="F489" s="2502"/>
      <c r="G489" s="1011"/>
      <c r="H489" s="1646"/>
      <c r="I489" s="1625"/>
      <c r="J489" s="2490" t="str">
        <f>IF(I489="","",VLOOKUP(I489,'Budget-S&amp;U Codes Lookup'!$A$7:$B$550,2,FALSE))</f>
        <v/>
      </c>
      <c r="K489" s="2490"/>
      <c r="L489" s="1627"/>
      <c r="M489" s="2212" t="str">
        <f>IF(L489="","",VLOOKUP(L489,'Budget-S&amp;U Codes Lookup'!$E$7:$F$89,2,FALSE))</f>
        <v/>
      </c>
      <c r="N489" s="2213"/>
      <c r="O489" s="468"/>
      <c r="P489" s="468"/>
      <c r="Q489" s="468"/>
      <c r="R489" s="468"/>
      <c r="S489" s="468"/>
      <c r="T489" s="468"/>
      <c r="U489" s="468"/>
      <c r="V489" s="468"/>
      <c r="W489" s="468"/>
      <c r="X489" s="468"/>
      <c r="Y489" s="468"/>
      <c r="Z489" s="468"/>
      <c r="AA489" s="468"/>
      <c r="AB489" s="468"/>
      <c r="AC489" s="468"/>
      <c r="AD489" s="468"/>
    </row>
    <row r="490" spans="1:30" ht="14.85" hidden="1" customHeight="1" outlineLevel="1">
      <c r="A490" s="2407"/>
      <c r="B490" s="2413"/>
      <c r="C490" s="603"/>
      <c r="D490" s="2500"/>
      <c r="E490" s="2501"/>
      <c r="F490" s="2502"/>
      <c r="G490" s="1011"/>
      <c r="H490" s="1646"/>
      <c r="I490" s="1625"/>
      <c r="J490" s="2490" t="str">
        <f>IF(I490="","",VLOOKUP(I490,'Budget-S&amp;U Codes Lookup'!$A$7:$B$550,2,FALSE))</f>
        <v/>
      </c>
      <c r="K490" s="2490"/>
      <c r="L490" s="1627"/>
      <c r="M490" s="2212" t="str">
        <f>IF(L490="","",VLOOKUP(L490,'Budget-S&amp;U Codes Lookup'!$E$7:$F$89,2,FALSE))</f>
        <v/>
      </c>
      <c r="N490" s="2213"/>
      <c r="O490" s="468"/>
      <c r="P490" s="468"/>
      <c r="Q490" s="468"/>
      <c r="R490" s="468"/>
      <c r="S490" s="468"/>
      <c r="T490" s="468"/>
      <c r="U490" s="468"/>
      <c r="V490" s="468"/>
      <c r="W490" s="468"/>
      <c r="X490" s="468"/>
      <c r="Y490" s="468"/>
      <c r="Z490" s="468"/>
      <c r="AA490" s="468"/>
      <c r="AB490" s="468"/>
      <c r="AC490" s="468"/>
      <c r="AD490" s="468"/>
    </row>
    <row r="491" spans="1:30" ht="14.85" hidden="1" customHeight="1" outlineLevel="1">
      <c r="A491" s="2407"/>
      <c r="B491" s="2413"/>
      <c r="C491" s="603"/>
      <c r="D491" s="2500"/>
      <c r="E491" s="2501"/>
      <c r="F491" s="2502"/>
      <c r="G491" s="1011"/>
      <c r="H491" s="1646"/>
      <c r="I491" s="1625"/>
      <c r="J491" s="2490" t="str">
        <f>IF(I491="","",VLOOKUP(I491,'Budget-S&amp;U Codes Lookup'!$A$7:$B$550,2,FALSE))</f>
        <v/>
      </c>
      <c r="K491" s="2490"/>
      <c r="L491" s="1627"/>
      <c r="M491" s="2212" t="str">
        <f>IF(L491="","",VLOOKUP(L491,'Budget-S&amp;U Codes Lookup'!$E$7:$F$89,2,FALSE))</f>
        <v/>
      </c>
      <c r="N491" s="2213"/>
      <c r="O491" s="468"/>
      <c r="P491" s="468"/>
      <c r="Q491" s="468"/>
      <c r="R491" s="468"/>
      <c r="S491" s="468"/>
      <c r="T491" s="468"/>
      <c r="U491" s="468"/>
      <c r="V491" s="468"/>
      <c r="W491" s="468"/>
      <c r="X491" s="468"/>
      <c r="Y491" s="468"/>
      <c r="Z491" s="468"/>
      <c r="AA491" s="468"/>
      <c r="AB491" s="468"/>
      <c r="AC491" s="468"/>
      <c r="AD491" s="468"/>
    </row>
    <row r="492" spans="1:30" ht="14.85" hidden="1" customHeight="1" outlineLevel="1">
      <c r="A492" s="2407"/>
      <c r="B492" s="2413"/>
      <c r="C492" s="603"/>
      <c r="D492" s="2500"/>
      <c r="E492" s="2501"/>
      <c r="F492" s="2502"/>
      <c r="G492" s="1011"/>
      <c r="H492" s="1646"/>
      <c r="I492" s="1625"/>
      <c r="J492" s="2490" t="str">
        <f>IF(I492="","",VLOOKUP(I492,'Budget-S&amp;U Codes Lookup'!$A$7:$B$550,2,FALSE))</f>
        <v/>
      </c>
      <c r="K492" s="2490"/>
      <c r="L492" s="1627"/>
      <c r="M492" s="2212" t="str">
        <f>IF(L492="","",VLOOKUP(L492,'Budget-S&amp;U Codes Lookup'!$E$7:$F$89,2,FALSE))</f>
        <v/>
      </c>
      <c r="N492" s="2213"/>
      <c r="O492" s="468"/>
      <c r="P492" s="468"/>
      <c r="Q492" s="468"/>
      <c r="R492" s="468"/>
      <c r="S492" s="468"/>
      <c r="T492" s="468"/>
      <c r="U492" s="468"/>
      <c r="V492" s="468"/>
      <c r="W492" s="468"/>
      <c r="X492" s="468"/>
      <c r="Y492" s="468"/>
      <c r="Z492" s="468"/>
      <c r="AA492" s="468"/>
      <c r="AB492" s="468"/>
      <c r="AC492" s="468"/>
      <c r="AD492" s="468"/>
    </row>
    <row r="493" spans="1:30" ht="14.85" hidden="1" customHeight="1" outlineLevel="1">
      <c r="A493" s="2407"/>
      <c r="B493" s="2413"/>
      <c r="C493" s="603"/>
      <c r="D493" s="2500"/>
      <c r="E493" s="2501"/>
      <c r="F493" s="2502"/>
      <c r="G493" s="1011"/>
      <c r="H493" s="1646"/>
      <c r="I493" s="1625"/>
      <c r="J493" s="2490" t="str">
        <f>IF(I493="","",VLOOKUP(I493,'Budget-S&amp;U Codes Lookup'!$A$7:$B$550,2,FALSE))</f>
        <v/>
      </c>
      <c r="K493" s="2490"/>
      <c r="L493" s="1627"/>
      <c r="M493" s="2212" t="str">
        <f>IF(L493="","",VLOOKUP(L493,'Budget-S&amp;U Codes Lookup'!$E$7:$F$89,2,FALSE))</f>
        <v/>
      </c>
      <c r="N493" s="2213"/>
      <c r="O493" s="468"/>
      <c r="P493" s="468"/>
      <c r="Q493" s="468"/>
      <c r="R493" s="468"/>
      <c r="S493" s="468"/>
      <c r="T493" s="468"/>
      <c r="U493" s="468"/>
      <c r="V493" s="468"/>
      <c r="W493" s="468"/>
      <c r="X493" s="468"/>
      <c r="Y493" s="468"/>
      <c r="Z493" s="468"/>
      <c r="AA493" s="468"/>
      <c r="AB493" s="468"/>
      <c r="AC493" s="468"/>
      <c r="AD493" s="468"/>
    </row>
    <row r="494" spans="1:30" ht="14.85" hidden="1" customHeight="1" outlineLevel="1">
      <c r="A494" s="2407"/>
      <c r="B494" s="2413"/>
      <c r="C494" s="603"/>
      <c r="D494" s="2500"/>
      <c r="E494" s="2501"/>
      <c r="F494" s="2502"/>
      <c r="G494" s="1011"/>
      <c r="H494" s="1646"/>
      <c r="I494" s="1625"/>
      <c r="J494" s="2490" t="str">
        <f>IF(I494="","",VLOOKUP(I494,'Budget-S&amp;U Codes Lookup'!$A$7:$B$550,2,FALSE))</f>
        <v/>
      </c>
      <c r="K494" s="2490"/>
      <c r="L494" s="1627"/>
      <c r="M494" s="2212" t="str">
        <f>IF(L494="","",VLOOKUP(L494,'Budget-S&amp;U Codes Lookup'!$E$7:$F$89,2,FALSE))</f>
        <v/>
      </c>
      <c r="N494" s="2213"/>
      <c r="O494" s="468"/>
      <c r="P494" s="468"/>
      <c r="Q494" s="468"/>
      <c r="R494" s="468"/>
      <c r="S494" s="468"/>
      <c r="T494" s="468"/>
      <c r="U494" s="468"/>
      <c r="V494" s="468"/>
      <c r="W494" s="468"/>
      <c r="X494" s="468"/>
      <c r="Y494" s="468"/>
      <c r="Z494" s="468"/>
      <c r="AA494" s="468"/>
      <c r="AB494" s="468"/>
      <c r="AC494" s="468"/>
      <c r="AD494" s="468"/>
    </row>
    <row r="495" spans="1:30" ht="14.85" hidden="1" customHeight="1" outlineLevel="1">
      <c r="A495" s="2407"/>
      <c r="B495" s="2413"/>
      <c r="C495" s="603"/>
      <c r="D495" s="2500"/>
      <c r="E495" s="2501"/>
      <c r="F495" s="2502"/>
      <c r="G495" s="1011"/>
      <c r="H495" s="1646"/>
      <c r="I495" s="1625"/>
      <c r="J495" s="2490" t="str">
        <f>IF(I495="","",VLOOKUP(I495,'Budget-S&amp;U Codes Lookup'!$A$7:$B$550,2,FALSE))</f>
        <v/>
      </c>
      <c r="K495" s="2490"/>
      <c r="L495" s="1627"/>
      <c r="M495" s="2212" t="str">
        <f>IF(L495="","",VLOOKUP(L495,'Budget-S&amp;U Codes Lookup'!$E$7:$F$89,2,FALSE))</f>
        <v/>
      </c>
      <c r="N495" s="2213"/>
      <c r="O495" s="468"/>
      <c r="P495" s="468"/>
      <c r="Q495" s="468"/>
      <c r="R495" s="468"/>
      <c r="S495" s="468"/>
      <c r="T495" s="468"/>
      <c r="U495" s="468"/>
      <c r="V495" s="468"/>
      <c r="W495" s="468"/>
      <c r="X495" s="468"/>
      <c r="Y495" s="468"/>
      <c r="Z495" s="468"/>
      <c r="AA495" s="468"/>
      <c r="AB495" s="468"/>
      <c r="AC495" s="468"/>
      <c r="AD495" s="468"/>
    </row>
    <row r="496" spans="1:30" ht="14.85" hidden="1" customHeight="1" outlineLevel="1">
      <c r="A496" s="2407"/>
      <c r="B496" s="2413"/>
      <c r="C496" s="603"/>
      <c r="D496" s="2500"/>
      <c r="E496" s="2501"/>
      <c r="F496" s="2502"/>
      <c r="G496" s="1011"/>
      <c r="H496" s="1646"/>
      <c r="I496" s="1625"/>
      <c r="J496" s="2490" t="str">
        <f>IF(I496="","",VLOOKUP(I496,'Budget-S&amp;U Codes Lookup'!$A$7:$B$550,2,FALSE))</f>
        <v/>
      </c>
      <c r="K496" s="2490"/>
      <c r="L496" s="1627"/>
      <c r="M496" s="2212" t="str">
        <f>IF(L496="","",VLOOKUP(L496,'Budget-S&amp;U Codes Lookup'!$E$7:$F$89,2,FALSE))</f>
        <v/>
      </c>
      <c r="N496" s="2213"/>
      <c r="O496" s="468"/>
      <c r="P496" s="468"/>
      <c r="Q496" s="468"/>
      <c r="R496" s="468"/>
      <c r="S496" s="468"/>
      <c r="T496" s="468"/>
      <c r="U496" s="468"/>
      <c r="V496" s="468"/>
      <c r="W496" s="468"/>
      <c r="X496" s="468"/>
      <c r="Y496" s="468"/>
      <c r="Z496" s="468"/>
      <c r="AA496" s="468"/>
      <c r="AB496" s="468"/>
      <c r="AC496" s="468"/>
      <c r="AD496" s="468"/>
    </row>
    <row r="497" spans="1:30" ht="14.85" hidden="1" customHeight="1" outlineLevel="1">
      <c r="A497" s="2407"/>
      <c r="B497" s="2413"/>
      <c r="C497" s="603"/>
      <c r="D497" s="2500"/>
      <c r="E497" s="2501"/>
      <c r="F497" s="2502"/>
      <c r="G497" s="1011"/>
      <c r="H497" s="1646"/>
      <c r="I497" s="1625"/>
      <c r="J497" s="2490" t="str">
        <f>IF(I497="","",VLOOKUP(I497,'Budget-S&amp;U Codes Lookup'!$A$7:$B$550,2,FALSE))</f>
        <v/>
      </c>
      <c r="K497" s="2490"/>
      <c r="L497" s="1627"/>
      <c r="M497" s="2212" t="str">
        <f>IF(L497="","",VLOOKUP(L497,'Budget-S&amp;U Codes Lookup'!$E$7:$F$89,2,FALSE))</f>
        <v/>
      </c>
      <c r="N497" s="2213"/>
      <c r="O497" s="468"/>
      <c r="P497" s="468"/>
      <c r="Q497" s="468"/>
      <c r="R497" s="468"/>
      <c r="S497" s="468"/>
      <c r="T497" s="468"/>
      <c r="U497" s="468"/>
      <c r="V497" s="468"/>
      <c r="W497" s="468"/>
      <c r="X497" s="468"/>
      <c r="Y497" s="468"/>
      <c r="Z497" s="468"/>
      <c r="AA497" s="468"/>
      <c r="AB497" s="468"/>
      <c r="AC497" s="468"/>
      <c r="AD497" s="468"/>
    </row>
    <row r="498" spans="1:30" ht="14.85" hidden="1" customHeight="1" outlineLevel="1">
      <c r="A498" s="2407"/>
      <c r="B498" s="2413"/>
      <c r="C498" s="603"/>
      <c r="D498" s="2500"/>
      <c r="E498" s="2501"/>
      <c r="F498" s="2502"/>
      <c r="G498" s="1011"/>
      <c r="H498" s="1646"/>
      <c r="I498" s="1625"/>
      <c r="J498" s="2490" t="str">
        <f>IF(I498="","",VLOOKUP(I498,'Budget-S&amp;U Codes Lookup'!$A$7:$B$550,2,FALSE))</f>
        <v/>
      </c>
      <c r="K498" s="2490"/>
      <c r="L498" s="1627"/>
      <c r="M498" s="2212" t="str">
        <f>IF(L498="","",VLOOKUP(L498,'Budget-S&amp;U Codes Lookup'!$E$7:$F$89,2,FALSE))</f>
        <v/>
      </c>
      <c r="N498" s="2213"/>
      <c r="O498" s="468"/>
      <c r="P498" s="468"/>
      <c r="Q498" s="468"/>
      <c r="R498" s="468"/>
      <c r="S498" s="468"/>
      <c r="T498" s="468"/>
      <c r="U498" s="468"/>
      <c r="V498" s="468"/>
      <c r="W498" s="468"/>
      <c r="X498" s="468"/>
      <c r="Y498" s="468"/>
      <c r="Z498" s="468"/>
      <c r="AA498" s="468"/>
      <c r="AB498" s="468"/>
      <c r="AC498" s="468"/>
      <c r="AD498" s="468"/>
    </row>
    <row r="499" spans="1:30" ht="14.85" hidden="1" customHeight="1" outlineLevel="1">
      <c r="A499" s="2407"/>
      <c r="B499" s="2413"/>
      <c r="C499" s="603"/>
      <c r="D499" s="2500"/>
      <c r="E499" s="2501"/>
      <c r="F499" s="2502"/>
      <c r="G499" s="1011"/>
      <c r="H499" s="1646"/>
      <c r="I499" s="1625"/>
      <c r="J499" s="2490" t="str">
        <f>IF(I499="","",VLOOKUP(I499,'Budget-S&amp;U Codes Lookup'!$A$7:$B$550,2,FALSE))</f>
        <v/>
      </c>
      <c r="K499" s="2490"/>
      <c r="L499" s="1627"/>
      <c r="M499" s="2212" t="str">
        <f>IF(L499="","",VLOOKUP(L499,'Budget-S&amp;U Codes Lookup'!$E$7:$F$89,2,FALSE))</f>
        <v/>
      </c>
      <c r="N499" s="2213"/>
      <c r="O499" s="468"/>
      <c r="P499" s="468"/>
      <c r="Q499" s="468"/>
      <c r="R499" s="468"/>
      <c r="S499" s="468"/>
      <c r="T499" s="468"/>
      <c r="U499" s="468"/>
      <c r="V499" s="468"/>
      <c r="W499" s="468"/>
      <c r="X499" s="468"/>
      <c r="Y499" s="468"/>
      <c r="Z499" s="468"/>
      <c r="AA499" s="468"/>
      <c r="AB499" s="468"/>
      <c r="AC499" s="468"/>
      <c r="AD499" s="468"/>
    </row>
    <row r="500" spans="1:30" ht="14.85" hidden="1" customHeight="1" outlineLevel="1">
      <c r="A500" s="2407"/>
      <c r="B500" s="2413"/>
      <c r="C500" s="603"/>
      <c r="D500" s="2500"/>
      <c r="E500" s="2501"/>
      <c r="F500" s="2502"/>
      <c r="G500" s="1011"/>
      <c r="H500" s="1646"/>
      <c r="I500" s="1625"/>
      <c r="J500" s="2490" t="str">
        <f>IF(I500="","",VLOOKUP(I500,'Budget-S&amp;U Codes Lookup'!$A$7:$B$550,2,FALSE))</f>
        <v/>
      </c>
      <c r="K500" s="2490"/>
      <c r="L500" s="1627"/>
      <c r="M500" s="2212" t="str">
        <f>IF(L500="","",VLOOKUP(L500,'Budget-S&amp;U Codes Lookup'!$E$7:$F$89,2,FALSE))</f>
        <v/>
      </c>
      <c r="N500" s="2213"/>
      <c r="O500" s="468"/>
      <c r="P500" s="468"/>
      <c r="Q500" s="468"/>
      <c r="R500" s="468"/>
      <c r="S500" s="468"/>
      <c r="T500" s="468"/>
      <c r="U500" s="468"/>
      <c r="V500" s="468"/>
      <c r="W500" s="468"/>
      <c r="X500" s="468"/>
      <c r="Y500" s="468"/>
      <c r="Z500" s="468"/>
      <c r="AA500" s="468"/>
      <c r="AB500" s="468"/>
      <c r="AC500" s="468"/>
      <c r="AD500" s="468"/>
    </row>
    <row r="501" spans="1:30" ht="14.85" hidden="1" customHeight="1" outlineLevel="1">
      <c r="A501" s="2407"/>
      <c r="B501" s="2413"/>
      <c r="C501" s="603"/>
      <c r="D501" s="2500"/>
      <c r="E501" s="2501"/>
      <c r="F501" s="2502"/>
      <c r="G501" s="1011"/>
      <c r="H501" s="1646"/>
      <c r="I501" s="1625"/>
      <c r="J501" s="2490" t="str">
        <f>IF(I501="","",VLOOKUP(I501,'Budget-S&amp;U Codes Lookup'!$A$7:$B$550,2,FALSE))</f>
        <v/>
      </c>
      <c r="K501" s="2490"/>
      <c r="L501" s="1627"/>
      <c r="M501" s="2212" t="str">
        <f>IF(L501="","",VLOOKUP(L501,'Budget-S&amp;U Codes Lookup'!$E$7:$F$89,2,FALSE))</f>
        <v/>
      </c>
      <c r="N501" s="2213"/>
      <c r="O501" s="468"/>
      <c r="P501" s="468"/>
      <c r="Q501" s="468"/>
      <c r="R501" s="468"/>
      <c r="S501" s="468"/>
      <c r="T501" s="468"/>
      <c r="U501" s="468"/>
      <c r="V501" s="468"/>
      <c r="W501" s="468"/>
      <c r="X501" s="468"/>
      <c r="Y501" s="468"/>
      <c r="Z501" s="468"/>
      <c r="AA501" s="468"/>
      <c r="AB501" s="468"/>
      <c r="AC501" s="468"/>
      <c r="AD501" s="468"/>
    </row>
    <row r="502" spans="1:30" ht="14.85" hidden="1" customHeight="1" outlineLevel="1">
      <c r="A502" s="2407"/>
      <c r="B502" s="2413"/>
      <c r="C502" s="603"/>
      <c r="D502" s="2500"/>
      <c r="E502" s="2501"/>
      <c r="F502" s="2502"/>
      <c r="G502" s="1011"/>
      <c r="H502" s="1646"/>
      <c r="I502" s="1625"/>
      <c r="J502" s="2490" t="str">
        <f>IF(I502="","",VLOOKUP(I502,'Budget-S&amp;U Codes Lookup'!$A$7:$B$550,2,FALSE))</f>
        <v/>
      </c>
      <c r="K502" s="2490"/>
      <c r="L502" s="1627"/>
      <c r="M502" s="2212" t="str">
        <f>IF(L502="","",VLOOKUP(L502,'Budget-S&amp;U Codes Lookup'!$E$7:$F$89,2,FALSE))</f>
        <v/>
      </c>
      <c r="N502" s="2213"/>
      <c r="O502" s="468"/>
      <c r="P502" s="468"/>
      <c r="Q502" s="468"/>
      <c r="R502" s="468"/>
      <c r="S502" s="468"/>
      <c r="T502" s="468"/>
      <c r="U502" s="468"/>
      <c r="V502" s="468"/>
      <c r="W502" s="468"/>
      <c r="X502" s="468"/>
      <c r="Y502" s="468"/>
      <c r="Z502" s="468"/>
      <c r="AA502" s="468"/>
      <c r="AB502" s="468"/>
      <c r="AC502" s="468"/>
      <c r="AD502" s="468"/>
    </row>
    <row r="503" spans="1:30" ht="14.85" hidden="1" customHeight="1" outlineLevel="1">
      <c r="A503" s="2407"/>
      <c r="B503" s="2413"/>
      <c r="C503" s="603"/>
      <c r="D503" s="2500"/>
      <c r="E503" s="2501"/>
      <c r="F503" s="2502"/>
      <c r="G503" s="1011"/>
      <c r="H503" s="1646"/>
      <c r="I503" s="1625"/>
      <c r="J503" s="2490" t="str">
        <f>IF(I503="","",VLOOKUP(I503,'Budget-S&amp;U Codes Lookup'!$A$7:$B$550,2,FALSE))</f>
        <v/>
      </c>
      <c r="K503" s="2490"/>
      <c r="L503" s="1627"/>
      <c r="M503" s="2212" t="str">
        <f>IF(L503="","",VLOOKUP(L503,'Budget-S&amp;U Codes Lookup'!$E$7:$F$89,2,FALSE))</f>
        <v/>
      </c>
      <c r="N503" s="2213"/>
      <c r="O503" s="468"/>
      <c r="P503" s="468"/>
      <c r="Q503" s="468"/>
      <c r="R503" s="468"/>
      <c r="S503" s="468"/>
      <c r="T503" s="468"/>
      <c r="U503" s="468"/>
      <c r="V503" s="468"/>
      <c r="W503" s="468"/>
      <c r="X503" s="468"/>
      <c r="Y503" s="468"/>
      <c r="Z503" s="468"/>
      <c r="AA503" s="468"/>
      <c r="AB503" s="468"/>
      <c r="AC503" s="468"/>
      <c r="AD503" s="468"/>
    </row>
    <row r="504" spans="1:30" ht="14.85" hidden="1" customHeight="1" outlineLevel="1">
      <c r="A504" s="2407"/>
      <c r="B504" s="2413"/>
      <c r="C504" s="603"/>
      <c r="D504" s="2500"/>
      <c r="E504" s="2501"/>
      <c r="F504" s="2502"/>
      <c r="G504" s="1011"/>
      <c r="H504" s="1646"/>
      <c r="I504" s="1625"/>
      <c r="J504" s="2490" t="str">
        <f>IF(I504="","",VLOOKUP(I504,'Budget-S&amp;U Codes Lookup'!$A$7:$B$550,2,FALSE))</f>
        <v/>
      </c>
      <c r="K504" s="2490"/>
      <c r="L504" s="1627"/>
      <c r="M504" s="2212" t="str">
        <f>IF(L504="","",VLOOKUP(L504,'Budget-S&amp;U Codes Lookup'!$E$7:$F$89,2,FALSE))</f>
        <v/>
      </c>
      <c r="N504" s="2213"/>
      <c r="O504" s="468"/>
      <c r="P504" s="468"/>
      <c r="Q504" s="468"/>
      <c r="R504" s="468"/>
      <c r="S504" s="468"/>
      <c r="T504" s="468"/>
      <c r="U504" s="468"/>
      <c r="V504" s="468"/>
      <c r="W504" s="468"/>
      <c r="X504" s="468"/>
      <c r="Y504" s="468"/>
      <c r="Z504" s="468"/>
      <c r="AA504" s="468"/>
      <c r="AB504" s="468"/>
      <c r="AC504" s="468"/>
      <c r="AD504" s="468"/>
    </row>
    <row r="505" spans="1:30" ht="14.85" hidden="1" customHeight="1" outlineLevel="1">
      <c r="A505" s="2407"/>
      <c r="B505" s="2413"/>
      <c r="C505" s="603"/>
      <c r="D505" s="2500"/>
      <c r="E505" s="2501"/>
      <c r="F505" s="2502"/>
      <c r="G505" s="1011"/>
      <c r="H505" s="1646"/>
      <c r="I505" s="1625"/>
      <c r="J505" s="2490" t="str">
        <f>IF(I505="","",VLOOKUP(I505,'Budget-S&amp;U Codes Lookup'!$A$7:$B$550,2,FALSE))</f>
        <v/>
      </c>
      <c r="K505" s="2490"/>
      <c r="L505" s="1627"/>
      <c r="M505" s="2212" t="str">
        <f>IF(L505="","",VLOOKUP(L505,'Budget-S&amp;U Codes Lookup'!$E$7:$F$89,2,FALSE))</f>
        <v/>
      </c>
      <c r="N505" s="2213"/>
      <c r="O505" s="468"/>
      <c r="P505" s="468"/>
      <c r="Q505" s="468"/>
      <c r="R505" s="468"/>
      <c r="S505" s="468"/>
      <c r="T505" s="468"/>
      <c r="U505" s="468"/>
      <c r="V505" s="468"/>
      <c r="W505" s="468"/>
      <c r="X505" s="468"/>
      <c r="Y505" s="468"/>
      <c r="Z505" s="468"/>
      <c r="AA505" s="468"/>
      <c r="AB505" s="468"/>
      <c r="AC505" s="468"/>
      <c r="AD505" s="468"/>
    </row>
    <row r="506" spans="1:30" ht="14.85" hidden="1" customHeight="1" outlineLevel="1">
      <c r="A506" s="2407"/>
      <c r="B506" s="2413"/>
      <c r="C506" s="603"/>
      <c r="D506" s="2500"/>
      <c r="E506" s="2501"/>
      <c r="F506" s="2502"/>
      <c r="G506" s="1011"/>
      <c r="H506" s="1646"/>
      <c r="I506" s="1625"/>
      <c r="J506" s="2490" t="str">
        <f>IF(I506="","",VLOOKUP(I506,'Budget-S&amp;U Codes Lookup'!$A$7:$B$550,2,FALSE))</f>
        <v/>
      </c>
      <c r="K506" s="2490"/>
      <c r="L506" s="1627"/>
      <c r="M506" s="2212" t="str">
        <f>IF(L506="","",VLOOKUP(L506,'Budget-S&amp;U Codes Lookup'!$E$7:$F$89,2,FALSE))</f>
        <v/>
      </c>
      <c r="N506" s="2213"/>
      <c r="O506" s="468"/>
      <c r="P506" s="468"/>
      <c r="Q506" s="468"/>
      <c r="R506" s="468"/>
      <c r="S506" s="468"/>
      <c r="T506" s="468"/>
      <c r="U506" s="468"/>
      <c r="V506" s="468"/>
      <c r="W506" s="468"/>
      <c r="X506" s="468"/>
      <c r="Y506" s="468"/>
      <c r="Z506" s="468"/>
      <c r="AA506" s="468"/>
      <c r="AB506" s="468"/>
      <c r="AC506" s="468"/>
      <c r="AD506" s="468"/>
    </row>
    <row r="507" spans="1:30" ht="14.85" hidden="1" customHeight="1" outlineLevel="1">
      <c r="A507" s="2407"/>
      <c r="B507" s="2413"/>
      <c r="C507" s="603"/>
      <c r="D507" s="2500"/>
      <c r="E507" s="2501"/>
      <c r="F507" s="2502"/>
      <c r="G507" s="1011"/>
      <c r="H507" s="1646"/>
      <c r="I507" s="1625"/>
      <c r="J507" s="2490" t="str">
        <f>IF(I507="","",VLOOKUP(I507,'Budget-S&amp;U Codes Lookup'!$A$7:$B$550,2,FALSE))</f>
        <v/>
      </c>
      <c r="K507" s="2490"/>
      <c r="L507" s="1627"/>
      <c r="M507" s="2212" t="str">
        <f>IF(L507="","",VLOOKUP(L507,'Budget-S&amp;U Codes Lookup'!$E$7:$F$89,2,FALSE))</f>
        <v/>
      </c>
      <c r="N507" s="2213"/>
      <c r="O507" s="468"/>
      <c r="P507" s="468"/>
      <c r="Q507" s="468"/>
      <c r="R507" s="468"/>
      <c r="S507" s="468"/>
      <c r="T507" s="468"/>
      <c r="U507" s="468"/>
      <c r="V507" s="468"/>
      <c r="W507" s="468"/>
      <c r="X507" s="468"/>
      <c r="Y507" s="468"/>
      <c r="Z507" s="468"/>
      <c r="AA507" s="468"/>
      <c r="AB507" s="468"/>
      <c r="AC507" s="468"/>
      <c r="AD507" s="468"/>
    </row>
    <row r="508" spans="1:30" ht="14.85" hidden="1" customHeight="1" outlineLevel="1">
      <c r="A508" s="2407"/>
      <c r="B508" s="2413"/>
      <c r="C508" s="603"/>
      <c r="D508" s="2500"/>
      <c r="E508" s="2501"/>
      <c r="F508" s="2502"/>
      <c r="G508" s="1011"/>
      <c r="H508" s="1646"/>
      <c r="I508" s="1625"/>
      <c r="J508" s="2490" t="str">
        <f>IF(I508="","",VLOOKUP(I508,'Budget-S&amp;U Codes Lookup'!$A$7:$B$550,2,FALSE))</f>
        <v/>
      </c>
      <c r="K508" s="2490"/>
      <c r="L508" s="1627"/>
      <c r="M508" s="2212" t="str">
        <f>IF(L508="","",VLOOKUP(L508,'Budget-S&amp;U Codes Lookup'!$E$7:$F$89,2,FALSE))</f>
        <v/>
      </c>
      <c r="N508" s="2213"/>
      <c r="O508" s="468"/>
      <c r="P508" s="468"/>
      <c r="Q508" s="468"/>
      <c r="R508" s="468"/>
      <c r="S508" s="468"/>
      <c r="T508" s="468"/>
      <c r="U508" s="468"/>
      <c r="V508" s="468"/>
      <c r="W508" s="468"/>
      <c r="X508" s="468"/>
      <c r="Y508" s="468"/>
      <c r="Z508" s="468"/>
      <c r="AA508" s="468"/>
      <c r="AB508" s="468"/>
      <c r="AC508" s="468"/>
      <c r="AD508" s="468"/>
    </row>
    <row r="509" spans="1:30" ht="14.85" hidden="1" customHeight="1" outlineLevel="1">
      <c r="A509" s="2407"/>
      <c r="B509" s="2413"/>
      <c r="C509" s="603"/>
      <c r="D509" s="2500"/>
      <c r="E509" s="2501"/>
      <c r="F509" s="2502"/>
      <c r="G509" s="1011"/>
      <c r="H509" s="1646"/>
      <c r="I509" s="1625"/>
      <c r="J509" s="2490" t="str">
        <f>IF(I509="","",VLOOKUP(I509,'Budget-S&amp;U Codes Lookup'!$A$7:$B$550,2,FALSE))</f>
        <v/>
      </c>
      <c r="K509" s="2490"/>
      <c r="L509" s="1627"/>
      <c r="M509" s="2212" t="str">
        <f>IF(L509="","",VLOOKUP(L509,'Budget-S&amp;U Codes Lookup'!$E$7:$F$89,2,FALSE))</f>
        <v/>
      </c>
      <c r="N509" s="2213"/>
      <c r="O509" s="468"/>
      <c r="P509" s="468"/>
      <c r="Q509" s="468"/>
      <c r="R509" s="468"/>
      <c r="S509" s="468"/>
      <c r="T509" s="468"/>
      <c r="U509" s="468"/>
      <c r="V509" s="468"/>
      <c r="W509" s="468"/>
      <c r="X509" s="468"/>
      <c r="Y509" s="468"/>
      <c r="Z509" s="468"/>
      <c r="AA509" s="468"/>
      <c r="AB509" s="468"/>
      <c r="AC509" s="468"/>
      <c r="AD509" s="468"/>
    </row>
    <row r="510" spans="1:30" ht="14.85" hidden="1" customHeight="1" outlineLevel="1">
      <c r="A510" s="2407"/>
      <c r="B510" s="2413"/>
      <c r="C510" s="603"/>
      <c r="D510" s="2500"/>
      <c r="E510" s="2501"/>
      <c r="F510" s="2502"/>
      <c r="G510" s="1011"/>
      <c r="H510" s="1646"/>
      <c r="I510" s="1625"/>
      <c r="J510" s="2490" t="str">
        <f>IF(I510="","",VLOOKUP(I510,'Budget-S&amp;U Codes Lookup'!$A$7:$B$550,2,FALSE))</f>
        <v/>
      </c>
      <c r="K510" s="2490"/>
      <c r="L510" s="1627"/>
      <c r="M510" s="2212" t="str">
        <f>IF(L510="","",VLOOKUP(L510,'Budget-S&amp;U Codes Lookup'!$E$7:$F$89,2,FALSE))</f>
        <v/>
      </c>
      <c r="N510" s="2213"/>
      <c r="O510" s="468"/>
      <c r="P510" s="468"/>
      <c r="Q510" s="468"/>
      <c r="R510" s="468"/>
      <c r="S510" s="468"/>
      <c r="T510" s="468"/>
      <c r="U510" s="468"/>
      <c r="V510" s="468"/>
      <c r="W510" s="468"/>
      <c r="X510" s="468"/>
      <c r="Y510" s="468"/>
      <c r="Z510" s="468"/>
      <c r="AA510" s="468"/>
      <c r="AB510" s="468"/>
      <c r="AC510" s="468"/>
      <c r="AD510" s="468"/>
    </row>
    <row r="511" spans="1:30" ht="14.85" hidden="1" customHeight="1" outlineLevel="1">
      <c r="A511" s="2407"/>
      <c r="B511" s="2413"/>
      <c r="C511" s="603"/>
      <c r="D511" s="2500"/>
      <c r="E511" s="2501"/>
      <c r="F511" s="2502"/>
      <c r="G511" s="1011"/>
      <c r="H511" s="1646"/>
      <c r="I511" s="1625"/>
      <c r="J511" s="2490" t="str">
        <f>IF(I511="","",VLOOKUP(I511,'Budget-S&amp;U Codes Lookup'!$A$7:$B$550,2,FALSE))</f>
        <v/>
      </c>
      <c r="K511" s="2490"/>
      <c r="L511" s="1627"/>
      <c r="M511" s="2212" t="str">
        <f>IF(L511="","",VLOOKUP(L511,'Budget-S&amp;U Codes Lookup'!$E$7:$F$89,2,FALSE))</f>
        <v/>
      </c>
      <c r="N511" s="2213"/>
      <c r="O511" s="468"/>
      <c r="P511" s="468"/>
      <c r="Q511" s="468"/>
      <c r="R511" s="468"/>
      <c r="S511" s="468"/>
      <c r="T511" s="468"/>
      <c r="U511" s="468"/>
      <c r="V511" s="468"/>
      <c r="W511" s="468"/>
      <c r="X511" s="468"/>
      <c r="Y511" s="468"/>
      <c r="Z511" s="468"/>
      <c r="AA511" s="468"/>
      <c r="AB511" s="468"/>
      <c r="AC511" s="468"/>
      <c r="AD511" s="468"/>
    </row>
    <row r="512" spans="1:30" ht="14.85" hidden="1" customHeight="1" outlineLevel="1">
      <c r="A512" s="2407"/>
      <c r="B512" s="2413"/>
      <c r="C512" s="603"/>
      <c r="D512" s="2500"/>
      <c r="E512" s="2501"/>
      <c r="F512" s="2502"/>
      <c r="G512" s="1011"/>
      <c r="H512" s="1646"/>
      <c r="I512" s="1625"/>
      <c r="J512" s="2490" t="str">
        <f>IF(I512="","",VLOOKUP(I512,'Budget-S&amp;U Codes Lookup'!$A$7:$B$550,2,FALSE))</f>
        <v/>
      </c>
      <c r="K512" s="2490"/>
      <c r="L512" s="1627"/>
      <c r="M512" s="2212" t="str">
        <f>IF(L512="","",VLOOKUP(L512,'Budget-S&amp;U Codes Lookup'!$E$7:$F$89,2,FALSE))</f>
        <v/>
      </c>
      <c r="N512" s="2213"/>
      <c r="O512" s="468"/>
      <c r="P512" s="468"/>
      <c r="Q512" s="468"/>
      <c r="R512" s="468"/>
      <c r="S512" s="468"/>
      <c r="T512" s="468"/>
      <c r="U512" s="468"/>
      <c r="V512" s="468"/>
      <c r="W512" s="468"/>
      <c r="X512" s="468"/>
      <c r="Y512" s="468"/>
      <c r="Z512" s="468"/>
      <c r="AA512" s="468"/>
      <c r="AB512" s="468"/>
      <c r="AC512" s="468"/>
      <c r="AD512" s="468"/>
    </row>
    <row r="513" spans="1:30" ht="14.85" hidden="1" customHeight="1" outlineLevel="1">
      <c r="A513" s="2407"/>
      <c r="B513" s="2413"/>
      <c r="C513" s="603"/>
      <c r="D513" s="2500"/>
      <c r="E513" s="2501"/>
      <c r="F513" s="2502"/>
      <c r="G513" s="1011"/>
      <c r="H513" s="1646"/>
      <c r="I513" s="1625"/>
      <c r="J513" s="2490" t="str">
        <f>IF(I513="","",VLOOKUP(I513,'Budget-S&amp;U Codes Lookup'!$A$7:$B$550,2,FALSE))</f>
        <v/>
      </c>
      <c r="K513" s="2490"/>
      <c r="L513" s="1627"/>
      <c r="M513" s="2212" t="str">
        <f>IF(L513="","",VLOOKUP(L513,'Budget-S&amp;U Codes Lookup'!$E$7:$F$89,2,FALSE))</f>
        <v/>
      </c>
      <c r="N513" s="2213"/>
      <c r="O513" s="468"/>
      <c r="P513" s="468"/>
      <c r="Q513" s="468"/>
      <c r="R513" s="468"/>
      <c r="S513" s="468"/>
      <c r="T513" s="468"/>
      <c r="U513" s="468"/>
      <c r="V513" s="468"/>
      <c r="W513" s="468"/>
      <c r="X513" s="468"/>
      <c r="Y513" s="468"/>
      <c r="Z513" s="468"/>
      <c r="AA513" s="468"/>
      <c r="AB513" s="468"/>
      <c r="AC513" s="468"/>
      <c r="AD513" s="468"/>
    </row>
    <row r="514" spans="1:30" ht="14.85" hidden="1" customHeight="1" outlineLevel="1">
      <c r="A514" s="2407"/>
      <c r="B514" s="2413"/>
      <c r="C514" s="603"/>
      <c r="D514" s="2500"/>
      <c r="E514" s="2501"/>
      <c r="F514" s="2502"/>
      <c r="G514" s="1011"/>
      <c r="H514" s="1646"/>
      <c r="I514" s="1625"/>
      <c r="J514" s="2490" t="str">
        <f>IF(I514="","",VLOOKUP(I514,'Budget-S&amp;U Codes Lookup'!$A$7:$B$550,2,FALSE))</f>
        <v/>
      </c>
      <c r="K514" s="2490"/>
      <c r="L514" s="1627"/>
      <c r="M514" s="2212" t="str">
        <f>IF(L514="","",VLOOKUP(L514,'Budget-S&amp;U Codes Lookup'!$E$7:$F$89,2,FALSE))</f>
        <v/>
      </c>
      <c r="N514" s="2213"/>
      <c r="O514" s="468"/>
      <c r="P514" s="468"/>
      <c r="Q514" s="468"/>
      <c r="R514" s="468"/>
      <c r="S514" s="468"/>
      <c r="T514" s="468"/>
      <c r="U514" s="468"/>
      <c r="V514" s="468"/>
      <c r="W514" s="468"/>
      <c r="X514" s="468"/>
      <c r="Y514" s="468"/>
      <c r="Z514" s="468"/>
      <c r="AA514" s="468"/>
      <c r="AB514" s="468"/>
      <c r="AC514" s="468"/>
      <c r="AD514" s="468"/>
    </row>
    <row r="515" spans="1:30" ht="14.85" hidden="1" customHeight="1" outlineLevel="1">
      <c r="A515" s="2407"/>
      <c r="B515" s="2413"/>
      <c r="C515" s="603"/>
      <c r="D515" s="2500"/>
      <c r="E515" s="2501"/>
      <c r="F515" s="2502"/>
      <c r="G515" s="1011"/>
      <c r="H515" s="1646"/>
      <c r="I515" s="1625"/>
      <c r="J515" s="2490" t="str">
        <f>IF(I515="","",VLOOKUP(I515,'Budget-S&amp;U Codes Lookup'!$A$7:$B$550,2,FALSE))</f>
        <v/>
      </c>
      <c r="K515" s="2490"/>
      <c r="L515" s="1627"/>
      <c r="M515" s="2212" t="str">
        <f>IF(L515="","",VLOOKUP(L515,'Budget-S&amp;U Codes Lookup'!$E$7:$F$89,2,FALSE))</f>
        <v/>
      </c>
      <c r="N515" s="2213"/>
      <c r="O515" s="468"/>
      <c r="P515" s="468"/>
      <c r="Q515" s="468"/>
      <c r="R515" s="468"/>
      <c r="S515" s="468"/>
      <c r="T515" s="468"/>
      <c r="U515" s="468"/>
      <c r="V515" s="468"/>
      <c r="W515" s="468"/>
      <c r="X515" s="468"/>
      <c r="Y515" s="468"/>
      <c r="Z515" s="468"/>
      <c r="AA515" s="468"/>
      <c r="AB515" s="468"/>
      <c r="AC515" s="468"/>
      <c r="AD515" s="468"/>
    </row>
    <row r="516" spans="1:30" ht="14.85" hidden="1" customHeight="1" outlineLevel="1">
      <c r="A516" s="2407"/>
      <c r="B516" s="2413"/>
      <c r="C516" s="603"/>
      <c r="D516" s="2500"/>
      <c r="E516" s="2501"/>
      <c r="F516" s="2502"/>
      <c r="G516" s="1011"/>
      <c r="H516" s="1646"/>
      <c r="I516" s="1625"/>
      <c r="J516" s="2490" t="str">
        <f>IF(I516="","",VLOOKUP(I516,'Budget-S&amp;U Codes Lookup'!$A$7:$B$550,2,FALSE))</f>
        <v/>
      </c>
      <c r="K516" s="2490"/>
      <c r="L516" s="1627"/>
      <c r="M516" s="2212" t="str">
        <f>IF(L516="","",VLOOKUP(L516,'Budget-S&amp;U Codes Lookup'!$E$7:$F$89,2,FALSE))</f>
        <v/>
      </c>
      <c r="N516" s="2213"/>
      <c r="O516" s="468"/>
      <c r="P516" s="468"/>
      <c r="Q516" s="468"/>
      <c r="R516" s="468"/>
      <c r="S516" s="468"/>
      <c r="T516" s="468"/>
      <c r="U516" s="468"/>
      <c r="V516" s="468"/>
      <c r="W516" s="468"/>
      <c r="X516" s="468"/>
      <c r="Y516" s="468"/>
      <c r="Z516" s="468"/>
      <c r="AA516" s="468"/>
      <c r="AB516" s="468"/>
      <c r="AC516" s="468"/>
      <c r="AD516" s="468"/>
    </row>
    <row r="517" spans="1:30" ht="14.85" hidden="1" customHeight="1" outlineLevel="1">
      <c r="A517" s="2407"/>
      <c r="B517" s="2413"/>
      <c r="C517" s="603"/>
      <c r="D517" s="2500"/>
      <c r="E517" s="2501"/>
      <c r="F517" s="2502"/>
      <c r="G517" s="1011"/>
      <c r="H517" s="1646"/>
      <c r="I517" s="1625"/>
      <c r="J517" s="2490" t="str">
        <f>IF(I517="","",VLOOKUP(I517,'Budget-S&amp;U Codes Lookup'!$A$7:$B$550,2,FALSE))</f>
        <v/>
      </c>
      <c r="K517" s="2490"/>
      <c r="L517" s="1627"/>
      <c r="M517" s="2212" t="str">
        <f>IF(L517="","",VLOOKUP(L517,'Budget-S&amp;U Codes Lookup'!$E$7:$F$89,2,FALSE))</f>
        <v/>
      </c>
      <c r="N517" s="2213"/>
      <c r="O517" s="468"/>
      <c r="P517" s="468"/>
      <c r="Q517" s="468"/>
      <c r="R517" s="468"/>
      <c r="S517" s="468"/>
      <c r="T517" s="468"/>
      <c r="U517" s="468"/>
      <c r="V517" s="468"/>
      <c r="W517" s="468"/>
      <c r="X517" s="468"/>
      <c r="Y517" s="468"/>
      <c r="Z517" s="468"/>
      <c r="AA517" s="468"/>
      <c r="AB517" s="468"/>
      <c r="AC517" s="468"/>
      <c r="AD517" s="468"/>
    </row>
    <row r="518" spans="1:30" ht="14.85" hidden="1" customHeight="1" outlineLevel="1">
      <c r="A518" s="2407"/>
      <c r="B518" s="2413"/>
      <c r="C518" s="603"/>
      <c r="D518" s="2500"/>
      <c r="E518" s="2501"/>
      <c r="F518" s="2502"/>
      <c r="G518" s="1011"/>
      <c r="H518" s="1646"/>
      <c r="I518" s="1625"/>
      <c r="J518" s="2490" t="str">
        <f>IF(I518="","",VLOOKUP(I518,'Budget-S&amp;U Codes Lookup'!$A$7:$B$550,2,FALSE))</f>
        <v/>
      </c>
      <c r="K518" s="2490"/>
      <c r="L518" s="1627"/>
      <c r="M518" s="2212" t="str">
        <f>IF(L518="","",VLOOKUP(L518,'Budget-S&amp;U Codes Lookup'!$E$7:$F$89,2,FALSE))</f>
        <v/>
      </c>
      <c r="N518" s="2213"/>
      <c r="O518" s="468"/>
      <c r="P518" s="468"/>
      <c r="Q518" s="468"/>
      <c r="R518" s="468"/>
      <c r="S518" s="468"/>
      <c r="T518" s="468"/>
      <c r="U518" s="468"/>
      <c r="V518" s="468"/>
      <c r="W518" s="468"/>
      <c r="X518" s="468"/>
      <c r="Y518" s="468"/>
      <c r="Z518" s="468"/>
      <c r="AA518" s="468"/>
      <c r="AB518" s="468"/>
      <c r="AC518" s="468"/>
      <c r="AD518" s="468"/>
    </row>
    <row r="519" spans="1:30" ht="14.85" hidden="1" customHeight="1" outlineLevel="1">
      <c r="A519" s="2407"/>
      <c r="B519" s="2413"/>
      <c r="C519" s="603"/>
      <c r="D519" s="2500"/>
      <c r="E519" s="2501"/>
      <c r="F519" s="2502"/>
      <c r="G519" s="1011"/>
      <c r="H519" s="1646"/>
      <c r="I519" s="1625"/>
      <c r="J519" s="2490" t="str">
        <f>IF(I519="","",VLOOKUP(I519,'Budget-S&amp;U Codes Lookup'!$A$7:$B$550,2,FALSE))</f>
        <v/>
      </c>
      <c r="K519" s="2490"/>
      <c r="L519" s="1627"/>
      <c r="M519" s="2212" t="str">
        <f>IF(L519="","",VLOOKUP(L519,'Budget-S&amp;U Codes Lookup'!$E$7:$F$89,2,FALSE))</f>
        <v/>
      </c>
      <c r="N519" s="2213"/>
      <c r="O519" s="468"/>
      <c r="P519" s="468"/>
      <c r="Q519" s="468"/>
      <c r="R519" s="468"/>
      <c r="S519" s="468"/>
      <c r="T519" s="468"/>
      <c r="U519" s="468"/>
      <c r="V519" s="468"/>
      <c r="W519" s="468"/>
      <c r="X519" s="468"/>
      <c r="Y519" s="468"/>
      <c r="Z519" s="468"/>
      <c r="AA519" s="468"/>
      <c r="AB519" s="468"/>
      <c r="AC519" s="468"/>
      <c r="AD519" s="468"/>
    </row>
    <row r="520" spans="1:30" ht="14.85" hidden="1" customHeight="1" outlineLevel="1">
      <c r="A520" s="2407"/>
      <c r="B520" s="2413"/>
      <c r="C520" s="603"/>
      <c r="D520" s="2500"/>
      <c r="E520" s="2501"/>
      <c r="F520" s="2502"/>
      <c r="G520" s="1011"/>
      <c r="H520" s="1646"/>
      <c r="I520" s="1625"/>
      <c r="J520" s="2490" t="str">
        <f>IF(I520="","",VLOOKUP(I520,'Budget-S&amp;U Codes Lookup'!$A$7:$B$550,2,FALSE))</f>
        <v/>
      </c>
      <c r="K520" s="2490"/>
      <c r="L520" s="1627"/>
      <c r="M520" s="2212" t="str">
        <f>IF(L520="","",VLOOKUP(L520,'Budget-S&amp;U Codes Lookup'!$E$7:$F$89,2,FALSE))</f>
        <v/>
      </c>
      <c r="N520" s="2213"/>
      <c r="O520" s="468"/>
      <c r="P520" s="468"/>
      <c r="Q520" s="468"/>
      <c r="R520" s="468"/>
      <c r="S520" s="468"/>
      <c r="T520" s="468"/>
      <c r="U520" s="468"/>
      <c r="V520" s="468"/>
      <c r="W520" s="468"/>
      <c r="X520" s="468"/>
      <c r="Y520" s="468"/>
      <c r="Z520" s="468"/>
      <c r="AA520" s="468"/>
      <c r="AB520" s="468"/>
      <c r="AC520" s="468"/>
      <c r="AD520" s="468"/>
    </row>
    <row r="521" spans="1:30" ht="14.85" hidden="1" customHeight="1" outlineLevel="1">
      <c r="A521" s="2407"/>
      <c r="B521" s="2413"/>
      <c r="C521" s="603"/>
      <c r="D521" s="2500"/>
      <c r="E521" s="2501"/>
      <c r="F521" s="2502"/>
      <c r="G521" s="1011"/>
      <c r="H521" s="1646"/>
      <c r="I521" s="1625"/>
      <c r="J521" s="2490" t="str">
        <f>IF(I521="","",VLOOKUP(I521,'Budget-S&amp;U Codes Lookup'!$A$7:$B$550,2,FALSE))</f>
        <v/>
      </c>
      <c r="K521" s="2490"/>
      <c r="L521" s="1627"/>
      <c r="M521" s="2212" t="str">
        <f>IF(L521="","",VLOOKUP(L521,'Budget-S&amp;U Codes Lookup'!$E$7:$F$89,2,FALSE))</f>
        <v/>
      </c>
      <c r="N521" s="2213"/>
      <c r="O521" s="468"/>
      <c r="P521" s="468"/>
      <c r="Q521" s="468"/>
      <c r="R521" s="468"/>
      <c r="S521" s="468"/>
      <c r="T521" s="468"/>
      <c r="U521" s="468"/>
      <c r="V521" s="468"/>
      <c r="W521" s="468"/>
      <c r="X521" s="468"/>
      <c r="Y521" s="468"/>
      <c r="Z521" s="468"/>
      <c r="AA521" s="468"/>
      <c r="AB521" s="468"/>
      <c r="AC521" s="468"/>
      <c r="AD521" s="468"/>
    </row>
    <row r="522" spans="1:30" ht="14.85" hidden="1" customHeight="1" outlineLevel="1">
      <c r="A522" s="2407"/>
      <c r="B522" s="567"/>
      <c r="C522" s="604"/>
      <c r="D522" s="2500"/>
      <c r="E522" s="2501"/>
      <c r="F522" s="2502"/>
      <c r="G522" s="1012"/>
      <c r="H522" s="1646"/>
      <c r="I522" s="1625"/>
      <c r="J522" s="2490" t="str">
        <f>IF(I522="","",VLOOKUP(I522,'Budget-S&amp;U Codes Lookup'!$A$7:$B$550,2,FALSE))</f>
        <v/>
      </c>
      <c r="K522" s="2490"/>
      <c r="L522" s="1627"/>
      <c r="M522" s="2212" t="str">
        <f>IF(L522="","",VLOOKUP(L522,'Budget-S&amp;U Codes Lookup'!$E$7:$F$89,2,FALSE))</f>
        <v/>
      </c>
      <c r="N522" s="2213"/>
      <c r="O522" s="468"/>
      <c r="P522" s="468"/>
      <c r="Q522" s="468"/>
      <c r="R522" s="468"/>
      <c r="S522" s="468"/>
      <c r="T522" s="468"/>
      <c r="U522" s="468"/>
      <c r="V522" s="468"/>
      <c r="W522" s="468"/>
      <c r="X522" s="468"/>
      <c r="Y522" s="468"/>
      <c r="Z522" s="468"/>
      <c r="AA522" s="468"/>
      <c r="AB522" s="468"/>
      <c r="AC522" s="468"/>
      <c r="AD522" s="468"/>
    </row>
    <row r="523" spans="1:30" ht="15.75" collapsed="1" thickBot="1">
      <c r="A523" s="550" t="s">
        <v>421</v>
      </c>
      <c r="B523" s="550"/>
      <c r="C523" s="550"/>
      <c r="D523" s="374"/>
      <c r="E523" s="374"/>
      <c r="F523" s="550"/>
      <c r="G523" s="1013"/>
      <c r="H523" s="606">
        <f>SUM(H438:H522)</f>
        <v>0</v>
      </c>
      <c r="I523" s="533"/>
      <c r="J523" s="532"/>
      <c r="K523" s="532"/>
      <c r="L523" s="532"/>
      <c r="M523" s="2212" t="str">
        <f>IF(L523="","",VLOOKUP(L523,'Budget-S&amp;U Codes Lookup'!$E$7:$F$89,2,FALSE))</f>
        <v/>
      </c>
      <c r="N523" s="532"/>
      <c r="O523" s="468"/>
      <c r="P523" s="468"/>
      <c r="Q523" s="468"/>
      <c r="R523" s="468"/>
      <c r="S523" s="468"/>
      <c r="T523" s="468"/>
      <c r="U523" s="468"/>
      <c r="V523" s="468"/>
      <c r="W523" s="468"/>
      <c r="X523" s="468"/>
      <c r="Y523" s="468"/>
      <c r="Z523" s="468"/>
      <c r="AA523" s="468"/>
      <c r="AB523" s="468"/>
      <c r="AC523" s="468"/>
      <c r="AD523" s="468"/>
    </row>
    <row r="524" spans="1:30">
      <c r="A524" s="612"/>
      <c r="B524" s="612"/>
      <c r="C524" s="612"/>
      <c r="D524" s="1389"/>
      <c r="E524" s="1389"/>
      <c r="F524" s="612"/>
      <c r="G524" s="613"/>
      <c r="H524" s="614"/>
      <c r="I524" s="614"/>
      <c r="J524" s="615"/>
      <c r="K524" s="615"/>
      <c r="L524" s="615"/>
      <c r="M524" s="615"/>
      <c r="N524" s="615"/>
      <c r="O524" s="468"/>
      <c r="P524" s="468"/>
      <c r="Q524" s="468"/>
      <c r="R524" s="468"/>
      <c r="S524" s="468"/>
      <c r="T524" s="468"/>
      <c r="U524" s="468"/>
      <c r="V524" s="468"/>
      <c r="W524" s="468"/>
      <c r="X524" s="468"/>
      <c r="Y524" s="468"/>
      <c r="Z524" s="468"/>
      <c r="AA524" s="468"/>
      <c r="AB524" s="468"/>
      <c r="AC524" s="468"/>
      <c r="AD524" s="468"/>
    </row>
    <row r="525" spans="1:30" ht="19.5" thickBot="1">
      <c r="A525" s="1264" t="s">
        <v>422</v>
      </c>
      <c r="B525" s="1175"/>
      <c r="C525" s="1175"/>
      <c r="D525" s="1174"/>
      <c r="E525" s="1174"/>
      <c r="F525" s="1175"/>
      <c r="G525" s="1175"/>
      <c r="H525" s="1175"/>
      <c r="I525" s="1175"/>
      <c r="J525" s="1175"/>
      <c r="K525" s="1175"/>
      <c r="L525" s="1175"/>
      <c r="M525" s="1175"/>
      <c r="N525" s="1175"/>
      <c r="O525" s="468"/>
      <c r="P525" s="468"/>
      <c r="Q525" s="468"/>
      <c r="R525" s="468"/>
      <c r="S525" s="468"/>
      <c r="T525" s="468"/>
      <c r="U525" s="468"/>
      <c r="V525" s="468"/>
      <c r="W525" s="468"/>
      <c r="X525" s="468"/>
      <c r="Y525" s="468"/>
      <c r="Z525" s="468"/>
      <c r="AA525" s="468"/>
      <c r="AB525" s="468"/>
      <c r="AC525" s="468"/>
      <c r="AD525" s="468"/>
    </row>
    <row r="526" spans="1:30">
      <c r="A526" s="616"/>
      <c r="B526" s="617"/>
      <c r="C526" s="618" t="s">
        <v>402</v>
      </c>
      <c r="D526" s="619" t="s">
        <v>361</v>
      </c>
      <c r="E526" s="655"/>
      <c r="F526" s="20" t="s">
        <v>423</v>
      </c>
      <c r="G526" s="394"/>
      <c r="H526" s="599"/>
      <c r="I526" s="524"/>
      <c r="J526" s="470"/>
      <c r="K526" s="470"/>
      <c r="L526" s="470"/>
      <c r="M526" s="470"/>
      <c r="N526" s="470"/>
      <c r="O526" s="468"/>
      <c r="P526" s="468"/>
      <c r="Q526" s="468"/>
      <c r="R526" s="468"/>
      <c r="S526" s="468"/>
      <c r="T526" s="468"/>
      <c r="U526" s="468"/>
      <c r="V526" s="468"/>
      <c r="W526" s="468"/>
      <c r="X526" s="468"/>
      <c r="Y526" s="468"/>
      <c r="Z526" s="468"/>
      <c r="AA526" s="468"/>
      <c r="AB526" s="468"/>
      <c r="AC526" s="468"/>
      <c r="AD526" s="468"/>
    </row>
    <row r="527" spans="1:30">
      <c r="A527" s="620" t="s">
        <v>331</v>
      </c>
      <c r="B527" s="621"/>
      <c r="C527" s="622">
        <f>G225</f>
        <v>228663591</v>
      </c>
      <c r="D527" s="1390"/>
      <c r="E527" s="655"/>
      <c r="F527" s="1925"/>
      <c r="G527" s="1926"/>
      <c r="H527" s="1927"/>
      <c r="I527" s="524"/>
      <c r="J527" s="470"/>
      <c r="K527" s="470"/>
      <c r="L527" s="470"/>
      <c r="M527" s="470"/>
      <c r="N527" s="470"/>
      <c r="O527" s="468"/>
      <c r="P527" s="468"/>
      <c r="Q527" s="468"/>
      <c r="R527" s="468"/>
      <c r="S527" s="468"/>
      <c r="T527" s="468"/>
      <c r="U527" s="468"/>
      <c r="V527" s="468"/>
      <c r="W527" s="468"/>
      <c r="X527" s="468"/>
      <c r="Y527" s="468"/>
      <c r="Z527" s="468"/>
      <c r="AA527" s="468"/>
      <c r="AB527" s="468"/>
      <c r="AC527" s="468"/>
      <c r="AD527" s="468"/>
    </row>
    <row r="528" spans="1:30">
      <c r="A528" s="620" t="s">
        <v>424</v>
      </c>
      <c r="B528" s="621"/>
      <c r="C528" s="623"/>
      <c r="D528" s="1391">
        <f>H233</f>
        <v>3390272.34</v>
      </c>
      <c r="E528" s="655"/>
      <c r="F528" s="1928"/>
      <c r="G528" s="1929"/>
      <c r="H528" s="1930"/>
      <c r="I528" s="524"/>
      <c r="J528" s="470"/>
      <c r="K528" s="470"/>
      <c r="L528" s="470"/>
      <c r="M528" s="470"/>
      <c r="N528" s="470"/>
      <c r="O528" s="468"/>
      <c r="P528" s="468"/>
      <c r="Q528" s="468"/>
      <c r="R528" s="468"/>
      <c r="S528" s="468"/>
      <c r="T528" s="468"/>
      <c r="U528" s="468"/>
      <c r="V528" s="468"/>
      <c r="W528" s="468"/>
      <c r="X528" s="468"/>
      <c r="Y528" s="468"/>
      <c r="Z528" s="468"/>
      <c r="AA528" s="468"/>
      <c r="AB528" s="468"/>
      <c r="AC528" s="468"/>
      <c r="AD528" s="468"/>
    </row>
    <row r="529" spans="1:30">
      <c r="A529" s="620" t="s">
        <v>425</v>
      </c>
      <c r="B529" s="621"/>
      <c r="C529" s="622">
        <f>G244</f>
        <v>0</v>
      </c>
      <c r="D529" s="1390"/>
      <c r="E529" s="655"/>
      <c r="F529" s="1928"/>
      <c r="G529" s="1929"/>
      <c r="H529" s="1930"/>
      <c r="I529" s="524"/>
      <c r="J529" s="470"/>
      <c r="K529" s="470"/>
      <c r="L529" s="470"/>
      <c r="M529" s="470"/>
      <c r="N529" s="470"/>
      <c r="O529" s="468"/>
      <c r="P529" s="468"/>
      <c r="Q529" s="468"/>
      <c r="R529" s="468"/>
      <c r="S529" s="468"/>
      <c r="T529" s="468"/>
      <c r="U529" s="468"/>
      <c r="V529" s="468"/>
      <c r="W529" s="468"/>
      <c r="X529" s="468"/>
      <c r="Y529" s="468"/>
      <c r="Z529" s="468"/>
      <c r="AA529" s="468"/>
      <c r="AB529" s="468"/>
      <c r="AC529" s="468"/>
      <c r="AD529" s="468"/>
    </row>
    <row r="530" spans="1:30">
      <c r="A530" s="620" t="s">
        <v>350</v>
      </c>
      <c r="B530" s="621"/>
      <c r="C530" s="623"/>
      <c r="D530" s="1391">
        <f>H245</f>
        <v>0</v>
      </c>
      <c r="E530" s="655"/>
      <c r="F530" s="1928"/>
      <c r="G530" s="1929"/>
      <c r="H530" s="1930"/>
      <c r="I530" s="524"/>
      <c r="J530" s="470"/>
      <c r="K530" s="470"/>
      <c r="L530" s="470"/>
      <c r="M530" s="470"/>
      <c r="N530" s="470"/>
      <c r="O530" s="468"/>
      <c r="P530" s="468"/>
      <c r="Q530" s="468"/>
      <c r="R530" s="468"/>
      <c r="S530" s="468"/>
      <c r="T530" s="468"/>
      <c r="U530" s="468"/>
      <c r="V530" s="468"/>
      <c r="W530" s="468"/>
      <c r="X530" s="468"/>
      <c r="Y530" s="468"/>
      <c r="Z530" s="468"/>
      <c r="AA530" s="468"/>
      <c r="AB530" s="468"/>
      <c r="AC530" s="468"/>
      <c r="AD530" s="468"/>
    </row>
    <row r="531" spans="1:30">
      <c r="A531" s="625" t="s">
        <v>426</v>
      </c>
      <c r="B531" s="626"/>
      <c r="C531" s="627"/>
      <c r="D531" s="1392">
        <f>H246</f>
        <v>0</v>
      </c>
      <c r="E531" s="655"/>
      <c r="F531" s="1928"/>
      <c r="G531" s="1929"/>
      <c r="H531" s="1930"/>
      <c r="I531" s="524"/>
      <c r="J531" s="470"/>
      <c r="K531" s="470"/>
      <c r="L531" s="470"/>
      <c r="M531" s="470"/>
      <c r="N531" s="470"/>
      <c r="O531" s="468"/>
      <c r="P531" s="468"/>
      <c r="Q531" s="468"/>
      <c r="R531" s="468"/>
      <c r="S531" s="468"/>
      <c r="T531" s="468"/>
      <c r="U531" s="468"/>
      <c r="V531" s="468"/>
      <c r="W531" s="468"/>
      <c r="X531" s="468"/>
      <c r="Y531" s="468"/>
      <c r="Z531" s="468"/>
      <c r="AA531" s="468"/>
      <c r="AB531" s="468"/>
      <c r="AC531" s="468"/>
      <c r="AD531" s="468"/>
    </row>
    <row r="532" spans="1:30">
      <c r="A532" s="620" t="s">
        <v>427</v>
      </c>
      <c r="B532" s="621"/>
      <c r="C532" s="623"/>
      <c r="D532" s="1391">
        <f>SUM(H279:H288)</f>
        <v>0</v>
      </c>
      <c r="E532" s="655"/>
      <c r="F532" s="1928"/>
      <c r="G532" s="1929"/>
      <c r="H532" s="1930"/>
      <c r="I532" s="524"/>
      <c r="J532" s="470"/>
      <c r="K532" s="470"/>
      <c r="L532" s="470"/>
      <c r="M532" s="470"/>
      <c r="N532" s="470"/>
      <c r="O532" s="468"/>
      <c r="P532" s="468"/>
      <c r="Q532" s="468"/>
      <c r="R532" s="468"/>
      <c r="S532" s="468"/>
      <c r="T532" s="468"/>
      <c r="U532" s="468"/>
      <c r="V532" s="468"/>
      <c r="W532" s="468"/>
      <c r="X532" s="468"/>
      <c r="Y532" s="468"/>
      <c r="Z532" s="468"/>
      <c r="AA532" s="468"/>
      <c r="AB532" s="468"/>
      <c r="AC532" s="468"/>
      <c r="AD532" s="468"/>
    </row>
    <row r="533" spans="1:30">
      <c r="A533" s="620" t="s">
        <v>428</v>
      </c>
      <c r="B533" s="621"/>
      <c r="C533" s="623"/>
      <c r="D533" s="1391">
        <f>H311</f>
        <v>0</v>
      </c>
      <c r="E533" s="655"/>
      <c r="F533" s="1928"/>
      <c r="G533" s="1929"/>
      <c r="H533" s="1930"/>
      <c r="I533" s="524"/>
      <c r="J533" s="470"/>
      <c r="K533" s="470"/>
      <c r="L533" s="470"/>
      <c r="M533" s="470"/>
      <c r="N533" s="470"/>
      <c r="O533" s="468"/>
      <c r="P533" s="468"/>
      <c r="Q533" s="468"/>
      <c r="R533" s="468"/>
      <c r="S533" s="468"/>
      <c r="T533" s="468"/>
      <c r="U533" s="468"/>
      <c r="V533" s="468"/>
      <c r="W533" s="468"/>
      <c r="X533" s="468"/>
      <c r="Y533" s="468"/>
      <c r="Z533" s="468"/>
      <c r="AA533" s="468"/>
      <c r="AB533" s="468"/>
      <c r="AC533" s="468"/>
      <c r="AD533" s="468"/>
    </row>
    <row r="534" spans="1:30">
      <c r="A534" s="620" t="s">
        <v>429</v>
      </c>
      <c r="B534" s="621"/>
      <c r="C534" s="623"/>
      <c r="D534" s="1391">
        <f>H335</f>
        <v>0</v>
      </c>
      <c r="E534" s="655"/>
      <c r="F534" s="1928"/>
      <c r="G534" s="1929"/>
      <c r="H534" s="1930"/>
      <c r="I534" s="524"/>
      <c r="J534" s="470"/>
      <c r="K534" s="470"/>
      <c r="L534" s="470"/>
      <c r="M534" s="470"/>
      <c r="N534" s="470"/>
      <c r="O534" s="468"/>
      <c r="P534" s="468"/>
      <c r="Q534" s="468"/>
      <c r="R534" s="468"/>
      <c r="S534" s="468"/>
      <c r="T534" s="468"/>
      <c r="U534" s="468"/>
      <c r="V534" s="468"/>
      <c r="W534" s="468"/>
      <c r="X534" s="468"/>
      <c r="Y534" s="468"/>
      <c r="Z534" s="468"/>
      <c r="AA534" s="468"/>
      <c r="AB534" s="468"/>
      <c r="AC534" s="468"/>
      <c r="AD534" s="468"/>
    </row>
    <row r="535" spans="1:30">
      <c r="A535" s="620" t="s">
        <v>430</v>
      </c>
      <c r="B535" s="621"/>
      <c r="C535" s="623"/>
      <c r="D535" s="1391">
        <f>H352</f>
        <v>0</v>
      </c>
      <c r="E535" s="655"/>
      <c r="F535" s="1928"/>
      <c r="G535" s="1929"/>
      <c r="H535" s="1930"/>
      <c r="I535" s="524"/>
      <c r="J535" s="470"/>
      <c r="K535" s="470"/>
      <c r="L535" s="470"/>
      <c r="M535" s="470"/>
      <c r="N535" s="470"/>
      <c r="O535" s="468"/>
      <c r="P535" s="468"/>
      <c r="Q535" s="468"/>
      <c r="R535" s="468"/>
      <c r="S535" s="468"/>
      <c r="T535" s="468"/>
      <c r="U535" s="468"/>
      <c r="V535" s="468"/>
      <c r="W535" s="468"/>
      <c r="X535" s="468"/>
      <c r="Y535" s="468"/>
      <c r="Z535" s="468"/>
      <c r="AA535" s="468"/>
      <c r="AB535" s="468"/>
      <c r="AC535" s="468"/>
      <c r="AD535" s="468"/>
    </row>
    <row r="536" spans="1:30">
      <c r="A536" s="620" t="s">
        <v>431</v>
      </c>
      <c r="B536" s="621"/>
      <c r="C536" s="1079">
        <f>G394</f>
        <v>0</v>
      </c>
      <c r="D536" s="1391"/>
      <c r="E536" s="655"/>
      <c r="F536" s="1928"/>
      <c r="G536" s="1929"/>
      <c r="H536" s="1930"/>
      <c r="I536" s="524"/>
      <c r="J536" s="470"/>
      <c r="K536" s="470"/>
      <c r="L536" s="470"/>
      <c r="M536" s="470"/>
      <c r="N536" s="470"/>
      <c r="O536" s="468"/>
      <c r="P536" s="468"/>
      <c r="Q536" s="468"/>
      <c r="R536" s="468"/>
      <c r="S536" s="468"/>
      <c r="T536" s="468"/>
      <c r="U536" s="468"/>
      <c r="V536" s="468"/>
      <c r="W536" s="468"/>
      <c r="X536" s="468"/>
      <c r="Y536" s="468"/>
      <c r="Z536" s="468"/>
      <c r="AA536" s="468"/>
      <c r="AB536" s="468"/>
      <c r="AC536" s="468"/>
      <c r="AD536" s="468"/>
    </row>
    <row r="537" spans="1:30">
      <c r="A537" s="620" t="s">
        <v>432</v>
      </c>
      <c r="B537" s="621"/>
      <c r="C537" s="622"/>
      <c r="D537" s="1391">
        <f>H412</f>
        <v>0</v>
      </c>
      <c r="E537" s="655"/>
      <c r="F537" s="1928"/>
      <c r="G537" s="1929"/>
      <c r="H537" s="1930"/>
      <c r="I537" s="524"/>
      <c r="J537" s="470"/>
      <c r="K537" s="470"/>
      <c r="L537" s="470"/>
      <c r="M537" s="470"/>
      <c r="N537" s="470"/>
      <c r="O537" s="468"/>
      <c r="P537" s="468"/>
      <c r="Q537" s="468"/>
      <c r="R537" s="468"/>
      <c r="S537" s="468"/>
      <c r="T537" s="468"/>
      <c r="U537" s="468"/>
      <c r="V537" s="468"/>
      <c r="W537" s="468"/>
      <c r="X537" s="468"/>
      <c r="Y537" s="468"/>
      <c r="Z537" s="468"/>
      <c r="AA537" s="468"/>
      <c r="AB537" s="468"/>
      <c r="AC537" s="468"/>
      <c r="AD537" s="468"/>
    </row>
    <row r="538" spans="1:30">
      <c r="A538" s="628" t="s">
        <v>433</v>
      </c>
      <c r="B538" s="629"/>
      <c r="C538" s="630"/>
      <c r="D538" s="1393">
        <f>H425</f>
        <v>0</v>
      </c>
      <c r="E538" s="655"/>
      <c r="F538" s="1928"/>
      <c r="G538" s="1929"/>
      <c r="H538" s="1930"/>
      <c r="I538" s="524"/>
      <c r="J538" s="470"/>
      <c r="K538" s="470"/>
      <c r="L538" s="470"/>
      <c r="M538" s="470"/>
      <c r="N538" s="470"/>
      <c r="O538" s="468"/>
      <c r="P538" s="468"/>
      <c r="Q538" s="468"/>
      <c r="R538" s="468"/>
      <c r="S538" s="468"/>
      <c r="T538" s="468"/>
      <c r="U538" s="468"/>
      <c r="V538" s="468"/>
      <c r="W538" s="468"/>
      <c r="X538" s="468"/>
      <c r="Y538" s="468"/>
      <c r="Z538" s="468"/>
      <c r="AA538" s="468"/>
      <c r="AB538" s="468"/>
      <c r="AC538" s="468"/>
      <c r="AD538" s="468"/>
    </row>
    <row r="539" spans="1:30">
      <c r="A539" s="628" t="s">
        <v>434</v>
      </c>
      <c r="B539" s="629"/>
      <c r="C539" s="630"/>
      <c r="D539" s="1393">
        <f>H435</f>
        <v>0</v>
      </c>
      <c r="E539" s="655"/>
      <c r="F539" s="1928"/>
      <c r="G539" s="1929"/>
      <c r="H539" s="1930"/>
      <c r="I539" s="524"/>
      <c r="J539" s="470"/>
      <c r="K539" s="470"/>
      <c r="L539" s="470"/>
      <c r="M539" s="470"/>
      <c r="N539" s="470"/>
      <c r="O539" s="468"/>
      <c r="P539" s="468"/>
      <c r="Q539" s="468"/>
      <c r="R539" s="468"/>
      <c r="S539" s="468"/>
      <c r="T539" s="468"/>
      <c r="U539" s="468"/>
      <c r="V539" s="468"/>
      <c r="W539" s="468"/>
      <c r="X539" s="468"/>
      <c r="Y539" s="468"/>
      <c r="Z539" s="468"/>
      <c r="AA539" s="468"/>
      <c r="AB539" s="468"/>
      <c r="AC539" s="468"/>
      <c r="AD539" s="468"/>
    </row>
    <row r="540" spans="1:30">
      <c r="A540" s="628" t="s">
        <v>435</v>
      </c>
      <c r="B540" s="629"/>
      <c r="C540" s="630"/>
      <c r="D540" s="1393">
        <f>H523</f>
        <v>0</v>
      </c>
      <c r="E540" s="655"/>
      <c r="F540" s="1931"/>
      <c r="G540" s="1932"/>
      <c r="H540" s="1933"/>
      <c r="I540" s="524"/>
      <c r="J540" s="470"/>
      <c r="K540" s="470"/>
      <c r="L540" s="470"/>
      <c r="M540" s="470"/>
      <c r="N540" s="470"/>
      <c r="O540" s="468"/>
      <c r="P540" s="468"/>
      <c r="Q540" s="468"/>
      <c r="R540" s="468"/>
      <c r="S540" s="468"/>
      <c r="T540" s="468"/>
      <c r="U540" s="468"/>
      <c r="V540" s="468"/>
      <c r="W540" s="468"/>
      <c r="X540" s="468"/>
      <c r="Y540" s="468"/>
      <c r="Z540" s="468"/>
      <c r="AA540" s="468"/>
      <c r="AB540" s="468"/>
      <c r="AC540" s="468"/>
      <c r="AD540" s="468"/>
    </row>
    <row r="541" spans="1:30" ht="15.75" thickBot="1">
      <c r="A541" s="1294" t="s">
        <v>324</v>
      </c>
      <c r="B541" s="1295"/>
      <c r="C541" s="1296">
        <f>SUM(C527:C540)</f>
        <v>228663591</v>
      </c>
      <c r="D541" s="1394">
        <f>SUM(D527:D540)</f>
        <v>3390272.34</v>
      </c>
      <c r="E541" s="655"/>
      <c r="F541" s="468"/>
      <c r="G541" s="507"/>
      <c r="H541" s="524"/>
      <c r="I541" s="524"/>
      <c r="J541" s="470"/>
      <c r="K541" s="470"/>
      <c r="L541" s="470"/>
      <c r="M541" s="470"/>
      <c r="N541" s="470"/>
      <c r="O541" s="468"/>
      <c r="P541" s="468"/>
      <c r="Q541" s="468"/>
      <c r="R541" s="468"/>
      <c r="S541" s="468"/>
      <c r="T541" s="468"/>
      <c r="U541" s="468"/>
      <c r="V541" s="468"/>
      <c r="W541" s="468"/>
      <c r="X541" s="468"/>
      <c r="Y541" s="468"/>
      <c r="Z541" s="468"/>
      <c r="AA541" s="468"/>
      <c r="AB541" s="468"/>
      <c r="AC541" s="468"/>
      <c r="AD541" s="468"/>
    </row>
    <row r="542" spans="1:30" ht="28.5" customHeight="1" thickBot="1">
      <c r="A542" s="632" t="s">
        <v>436</v>
      </c>
      <c r="B542" s="633"/>
      <c r="C542" s="1297"/>
      <c r="D542" s="1395">
        <f>C541-D541</f>
        <v>225273318.66</v>
      </c>
      <c r="E542" s="1924" t="s">
        <v>437</v>
      </c>
      <c r="F542" s="634"/>
      <c r="G542" s="634"/>
      <c r="H542" s="635"/>
      <c r="I542" s="635"/>
      <c r="J542" s="475"/>
      <c r="K542" s="475"/>
      <c r="L542" s="475"/>
      <c r="M542" s="476"/>
      <c r="N542" s="476"/>
      <c r="O542" s="476"/>
      <c r="P542" s="468"/>
      <c r="Q542" s="468"/>
      <c r="R542" s="468"/>
      <c r="S542" s="468"/>
      <c r="T542" s="468"/>
      <c r="U542" s="468"/>
      <c r="V542" s="468"/>
      <c r="W542" s="468"/>
      <c r="X542" s="468"/>
      <c r="Y542" s="468"/>
      <c r="Z542" s="468"/>
      <c r="AA542" s="468"/>
      <c r="AB542" s="468"/>
      <c r="AC542" s="468"/>
      <c r="AD542" s="468"/>
    </row>
    <row r="543" spans="1:30" ht="15.75" thickBot="1">
      <c r="A543" t="s">
        <v>438</v>
      </c>
      <c r="C543" s="504"/>
      <c r="D543" s="1950">
        <v>0</v>
      </c>
      <c r="E543" s="655"/>
      <c r="F543" s="468"/>
      <c r="G543" s="468"/>
      <c r="H543" s="470"/>
      <c r="I543" s="470"/>
      <c r="J543" s="470"/>
      <c r="K543" s="470"/>
      <c r="L543" s="470"/>
      <c r="M543" s="470"/>
      <c r="N543" s="470"/>
      <c r="O543" s="468"/>
      <c r="P543" s="468"/>
      <c r="Q543" s="468"/>
      <c r="R543" s="468"/>
      <c r="S543" s="468"/>
      <c r="T543" s="468"/>
      <c r="U543" s="468"/>
      <c r="V543" s="468"/>
      <c r="W543" s="468"/>
      <c r="X543" s="468"/>
      <c r="Y543" s="468"/>
      <c r="Z543" s="468"/>
      <c r="AA543" s="468"/>
      <c r="AB543" s="468"/>
      <c r="AC543" s="468"/>
      <c r="AD543" s="468"/>
    </row>
    <row r="544" spans="1:30" ht="15.75" thickBot="1">
      <c r="A544" t="s">
        <v>439</v>
      </c>
      <c r="C544" s="504"/>
      <c r="D544" s="1396">
        <f>D543-D542</f>
        <v>-225273318.66</v>
      </c>
      <c r="E544" s="1412" t="s">
        <v>440</v>
      </c>
      <c r="F544" s="468"/>
      <c r="G544" s="468"/>
      <c r="H544" s="470"/>
      <c r="I544" s="470"/>
      <c r="J544" s="470"/>
      <c r="K544" s="470"/>
      <c r="L544" s="470"/>
      <c r="M544" s="470"/>
      <c r="N544" s="470"/>
      <c r="O544" s="468"/>
      <c r="P544" s="468"/>
      <c r="Q544" s="468"/>
      <c r="R544" s="468"/>
      <c r="S544" s="468"/>
      <c r="T544" s="468"/>
      <c r="U544" s="468"/>
      <c r="V544" s="468"/>
      <c r="W544" s="468"/>
      <c r="X544" s="468"/>
      <c r="Y544" s="468"/>
      <c r="Z544" s="468"/>
      <c r="AA544" s="468"/>
      <c r="AB544" s="468"/>
      <c r="AC544" s="468"/>
      <c r="AD544" s="468"/>
    </row>
    <row r="545" spans="1:30">
      <c r="A545" s="468"/>
      <c r="B545" s="468"/>
      <c r="C545" s="468"/>
      <c r="D545" s="655"/>
      <c r="E545" s="655"/>
      <c r="F545" s="468"/>
      <c r="G545" s="468"/>
      <c r="H545" s="470"/>
      <c r="I545" s="470"/>
      <c r="J545" s="470"/>
      <c r="K545" s="470"/>
      <c r="L545" s="470"/>
      <c r="M545" s="470"/>
      <c r="N545" s="470"/>
      <c r="O545" s="468"/>
      <c r="P545" s="468"/>
      <c r="Q545" s="468"/>
      <c r="R545" s="468"/>
      <c r="S545" s="468"/>
      <c r="T545" s="468"/>
      <c r="U545" s="468"/>
      <c r="V545" s="468"/>
      <c r="W545" s="468"/>
      <c r="X545" s="468"/>
      <c r="Y545" s="468"/>
      <c r="Z545" s="468"/>
      <c r="AA545" s="468"/>
      <c r="AB545" s="468"/>
      <c r="AC545" s="468"/>
      <c r="AD545" s="468"/>
    </row>
    <row r="546" spans="1:30" ht="18.75">
      <c r="A546" s="1154" t="s">
        <v>441</v>
      </c>
      <c r="B546" s="1153"/>
      <c r="C546" s="1153"/>
      <c r="D546" s="1360"/>
      <c r="E546" s="1360"/>
      <c r="F546" s="1153"/>
      <c r="G546" s="1153"/>
      <c r="H546" s="1195"/>
      <c r="I546" s="1195"/>
      <c r="J546" s="1195"/>
      <c r="K546" s="1195"/>
      <c r="L546" s="1195"/>
      <c r="M546" s="1195"/>
      <c r="N546" s="1195"/>
      <c r="O546" s="468"/>
      <c r="P546" s="468"/>
      <c r="Q546" s="468"/>
      <c r="R546" s="468"/>
      <c r="S546" s="468"/>
      <c r="T546" s="468"/>
      <c r="U546" s="468"/>
      <c r="V546" s="468"/>
      <c r="W546" s="468"/>
      <c r="X546" s="468"/>
      <c r="Y546" s="468"/>
      <c r="Z546" s="468"/>
      <c r="AA546" s="468"/>
      <c r="AB546" s="468"/>
      <c r="AC546" s="468"/>
      <c r="AD546" s="468"/>
    </row>
    <row r="547" spans="1:30" ht="14.85" customHeight="1">
      <c r="A547" s="2541" t="s">
        <v>442</v>
      </c>
      <c r="B547" s="2542"/>
      <c r="C547" s="2542"/>
      <c r="D547" s="2542"/>
      <c r="E547" s="2542"/>
      <c r="F547" s="2542"/>
      <c r="G547" s="2542"/>
      <c r="H547" s="2542"/>
      <c r="I547" s="2542"/>
      <c r="J547" s="2542"/>
      <c r="K547" s="2543"/>
      <c r="L547" s="101"/>
      <c r="M547" s="470"/>
      <c r="N547" s="470"/>
      <c r="O547" s="468"/>
      <c r="P547" s="468"/>
      <c r="Q547" s="468"/>
      <c r="R547" s="468"/>
      <c r="S547" s="468"/>
      <c r="T547" s="468"/>
      <c r="U547" s="468"/>
      <c r="V547" s="468"/>
      <c r="W547" s="468"/>
      <c r="X547" s="468"/>
      <c r="Y547" s="468"/>
      <c r="Z547" s="468"/>
      <c r="AA547" s="468"/>
      <c r="AB547" s="468"/>
      <c r="AC547" s="468"/>
      <c r="AD547" s="468"/>
    </row>
    <row r="548" spans="1:30">
      <c r="A548" s="2544"/>
      <c r="B548" s="2521"/>
      <c r="C548" s="2521"/>
      <c r="D548" s="2521"/>
      <c r="E548" s="2521"/>
      <c r="F548" s="2521"/>
      <c r="G548" s="2521"/>
      <c r="H548" s="2521"/>
      <c r="I548" s="2521"/>
      <c r="J548" s="2521"/>
      <c r="K548" s="2545"/>
      <c r="L548" s="101"/>
      <c r="M548" s="470"/>
      <c r="N548" s="470"/>
      <c r="O548" s="468"/>
      <c r="P548" s="468"/>
      <c r="Q548" s="1255" t="s">
        <v>443</v>
      </c>
      <c r="R548" s="1256"/>
      <c r="S548" s="1256"/>
      <c r="T548" s="1257"/>
      <c r="U548" s="20"/>
      <c r="V548" s="20"/>
      <c r="W548" s="20"/>
      <c r="X548" s="20"/>
      <c r="Y548" s="20"/>
      <c r="Z548" s="20"/>
      <c r="AA548" s="20"/>
      <c r="AB548" s="468"/>
      <c r="AC548" s="468"/>
      <c r="AD548" s="468"/>
    </row>
    <row r="549" spans="1:30">
      <c r="A549" s="2544"/>
      <c r="B549" s="2521"/>
      <c r="C549" s="2521"/>
      <c r="D549" s="2521"/>
      <c r="E549" s="2521"/>
      <c r="F549" s="2521"/>
      <c r="G549" s="2521"/>
      <c r="H549" s="2521"/>
      <c r="I549" s="2521"/>
      <c r="J549" s="2521"/>
      <c r="K549" s="2545"/>
      <c r="L549" s="101"/>
      <c r="M549" s="470"/>
      <c r="N549" s="470"/>
      <c r="O549" s="468"/>
      <c r="P549" s="468"/>
      <c r="Q549" s="20"/>
      <c r="R549" s="20"/>
      <c r="S549" s="20"/>
      <c r="T549" s="20"/>
      <c r="U549" s="20"/>
      <c r="V549" s="20"/>
      <c r="W549" s="20"/>
      <c r="X549" s="20"/>
      <c r="Y549" s="20"/>
      <c r="Z549" s="20"/>
      <c r="AA549" s="20"/>
      <c r="AB549" s="468"/>
      <c r="AC549" s="468"/>
      <c r="AD549" s="468"/>
    </row>
    <row r="550" spans="1:30" ht="15.75" thickBot="1">
      <c r="A550" s="2546"/>
      <c r="B550" s="2547"/>
      <c r="C550" s="2547"/>
      <c r="D550" s="2547"/>
      <c r="E550" s="2547"/>
      <c r="F550" s="2547"/>
      <c r="G550" s="2547"/>
      <c r="H550" s="2547"/>
      <c r="I550" s="2547"/>
      <c r="J550" s="2547"/>
      <c r="K550" s="2548"/>
      <c r="L550" s="101"/>
      <c r="M550" s="470"/>
      <c r="N550" s="470"/>
      <c r="O550" s="468"/>
      <c r="P550" s="468"/>
      <c r="Q550" s="91" t="s">
        <v>444</v>
      </c>
      <c r="R550" s="91"/>
      <c r="S550" s="91"/>
      <c r="T550" s="91"/>
      <c r="U550" s="91"/>
      <c r="V550" s="91"/>
      <c r="W550" s="91"/>
      <c r="X550" s="91"/>
      <c r="Y550" s="91"/>
      <c r="Z550" s="91"/>
      <c r="AA550" s="91"/>
      <c r="AB550" s="477"/>
      <c r="AC550" s="477"/>
      <c r="AD550" s="468"/>
    </row>
    <row r="551" spans="1:30" ht="15.75" thickBot="1">
      <c r="A551" s="636"/>
      <c r="B551" s="636"/>
      <c r="C551" s="636"/>
      <c r="D551" s="1397"/>
      <c r="E551" s="1398"/>
      <c r="F551" s="637"/>
      <c r="G551" s="349" t="s">
        <v>445</v>
      </c>
      <c r="H551" s="637"/>
      <c r="I551" s="637"/>
      <c r="J551" s="101"/>
      <c r="K551" s="101"/>
      <c r="L551" s="101"/>
      <c r="M551" s="470"/>
      <c r="N551" s="470"/>
      <c r="O551" s="468"/>
      <c r="P551" s="468"/>
      <c r="Q551" s="1653"/>
      <c r="R551" s="1654"/>
      <c r="S551" s="1654"/>
      <c r="T551" s="1655"/>
      <c r="U551" s="468"/>
      <c r="V551" s="468"/>
      <c r="W551" s="468"/>
      <c r="X551" s="468"/>
      <c r="Y551" s="468"/>
      <c r="Z551" s="468"/>
      <c r="AA551" s="468"/>
      <c r="AB551" s="468"/>
      <c r="AC551" s="468"/>
      <c r="AD551" s="468"/>
    </row>
    <row r="552" spans="1:30" ht="42.75" customHeight="1">
      <c r="A552" s="638" t="s">
        <v>446</v>
      </c>
      <c r="B552" s="659" t="s">
        <v>447</v>
      </c>
      <c r="C552" s="639"/>
      <c r="D552" s="640" t="s">
        <v>448</v>
      </c>
      <c r="E552" s="641" t="s">
        <v>449</v>
      </c>
      <c r="F552" s="641" t="s">
        <v>450</v>
      </c>
      <c r="G552" s="641" t="s">
        <v>451</v>
      </c>
      <c r="H552" s="641" t="s">
        <v>452</v>
      </c>
      <c r="I552" s="641" t="s">
        <v>453</v>
      </c>
      <c r="J552" s="642" t="s">
        <v>454</v>
      </c>
      <c r="K552" s="642" t="s">
        <v>455</v>
      </c>
      <c r="L552" s="641" t="s">
        <v>456</v>
      </c>
      <c r="M552" s="641" t="s">
        <v>457</v>
      </c>
      <c r="N552" s="641" t="s">
        <v>458</v>
      </c>
      <c r="O552" s="641" t="s">
        <v>459</v>
      </c>
      <c r="P552" s="468"/>
      <c r="Q552" s="1656" t="s">
        <v>460</v>
      </c>
      <c r="R552" s="1657" t="s">
        <v>461</v>
      </c>
      <c r="S552" s="1657" t="s">
        <v>22</v>
      </c>
      <c r="T552" s="1658"/>
      <c r="U552" s="468"/>
      <c r="V552" s="468"/>
      <c r="W552" s="468"/>
      <c r="X552" s="468"/>
      <c r="Y552" s="468"/>
      <c r="Z552" s="468"/>
      <c r="AA552" s="468"/>
      <c r="AB552" s="468"/>
      <c r="AC552" s="468"/>
      <c r="AD552" s="468"/>
    </row>
    <row r="553" spans="1:30" ht="39.75" customHeight="1">
      <c r="A553" s="643" t="s">
        <v>462</v>
      </c>
      <c r="B553" s="1945" t="str">
        <f>IF(B2="","",B2)</f>
        <v>Berkadia Commercial Mortgage</v>
      </c>
      <c r="C553" s="1480"/>
      <c r="D553" s="2131" t="s">
        <v>463</v>
      </c>
      <c r="E553" s="1940" t="str">
        <f>IF(B553="","",VLOOKUP(B553,A599:B600,2,FALSE))</f>
        <v>TD Bank NA</v>
      </c>
      <c r="F553" s="1940" t="str">
        <f>IF(B553="","",VLOOKUP(B553,A599:C600,3,FALSE))</f>
        <v>929 Horsham Road, Horsham, PA 19044</v>
      </c>
      <c r="G553" s="1940" t="str">
        <f>IF(B553="","",VLOOKUP(B553,A599:D600,4,FALSE))</f>
        <v>036001808</v>
      </c>
      <c r="H553" s="1940" t="str">
        <f>IF(B553="","",VLOOKUP(B553,A599:E600,5,FALSE))</f>
        <v>Berkadia Commercial Mortgage LLC</v>
      </c>
      <c r="I553" s="2132">
        <f>IF(B553="","",VLOOKUP(B553,A599:F600,6,FALSE))</f>
        <v>4398198460</v>
      </c>
      <c r="J553" s="1946" t="s">
        <v>464</v>
      </c>
      <c r="K553" s="1946" t="s">
        <v>464</v>
      </c>
      <c r="L553" s="1940" t="str">
        <f>IF(B553="","",VLOOKUP(B553,A599:G600,7,FALSE))</f>
        <v>William Gou</v>
      </c>
      <c r="M553" s="1940" t="str">
        <f>IF(B553="","",VLOOKUP(B553,A599:H600,8,FALSE))</f>
        <v>(215) 328-1457</v>
      </c>
      <c r="N553" s="1940" t="str">
        <f>"ACORE- "&amp;$E$16</f>
        <v>ACORE- LSS Test 1</v>
      </c>
      <c r="O553" s="1941"/>
      <c r="P553" s="468"/>
      <c r="Q553" s="1659"/>
      <c r="R553" s="1595"/>
      <c r="S553" s="1660"/>
      <c r="T553" s="1658"/>
      <c r="U553" s="468"/>
      <c r="V553" s="468"/>
      <c r="W553" s="468"/>
      <c r="X553" s="468"/>
      <c r="Y553" s="468"/>
      <c r="Z553" s="468"/>
      <c r="AA553" s="468"/>
      <c r="AB553" s="468"/>
      <c r="AC553" s="468"/>
      <c r="AD553" s="468"/>
    </row>
    <row r="554" spans="1:30" ht="39.75" customHeight="1">
      <c r="A554" s="643" t="s">
        <v>465</v>
      </c>
      <c r="B554" s="1942"/>
      <c r="C554" s="1939"/>
      <c r="D554" s="1940"/>
      <c r="E554" s="1940"/>
      <c r="F554" s="1940"/>
      <c r="G554" s="1943"/>
      <c r="H554" s="1940"/>
      <c r="I554" s="2133"/>
      <c r="J554" s="1947"/>
      <c r="K554" s="1947"/>
      <c r="L554" s="1944"/>
      <c r="M554" s="1944"/>
      <c r="N554" s="1944"/>
      <c r="O554" s="1941"/>
      <c r="P554" s="468"/>
      <c r="Q554" s="1659"/>
      <c r="R554" s="1595"/>
      <c r="S554" s="1660"/>
      <c r="T554" s="1658"/>
      <c r="U554" s="468"/>
      <c r="V554" s="468"/>
      <c r="W554" s="468"/>
      <c r="X554" s="468"/>
      <c r="Y554" s="468"/>
      <c r="Z554" s="468"/>
      <c r="AA554" s="468"/>
      <c r="AB554" s="468"/>
      <c r="AC554" s="468"/>
      <c r="AD554" s="468"/>
    </row>
    <row r="555" spans="1:30">
      <c r="A555" s="643" t="s">
        <v>466</v>
      </c>
      <c r="B555" s="1942" t="s">
        <v>467</v>
      </c>
      <c r="C555" s="1939"/>
      <c r="D555" s="1940"/>
      <c r="E555" s="1941" t="str">
        <f>IFERROR(VLOOKUP(B555,$B$574:$J$595,4,FALSE),"")</f>
        <v>Bank of America</v>
      </c>
      <c r="F555" s="1941" t="str">
        <f t="shared" ref="F555:F569" si="46">IFERROR(VLOOKUP(B555,$B$574:$J$595,5,FALSE),"")</f>
        <v>New York, NY</v>
      </c>
      <c r="G555" s="1941" t="str">
        <f>IFERROR(VLOOKUP(B555,$B$574:$J$595,6,FALSE),"")</f>
        <v>026009593</v>
      </c>
      <c r="H555" s="1941" t="str">
        <f>IFERROR(VLOOKUP(B555,$B$574:$J$595,7,FALSE),"")</f>
        <v>AC IV CA Mortgage LLC</v>
      </c>
      <c r="I555" s="1941" t="str">
        <f>IFERROR(VLOOKUP(B555,$B$574:$J$595,8,FALSE),"")</f>
        <v>1416212643</v>
      </c>
      <c r="J555" s="1948" t="str">
        <f t="shared" ref="J555:J569" si="47">IFERROR(IF(VLOOKUP(B555,$B$574:$K$595,9,FALSE)="","",VLOOKUP(B555,$B$574:$K$595,9,FALSE)),"")</f>
        <v>--</v>
      </c>
      <c r="K555" s="1948" t="str">
        <f t="shared" ref="K555:K569" si="48">IFERROR(IF(VLOOKUP(B555,$B$574:$K$595,10,FALSE)="","",VLOOKUP(B555,$B$574:$K$595,10,FALSE)),"")</f>
        <v>--</v>
      </c>
      <c r="L555" s="1944" t="s">
        <v>468</v>
      </c>
      <c r="M555" s="1944" t="s">
        <v>469</v>
      </c>
      <c r="N555" s="1944" t="str">
        <f t="shared" ref="N555:N569" si="49">"ACORE- "&amp;$E$16</f>
        <v>ACORE- LSS Test 1</v>
      </c>
      <c r="O555" s="1941"/>
      <c r="P555" s="468"/>
      <c r="Q555" s="1659">
        <f t="shared" ref="Q555:Q560" si="50">IFERROR(SUMIFS($Q$186:$Q$215,$A$186:$A$215,B555,$R$186:$R$215,"No"),0)</f>
        <v>0</v>
      </c>
      <c r="R555" s="1595">
        <f t="shared" ref="R555:R560" si="51">IFERROR(SUMIFS($U$186:$U$215,$A$186:$A$215,B555,$W$186:$W$215,"No"),0)</f>
        <v>0</v>
      </c>
      <c r="S555" s="1595">
        <f t="shared" ref="S555:S560" si="52">Q555+R555</f>
        <v>0</v>
      </c>
      <c r="T555" s="1658"/>
      <c r="U555" s="468"/>
      <c r="V555" s="468"/>
      <c r="W555" s="468"/>
      <c r="X555" s="468"/>
      <c r="Y555" s="468"/>
      <c r="Z555" s="468"/>
      <c r="AA555" s="468"/>
      <c r="AB555" s="468"/>
      <c r="AC555" s="468"/>
      <c r="AD555" s="468"/>
    </row>
    <row r="556" spans="1:30">
      <c r="A556" s="643" t="s">
        <v>470</v>
      </c>
      <c r="B556" s="1942" t="s">
        <v>471</v>
      </c>
      <c r="C556" s="1939"/>
      <c r="D556" s="1940"/>
      <c r="E556" s="1941" t="str">
        <f t="shared" ref="E556:E568" si="53">IFERROR(VLOOKUP(B556,$B$574:$J$595,4,FALSE),"")</f>
        <v>Bank of America</v>
      </c>
      <c r="F556" s="1941" t="str">
        <f t="shared" si="46"/>
        <v>New York, NY</v>
      </c>
      <c r="G556" s="1941" t="str">
        <f t="shared" ref="G556:G568" si="54">IFERROR(VLOOKUP(B556,$B$574:$J$595,6,FALSE),"")</f>
        <v>026009593</v>
      </c>
      <c r="H556" s="1941" t="str">
        <f t="shared" ref="H556:H568" si="55">IFERROR(VLOOKUP(B556,$B$574:$J$595,7,FALSE),"")</f>
        <v> ACORE Credit IV REIT Inc</v>
      </c>
      <c r="I556" s="1941" t="str">
        <f t="shared" ref="I556:I568" si="56">IFERROR(VLOOKUP(B556,$B$574:$J$595,8,FALSE),"")</f>
        <v>1416013313</v>
      </c>
      <c r="J556" s="1948" t="str">
        <f t="shared" si="47"/>
        <v/>
      </c>
      <c r="K556" s="1948" t="str">
        <f t="shared" si="48"/>
        <v/>
      </c>
      <c r="L556" s="1944" t="s">
        <v>468</v>
      </c>
      <c r="M556" s="1944" t="s">
        <v>469</v>
      </c>
      <c r="N556" s="1944" t="str">
        <f t="shared" si="49"/>
        <v>ACORE- LSS Test 1</v>
      </c>
      <c r="O556" s="1941"/>
      <c r="P556" s="468"/>
      <c r="Q556" s="1659">
        <f t="shared" si="50"/>
        <v>0</v>
      </c>
      <c r="R556" s="1595">
        <f t="shared" si="51"/>
        <v>0</v>
      </c>
      <c r="S556" s="1595">
        <f t="shared" si="52"/>
        <v>0</v>
      </c>
      <c r="T556" s="1658"/>
      <c r="U556" s="468"/>
      <c r="V556" s="468"/>
      <c r="W556" s="468"/>
      <c r="X556" s="468"/>
      <c r="Y556" s="468"/>
      <c r="Z556" s="468"/>
      <c r="AA556" s="468"/>
      <c r="AB556" s="468"/>
      <c r="AC556" s="468"/>
      <c r="AD556" s="468"/>
    </row>
    <row r="557" spans="1:30">
      <c r="A557" s="643" t="s">
        <v>472</v>
      </c>
      <c r="B557" s="1942" t="s">
        <v>473</v>
      </c>
      <c r="C557" s="1939"/>
      <c r="D557" s="1940"/>
      <c r="E557" s="1941" t="str">
        <f t="shared" si="53"/>
        <v>Bank of America</v>
      </c>
      <c r="F557" s="1941" t="str">
        <f t="shared" si="46"/>
        <v>New York, NY</v>
      </c>
      <c r="G557" s="1941" t="str">
        <f t="shared" si="54"/>
        <v>026009593</v>
      </c>
      <c r="H557" s="1941" t="str">
        <f t="shared" si="55"/>
        <v>ACORE Credit IV REIT Inc</v>
      </c>
      <c r="I557" s="1941">
        <f t="shared" si="56"/>
        <v>1416013313</v>
      </c>
      <c r="J557" s="1948" t="str">
        <f t="shared" si="47"/>
        <v>--</v>
      </c>
      <c r="K557" s="1948" t="str">
        <f t="shared" si="48"/>
        <v>--</v>
      </c>
      <c r="L557" s="1944" t="s">
        <v>468</v>
      </c>
      <c r="M557" s="1944" t="s">
        <v>469</v>
      </c>
      <c r="N557" s="1944" t="str">
        <f t="shared" si="49"/>
        <v>ACORE- LSS Test 1</v>
      </c>
      <c r="O557" s="1941"/>
      <c r="P557" s="468"/>
      <c r="Q557" s="1659">
        <f t="shared" si="50"/>
        <v>0</v>
      </c>
      <c r="R557" s="1595">
        <f t="shared" si="51"/>
        <v>0</v>
      </c>
      <c r="S557" s="1595">
        <f t="shared" si="52"/>
        <v>0</v>
      </c>
      <c r="T557" s="1658"/>
      <c r="U557" s="468"/>
      <c r="V557" s="468"/>
      <c r="W557" s="468"/>
      <c r="X557" s="468"/>
      <c r="Y557" s="468"/>
      <c r="Z557" s="468"/>
      <c r="AA557" s="468"/>
      <c r="AB557" s="468"/>
      <c r="AC557" s="468"/>
      <c r="AD557" s="468"/>
    </row>
    <row r="558" spans="1:30" ht="32.450000000000003" customHeight="1" thickBot="1">
      <c r="A558" s="644" t="s">
        <v>474</v>
      </c>
      <c r="B558" s="1942" t="s">
        <v>475</v>
      </c>
      <c r="C558" s="1939"/>
      <c r="D558" s="1940"/>
      <c r="E558" s="1941" t="str">
        <f t="shared" si="53"/>
        <v>Bank of America</v>
      </c>
      <c r="F558" s="1941" t="str">
        <f t="shared" si="46"/>
        <v>New York, NY</v>
      </c>
      <c r="G558" s="1941" t="str">
        <f t="shared" si="54"/>
        <v>026009593</v>
      </c>
      <c r="H558" s="1941" t="str">
        <f t="shared" si="55"/>
        <v>ACORE Credit IV Reit II SPV LLC</v>
      </c>
      <c r="I558" s="1941" t="str">
        <f t="shared" si="56"/>
        <v>1416114237</v>
      </c>
      <c r="J558" s="1948" t="str">
        <f t="shared" si="47"/>
        <v>--</v>
      </c>
      <c r="K558" s="1948" t="str">
        <f t="shared" si="48"/>
        <v>--</v>
      </c>
      <c r="L558" s="1944" t="s">
        <v>468</v>
      </c>
      <c r="M558" s="1944" t="s">
        <v>469</v>
      </c>
      <c r="N558" s="1944" t="str">
        <f t="shared" si="49"/>
        <v>ACORE- LSS Test 1</v>
      </c>
      <c r="O558" s="1941"/>
      <c r="P558" s="468"/>
      <c r="Q558" s="1659">
        <f t="shared" si="50"/>
        <v>0</v>
      </c>
      <c r="R558" s="1595">
        <f t="shared" si="51"/>
        <v>0</v>
      </c>
      <c r="S558" s="1595">
        <f t="shared" si="52"/>
        <v>0</v>
      </c>
      <c r="T558" s="1658"/>
      <c r="U558" s="468"/>
      <c r="V558" s="468"/>
      <c r="W558" s="468"/>
      <c r="X558" s="468"/>
      <c r="Y558" s="468"/>
      <c r="Z558" s="468"/>
      <c r="AA558" s="468"/>
      <c r="AB558" s="468"/>
      <c r="AC558" s="468"/>
      <c r="AD558" s="468"/>
    </row>
    <row r="559" spans="1:30" ht="30" customHeight="1" thickBot="1">
      <c r="A559" s="644" t="s">
        <v>476</v>
      </c>
      <c r="B559" s="1942" t="s">
        <v>477</v>
      </c>
      <c r="C559" s="1939"/>
      <c r="D559" s="1940"/>
      <c r="E559" s="1941" t="str">
        <f t="shared" si="53"/>
        <v>Bank of America</v>
      </c>
      <c r="F559" s="1941" t="str">
        <f t="shared" si="46"/>
        <v>New York, NY</v>
      </c>
      <c r="G559" s="1941" t="str">
        <f t="shared" si="54"/>
        <v>026009593</v>
      </c>
      <c r="H559" s="1941" t="str">
        <f t="shared" si="55"/>
        <v>ACORE Credit IV TRS LLC</v>
      </c>
      <c r="I559" s="1941">
        <f t="shared" si="56"/>
        <v>1416313388</v>
      </c>
      <c r="J559" s="1948" t="str">
        <f t="shared" si="47"/>
        <v/>
      </c>
      <c r="K559" s="1948" t="str">
        <f t="shared" si="48"/>
        <v/>
      </c>
      <c r="L559" s="1944" t="s">
        <v>468</v>
      </c>
      <c r="M559" s="1944" t="s">
        <v>469</v>
      </c>
      <c r="N559" s="1944" t="str">
        <f t="shared" si="49"/>
        <v>ACORE- LSS Test 1</v>
      </c>
      <c r="O559" s="1941"/>
      <c r="P559" s="468"/>
      <c r="Q559" s="1659">
        <f t="shared" si="50"/>
        <v>0</v>
      </c>
      <c r="R559" s="1595">
        <f t="shared" si="51"/>
        <v>0</v>
      </c>
      <c r="S559" s="1595">
        <f t="shared" si="52"/>
        <v>0</v>
      </c>
      <c r="T559" s="1658"/>
      <c r="U559" s="468"/>
      <c r="V559" s="468"/>
      <c r="W559" s="468"/>
      <c r="X559" s="468"/>
      <c r="Y559" s="468"/>
      <c r="Z559" s="468"/>
      <c r="AA559" s="468"/>
      <c r="AB559" s="468"/>
      <c r="AC559" s="468"/>
      <c r="AD559" s="468"/>
    </row>
    <row r="560" spans="1:30" ht="30" customHeight="1" thickBot="1">
      <c r="A560" s="644" t="s">
        <v>478</v>
      </c>
      <c r="B560" s="1942" t="s">
        <v>24</v>
      </c>
      <c r="C560" s="1939"/>
      <c r="D560" s="1940"/>
      <c r="E560" s="1941" t="str">
        <f t="shared" si="53"/>
        <v xml:space="preserve">Bank of America </v>
      </c>
      <c r="F560" s="1941" t="str">
        <f t="shared" si="46"/>
        <v>New York, NY</v>
      </c>
      <c r="G560" s="1941" t="str">
        <f t="shared" si="54"/>
        <v xml:space="preserve">026009593 </v>
      </c>
      <c r="H560" s="1941" t="str">
        <f t="shared" si="55"/>
        <v>ACORE Credit Partners II CA TRS LLC</v>
      </c>
      <c r="I560" s="1941" t="str">
        <f t="shared" si="56"/>
        <v>1416417531</v>
      </c>
      <c r="J560" s="1948" t="str">
        <f t="shared" si="47"/>
        <v/>
      </c>
      <c r="K560" s="1948" t="str">
        <f t="shared" si="48"/>
        <v/>
      </c>
      <c r="L560" s="1944" t="s">
        <v>468</v>
      </c>
      <c r="M560" s="1944" t="s">
        <v>469</v>
      </c>
      <c r="N560" s="1944" t="str">
        <f t="shared" si="49"/>
        <v>ACORE- LSS Test 1</v>
      </c>
      <c r="O560" s="1941"/>
      <c r="P560" s="468"/>
      <c r="Q560" s="1595">
        <f t="shared" si="50"/>
        <v>0</v>
      </c>
      <c r="R560" s="1595">
        <f t="shared" si="51"/>
        <v>0</v>
      </c>
      <c r="S560" s="1595">
        <f t="shared" si="52"/>
        <v>0</v>
      </c>
      <c r="T560" s="1660"/>
      <c r="U560" s="468"/>
      <c r="V560" s="468"/>
      <c r="W560" s="468"/>
      <c r="X560" s="468"/>
      <c r="Y560" s="468"/>
      <c r="Z560" s="468"/>
      <c r="AA560" s="468"/>
      <c r="AB560" s="468"/>
      <c r="AC560" s="468"/>
      <c r="AD560" s="468"/>
    </row>
    <row r="561" spans="1:59" ht="30" customHeight="1" thickBot="1">
      <c r="A561" s="644" t="s">
        <v>479</v>
      </c>
      <c r="B561" s="1942" t="s">
        <v>18</v>
      </c>
      <c r="C561" s="1939"/>
      <c r="D561" s="1940"/>
      <c r="E561" s="1941" t="str">
        <f t="shared" si="53"/>
        <v xml:space="preserve">Bank of America </v>
      </c>
      <c r="F561" s="1941" t="str">
        <f t="shared" si="46"/>
        <v>New York, NY</v>
      </c>
      <c r="G561" s="1941" t="str">
        <f t="shared" si="54"/>
        <v xml:space="preserve">026009593 </v>
      </c>
      <c r="H561" s="1941" t="str">
        <f t="shared" si="55"/>
        <v>ACORE Credit Partners II Mortgage, LLC</v>
      </c>
      <c r="I561" s="1941" t="str">
        <f t="shared" si="56"/>
        <v>1499787663</v>
      </c>
      <c r="J561" s="1948" t="str">
        <f t="shared" si="47"/>
        <v/>
      </c>
      <c r="K561" s="1948" t="str">
        <f t="shared" si="48"/>
        <v/>
      </c>
      <c r="L561" s="1944" t="s">
        <v>468</v>
      </c>
      <c r="M561" s="1944" t="s">
        <v>469</v>
      </c>
      <c r="N561" s="1944" t="str">
        <f t="shared" si="49"/>
        <v>ACORE- LSS Test 1</v>
      </c>
      <c r="O561" s="1941"/>
      <c r="P561" s="468"/>
      <c r="Q561" s="1595"/>
      <c r="R561" s="1595"/>
      <c r="S561" s="1595"/>
      <c r="T561" s="1660"/>
      <c r="U561" s="468"/>
      <c r="V561" s="468"/>
      <c r="W561" s="468"/>
      <c r="X561" s="468"/>
      <c r="Y561" s="468"/>
      <c r="Z561" s="468"/>
      <c r="AA561" s="468"/>
      <c r="AB561" s="468"/>
      <c r="AC561" s="468"/>
      <c r="AD561" s="468"/>
    </row>
    <row r="562" spans="1:59" ht="30" customHeight="1" thickBot="1">
      <c r="A562" s="644" t="s">
        <v>480</v>
      </c>
      <c r="B562" s="1942" t="s">
        <v>23</v>
      </c>
      <c r="C562" s="1939"/>
      <c r="D562" s="1940"/>
      <c r="E562" s="1941" t="str">
        <f t="shared" si="53"/>
        <v xml:space="preserve">Bank of America </v>
      </c>
      <c r="F562" s="1941" t="str">
        <f t="shared" si="46"/>
        <v>New York, NY</v>
      </c>
      <c r="G562" s="1941" t="str">
        <f t="shared" si="54"/>
        <v xml:space="preserve">026009593 </v>
      </c>
      <c r="H562" s="1941" t="str">
        <f t="shared" si="55"/>
        <v>ACORE Credit Partners II TRS, LLC</v>
      </c>
      <c r="I562" s="1941" t="str">
        <f t="shared" si="56"/>
        <v>1416417111</v>
      </c>
      <c r="J562" s="1948" t="str">
        <f t="shared" si="47"/>
        <v/>
      </c>
      <c r="K562" s="1948" t="str">
        <f t="shared" si="48"/>
        <v/>
      </c>
      <c r="L562" s="1944" t="s">
        <v>468</v>
      </c>
      <c r="M562" s="1944" t="s">
        <v>469</v>
      </c>
      <c r="N562" s="1944" t="str">
        <f t="shared" si="49"/>
        <v>ACORE- LSS Test 1</v>
      </c>
      <c r="O562" s="1941"/>
      <c r="P562" s="468"/>
      <c r="Q562" s="1595"/>
      <c r="R562" s="1595"/>
      <c r="S562" s="1595"/>
      <c r="T562" s="1660"/>
      <c r="U562" s="468"/>
      <c r="V562" s="468"/>
      <c r="W562" s="468"/>
      <c r="X562" s="468"/>
      <c r="Y562" s="468"/>
      <c r="Z562" s="468"/>
      <c r="AA562" s="468"/>
      <c r="AB562" s="468"/>
      <c r="AC562" s="468"/>
      <c r="AD562" s="468"/>
    </row>
    <row r="563" spans="1:59" ht="30" customHeight="1">
      <c r="A563" s="643" t="s">
        <v>481</v>
      </c>
      <c r="B563" s="1942" t="s">
        <v>482</v>
      </c>
      <c r="C563" s="1939"/>
      <c r="D563" s="1940"/>
      <c r="E563" s="1941" t="str">
        <f t="shared" si="53"/>
        <v>Bank of America</v>
      </c>
      <c r="F563" s="1941" t="str">
        <f t="shared" si="46"/>
        <v>New York, NY</v>
      </c>
      <c r="G563" s="1941" t="str">
        <f t="shared" si="54"/>
        <v>026009593</v>
      </c>
      <c r="H563" s="1941" t="str">
        <f t="shared" si="55"/>
        <v>ACSS Real Estate Funding, LLC</v>
      </c>
      <c r="I563" s="1941" t="str">
        <f t="shared" si="56"/>
        <v>1416808426</v>
      </c>
      <c r="J563" s="1948" t="str">
        <f t="shared" si="47"/>
        <v/>
      </c>
      <c r="K563" s="1948" t="str">
        <f t="shared" si="48"/>
        <v/>
      </c>
      <c r="L563" s="1944" t="s">
        <v>468</v>
      </c>
      <c r="M563" s="1944" t="s">
        <v>469</v>
      </c>
      <c r="N563" s="1944" t="str">
        <f t="shared" si="49"/>
        <v>ACORE- LSS Test 1</v>
      </c>
      <c r="O563" s="1941"/>
      <c r="P563" s="468"/>
      <c r="Q563" s="1595"/>
      <c r="R563" s="1595"/>
      <c r="S563" s="1595"/>
      <c r="T563" s="1660"/>
      <c r="U563" s="468"/>
      <c r="V563" s="468"/>
      <c r="W563" s="468"/>
      <c r="X563" s="468"/>
      <c r="Y563" s="468"/>
      <c r="Z563" s="468"/>
      <c r="AA563" s="468"/>
      <c r="AB563" s="468"/>
      <c r="AC563" s="468"/>
      <c r="AD563" s="468"/>
    </row>
    <row r="564" spans="1:59" ht="30" customHeight="1">
      <c r="A564" s="643" t="s">
        <v>483</v>
      </c>
      <c r="B564" s="1942" t="s">
        <v>12</v>
      </c>
      <c r="C564" s="1939"/>
      <c r="D564" s="1940"/>
      <c r="E564" s="1941" t="str">
        <f t="shared" si="53"/>
        <v>The Bank of New York Mellon</v>
      </c>
      <c r="F564" s="1941" t="str">
        <f t="shared" si="46"/>
        <v>New York, NY</v>
      </c>
      <c r="G564" s="1941" t="str">
        <f t="shared" si="54"/>
        <v>021000018</v>
      </c>
      <c r="H564" s="1941" t="str">
        <f t="shared" si="55"/>
        <v>AFL OF COL ACORE TRE CUSTODY</v>
      </c>
      <c r="I564" s="1941" t="str">
        <f t="shared" si="56"/>
        <v>9837448400</v>
      </c>
      <c r="J564" s="1948" t="str">
        <f t="shared" si="47"/>
        <v>--</v>
      </c>
      <c r="K564" s="1948" t="str">
        <f t="shared" si="48"/>
        <v>--</v>
      </c>
      <c r="L564" s="1944"/>
      <c r="M564" s="1944"/>
      <c r="N564" s="1944" t="str">
        <f t="shared" si="49"/>
        <v>ACORE- LSS Test 1</v>
      </c>
      <c r="O564" s="1941"/>
      <c r="P564" s="468"/>
      <c r="Q564" s="1595"/>
      <c r="R564" s="1595"/>
      <c r="S564" s="1595"/>
      <c r="T564" s="1660"/>
      <c r="U564" s="468"/>
      <c r="V564" s="468"/>
      <c r="W564" s="468"/>
      <c r="X564" s="468"/>
      <c r="Y564" s="468"/>
      <c r="Z564" s="468"/>
      <c r="AA564" s="468"/>
      <c r="AB564" s="468"/>
      <c r="AC564" s="468"/>
      <c r="AD564" s="468"/>
    </row>
    <row r="565" spans="1:59" ht="30" customHeight="1">
      <c r="A565" s="643" t="s">
        <v>484</v>
      </c>
      <c r="B565" s="1942" t="s">
        <v>13</v>
      </c>
      <c r="C565" s="1939"/>
      <c r="D565" s="1940"/>
      <c r="E565" s="1941" t="str">
        <f t="shared" si="53"/>
        <v>The Bank of New York Mellon</v>
      </c>
      <c r="F565" s="1941" t="str">
        <f t="shared" si="46"/>
        <v>New York, NY</v>
      </c>
      <c r="G565" s="1941" t="str">
        <f t="shared" si="54"/>
        <v>021000018</v>
      </c>
      <c r="H565" s="1941" t="str">
        <f t="shared" si="55"/>
        <v>Delphi CRE Funding</v>
      </c>
      <c r="I565" s="1941" t="str">
        <f t="shared" si="56"/>
        <v>6948678400</v>
      </c>
      <c r="J565" s="1948" t="str">
        <f t="shared" si="47"/>
        <v>--</v>
      </c>
      <c r="K565" s="1948" t="str">
        <f t="shared" si="48"/>
        <v>--</v>
      </c>
      <c r="L565" s="1944"/>
      <c r="M565" s="1944"/>
      <c r="N565" s="1944" t="str">
        <f t="shared" si="49"/>
        <v>ACORE- LSS Test 1</v>
      </c>
      <c r="O565" s="1941"/>
      <c r="P565" s="468"/>
      <c r="Q565" s="1595"/>
      <c r="R565" s="1595"/>
      <c r="S565" s="1595"/>
      <c r="T565" s="1660"/>
      <c r="U565" s="468"/>
      <c r="V565" s="468"/>
      <c r="W565" s="468"/>
      <c r="X565" s="468"/>
      <c r="Y565" s="468"/>
      <c r="Z565" s="468"/>
      <c r="AA565" s="468"/>
      <c r="AB565" s="468"/>
      <c r="AC565" s="468"/>
      <c r="AD565" s="468"/>
    </row>
    <row r="566" spans="1:59" ht="30" customHeight="1" thickBot="1">
      <c r="A566" s="644" t="s">
        <v>485</v>
      </c>
      <c r="B566" s="1942" t="s">
        <v>20</v>
      </c>
      <c r="C566" s="1939"/>
      <c r="D566" s="1940"/>
      <c r="E566" s="1941" t="str">
        <f t="shared" si="53"/>
        <v/>
      </c>
      <c r="F566" s="1941" t="str">
        <f t="shared" si="46"/>
        <v/>
      </c>
      <c r="G566" s="1941" t="str">
        <f t="shared" si="54"/>
        <v/>
      </c>
      <c r="H566" s="1941" t="str">
        <f t="shared" si="55"/>
        <v/>
      </c>
      <c r="I566" s="1941" t="str">
        <f t="shared" si="56"/>
        <v/>
      </c>
      <c r="J566" s="1948" t="str">
        <f t="shared" si="47"/>
        <v/>
      </c>
      <c r="K566" s="1948" t="str">
        <f t="shared" si="48"/>
        <v/>
      </c>
      <c r="L566" s="1944"/>
      <c r="M566" s="1944"/>
      <c r="N566" s="1944" t="str">
        <f t="shared" si="49"/>
        <v>ACORE- LSS Test 1</v>
      </c>
      <c r="O566" s="1941"/>
      <c r="P566" s="468"/>
      <c r="Q566" s="1595"/>
      <c r="R566" s="1595"/>
      <c r="S566" s="1595"/>
      <c r="T566" s="1660"/>
      <c r="U566" s="468"/>
      <c r="V566" s="468"/>
      <c r="W566" s="468"/>
      <c r="X566" s="468"/>
      <c r="Y566" s="468"/>
      <c r="Z566" s="468"/>
      <c r="AA566" s="468"/>
      <c r="AB566" s="468"/>
      <c r="AC566" s="468"/>
      <c r="AD566" s="468"/>
    </row>
    <row r="567" spans="1:59" ht="30" customHeight="1" thickBot="1">
      <c r="A567" s="644" t="s">
        <v>486</v>
      </c>
      <c r="B567" s="1942" t="s">
        <v>487</v>
      </c>
      <c r="C567" s="1939"/>
      <c r="D567" s="1940"/>
      <c r="E567" s="1941" t="str">
        <f t="shared" si="53"/>
        <v>Citibank</v>
      </c>
      <c r="F567" s="1941" t="str">
        <f t="shared" si="46"/>
        <v>New York, NY</v>
      </c>
      <c r="G567" s="1941" t="str">
        <f t="shared" si="54"/>
        <v>021000089</v>
      </c>
      <c r="H567" s="1941" t="str">
        <f t="shared" si="55"/>
        <v>Brown Brothers Harriman NY</v>
      </c>
      <c r="I567" s="1941" t="str">
        <f t="shared" si="56"/>
        <v>09250276</v>
      </c>
      <c r="J567" s="1948" t="str">
        <f t="shared" si="47"/>
        <v>Global Investment Fund 1 / TRE ACR Portfolio Cash Fund</v>
      </c>
      <c r="K567" s="1948" t="str">
        <f t="shared" si="48"/>
        <v>4004453</v>
      </c>
      <c r="L567" s="1944"/>
      <c r="M567" s="1944"/>
      <c r="N567" s="1944" t="str">
        <f t="shared" si="49"/>
        <v>ACORE- LSS Test 1</v>
      </c>
      <c r="O567" s="1941"/>
      <c r="P567" s="468"/>
      <c r="Q567" s="1595"/>
      <c r="R567" s="1595"/>
      <c r="S567" s="1595"/>
      <c r="T567" s="1660"/>
      <c r="U567" s="468"/>
      <c r="V567" s="468"/>
      <c r="W567" s="468"/>
      <c r="X567" s="468"/>
      <c r="Y567" s="468"/>
      <c r="Z567" s="468"/>
      <c r="AA567" s="468"/>
      <c r="AB567" s="468"/>
      <c r="AC567" s="468"/>
      <c r="AD567" s="468"/>
    </row>
    <row r="568" spans="1:59" ht="30" customHeight="1" thickBot="1">
      <c r="A568" s="644" t="s">
        <v>488</v>
      </c>
      <c r="B568" s="1942" t="s">
        <v>489</v>
      </c>
      <c r="C568" s="1939"/>
      <c r="D568" s="1940"/>
      <c r="E568" s="1941" t="str">
        <f t="shared" si="53"/>
        <v>Citibank</v>
      </c>
      <c r="F568" s="1941" t="str">
        <f t="shared" si="46"/>
        <v>New York, NY</v>
      </c>
      <c r="G568" s="1941" t="str">
        <f t="shared" si="54"/>
        <v>021000089</v>
      </c>
      <c r="H568" s="1941" t="str">
        <f t="shared" si="55"/>
        <v>Brown Brothers Harriman NY</v>
      </c>
      <c r="I568" s="1941" t="str">
        <f t="shared" si="56"/>
        <v>09250276</v>
      </c>
      <c r="J568" s="1948" t="str">
        <f t="shared" si="47"/>
        <v>Global Investment Fund 1 / TRE ACR Series II Portfolio Cash Fund</v>
      </c>
      <c r="K568" s="1948">
        <f t="shared" si="48"/>
        <v>4042495</v>
      </c>
      <c r="L568" s="1944"/>
      <c r="M568" s="1944"/>
      <c r="N568" s="1944" t="str">
        <f t="shared" si="49"/>
        <v>ACORE- LSS Test 1</v>
      </c>
      <c r="O568" s="1941"/>
      <c r="P568" s="468"/>
      <c r="Q568" s="1595"/>
      <c r="R568" s="1595"/>
      <c r="S568" s="1595"/>
      <c r="T568" s="1660"/>
      <c r="U568" s="468"/>
      <c r="V568" s="468"/>
      <c r="W568" s="468"/>
      <c r="X568" s="468"/>
      <c r="Y568" s="468"/>
      <c r="Z568" s="468"/>
      <c r="AA568" s="468"/>
      <c r="AB568" s="468"/>
      <c r="AC568" s="468"/>
      <c r="AD568" s="468"/>
    </row>
    <row r="569" spans="1:59" s="20" customFormat="1" ht="30.75" thickBot="1">
      <c r="A569" s="644" t="s">
        <v>490</v>
      </c>
      <c r="B569" s="1942" t="s">
        <v>491</v>
      </c>
      <c r="C569" s="1939"/>
      <c r="D569" s="1940"/>
      <c r="E569" s="1941" t="str">
        <f>IFERROR(VLOOKUP(B569,$B$574:$J$595,4,FALSE),"")</f>
        <v>First Republic Bank</v>
      </c>
      <c r="F569" s="1941" t="str">
        <f t="shared" si="46"/>
        <v>101 Pine Street; San Francisco, CA  94111</v>
      </c>
      <c r="G569" s="1941">
        <f>IFERROR(VLOOKUP(B569,$B$574:$J$595,6,FALSE),"")</f>
        <v>321081669</v>
      </c>
      <c r="H569" s="1941" t="str">
        <f>IFERROR(VLOOKUP(B569,$B$574:$J$595,7,FALSE),"")</f>
        <v>ACORE Capital, LP - Operating Account</v>
      </c>
      <c r="I569" s="1941">
        <f>IFERROR(VLOOKUP(B569,$B$574:$J$595,8,FALSE),"")</f>
        <v>80003128733</v>
      </c>
      <c r="J569" s="1948" t="str">
        <f t="shared" si="47"/>
        <v/>
      </c>
      <c r="K569" s="1948" t="str">
        <f t="shared" si="48"/>
        <v/>
      </c>
      <c r="L569" s="1944"/>
      <c r="M569" s="1944"/>
      <c r="N569" s="1944" t="str">
        <f t="shared" si="49"/>
        <v>ACORE- LSS Test 1</v>
      </c>
      <c r="O569" s="1941"/>
      <c r="P569" s="468"/>
      <c r="Q569" s="468"/>
      <c r="R569" s="468"/>
      <c r="S569" s="468"/>
      <c r="T569" s="468"/>
      <c r="U569" s="468"/>
      <c r="V569" s="468"/>
      <c r="W569" s="468"/>
      <c r="X569" s="468"/>
      <c r="Y569" s="468"/>
      <c r="Z569" s="468"/>
      <c r="AA569" s="468"/>
      <c r="AB569" s="468"/>
      <c r="AC569" s="468"/>
      <c r="AD569" s="468"/>
      <c r="BG569" s="1593"/>
    </row>
    <row r="570" spans="1:59" s="20" customFormat="1">
      <c r="A570" s="654"/>
      <c r="B570" s="349"/>
      <c r="C570" s="349"/>
      <c r="D570" s="100"/>
      <c r="E570" s="100"/>
      <c r="I570" s="101"/>
      <c r="J570" s="101"/>
      <c r="K570" s="101"/>
      <c r="L570" s="101"/>
      <c r="M570" s="101"/>
      <c r="N570" s="101"/>
      <c r="O570" s="101"/>
      <c r="P570" s="468"/>
      <c r="Q570" s="468"/>
      <c r="R570" s="468"/>
      <c r="S570" s="468"/>
      <c r="T570" s="468"/>
      <c r="U570" s="468"/>
      <c r="V570" s="468"/>
      <c r="W570" s="468"/>
      <c r="X570" s="468"/>
      <c r="Y570" s="468"/>
      <c r="Z570" s="468"/>
      <c r="AA570" s="468"/>
      <c r="AB570" s="468"/>
      <c r="AC570" s="468"/>
      <c r="AD570" s="468"/>
      <c r="BG570" s="1593"/>
    </row>
    <row r="571" spans="1:59" s="20" customFormat="1">
      <c r="A571" s="468"/>
      <c r="B571" s="468"/>
      <c r="C571" s="468"/>
      <c r="D571" s="655"/>
      <c r="E571" s="655"/>
      <c r="F571" s="468"/>
      <c r="G571" s="468"/>
      <c r="H571" s="468"/>
      <c r="I571" s="470"/>
      <c r="J571" s="470"/>
      <c r="K571" s="470"/>
      <c r="L571" s="470"/>
      <c r="M571" s="470"/>
      <c r="N571" s="470"/>
      <c r="O571" s="468"/>
      <c r="P571" s="468"/>
      <c r="Q571" s="468"/>
      <c r="R571" s="468"/>
      <c r="S571" s="468"/>
      <c r="T571" s="468"/>
      <c r="U571" s="468"/>
      <c r="V571" s="468"/>
      <c r="W571" s="468"/>
      <c r="X571" s="468"/>
      <c r="Y571" s="468"/>
      <c r="Z571" s="468"/>
      <c r="AA571" s="468"/>
      <c r="AB571" s="468"/>
      <c r="AC571" s="468"/>
      <c r="AD571" s="468"/>
      <c r="BG571" s="1593"/>
    </row>
    <row r="572" spans="1:59" ht="18.75">
      <c r="A572" s="468"/>
      <c r="B572" s="658" t="s">
        <v>492</v>
      </c>
      <c r="C572" s="20"/>
      <c r="D572" s="100"/>
      <c r="E572" s="100"/>
      <c r="F572" s="20"/>
      <c r="G572" s="20"/>
      <c r="H572" s="20"/>
      <c r="I572" s="101"/>
      <c r="J572" s="470"/>
      <c r="K572" s="470"/>
      <c r="L572" s="470"/>
      <c r="M572" s="470"/>
      <c r="N572" s="470"/>
      <c r="O572" s="468"/>
      <c r="P572" s="468"/>
      <c r="Q572" s="468"/>
      <c r="R572" s="468"/>
      <c r="S572" s="468"/>
      <c r="T572" s="468"/>
      <c r="U572" s="468"/>
      <c r="V572" s="468"/>
      <c r="W572" s="468"/>
      <c r="X572" s="468"/>
      <c r="Y572" s="468"/>
      <c r="Z572" s="468"/>
      <c r="AA572" s="468"/>
      <c r="AB572" s="468"/>
      <c r="AC572" s="468"/>
      <c r="AD572" s="468"/>
    </row>
    <row r="573" spans="1:59" ht="30" customHeight="1">
      <c r="A573" s="656"/>
      <c r="B573" s="645" t="s">
        <v>296</v>
      </c>
      <c r="C573" s="646"/>
      <c r="D573" s="1399"/>
      <c r="E573" s="1338" t="s">
        <v>449</v>
      </c>
      <c r="F573" s="1338" t="s">
        <v>450</v>
      </c>
      <c r="G573" s="1338" t="s">
        <v>493</v>
      </c>
      <c r="H573" s="1338" t="s">
        <v>452</v>
      </c>
      <c r="I573" s="1338" t="s">
        <v>453</v>
      </c>
      <c r="J573" s="1338" t="s">
        <v>454</v>
      </c>
      <c r="K573" s="1338" t="s">
        <v>455</v>
      </c>
      <c r="L573" s="470"/>
      <c r="M573" s="470"/>
      <c r="N573" s="470"/>
      <c r="O573" s="468"/>
      <c r="P573" s="468"/>
      <c r="Q573" s="468"/>
      <c r="R573" s="468"/>
      <c r="S573" s="468"/>
      <c r="T573" s="468"/>
      <c r="U573" s="468"/>
      <c r="V573" s="468"/>
      <c r="W573" s="468"/>
      <c r="X573" s="468"/>
      <c r="Y573" s="468"/>
      <c r="Z573" s="468"/>
      <c r="AA573" s="468"/>
      <c r="AB573" s="468"/>
      <c r="AC573" s="468"/>
      <c r="AD573" s="468"/>
    </row>
    <row r="574" spans="1:59">
      <c r="A574" s="657"/>
      <c r="B574" s="405" t="s">
        <v>467</v>
      </c>
      <c r="C574" s="647"/>
      <c r="D574" s="648"/>
      <c r="E574" s="1934" t="s">
        <v>494</v>
      </c>
      <c r="F574" s="1934" t="s">
        <v>495</v>
      </c>
      <c r="G574" s="1935" t="s">
        <v>496</v>
      </c>
      <c r="H574" s="1936" t="s">
        <v>467</v>
      </c>
      <c r="I574" s="1937" t="s">
        <v>497</v>
      </c>
      <c r="J574" s="1661" t="s">
        <v>464</v>
      </c>
      <c r="K574" s="1661" t="s">
        <v>464</v>
      </c>
      <c r="L574" s="470"/>
      <c r="M574" s="470"/>
      <c r="N574" s="470"/>
      <c r="O574" s="468"/>
      <c r="P574" s="468"/>
      <c r="Q574" s="468"/>
      <c r="R574" s="468"/>
      <c r="S574" s="468"/>
      <c r="T574" s="468"/>
      <c r="U574" s="468"/>
      <c r="V574" s="468"/>
      <c r="W574" s="468"/>
      <c r="X574" s="468"/>
      <c r="Y574" s="468"/>
      <c r="Z574" s="468"/>
      <c r="AA574" s="468"/>
      <c r="AB574" s="468"/>
      <c r="AC574" s="468"/>
      <c r="AD574" s="468"/>
    </row>
    <row r="575" spans="1:59" ht="30">
      <c r="A575" s="657"/>
      <c r="B575" s="405" t="s">
        <v>491</v>
      </c>
      <c r="C575" s="647"/>
      <c r="D575" s="648"/>
      <c r="E575" s="1934" t="s">
        <v>498</v>
      </c>
      <c r="F575" s="1934" t="s">
        <v>499</v>
      </c>
      <c r="G575" s="1935">
        <v>321081669</v>
      </c>
      <c r="H575" s="1936" t="s">
        <v>500</v>
      </c>
      <c r="I575" s="1938">
        <v>80003128733</v>
      </c>
      <c r="J575" s="1662"/>
      <c r="K575" s="1662"/>
      <c r="L575" s="470"/>
      <c r="M575" s="470"/>
      <c r="N575" s="470"/>
      <c r="O575" s="468"/>
      <c r="P575" s="468"/>
      <c r="Q575" s="468"/>
      <c r="R575" s="468"/>
      <c r="S575" s="468"/>
      <c r="T575" s="468"/>
      <c r="U575" s="468"/>
      <c r="V575" s="468"/>
      <c r="W575" s="468"/>
      <c r="X575" s="468"/>
      <c r="Y575" s="468"/>
      <c r="Z575" s="468"/>
      <c r="AA575" s="468"/>
      <c r="AB575" s="468"/>
      <c r="AC575" s="468"/>
      <c r="AD575" s="468"/>
    </row>
    <row r="576" spans="1:59">
      <c r="A576" s="657"/>
      <c r="B576" s="405" t="s">
        <v>471</v>
      </c>
      <c r="C576" s="647"/>
      <c r="D576" s="648"/>
      <c r="E576" s="1934" t="s">
        <v>494</v>
      </c>
      <c r="F576" s="1934" t="s">
        <v>495</v>
      </c>
      <c r="G576" s="1935" t="s">
        <v>496</v>
      </c>
      <c r="H576" s="1936" t="s">
        <v>501</v>
      </c>
      <c r="I576" s="1938" t="s">
        <v>502</v>
      </c>
      <c r="J576" s="1662"/>
      <c r="K576" s="1662"/>
      <c r="L576" s="470"/>
      <c r="M576" s="470"/>
      <c r="N576" s="470"/>
      <c r="O576" s="468"/>
      <c r="P576" s="468"/>
      <c r="Q576" s="468"/>
      <c r="R576" s="468"/>
      <c r="S576" s="468"/>
      <c r="T576" s="468"/>
      <c r="U576" s="468"/>
      <c r="V576" s="468"/>
      <c r="W576" s="468"/>
      <c r="X576" s="468"/>
      <c r="Y576" s="468"/>
      <c r="Z576" s="468"/>
      <c r="AA576" s="468"/>
      <c r="AB576" s="468"/>
      <c r="AC576" s="468"/>
      <c r="AD576" s="468"/>
    </row>
    <row r="577" spans="1:30">
      <c r="A577" s="657"/>
      <c r="B577" s="405" t="s">
        <v>473</v>
      </c>
      <c r="C577" s="647"/>
      <c r="D577" s="648"/>
      <c r="E577" s="1934" t="s">
        <v>494</v>
      </c>
      <c r="F577" s="1934" t="s">
        <v>495</v>
      </c>
      <c r="G577" s="1935" t="s">
        <v>496</v>
      </c>
      <c r="H577" s="1936" t="s">
        <v>503</v>
      </c>
      <c r="I577" s="1937">
        <v>1416013313</v>
      </c>
      <c r="J577" s="1661" t="s">
        <v>464</v>
      </c>
      <c r="K577" s="1661" t="s">
        <v>464</v>
      </c>
      <c r="L577" s="470"/>
      <c r="M577" s="470"/>
      <c r="N577" s="470"/>
      <c r="O577" s="468"/>
      <c r="P577" s="468"/>
      <c r="Q577" s="468"/>
      <c r="R577" s="468"/>
      <c r="S577" s="468"/>
      <c r="T577" s="468"/>
      <c r="U577" s="468"/>
      <c r="V577" s="468"/>
      <c r="W577" s="468"/>
      <c r="X577" s="468"/>
      <c r="Y577" s="468"/>
      <c r="Z577" s="468"/>
      <c r="AA577" s="468"/>
      <c r="AB577" s="468"/>
      <c r="AC577" s="468"/>
      <c r="AD577" s="468"/>
    </row>
    <row r="578" spans="1:30">
      <c r="A578" s="657"/>
      <c r="B578" s="405" t="s">
        <v>475</v>
      </c>
      <c r="C578" s="647"/>
      <c r="D578" s="648"/>
      <c r="E578" s="1934" t="s">
        <v>494</v>
      </c>
      <c r="F578" s="1934" t="s">
        <v>495</v>
      </c>
      <c r="G578" s="1935" t="s">
        <v>496</v>
      </c>
      <c r="H578" s="1936" t="s">
        <v>504</v>
      </c>
      <c r="I578" s="1937" t="s">
        <v>505</v>
      </c>
      <c r="J578" s="1661" t="s">
        <v>464</v>
      </c>
      <c r="K578" s="1661" t="s">
        <v>464</v>
      </c>
      <c r="L578" s="470"/>
      <c r="M578" s="470"/>
      <c r="N578" s="470"/>
      <c r="O578" s="468"/>
      <c r="P578" s="468"/>
      <c r="Q578" s="468"/>
      <c r="R578" s="468"/>
      <c r="S578" s="468"/>
      <c r="T578" s="468"/>
      <c r="U578" s="468"/>
      <c r="V578" s="468"/>
      <c r="W578" s="468"/>
      <c r="X578" s="468"/>
      <c r="Y578" s="468"/>
      <c r="Z578" s="468"/>
      <c r="AA578" s="468"/>
      <c r="AB578" s="468"/>
      <c r="AC578" s="468"/>
      <c r="AD578" s="468"/>
    </row>
    <row r="579" spans="1:30">
      <c r="A579" s="657"/>
      <c r="B579" s="405" t="s">
        <v>477</v>
      </c>
      <c r="C579" s="647"/>
      <c r="D579" s="648"/>
      <c r="E579" s="1934" t="s">
        <v>494</v>
      </c>
      <c r="F579" s="1934" t="s">
        <v>495</v>
      </c>
      <c r="G579" s="1935" t="s">
        <v>496</v>
      </c>
      <c r="H579" s="1936" t="s">
        <v>506</v>
      </c>
      <c r="I579" s="1938">
        <v>1416313388</v>
      </c>
      <c r="J579" s="1662"/>
      <c r="K579" s="1662"/>
      <c r="L579" s="470"/>
      <c r="M579" s="470"/>
      <c r="N579" s="470"/>
      <c r="O579" s="468"/>
      <c r="P579" s="468"/>
      <c r="Q579" s="468"/>
      <c r="R579" s="468"/>
      <c r="S579" s="468"/>
      <c r="T579" s="468"/>
      <c r="U579" s="468"/>
      <c r="V579" s="468"/>
      <c r="W579" s="468"/>
      <c r="X579" s="468"/>
      <c r="Y579" s="468"/>
      <c r="Z579" s="468"/>
      <c r="AA579" s="468"/>
      <c r="AB579" s="468"/>
      <c r="AC579" s="468"/>
      <c r="AD579" s="468"/>
    </row>
    <row r="580" spans="1:30">
      <c r="A580" s="657"/>
      <c r="B580" s="405" t="s">
        <v>24</v>
      </c>
      <c r="C580" s="647"/>
      <c r="D580" s="648"/>
      <c r="E580" s="1934" t="s">
        <v>507</v>
      </c>
      <c r="F580" s="1934" t="s">
        <v>495</v>
      </c>
      <c r="G580" s="1935" t="s">
        <v>508</v>
      </c>
      <c r="H580" s="1936" t="s">
        <v>509</v>
      </c>
      <c r="I580" s="1938" t="s">
        <v>510</v>
      </c>
      <c r="J580" s="1662"/>
      <c r="K580" s="1662"/>
      <c r="L580" s="470"/>
      <c r="M580" s="470"/>
      <c r="N580" s="470"/>
      <c r="O580" s="468"/>
      <c r="P580" s="468"/>
      <c r="Q580" s="468"/>
      <c r="R580" s="468"/>
      <c r="S580" s="468"/>
      <c r="T580" s="468"/>
      <c r="U580" s="468"/>
      <c r="V580" s="468"/>
      <c r="W580" s="468"/>
      <c r="X580" s="468"/>
      <c r="Y580" s="468"/>
      <c r="Z580" s="468"/>
      <c r="AA580" s="468"/>
      <c r="AB580" s="468"/>
      <c r="AC580" s="468"/>
      <c r="AD580" s="468"/>
    </row>
    <row r="581" spans="1:30">
      <c r="A581" s="657"/>
      <c r="B581" s="405" t="s">
        <v>18</v>
      </c>
      <c r="C581" s="647"/>
      <c r="D581" s="648"/>
      <c r="E581" s="1934" t="s">
        <v>507</v>
      </c>
      <c r="F581" s="1934" t="s">
        <v>495</v>
      </c>
      <c r="G581" s="1935" t="s">
        <v>508</v>
      </c>
      <c r="H581" s="1936" t="s">
        <v>18</v>
      </c>
      <c r="I581" s="1938" t="s">
        <v>511</v>
      </c>
      <c r="J581" s="1662"/>
      <c r="K581" s="1662"/>
      <c r="L581" s="470"/>
      <c r="M581" s="470"/>
      <c r="N581" s="470"/>
      <c r="O581" s="468"/>
      <c r="P581" s="468"/>
      <c r="Q581" s="468"/>
      <c r="R581" s="468"/>
      <c r="S581" s="468"/>
      <c r="T581" s="468"/>
      <c r="U581" s="468"/>
      <c r="V581" s="468"/>
      <c r="W581" s="468"/>
      <c r="X581" s="468"/>
      <c r="Y581" s="468"/>
      <c r="Z581" s="468"/>
      <c r="AA581" s="468"/>
      <c r="AB581" s="468"/>
      <c r="AC581" s="468"/>
      <c r="AD581" s="468"/>
    </row>
    <row r="582" spans="1:30">
      <c r="A582" s="657"/>
      <c r="B582" s="405" t="s">
        <v>23</v>
      </c>
      <c r="C582" s="647"/>
      <c r="D582" s="648"/>
      <c r="E582" s="1934" t="s">
        <v>507</v>
      </c>
      <c r="F582" s="1934" t="s">
        <v>495</v>
      </c>
      <c r="G582" s="1935" t="s">
        <v>508</v>
      </c>
      <c r="H582" s="1936" t="s">
        <v>23</v>
      </c>
      <c r="I582" s="1938" t="s">
        <v>512</v>
      </c>
      <c r="J582" s="1662"/>
      <c r="K582" s="1662"/>
      <c r="L582" s="470"/>
      <c r="M582" s="470"/>
      <c r="N582" s="470"/>
      <c r="O582" s="468"/>
      <c r="P582" s="468"/>
      <c r="Q582" s="468"/>
      <c r="R582" s="468"/>
      <c r="S582" s="468"/>
      <c r="T582" s="468"/>
      <c r="U582" s="468"/>
      <c r="V582" s="468"/>
      <c r="W582" s="468"/>
      <c r="X582" s="468"/>
      <c r="Y582" s="468"/>
      <c r="Z582" s="468"/>
      <c r="AA582" s="468"/>
      <c r="AB582" s="468"/>
      <c r="AC582" s="468"/>
      <c r="AD582" s="468"/>
    </row>
    <row r="583" spans="1:30">
      <c r="A583" s="468"/>
      <c r="B583" s="405" t="s">
        <v>482</v>
      </c>
      <c r="C583" s="647"/>
      <c r="D583" s="648"/>
      <c r="E583" s="1934" t="s">
        <v>494</v>
      </c>
      <c r="F583" s="1934" t="s">
        <v>495</v>
      </c>
      <c r="G583" s="1935" t="s">
        <v>496</v>
      </c>
      <c r="H583" s="1936" t="s">
        <v>482</v>
      </c>
      <c r="I583" s="1938" t="s">
        <v>513</v>
      </c>
      <c r="J583" s="1662"/>
      <c r="K583" s="1662"/>
      <c r="L583" s="470"/>
      <c r="M583" s="470"/>
      <c r="N583" s="470"/>
      <c r="O583" s="468"/>
      <c r="P583" s="468"/>
      <c r="Q583" s="468"/>
      <c r="R583" s="468"/>
      <c r="S583" s="468"/>
      <c r="T583" s="468"/>
      <c r="U583" s="468"/>
      <c r="V583" s="468"/>
      <c r="W583" s="468"/>
      <c r="X583" s="468"/>
      <c r="Y583" s="468"/>
      <c r="Z583" s="468"/>
      <c r="AA583" s="468"/>
      <c r="AB583" s="468"/>
      <c r="AC583" s="468"/>
      <c r="AD583" s="468"/>
    </row>
    <row r="584" spans="1:30" ht="17.45" customHeight="1">
      <c r="A584" s="468"/>
      <c r="B584" s="405" t="s">
        <v>12</v>
      </c>
      <c r="C584" s="647"/>
      <c r="D584" s="648"/>
      <c r="E584" s="1934" t="s">
        <v>514</v>
      </c>
      <c r="F584" s="1934" t="s">
        <v>495</v>
      </c>
      <c r="G584" s="1935" t="s">
        <v>515</v>
      </c>
      <c r="H584" s="1936" t="s">
        <v>516</v>
      </c>
      <c r="I584" s="1937" t="s">
        <v>517</v>
      </c>
      <c r="J584" s="1661" t="s">
        <v>464</v>
      </c>
      <c r="K584" s="1661" t="s">
        <v>464</v>
      </c>
      <c r="L584" s="470"/>
      <c r="M584" s="470"/>
      <c r="N584" s="470"/>
      <c r="O584" s="468"/>
      <c r="P584" s="468"/>
      <c r="Q584" s="468"/>
      <c r="R584" s="468"/>
      <c r="S584" s="468"/>
      <c r="T584" s="468"/>
      <c r="U584" s="468"/>
      <c r="V584" s="468"/>
      <c r="W584" s="468"/>
      <c r="X584" s="468"/>
      <c r="Y584" s="468"/>
      <c r="Z584" s="468"/>
      <c r="AA584" s="468"/>
      <c r="AB584" s="468"/>
      <c r="AC584" s="468"/>
      <c r="AD584" s="468"/>
    </row>
    <row r="585" spans="1:30" ht="17.45" customHeight="1">
      <c r="A585" s="468"/>
      <c r="B585" s="405" t="s">
        <v>13</v>
      </c>
      <c r="C585" s="647"/>
      <c r="D585" s="648"/>
      <c r="E585" s="1934" t="s">
        <v>514</v>
      </c>
      <c r="F585" s="1934" t="s">
        <v>495</v>
      </c>
      <c r="G585" s="1935" t="s">
        <v>515</v>
      </c>
      <c r="H585" s="1936" t="s">
        <v>518</v>
      </c>
      <c r="I585" s="1937" t="s">
        <v>519</v>
      </c>
      <c r="J585" s="1661" t="s">
        <v>464</v>
      </c>
      <c r="K585" s="1661" t="s">
        <v>464</v>
      </c>
      <c r="L585" s="470"/>
      <c r="M585" s="470"/>
      <c r="N585" s="470"/>
      <c r="O585" s="468"/>
      <c r="P585" s="468"/>
      <c r="Q585" s="468"/>
      <c r="R585" s="468"/>
      <c r="S585" s="468"/>
      <c r="T585" s="468"/>
      <c r="U585" s="468"/>
      <c r="V585" s="468"/>
      <c r="W585" s="468"/>
      <c r="X585" s="468"/>
      <c r="Y585" s="468"/>
      <c r="Z585" s="468"/>
      <c r="AA585" s="468"/>
      <c r="AB585" s="468"/>
      <c r="AC585" s="468"/>
      <c r="AD585" s="468"/>
    </row>
    <row r="586" spans="1:30">
      <c r="A586" s="468"/>
      <c r="B586" s="405" t="s">
        <v>487</v>
      </c>
      <c r="C586" s="647"/>
      <c r="D586" s="648"/>
      <c r="E586" s="1934" t="s">
        <v>520</v>
      </c>
      <c r="F586" s="1934" t="s">
        <v>495</v>
      </c>
      <c r="G586" s="1935" t="s">
        <v>521</v>
      </c>
      <c r="H586" s="1936" t="s">
        <v>522</v>
      </c>
      <c r="I586" s="1937" t="s">
        <v>523</v>
      </c>
      <c r="J586" s="1661" t="s">
        <v>524</v>
      </c>
      <c r="K586" s="1661" t="s">
        <v>525</v>
      </c>
      <c r="L586" s="470"/>
      <c r="M586" s="470"/>
      <c r="N586" s="470"/>
      <c r="O586" s="468"/>
      <c r="P586" s="468"/>
      <c r="Q586" s="468"/>
      <c r="R586" s="468"/>
      <c r="S586" s="468"/>
      <c r="T586" s="468"/>
      <c r="U586" s="468"/>
      <c r="V586" s="468"/>
      <c r="W586" s="468"/>
      <c r="X586" s="468"/>
      <c r="Y586" s="468"/>
      <c r="Z586" s="468"/>
      <c r="AA586" s="468"/>
      <c r="AB586" s="468"/>
      <c r="AC586" s="468"/>
      <c r="AD586" s="468"/>
    </row>
    <row r="587" spans="1:30">
      <c r="A587" s="468"/>
      <c r="B587" s="405" t="s">
        <v>489</v>
      </c>
      <c r="C587" s="647"/>
      <c r="D587" s="648"/>
      <c r="E587" s="1934" t="s">
        <v>520</v>
      </c>
      <c r="F587" s="1934" t="s">
        <v>495</v>
      </c>
      <c r="G587" s="1935" t="s">
        <v>521</v>
      </c>
      <c r="H587" s="1936" t="s">
        <v>522</v>
      </c>
      <c r="I587" s="1937" t="s">
        <v>523</v>
      </c>
      <c r="J587" s="1661" t="s">
        <v>526</v>
      </c>
      <c r="K587" s="1661">
        <v>4042495</v>
      </c>
      <c r="L587" s="470"/>
      <c r="M587" s="470"/>
      <c r="N587" s="470"/>
      <c r="O587" s="468"/>
      <c r="P587" s="468"/>
      <c r="Q587" s="468"/>
      <c r="R587" s="468"/>
      <c r="S587" s="468"/>
      <c r="T587" s="468"/>
      <c r="U587" s="468"/>
      <c r="V587" s="468"/>
      <c r="W587" s="468"/>
      <c r="X587" s="468"/>
      <c r="Y587" s="468"/>
      <c r="Z587" s="468"/>
      <c r="AA587" s="468"/>
      <c r="AB587" s="468"/>
      <c r="AC587" s="468"/>
      <c r="AD587" s="468"/>
    </row>
    <row r="588" spans="1:30">
      <c r="A588" s="468"/>
      <c r="B588" s="20"/>
      <c r="C588" s="20"/>
      <c r="D588" s="2442"/>
      <c r="E588" s="2268"/>
      <c r="F588" s="2268"/>
      <c r="G588" s="2271"/>
      <c r="H588" s="2272"/>
      <c r="I588" s="2273"/>
      <c r="J588" s="2274"/>
      <c r="K588" s="2274"/>
      <c r="L588" s="470"/>
      <c r="M588" s="470"/>
      <c r="N588" s="470"/>
      <c r="O588" s="468"/>
      <c r="P588" s="468"/>
      <c r="Q588" s="468"/>
      <c r="R588" s="468"/>
      <c r="S588" s="468"/>
      <c r="T588" s="468"/>
      <c r="U588" s="468"/>
      <c r="V588" s="468"/>
      <c r="W588" s="468"/>
      <c r="X588" s="468"/>
      <c r="Y588" s="468"/>
      <c r="Z588" s="468"/>
      <c r="AA588" s="468"/>
      <c r="AB588" s="468"/>
      <c r="AC588" s="468"/>
      <c r="AD588" s="468"/>
    </row>
    <row r="589" spans="1:30">
      <c r="A589" s="468"/>
      <c r="B589" s="20"/>
      <c r="C589" s="20"/>
      <c r="D589" s="2442"/>
      <c r="E589" s="2268"/>
      <c r="F589" s="2268"/>
      <c r="G589" s="2271"/>
      <c r="H589" s="2272"/>
      <c r="I589" s="2273"/>
      <c r="J589" s="2274"/>
      <c r="K589" s="2274"/>
      <c r="L589" s="470"/>
      <c r="M589" s="470"/>
      <c r="N589" s="470"/>
      <c r="O589" s="468"/>
      <c r="P589" s="468"/>
      <c r="Q589" s="468"/>
      <c r="R589" s="468"/>
      <c r="S589" s="468"/>
      <c r="T589" s="468"/>
      <c r="U589" s="468"/>
      <c r="V589" s="468"/>
      <c r="W589" s="468"/>
      <c r="X589" s="468"/>
      <c r="Y589" s="468"/>
      <c r="Z589" s="468"/>
      <c r="AA589" s="468"/>
      <c r="AB589" s="468"/>
      <c r="AC589" s="468"/>
      <c r="AD589" s="468"/>
    </row>
    <row r="590" spans="1:30">
      <c r="A590" s="468"/>
      <c r="B590" s="20"/>
      <c r="C590" s="20"/>
      <c r="D590" s="2442"/>
      <c r="E590" s="2268"/>
      <c r="F590" s="2268"/>
      <c r="G590" s="2271"/>
      <c r="H590" s="2272"/>
      <c r="I590" s="2273"/>
      <c r="J590" s="2274"/>
      <c r="K590" s="2274"/>
      <c r="L590" s="470"/>
      <c r="M590" s="470"/>
      <c r="N590" s="470"/>
      <c r="O590" s="468"/>
      <c r="P590" s="468"/>
      <c r="Q590" s="468"/>
      <c r="R590" s="468"/>
      <c r="S590" s="468"/>
      <c r="T590" s="468"/>
      <c r="U590" s="468"/>
      <c r="V590" s="468"/>
      <c r="W590" s="468"/>
      <c r="X590" s="468"/>
      <c r="Y590" s="468"/>
      <c r="Z590" s="468"/>
      <c r="AA590" s="468"/>
      <c r="AB590" s="468"/>
      <c r="AC590" s="468"/>
      <c r="AD590" s="468"/>
    </row>
    <row r="591" spans="1:30">
      <c r="A591" s="468"/>
      <c r="B591" s="20"/>
      <c r="C591" s="20"/>
      <c r="D591" s="2442"/>
      <c r="E591" s="2268"/>
      <c r="F591" s="2268"/>
      <c r="G591" s="2271"/>
      <c r="H591" s="2272"/>
      <c r="I591" s="2273"/>
      <c r="J591" s="2274"/>
      <c r="K591" s="2274"/>
      <c r="L591" s="470"/>
      <c r="M591" s="470"/>
      <c r="N591" s="470"/>
      <c r="O591" s="468"/>
      <c r="P591" s="468"/>
      <c r="Q591" s="468"/>
      <c r="R591" s="468"/>
      <c r="S591" s="468"/>
      <c r="T591" s="468"/>
      <c r="U591" s="468"/>
      <c r="V591" s="468"/>
      <c r="W591" s="468"/>
      <c r="X591" s="468"/>
      <c r="Y591" s="468"/>
      <c r="Z591" s="468"/>
      <c r="AA591" s="468"/>
      <c r="AB591" s="468"/>
      <c r="AC591" s="468"/>
      <c r="AD591" s="468"/>
    </row>
    <row r="592" spans="1:30">
      <c r="A592" s="468"/>
      <c r="B592" s="20"/>
      <c r="C592" s="20"/>
      <c r="D592" s="2442"/>
      <c r="E592" s="2268"/>
      <c r="F592" s="2268"/>
      <c r="G592" s="2271"/>
      <c r="H592" s="2272"/>
      <c r="I592" s="2273"/>
      <c r="J592" s="2274"/>
      <c r="K592" s="2274"/>
      <c r="L592" s="470"/>
      <c r="M592" s="470"/>
      <c r="N592" s="470"/>
      <c r="O592" s="468"/>
      <c r="P592" s="468"/>
      <c r="Q592" s="468"/>
      <c r="R592" s="468"/>
      <c r="S592" s="468"/>
      <c r="T592" s="468"/>
      <c r="U592" s="468"/>
      <c r="V592" s="468"/>
      <c r="W592" s="468"/>
      <c r="X592" s="468"/>
      <c r="Y592" s="468"/>
      <c r="Z592" s="468"/>
      <c r="AA592" s="468"/>
      <c r="AB592" s="468"/>
      <c r="AC592" s="468"/>
      <c r="AD592" s="468"/>
    </row>
    <row r="593" spans="1:30">
      <c r="A593" s="468"/>
      <c r="B593" s="20"/>
      <c r="C593" s="20"/>
      <c r="D593" s="2442"/>
      <c r="E593" s="2268"/>
      <c r="F593" s="2268"/>
      <c r="G593" s="2271"/>
      <c r="H593" s="2272"/>
      <c r="I593" s="2273"/>
      <c r="J593" s="2274"/>
      <c r="K593" s="2274"/>
      <c r="L593" s="470"/>
      <c r="M593" s="470"/>
      <c r="N593" s="470"/>
      <c r="O593" s="468"/>
      <c r="P593" s="468"/>
      <c r="Q593" s="468"/>
      <c r="R593" s="468"/>
      <c r="S593" s="468"/>
      <c r="T593" s="468"/>
      <c r="U593" s="468"/>
      <c r="V593" s="468"/>
      <c r="W593" s="468"/>
      <c r="X593" s="468"/>
      <c r="Y593" s="468"/>
      <c r="Z593" s="468"/>
      <c r="AA593" s="468"/>
      <c r="AB593" s="468"/>
      <c r="AC593" s="468"/>
      <c r="AD593" s="468"/>
    </row>
    <row r="594" spans="1:30">
      <c r="A594" s="468"/>
      <c r="B594" s="20"/>
      <c r="C594" s="20"/>
      <c r="D594" s="2442"/>
      <c r="E594" s="2268"/>
      <c r="F594" s="2268"/>
      <c r="G594" s="2271"/>
      <c r="H594" s="2272"/>
      <c r="I594" s="2273"/>
      <c r="J594" s="2274"/>
      <c r="K594" s="2274"/>
      <c r="L594" s="470"/>
      <c r="M594" s="470"/>
      <c r="N594" s="470"/>
      <c r="O594" s="468"/>
      <c r="P594" s="468"/>
      <c r="Q594" s="468"/>
      <c r="R594" s="468"/>
      <c r="S594" s="468"/>
      <c r="T594" s="468"/>
      <c r="U594" s="468"/>
      <c r="V594" s="468"/>
      <c r="W594" s="468"/>
      <c r="X594" s="468"/>
      <c r="Y594" s="468"/>
      <c r="Z594" s="468"/>
      <c r="AA594" s="468"/>
      <c r="AB594" s="468"/>
      <c r="AC594" s="468"/>
      <c r="AD594" s="468"/>
    </row>
    <row r="595" spans="1:30">
      <c r="A595" s="468"/>
      <c r="B595" s="468"/>
      <c r="C595" s="655"/>
      <c r="D595" s="655"/>
      <c r="E595" s="655"/>
      <c r="F595" s="468"/>
      <c r="G595" s="1222"/>
      <c r="H595" s="470"/>
      <c r="I595" s="470"/>
      <c r="J595" s="1149"/>
      <c r="K595" s="470"/>
      <c r="L595" s="470"/>
      <c r="M595" s="470"/>
      <c r="N595" s="470"/>
      <c r="O595" s="468"/>
      <c r="P595" s="468"/>
      <c r="Q595" s="468"/>
      <c r="R595" s="468"/>
      <c r="S595" s="468"/>
      <c r="T595" s="468"/>
      <c r="U595" s="468"/>
      <c r="V595" s="468"/>
      <c r="W595" s="468"/>
      <c r="X595" s="468"/>
      <c r="Y595" s="468"/>
      <c r="Z595" s="468"/>
      <c r="AA595" s="468"/>
      <c r="AB595" s="468"/>
      <c r="AC595" s="468"/>
      <c r="AD595" s="468"/>
    </row>
    <row r="596" spans="1:30">
      <c r="A596" s="91" t="s">
        <v>527</v>
      </c>
      <c r="C596" s="100"/>
      <c r="D596" s="100"/>
      <c r="E596" s="100"/>
      <c r="F596" s="20"/>
      <c r="G596" s="20"/>
      <c r="H596" s="101"/>
      <c r="I596" s="101"/>
      <c r="J596" s="1150"/>
      <c r="K596" s="101"/>
      <c r="L596" s="101"/>
      <c r="M596" s="101"/>
      <c r="N596" s="471"/>
    </row>
    <row r="597" spans="1:30">
      <c r="A597" s="20"/>
      <c r="B597" s="20"/>
      <c r="C597" s="100"/>
      <c r="D597" s="100"/>
      <c r="E597" s="100"/>
      <c r="F597" s="20"/>
      <c r="G597" s="20"/>
      <c r="H597" s="101"/>
      <c r="I597" s="101"/>
      <c r="J597" s="101"/>
      <c r="K597" s="101"/>
      <c r="L597" s="101"/>
      <c r="M597" s="101"/>
      <c r="N597" s="471"/>
    </row>
    <row r="598" spans="1:30">
      <c r="A598" s="93" t="s">
        <v>528</v>
      </c>
      <c r="B598" t="s">
        <v>449</v>
      </c>
      <c r="C598" s="100" t="s">
        <v>450</v>
      </c>
      <c r="D598" s="100" t="s">
        <v>529</v>
      </c>
      <c r="E598" s="100" t="s">
        <v>452</v>
      </c>
      <c r="F598" s="20" t="s">
        <v>530</v>
      </c>
      <c r="G598" s="20" t="s">
        <v>531</v>
      </c>
      <c r="H598" s="101" t="s">
        <v>532</v>
      </c>
      <c r="I598" s="101"/>
      <c r="J598" s="101"/>
      <c r="K598" s="101"/>
      <c r="L598" s="101"/>
      <c r="M598" s="101"/>
      <c r="N598" s="471"/>
    </row>
    <row r="599" spans="1:30">
      <c r="A599" t="str">
        <f>+'Drop Lists'!AJ5</f>
        <v>Wells Fargo Bank</v>
      </c>
      <c r="B599" s="1480" t="s">
        <v>533</v>
      </c>
      <c r="C599" s="1480" t="s">
        <v>534</v>
      </c>
      <c r="D599" s="1480">
        <v>121000248</v>
      </c>
      <c r="E599" s="1480" t="s">
        <v>535</v>
      </c>
      <c r="F599" s="1481" t="s">
        <v>536</v>
      </c>
      <c r="G599" s="1480" t="s">
        <v>537</v>
      </c>
      <c r="H599" s="1482" t="s">
        <v>538</v>
      </c>
      <c r="I599" s="471"/>
      <c r="J599" s="471"/>
      <c r="K599" s="471"/>
      <c r="L599" s="471"/>
      <c r="M599" s="471"/>
      <c r="N599" s="471"/>
    </row>
    <row r="600" spans="1:30">
      <c r="A600" t="str">
        <f>+'Drop Lists'!AJ6</f>
        <v>Berkadia Commercial Mortgage</v>
      </c>
      <c r="B600" s="1480" t="s">
        <v>539</v>
      </c>
      <c r="C600" s="1480" t="s">
        <v>540</v>
      </c>
      <c r="D600" s="1480" t="s">
        <v>541</v>
      </c>
      <c r="E600" s="1480" t="s">
        <v>542</v>
      </c>
      <c r="F600" s="1480">
        <v>4398198460</v>
      </c>
      <c r="G600" s="1480" t="s">
        <v>543</v>
      </c>
      <c r="H600" s="1482" t="s">
        <v>544</v>
      </c>
      <c r="I600" s="471"/>
      <c r="J600" s="471"/>
      <c r="K600" s="471"/>
      <c r="L600" s="471"/>
      <c r="M600" s="471"/>
      <c r="N600" s="471"/>
    </row>
    <row r="601" spans="1:30">
      <c r="B601" s="1480"/>
      <c r="C601" s="1480"/>
      <c r="D601" s="1480"/>
      <c r="E601" s="1480"/>
      <c r="F601" s="1480"/>
      <c r="G601" s="1480"/>
      <c r="H601" s="1482"/>
      <c r="I601" s="471"/>
      <c r="J601" s="471"/>
      <c r="K601" s="471"/>
      <c r="L601" s="471"/>
      <c r="M601" s="471"/>
      <c r="N601" s="471"/>
    </row>
    <row r="602" spans="1:30">
      <c r="B602" s="1480"/>
      <c r="C602" s="1480"/>
      <c r="D602" s="1480"/>
      <c r="E602" s="1480"/>
      <c r="F602" s="1480"/>
      <c r="G602" s="1480"/>
      <c r="H602" s="1482"/>
      <c r="I602" s="471"/>
      <c r="J602" s="471"/>
      <c r="K602" s="471"/>
      <c r="L602" s="471"/>
      <c r="M602" s="471"/>
      <c r="N602" s="471"/>
    </row>
    <row r="603" spans="1:30">
      <c r="B603" s="1480"/>
      <c r="C603" s="1480"/>
      <c r="D603" s="1480"/>
      <c r="E603" s="1480"/>
      <c r="F603" s="1480"/>
      <c r="G603" s="1480"/>
      <c r="H603" s="1482"/>
      <c r="I603" s="471"/>
      <c r="J603" s="471"/>
      <c r="K603" s="471"/>
      <c r="L603" s="471"/>
      <c r="M603" s="471"/>
      <c r="N603" s="471"/>
    </row>
    <row r="604" spans="1:30">
      <c r="B604" s="1480"/>
      <c r="C604" s="1480"/>
      <c r="D604" s="1480"/>
      <c r="E604" s="1480"/>
      <c r="F604" s="1480"/>
      <c r="G604" s="1480"/>
      <c r="H604" s="1482"/>
      <c r="I604" s="471"/>
      <c r="J604" s="471"/>
      <c r="K604" s="471"/>
      <c r="L604" s="471"/>
      <c r="M604" s="471"/>
      <c r="N604" s="471"/>
    </row>
    <row r="605" spans="1:30">
      <c r="B605" s="1480"/>
      <c r="C605" s="1480"/>
      <c r="D605" s="1480"/>
      <c r="E605" s="1480"/>
      <c r="F605" s="1480"/>
      <c r="G605" s="1480"/>
      <c r="H605" s="1482"/>
      <c r="I605" s="471"/>
      <c r="J605" s="471"/>
      <c r="K605" s="471"/>
      <c r="L605" s="471"/>
      <c r="M605" s="471"/>
      <c r="N605" s="471"/>
    </row>
    <row r="606" spans="1:30">
      <c r="B606" s="1480"/>
      <c r="C606" s="1480"/>
      <c r="D606" s="1480"/>
      <c r="E606" s="1480"/>
      <c r="F606" s="1480"/>
      <c r="G606" s="1480"/>
      <c r="H606" s="1482"/>
      <c r="I606" s="471"/>
      <c r="J606" s="471"/>
      <c r="K606" s="471"/>
      <c r="L606" s="471"/>
      <c r="M606" s="471"/>
      <c r="N606" s="471"/>
    </row>
    <row r="607" spans="1:30">
      <c r="B607" s="1480"/>
      <c r="C607" s="1480"/>
      <c r="D607" s="1480"/>
      <c r="E607" s="1480"/>
      <c r="F607" s="1480"/>
      <c r="G607" s="1480"/>
      <c r="H607" s="1482"/>
      <c r="I607" s="471"/>
      <c r="J607" s="471"/>
      <c r="K607" s="471"/>
      <c r="L607" s="471"/>
      <c r="M607" s="471"/>
      <c r="N607" s="471"/>
    </row>
    <row r="609" spans="6:28">
      <c r="F609" s="2267"/>
      <c r="G609" s="2267"/>
      <c r="H609" s="2267"/>
      <c r="I609" s="2267"/>
      <c r="J609" s="2267"/>
      <c r="K609" s="2267"/>
      <c r="L609" s="2267"/>
      <c r="M609" s="2267"/>
      <c r="N609" s="2267"/>
      <c r="O609" s="2267"/>
      <c r="P609" s="2267"/>
      <c r="Q609" s="2267"/>
      <c r="R609" s="2267"/>
      <c r="S609" s="2267"/>
      <c r="T609" s="2267"/>
      <c r="U609" s="2267"/>
      <c r="V609" s="2267"/>
      <c r="W609" s="2267"/>
      <c r="X609" s="2267"/>
      <c r="Y609" s="2267"/>
      <c r="Z609" s="2267"/>
      <c r="AA609" s="2267"/>
      <c r="AB609" s="2267"/>
    </row>
    <row r="610" spans="6:28">
      <c r="F610" s="2267"/>
      <c r="G610" s="2267"/>
      <c r="H610" s="2267"/>
      <c r="I610" s="2267"/>
      <c r="J610" s="2267"/>
      <c r="K610" s="2267"/>
      <c r="L610" s="2267"/>
      <c r="M610" s="2267"/>
      <c r="N610" s="2267"/>
      <c r="O610" s="2267"/>
      <c r="P610" s="2267"/>
      <c r="Q610" s="2267"/>
      <c r="R610" s="2267"/>
      <c r="S610" s="2267"/>
      <c r="T610" s="2267"/>
      <c r="U610" s="2267"/>
      <c r="V610" s="2267"/>
      <c r="W610" s="2267"/>
      <c r="X610" s="2267"/>
      <c r="Y610" s="2267"/>
      <c r="Z610" s="2267"/>
      <c r="AA610" s="2267"/>
      <c r="AB610" s="2267"/>
    </row>
    <row r="611" spans="6:28">
      <c r="F611" s="2267"/>
      <c r="G611" s="2267"/>
      <c r="H611" s="2267"/>
      <c r="I611" s="2267"/>
      <c r="J611" s="2267"/>
      <c r="K611" s="2267"/>
      <c r="L611" s="2267"/>
      <c r="M611" s="2267"/>
      <c r="N611" s="2267"/>
      <c r="O611" s="2267"/>
      <c r="P611" s="2267"/>
      <c r="Q611" s="2267"/>
      <c r="R611" s="2267"/>
      <c r="S611" s="2267"/>
      <c r="T611" s="2267"/>
      <c r="U611" s="2267"/>
      <c r="V611" s="2267"/>
      <c r="W611" s="2267"/>
      <c r="X611" s="2267"/>
      <c r="Y611" s="2267"/>
      <c r="Z611" s="2267"/>
      <c r="AA611" s="2267"/>
      <c r="AB611" s="2267"/>
    </row>
    <row r="612" spans="6:28">
      <c r="F612" s="2267"/>
      <c r="G612" s="2267"/>
      <c r="H612" s="2267"/>
      <c r="I612" s="2267"/>
      <c r="J612" s="2267"/>
      <c r="K612" s="2267"/>
      <c r="L612" s="2267"/>
      <c r="M612" s="2267"/>
      <c r="N612" s="2267"/>
      <c r="O612" s="2267"/>
      <c r="P612" s="2267"/>
      <c r="Q612" s="2267"/>
      <c r="R612" s="2267"/>
      <c r="S612" s="2267"/>
      <c r="T612" s="2267"/>
      <c r="U612" s="2267"/>
      <c r="V612" s="2267"/>
      <c r="W612" s="2267"/>
      <c r="X612" s="2267"/>
      <c r="Y612" s="2267"/>
      <c r="Z612" s="2267"/>
      <c r="AA612" s="2267"/>
      <c r="AB612" s="2267"/>
    </row>
    <row r="613" spans="6:28">
      <c r="F613" s="2267"/>
      <c r="G613" s="2267"/>
      <c r="H613" s="2267"/>
      <c r="I613" s="2267"/>
      <c r="J613" s="2267"/>
      <c r="K613" s="2267"/>
      <c r="L613" s="2267"/>
      <c r="M613" s="2267"/>
      <c r="N613" s="2267"/>
      <c r="O613" s="2267"/>
      <c r="P613" s="2267"/>
      <c r="Q613" s="2267"/>
      <c r="R613" s="2267"/>
      <c r="S613" s="2267"/>
      <c r="T613" s="2267"/>
      <c r="U613" s="2267"/>
      <c r="V613" s="2267"/>
      <c r="W613" s="2267"/>
      <c r="X613" s="2267"/>
      <c r="Y613" s="2267"/>
      <c r="Z613" s="2267"/>
      <c r="AA613" s="2267"/>
      <c r="AB613" s="2267"/>
    </row>
    <row r="614" spans="6:28">
      <c r="F614" s="2267"/>
      <c r="G614" s="2267"/>
      <c r="H614" s="2267"/>
      <c r="I614" s="2267"/>
      <c r="J614" s="2267"/>
      <c r="K614" s="2267"/>
      <c r="L614" s="2267"/>
      <c r="M614" s="2267"/>
      <c r="N614" s="2267"/>
      <c r="O614" s="2267"/>
      <c r="P614" s="2267"/>
      <c r="Q614" s="2267"/>
      <c r="R614" s="2267"/>
      <c r="S614" s="2267"/>
      <c r="T614" s="2267"/>
      <c r="U614" s="2267"/>
      <c r="V614" s="2267"/>
      <c r="W614" s="2267"/>
      <c r="X614" s="2267"/>
      <c r="Y614" s="2267"/>
      <c r="Z614" s="2267"/>
      <c r="AA614" s="2267"/>
      <c r="AB614" s="2267"/>
    </row>
    <row r="615" spans="6:28">
      <c r="F615" s="2267"/>
      <c r="G615" s="2267"/>
      <c r="H615" s="2267"/>
      <c r="I615" s="2267"/>
      <c r="J615" s="2267"/>
      <c r="K615" s="2267"/>
      <c r="L615" s="2267"/>
      <c r="M615" s="2267"/>
      <c r="N615" s="2267"/>
      <c r="O615" s="2267"/>
      <c r="P615" s="2267"/>
      <c r="Q615" s="2267"/>
      <c r="R615" s="2267"/>
      <c r="S615" s="2267"/>
      <c r="T615" s="2267"/>
      <c r="U615" s="2267"/>
      <c r="V615" s="2267"/>
      <c r="W615" s="2267"/>
      <c r="X615" s="2267"/>
      <c r="Y615" s="2267"/>
      <c r="Z615" s="2267"/>
      <c r="AA615" s="2267"/>
      <c r="AB615" s="2267"/>
    </row>
    <row r="616" spans="6:28">
      <c r="F616" s="2267"/>
      <c r="G616" s="2267"/>
      <c r="H616" s="2267"/>
      <c r="I616" s="2267"/>
      <c r="J616" s="2267"/>
      <c r="K616" s="2267"/>
      <c r="L616" s="2267"/>
      <c r="M616" s="2267"/>
      <c r="N616" s="2267"/>
      <c r="O616" s="2267"/>
      <c r="P616" s="2267"/>
      <c r="Q616" s="2267"/>
      <c r="R616" s="2267"/>
      <c r="S616" s="2267"/>
      <c r="T616" s="2267"/>
      <c r="U616" s="2267"/>
      <c r="V616" s="2267"/>
      <c r="W616" s="2267"/>
      <c r="X616" s="2267"/>
      <c r="Y616" s="2267"/>
      <c r="Z616" s="2267"/>
      <c r="AA616" s="2267"/>
      <c r="AB616" s="2267"/>
    </row>
    <row r="617" spans="6:28">
      <c r="F617" s="2267"/>
      <c r="G617" s="2267"/>
      <c r="H617" s="2267"/>
      <c r="I617" s="2267"/>
      <c r="J617" s="2267"/>
      <c r="K617" s="2267"/>
      <c r="L617" s="2267"/>
      <c r="M617" s="2267"/>
      <c r="N617" s="2267"/>
      <c r="O617" s="2267"/>
      <c r="P617" s="2267"/>
      <c r="Q617" s="2267"/>
      <c r="R617" s="2267"/>
      <c r="S617" s="2267"/>
      <c r="T617" s="2267"/>
      <c r="U617" s="2267"/>
      <c r="V617" s="2267"/>
      <c r="W617" s="2267"/>
      <c r="X617" s="2267"/>
      <c r="Y617" s="2267"/>
      <c r="Z617" s="2267"/>
      <c r="AA617" s="2267"/>
      <c r="AB617" s="2267"/>
    </row>
    <row r="618" spans="6:28">
      <c r="F618" s="2267"/>
      <c r="G618" s="2267"/>
      <c r="H618" s="2267"/>
      <c r="I618" s="2267"/>
      <c r="J618" s="2267"/>
      <c r="K618" s="2267"/>
      <c r="L618" s="2267"/>
      <c r="M618" s="2267"/>
      <c r="N618" s="2267"/>
      <c r="O618" s="2267"/>
      <c r="P618" s="2267"/>
      <c r="Q618" s="2267"/>
      <c r="R618" s="2267"/>
      <c r="S618" s="2267"/>
      <c r="T618" s="2267"/>
      <c r="U618" s="2267"/>
      <c r="V618" s="2267"/>
      <c r="W618" s="2267"/>
      <c r="X618" s="2267"/>
      <c r="Y618" s="2267"/>
      <c r="Z618" s="2267"/>
      <c r="AA618" s="2267"/>
      <c r="AB618" s="2267"/>
    </row>
    <row r="619" spans="6:28">
      <c r="F619" s="2267"/>
      <c r="G619" s="2267"/>
      <c r="H619" s="2267"/>
      <c r="I619" s="2267"/>
      <c r="J619" s="2267"/>
      <c r="K619" s="2267"/>
      <c r="L619" s="2267"/>
      <c r="M619" s="2267"/>
      <c r="N619" s="2267"/>
      <c r="O619" s="2267"/>
      <c r="P619" s="2267"/>
      <c r="Q619" s="2267"/>
      <c r="R619" s="2267"/>
      <c r="S619" s="2267"/>
      <c r="T619" s="2267"/>
      <c r="U619" s="2267"/>
      <c r="V619" s="2267"/>
      <c r="W619" s="2267"/>
      <c r="X619" s="2267"/>
      <c r="Y619" s="2267"/>
      <c r="Z619" s="2267"/>
      <c r="AA619" s="2267"/>
      <c r="AB619" s="2267"/>
    </row>
    <row r="620" spans="6:28">
      <c r="F620" s="2267"/>
      <c r="G620" s="2267"/>
      <c r="H620" s="2267"/>
      <c r="I620" s="2267"/>
      <c r="J620" s="2267"/>
      <c r="K620" s="2267"/>
      <c r="L620" s="2267"/>
      <c r="M620" s="2267"/>
      <c r="N620" s="2267"/>
      <c r="O620" s="2267"/>
      <c r="P620" s="2267"/>
      <c r="Q620" s="2267"/>
      <c r="R620" s="2267"/>
      <c r="S620" s="2267"/>
      <c r="T620" s="2267"/>
      <c r="U620" s="2267"/>
      <c r="V620" s="2267"/>
      <c r="W620" s="2267"/>
      <c r="X620" s="2267"/>
      <c r="Y620" s="2267"/>
      <c r="Z620" s="2267"/>
      <c r="AA620" s="2267"/>
      <c r="AB620" s="2267"/>
    </row>
    <row r="621" spans="6:28">
      <c r="F621" s="2267"/>
      <c r="G621" s="2267"/>
      <c r="H621" s="2267"/>
      <c r="I621" s="2267"/>
      <c r="J621" s="2267"/>
      <c r="K621" s="2267"/>
      <c r="L621" s="2267"/>
      <c r="M621" s="2267"/>
      <c r="N621" s="2267"/>
      <c r="O621" s="2267"/>
      <c r="P621" s="2267"/>
      <c r="Q621" s="2267"/>
      <c r="R621" s="2267"/>
      <c r="S621" s="2267"/>
      <c r="T621" s="2267"/>
      <c r="U621" s="2267"/>
      <c r="V621" s="2267"/>
      <c r="W621" s="2267"/>
      <c r="X621" s="2267"/>
      <c r="Y621" s="2267"/>
      <c r="Z621" s="2267"/>
      <c r="AA621" s="2267"/>
      <c r="AB621" s="2267"/>
    </row>
    <row r="622" spans="6:28">
      <c r="F622" s="2267"/>
      <c r="G622" s="2267"/>
      <c r="H622" s="2267"/>
      <c r="I622" s="2267"/>
      <c r="J622" s="2267"/>
      <c r="K622" s="2267"/>
      <c r="L622" s="2267"/>
      <c r="M622" s="2267"/>
      <c r="N622" s="2267"/>
      <c r="O622" s="2267"/>
      <c r="P622" s="2267"/>
      <c r="Q622" s="2267"/>
      <c r="R622" s="2267"/>
      <c r="S622" s="2267"/>
      <c r="T622" s="2267"/>
      <c r="U622" s="2267"/>
      <c r="V622" s="2267"/>
      <c r="W622" s="2267"/>
      <c r="X622" s="2267"/>
      <c r="Y622" s="2267"/>
      <c r="Z622" s="2267"/>
      <c r="AA622" s="2267"/>
      <c r="AB622" s="2267"/>
    </row>
    <row r="623" spans="6:28">
      <c r="F623" s="2267"/>
      <c r="G623" s="2267"/>
      <c r="H623" s="2267"/>
      <c r="I623" s="2267"/>
      <c r="J623" s="2267"/>
      <c r="K623" s="2267"/>
      <c r="L623" s="2267"/>
      <c r="M623" s="2267"/>
      <c r="N623" s="2267"/>
      <c r="O623" s="2267"/>
      <c r="P623" s="2267"/>
      <c r="Q623" s="2267"/>
      <c r="R623" s="2267"/>
      <c r="S623" s="2267"/>
      <c r="T623" s="2267"/>
      <c r="U623" s="2267"/>
      <c r="V623" s="2267"/>
      <c r="W623" s="2267"/>
      <c r="X623" s="2267"/>
      <c r="Y623" s="2267"/>
      <c r="Z623" s="2267"/>
      <c r="AA623" s="2267"/>
      <c r="AB623" s="2267"/>
    </row>
    <row r="624" spans="6:28">
      <c r="F624" s="2267"/>
      <c r="G624" s="2267"/>
      <c r="H624" s="2267"/>
      <c r="I624" s="2267"/>
      <c r="J624" s="2267"/>
      <c r="K624" s="2267"/>
      <c r="L624" s="2267"/>
      <c r="M624" s="2267"/>
      <c r="N624" s="2267"/>
      <c r="O624" s="2267"/>
      <c r="P624" s="2267"/>
      <c r="Q624" s="2267"/>
      <c r="R624" s="2267"/>
      <c r="S624" s="2267"/>
      <c r="T624" s="2267"/>
      <c r="U624" s="2267"/>
      <c r="V624" s="2267"/>
      <c r="W624" s="2267"/>
      <c r="X624" s="2267"/>
      <c r="Y624" s="2267"/>
      <c r="Z624" s="2267"/>
      <c r="AA624" s="2267"/>
      <c r="AB624" s="2267"/>
    </row>
    <row r="625" spans="6:28">
      <c r="F625" s="2267"/>
      <c r="G625" s="2267"/>
      <c r="H625" s="2267"/>
      <c r="I625" s="2267"/>
      <c r="J625" s="2267"/>
      <c r="K625" s="2267"/>
      <c r="L625" s="2267"/>
      <c r="M625" s="2267"/>
      <c r="N625" s="2267"/>
      <c r="O625" s="2267"/>
      <c r="P625" s="2267"/>
      <c r="Q625" s="2267"/>
      <c r="R625" s="2267"/>
      <c r="S625" s="2267"/>
      <c r="T625" s="2267"/>
      <c r="U625" s="2267"/>
      <c r="V625" s="2267"/>
      <c r="W625" s="2267"/>
      <c r="X625" s="2267"/>
      <c r="Y625" s="2267"/>
      <c r="Z625" s="2267"/>
      <c r="AA625" s="2267"/>
      <c r="AB625" s="2267"/>
    </row>
    <row r="626" spans="6:28">
      <c r="F626" s="2267"/>
      <c r="G626" s="2267"/>
      <c r="H626" s="2267"/>
      <c r="I626" s="2267"/>
      <c r="J626" s="2267"/>
      <c r="K626" s="2267"/>
      <c r="L626" s="2267"/>
      <c r="M626" s="2267"/>
      <c r="N626" s="2267"/>
      <c r="O626" s="2267"/>
      <c r="P626" s="2267"/>
      <c r="Q626" s="2267"/>
      <c r="R626" s="2267"/>
      <c r="S626" s="2267"/>
      <c r="T626" s="2267"/>
      <c r="U626" s="2267"/>
      <c r="V626" s="2267"/>
      <c r="W626" s="2267"/>
      <c r="X626" s="2267"/>
      <c r="Y626" s="2267"/>
      <c r="Z626" s="2267"/>
      <c r="AA626" s="2267"/>
      <c r="AB626" s="2267"/>
    </row>
    <row r="627" spans="6:28">
      <c r="F627" s="2267"/>
      <c r="G627" s="2267"/>
      <c r="H627" s="2267"/>
      <c r="I627" s="2267"/>
      <c r="J627" s="2267"/>
      <c r="K627" s="2267"/>
      <c r="L627" s="2267"/>
      <c r="M627" s="2267"/>
      <c r="N627" s="2267"/>
      <c r="O627" s="2267"/>
      <c r="P627" s="2267"/>
      <c r="Q627" s="2267"/>
      <c r="R627" s="2267"/>
      <c r="S627" s="2267"/>
      <c r="T627" s="2267"/>
      <c r="U627" s="2267"/>
      <c r="V627" s="2267"/>
      <c r="W627" s="2267"/>
      <c r="X627" s="2267"/>
      <c r="Y627" s="2267"/>
      <c r="Z627" s="2267"/>
      <c r="AA627" s="2267"/>
      <c r="AB627" s="2267"/>
    </row>
    <row r="628" spans="6:28">
      <c r="F628" s="2267"/>
      <c r="G628" s="2267"/>
      <c r="H628" s="2267"/>
      <c r="I628" s="2267"/>
      <c r="J628" s="2267"/>
      <c r="K628" s="2267"/>
      <c r="L628" s="2267"/>
      <c r="M628" s="2267"/>
      <c r="N628" s="2267"/>
      <c r="O628" s="2267"/>
      <c r="P628" s="2267"/>
      <c r="Q628" s="2267"/>
      <c r="R628" s="2267"/>
      <c r="S628" s="2267"/>
      <c r="T628" s="2267"/>
      <c r="U628" s="2267"/>
      <c r="V628" s="2267"/>
      <c r="W628" s="2267"/>
      <c r="X628" s="2267"/>
      <c r="Y628" s="2267"/>
      <c r="Z628" s="2267"/>
      <c r="AA628" s="2267"/>
      <c r="AB628" s="2267"/>
    </row>
    <row r="629" spans="6:28">
      <c r="F629" s="2267"/>
      <c r="G629" s="2267"/>
      <c r="H629" s="2267"/>
      <c r="I629" s="2267"/>
      <c r="J629" s="2267"/>
      <c r="K629" s="2267"/>
      <c r="L629" s="2267"/>
      <c r="M629" s="2267"/>
      <c r="N629" s="2267"/>
      <c r="O629" s="2267"/>
      <c r="P629" s="2267"/>
      <c r="Q629" s="2267"/>
      <c r="R629" s="2267"/>
      <c r="S629" s="2267"/>
      <c r="T629" s="2267"/>
      <c r="U629" s="2267"/>
      <c r="V629" s="2267"/>
      <c r="W629" s="2267"/>
      <c r="X629" s="2267"/>
      <c r="Y629" s="2267"/>
      <c r="Z629" s="2267"/>
      <c r="AA629" s="2267"/>
      <c r="AB629" s="2267"/>
    </row>
    <row r="630" spans="6:28">
      <c r="F630" s="2267"/>
      <c r="G630" s="2267"/>
      <c r="H630" s="2267"/>
      <c r="I630" s="2267"/>
      <c r="J630" s="2267"/>
      <c r="K630" s="2267"/>
      <c r="L630" s="2267"/>
      <c r="M630" s="2267"/>
      <c r="N630" s="2267"/>
      <c r="O630" s="2267"/>
      <c r="P630" s="2267"/>
      <c r="Q630" s="2267"/>
      <c r="R630" s="2267"/>
      <c r="S630" s="2267"/>
      <c r="T630" s="2267"/>
      <c r="U630" s="2267"/>
      <c r="V630" s="2267"/>
      <c r="W630" s="2267"/>
      <c r="X630" s="2267"/>
      <c r="Y630" s="2267"/>
      <c r="Z630" s="2267"/>
      <c r="AA630" s="2267"/>
      <c r="AB630" s="2267"/>
    </row>
    <row r="631" spans="6:28">
      <c r="F631" s="2267"/>
    </row>
    <row r="632" spans="6:28">
      <c r="H632" s="471"/>
      <c r="I632" s="471"/>
      <c r="J632" s="471"/>
      <c r="K632" s="471"/>
      <c r="L632" s="471"/>
      <c r="M632" s="471"/>
      <c r="N632" s="471"/>
    </row>
    <row r="633" spans="6:28">
      <c r="H633" s="471"/>
      <c r="I633" s="471"/>
      <c r="J633" s="471"/>
      <c r="K633" s="471"/>
      <c r="L633" s="471"/>
      <c r="M633" s="471"/>
      <c r="N633" s="471"/>
    </row>
    <row r="634" spans="6:28">
      <c r="H634" s="471"/>
      <c r="I634" s="471"/>
      <c r="J634" s="471"/>
      <c r="K634" s="471"/>
      <c r="L634" s="471"/>
      <c r="M634" s="471"/>
      <c r="N634" s="471"/>
    </row>
    <row r="635" spans="6:28">
      <c r="H635" s="471"/>
      <c r="I635" s="471"/>
      <c r="J635" s="471"/>
      <c r="K635" s="471"/>
      <c r="L635" s="471"/>
      <c r="M635" s="471"/>
      <c r="N635" s="471"/>
    </row>
    <row r="636" spans="6:28">
      <c r="H636" s="471"/>
      <c r="I636" s="471"/>
      <c r="J636" s="471"/>
      <c r="K636" s="471"/>
      <c r="L636" s="471"/>
      <c r="M636" s="471"/>
      <c r="N636" s="471"/>
    </row>
    <row r="637" spans="6:28">
      <c r="H637" s="471"/>
      <c r="I637" s="471"/>
      <c r="J637" s="471"/>
      <c r="K637" s="471"/>
      <c r="L637" s="471"/>
      <c r="M637" s="471"/>
      <c r="N637" s="471"/>
    </row>
    <row r="638" spans="6:28">
      <c r="H638" s="471"/>
      <c r="I638" s="471"/>
      <c r="J638" s="471"/>
      <c r="K638" s="471"/>
      <c r="L638" s="471"/>
      <c r="M638" s="471"/>
      <c r="N638" s="471"/>
    </row>
    <row r="639" spans="6:28">
      <c r="H639" s="471"/>
      <c r="I639" s="471"/>
      <c r="J639" s="471"/>
      <c r="K639" s="471"/>
      <c r="L639" s="471"/>
      <c r="M639" s="471"/>
      <c r="N639" s="471"/>
    </row>
    <row r="640" spans="6:28">
      <c r="H640" s="471"/>
      <c r="I640" s="471"/>
      <c r="J640" s="471"/>
      <c r="K640" s="471"/>
      <c r="L640" s="471"/>
      <c r="M640" s="471"/>
      <c r="N640" s="471"/>
    </row>
    <row r="641" spans="8:14">
      <c r="H641" s="471"/>
      <c r="I641" s="471"/>
      <c r="J641" s="471"/>
      <c r="K641" s="471"/>
      <c r="L641" s="471"/>
      <c r="M641" s="471"/>
      <c r="N641" s="471"/>
    </row>
    <row r="642" spans="8:14">
      <c r="H642" s="471"/>
      <c r="I642" s="471"/>
      <c r="J642" s="471"/>
      <c r="K642" s="471"/>
      <c r="L642" s="471"/>
      <c r="M642" s="471"/>
      <c r="N642" s="471"/>
    </row>
    <row r="643" spans="8:14">
      <c r="H643" s="471"/>
      <c r="I643" s="471"/>
      <c r="J643" s="471"/>
      <c r="K643" s="471"/>
      <c r="L643" s="471"/>
      <c r="M643" s="471"/>
      <c r="N643" s="471"/>
    </row>
    <row r="644" spans="8:14">
      <c r="H644" s="471"/>
      <c r="I644" s="471"/>
      <c r="J644" s="471"/>
      <c r="K644" s="471"/>
      <c r="L644" s="471"/>
      <c r="M644" s="471"/>
      <c r="N644" s="471"/>
    </row>
    <row r="645" spans="8:14">
      <c r="H645" s="471"/>
      <c r="I645" s="471"/>
      <c r="J645" s="471"/>
      <c r="K645" s="471"/>
      <c r="L645" s="471"/>
      <c r="M645" s="471"/>
      <c r="N645" s="471"/>
    </row>
    <row r="646" spans="8:14">
      <c r="H646" s="471"/>
      <c r="I646" s="471"/>
      <c r="J646" s="471"/>
      <c r="K646" s="471"/>
      <c r="L646" s="471"/>
      <c r="M646" s="471"/>
      <c r="N646" s="471"/>
    </row>
    <row r="647" spans="8:14">
      <c r="H647" s="471"/>
      <c r="I647" s="471"/>
      <c r="J647" s="471"/>
      <c r="K647" s="471"/>
      <c r="L647" s="471"/>
      <c r="M647" s="471"/>
      <c r="N647" s="471"/>
    </row>
    <row r="648" spans="8:14">
      <c r="H648" s="471"/>
      <c r="I648" s="471"/>
      <c r="J648" s="471"/>
      <c r="K648" s="471"/>
      <c r="L648" s="471"/>
      <c r="M648" s="471"/>
      <c r="N648" s="471"/>
    </row>
    <row r="649" spans="8:14">
      <c r="H649" s="471"/>
      <c r="I649" s="471"/>
      <c r="J649" s="471"/>
      <c r="K649" s="471"/>
      <c r="L649" s="471"/>
      <c r="M649" s="471"/>
      <c r="N649" s="471"/>
    </row>
    <row r="650" spans="8:14">
      <c r="H650" s="471"/>
      <c r="I650" s="471"/>
      <c r="J650" s="471"/>
      <c r="K650" s="471"/>
      <c r="L650" s="471"/>
      <c r="M650" s="471"/>
      <c r="N650" s="471"/>
    </row>
    <row r="651" spans="8:14">
      <c r="H651" s="471"/>
      <c r="I651" s="471"/>
      <c r="J651" s="471"/>
      <c r="K651" s="471"/>
      <c r="L651" s="471"/>
      <c r="M651" s="471"/>
      <c r="N651" s="471"/>
    </row>
    <row r="652" spans="8:14">
      <c r="H652" s="471"/>
      <c r="I652" s="471"/>
      <c r="J652" s="471"/>
      <c r="K652" s="471"/>
      <c r="L652" s="471"/>
      <c r="M652" s="471"/>
      <c r="N652" s="471"/>
    </row>
    <row r="653" spans="8:14">
      <c r="H653" s="471"/>
      <c r="I653" s="471"/>
      <c r="J653" s="471"/>
      <c r="K653" s="471"/>
      <c r="L653" s="471"/>
      <c r="M653" s="471"/>
      <c r="N653" s="471"/>
    </row>
    <row r="654" spans="8:14">
      <c r="H654" s="471"/>
      <c r="I654" s="471"/>
      <c r="J654" s="471"/>
      <c r="K654" s="471"/>
      <c r="L654" s="471"/>
      <c r="M654" s="471"/>
      <c r="N654" s="471"/>
    </row>
    <row r="655" spans="8:14">
      <c r="H655" s="471"/>
      <c r="I655" s="471"/>
      <c r="J655" s="471"/>
      <c r="K655" s="471"/>
      <c r="L655" s="471"/>
      <c r="M655" s="471"/>
      <c r="N655" s="471"/>
    </row>
    <row r="656" spans="8:14">
      <c r="H656" s="471"/>
      <c r="I656" s="471"/>
      <c r="J656" s="471"/>
      <c r="K656" s="471"/>
      <c r="L656" s="471"/>
      <c r="M656" s="471"/>
      <c r="N656" s="471"/>
    </row>
    <row r="657" spans="8:14">
      <c r="H657" s="471"/>
      <c r="I657" s="471"/>
      <c r="J657" s="471"/>
      <c r="K657" s="471"/>
      <c r="L657" s="471"/>
      <c r="M657" s="471"/>
      <c r="N657" s="471"/>
    </row>
    <row r="658" spans="8:14">
      <c r="H658" s="471"/>
      <c r="I658" s="471"/>
      <c r="J658" s="471"/>
      <c r="K658" s="471"/>
      <c r="L658" s="471"/>
      <c r="M658" s="471"/>
      <c r="N658" s="471"/>
    </row>
    <row r="659" spans="8:14">
      <c r="H659" s="471"/>
      <c r="I659" s="471"/>
      <c r="J659" s="471"/>
      <c r="K659" s="471"/>
      <c r="L659" s="471"/>
      <c r="M659" s="471"/>
      <c r="N659" s="471"/>
    </row>
    <row r="660" spans="8:14">
      <c r="H660" s="471"/>
      <c r="I660" s="471"/>
      <c r="J660" s="471"/>
      <c r="K660" s="471"/>
      <c r="L660" s="471"/>
      <c r="M660" s="471"/>
      <c r="N660" s="471"/>
    </row>
    <row r="661" spans="8:14">
      <c r="H661" s="471"/>
      <c r="I661" s="471"/>
      <c r="J661" s="471"/>
      <c r="K661" s="471"/>
      <c r="L661" s="471"/>
      <c r="M661" s="471"/>
      <c r="N661" s="471"/>
    </row>
    <row r="662" spans="8:14">
      <c r="H662" s="471"/>
      <c r="I662" s="471"/>
      <c r="J662" s="471"/>
      <c r="K662" s="471"/>
      <c r="L662" s="471"/>
      <c r="M662" s="471"/>
      <c r="N662" s="471"/>
    </row>
    <row r="663" spans="8:14">
      <c r="H663" s="471"/>
      <c r="I663" s="471"/>
      <c r="J663" s="471"/>
      <c r="K663" s="471"/>
      <c r="L663" s="471"/>
      <c r="M663" s="471"/>
      <c r="N663" s="471"/>
    </row>
    <row r="664" spans="8:14">
      <c r="H664" s="471"/>
      <c r="I664" s="471"/>
      <c r="J664" s="471"/>
      <c r="K664" s="471"/>
      <c r="L664" s="471"/>
      <c r="M664" s="471"/>
      <c r="N664" s="471"/>
    </row>
    <row r="665" spans="8:14">
      <c r="H665" s="471"/>
      <c r="I665" s="471"/>
      <c r="J665" s="471"/>
      <c r="K665" s="471"/>
      <c r="L665" s="471"/>
      <c r="M665" s="471"/>
      <c r="N665" s="471"/>
    </row>
    <row r="666" spans="8:14">
      <c r="H666" s="471"/>
      <c r="I666" s="471"/>
      <c r="J666" s="471"/>
      <c r="K666" s="471"/>
      <c r="L666" s="471"/>
      <c r="M666" s="471"/>
      <c r="N666" s="471"/>
    </row>
    <row r="667" spans="8:14">
      <c r="H667" s="471"/>
      <c r="I667" s="471"/>
      <c r="J667" s="471"/>
      <c r="K667" s="471"/>
      <c r="L667" s="471"/>
      <c r="M667" s="471"/>
      <c r="N667" s="471"/>
    </row>
    <row r="668" spans="8:14">
      <c r="H668" s="471"/>
      <c r="I668" s="471"/>
      <c r="J668" s="471"/>
      <c r="K668" s="471"/>
      <c r="L668" s="471"/>
      <c r="M668" s="471"/>
      <c r="N668" s="471"/>
    </row>
    <row r="669" spans="8:14">
      <c r="H669" s="471"/>
      <c r="I669" s="471"/>
      <c r="J669" s="471"/>
      <c r="K669" s="471"/>
      <c r="L669" s="471"/>
      <c r="M669" s="471"/>
      <c r="N669" s="471"/>
    </row>
    <row r="670" spans="8:14">
      <c r="H670" s="471"/>
      <c r="I670" s="471"/>
      <c r="J670" s="471"/>
      <c r="K670" s="471"/>
      <c r="L670" s="471"/>
      <c r="M670" s="471"/>
      <c r="N670" s="471"/>
    </row>
    <row r="671" spans="8:14">
      <c r="H671" s="471"/>
      <c r="I671" s="471"/>
      <c r="J671" s="471"/>
      <c r="K671" s="471"/>
      <c r="L671" s="471"/>
      <c r="M671" s="471"/>
      <c r="N671" s="471"/>
    </row>
  </sheetData>
  <sortState xmlns:xlrd2="http://schemas.microsoft.com/office/spreadsheetml/2017/richdata2" ref="B574:K587">
    <sortCondition ref="B574:B587"/>
  </sortState>
  <mergeCells count="425">
    <mergeCell ref="O350:S350"/>
    <mergeCell ref="B342:C342"/>
    <mergeCell ref="J342:K342"/>
    <mergeCell ref="O161:O162"/>
    <mergeCell ref="J452:K452"/>
    <mergeCell ref="B275:C275"/>
    <mergeCell ref="D245:F245"/>
    <mergeCell ref="D246:F246"/>
    <mergeCell ref="D242:F242"/>
    <mergeCell ref="B250:C250"/>
    <mergeCell ref="B258:C258"/>
    <mergeCell ref="B259:C259"/>
    <mergeCell ref="B260:C260"/>
    <mergeCell ref="B261:C261"/>
    <mergeCell ref="B262:C262"/>
    <mergeCell ref="B328:C328"/>
    <mergeCell ref="B329:C329"/>
    <mergeCell ref="B330:C330"/>
    <mergeCell ref="B331:C331"/>
    <mergeCell ref="B332:C332"/>
    <mergeCell ref="B315:C315"/>
    <mergeCell ref="B316:C316"/>
    <mergeCell ref="B317:C317"/>
    <mergeCell ref="B318:C318"/>
    <mergeCell ref="M427:N427"/>
    <mergeCell ref="M399:N399"/>
    <mergeCell ref="J388:K388"/>
    <mergeCell ref="B384:C384"/>
    <mergeCell ref="B385:C385"/>
    <mergeCell ref="B386:C386"/>
    <mergeCell ref="J340:K340"/>
    <mergeCell ref="J344:K344"/>
    <mergeCell ref="B362:C362"/>
    <mergeCell ref="B368:C368"/>
    <mergeCell ref="J403:K403"/>
    <mergeCell ref="J404:K404"/>
    <mergeCell ref="J405:K405"/>
    <mergeCell ref="J392:K392"/>
    <mergeCell ref="B378:C378"/>
    <mergeCell ref="B379:C379"/>
    <mergeCell ref="B380:C380"/>
    <mergeCell ref="B381:C381"/>
    <mergeCell ref="B389:C389"/>
    <mergeCell ref="B390:C390"/>
    <mergeCell ref="B387:C387"/>
    <mergeCell ref="J386:K386"/>
    <mergeCell ref="J399:K399"/>
    <mergeCell ref="D388:F388"/>
    <mergeCell ref="B319:C319"/>
    <mergeCell ref="B367:C367"/>
    <mergeCell ref="B320:C320"/>
    <mergeCell ref="B321:C321"/>
    <mergeCell ref="B363:C363"/>
    <mergeCell ref="B364:C364"/>
    <mergeCell ref="B365:C365"/>
    <mergeCell ref="B366:C366"/>
    <mergeCell ref="M426:N426"/>
    <mergeCell ref="D386:F386"/>
    <mergeCell ref="D387:F387"/>
    <mergeCell ref="D391:F391"/>
    <mergeCell ref="J381:K381"/>
    <mergeCell ref="J377:K377"/>
    <mergeCell ref="J378:K378"/>
    <mergeCell ref="J379:K379"/>
    <mergeCell ref="J380:K380"/>
    <mergeCell ref="M373:N373"/>
    <mergeCell ref="J375:K375"/>
    <mergeCell ref="J376:K376"/>
    <mergeCell ref="M338:N338"/>
    <mergeCell ref="B369:C369"/>
    <mergeCell ref="B382:C382"/>
    <mergeCell ref="B322:C322"/>
    <mergeCell ref="B323:C323"/>
    <mergeCell ref="B360:C360"/>
    <mergeCell ref="B361:C361"/>
    <mergeCell ref="B324:C324"/>
    <mergeCell ref="B325:C325"/>
    <mergeCell ref="B326:C326"/>
    <mergeCell ref="B327:C327"/>
    <mergeCell ref="B345:C345"/>
    <mergeCell ref="B346:C346"/>
    <mergeCell ref="B347:C347"/>
    <mergeCell ref="A354:F354"/>
    <mergeCell ref="B348:C348"/>
    <mergeCell ref="B333:C333"/>
    <mergeCell ref="B334:C334"/>
    <mergeCell ref="B340:C340"/>
    <mergeCell ref="B341:C341"/>
    <mergeCell ref="B350:C350"/>
    <mergeCell ref="B343:C343"/>
    <mergeCell ref="B344:C344"/>
    <mergeCell ref="D389:F389"/>
    <mergeCell ref="D390:F390"/>
    <mergeCell ref="J387:K387"/>
    <mergeCell ref="J391:K391"/>
    <mergeCell ref="J393:K393"/>
    <mergeCell ref="B383:C383"/>
    <mergeCell ref="J478:K478"/>
    <mergeCell ref="J441:K441"/>
    <mergeCell ref="J462:K462"/>
    <mergeCell ref="J445:K445"/>
    <mergeCell ref="J473:K473"/>
    <mergeCell ref="J474:K474"/>
    <mergeCell ref="J475:K475"/>
    <mergeCell ref="J476:K476"/>
    <mergeCell ref="J470:K470"/>
    <mergeCell ref="J464:K464"/>
    <mergeCell ref="J465:K465"/>
    <mergeCell ref="J457:K457"/>
    <mergeCell ref="J454:K454"/>
    <mergeCell ref="J455:K455"/>
    <mergeCell ref="J456:K456"/>
    <mergeCell ref="J453:K453"/>
    <mergeCell ref="J463:K463"/>
    <mergeCell ref="J446:K446"/>
    <mergeCell ref="J288:K288"/>
    <mergeCell ref="J279:K279"/>
    <mergeCell ref="J286:K286"/>
    <mergeCell ref="J322:K322"/>
    <mergeCell ref="J469:K469"/>
    <mergeCell ref="J402:K402"/>
    <mergeCell ref="J406:K406"/>
    <mergeCell ref="J407:K407"/>
    <mergeCell ref="J477:K477"/>
    <mergeCell ref="J409:K409"/>
    <mergeCell ref="J410:K410"/>
    <mergeCell ref="J428:K428"/>
    <mergeCell ref="J411:K411"/>
    <mergeCell ref="J430:K430"/>
    <mergeCell ref="J431:K431"/>
    <mergeCell ref="J435:K435"/>
    <mergeCell ref="J439:K439"/>
    <mergeCell ref="J329:K329"/>
    <mergeCell ref="J330:K330"/>
    <mergeCell ref="J350:K350"/>
    <mergeCell ref="J389:K389"/>
    <mergeCell ref="J390:K390"/>
    <mergeCell ref="J401:K401"/>
    <mergeCell ref="J437:K437"/>
    <mergeCell ref="J371:K371"/>
    <mergeCell ref="J373:K373"/>
    <mergeCell ref="J374:K374"/>
    <mergeCell ref="J332:K332"/>
    <mergeCell ref="J408:K408"/>
    <mergeCell ref="J433:K433"/>
    <mergeCell ref="J426:K426"/>
    <mergeCell ref="J434:K434"/>
    <mergeCell ref="J432:K432"/>
    <mergeCell ref="J347:K347"/>
    <mergeCell ref="J351:K351"/>
    <mergeCell ref="J458:K458"/>
    <mergeCell ref="J447:K447"/>
    <mergeCell ref="J448:K448"/>
    <mergeCell ref="J449:K449"/>
    <mergeCell ref="J450:K450"/>
    <mergeCell ref="J451:K451"/>
    <mergeCell ref="J427:K427"/>
    <mergeCell ref="J459:K459"/>
    <mergeCell ref="J444:K444"/>
    <mergeCell ref="J440:K440"/>
    <mergeCell ref="J438:K438"/>
    <mergeCell ref="J486:K486"/>
    <mergeCell ref="J482:K482"/>
    <mergeCell ref="J460:K460"/>
    <mergeCell ref="J461:K461"/>
    <mergeCell ref="J333:K333"/>
    <mergeCell ref="J334:K334"/>
    <mergeCell ref="J382:K382"/>
    <mergeCell ref="J383:K383"/>
    <mergeCell ref="J384:K384"/>
    <mergeCell ref="J385:K385"/>
    <mergeCell ref="J349:K349"/>
    <mergeCell ref="J338:K338"/>
    <mergeCell ref="J348:K348"/>
    <mergeCell ref="J345:K345"/>
    <mergeCell ref="J346:K346"/>
    <mergeCell ref="J360:K360"/>
    <mergeCell ref="J370:K370"/>
    <mergeCell ref="J361:K361"/>
    <mergeCell ref="J442:K442"/>
    <mergeCell ref="J443:K443"/>
    <mergeCell ref="J484:K484"/>
    <mergeCell ref="J485:K485"/>
    <mergeCell ref="J471:K471"/>
    <mergeCell ref="J429:K429"/>
    <mergeCell ref="O298:S298"/>
    <mergeCell ref="O342:S342"/>
    <mergeCell ref="J372:K372"/>
    <mergeCell ref="J326:K326"/>
    <mergeCell ref="J327:K327"/>
    <mergeCell ref="J323:K323"/>
    <mergeCell ref="J324:K324"/>
    <mergeCell ref="J367:K367"/>
    <mergeCell ref="J368:K368"/>
    <mergeCell ref="J369:K369"/>
    <mergeCell ref="J343:K343"/>
    <mergeCell ref="M313:N313"/>
    <mergeCell ref="J319:K319"/>
    <mergeCell ref="J320:K320"/>
    <mergeCell ref="J321:K321"/>
    <mergeCell ref="J317:K317"/>
    <mergeCell ref="J318:K318"/>
    <mergeCell ref="J362:K362"/>
    <mergeCell ref="J363:K363"/>
    <mergeCell ref="J364:K364"/>
    <mergeCell ref="J365:K365"/>
    <mergeCell ref="J366:K366"/>
    <mergeCell ref="J301:K301"/>
    <mergeCell ref="O307:S307"/>
    <mergeCell ref="J510:K510"/>
    <mergeCell ref="J495:K495"/>
    <mergeCell ref="J496:K496"/>
    <mergeCell ref="J497:K497"/>
    <mergeCell ref="J498:K498"/>
    <mergeCell ref="J499:K499"/>
    <mergeCell ref="J500:K500"/>
    <mergeCell ref="J503:K503"/>
    <mergeCell ref="J504:K504"/>
    <mergeCell ref="J505:K505"/>
    <mergeCell ref="J501:K501"/>
    <mergeCell ref="J502:K502"/>
    <mergeCell ref="J487:K487"/>
    <mergeCell ref="J488:K488"/>
    <mergeCell ref="J489:K489"/>
    <mergeCell ref="J506:K506"/>
    <mergeCell ref="J507:K507"/>
    <mergeCell ref="J508:K508"/>
    <mergeCell ref="J509:K509"/>
    <mergeCell ref="J492:K492"/>
    <mergeCell ref="J493:K493"/>
    <mergeCell ref="J494:K494"/>
    <mergeCell ref="J490:K490"/>
    <mergeCell ref="J491:K491"/>
    <mergeCell ref="A547:K550"/>
    <mergeCell ref="J519:K519"/>
    <mergeCell ref="J520:K520"/>
    <mergeCell ref="J521:K521"/>
    <mergeCell ref="D511:F511"/>
    <mergeCell ref="D521:F521"/>
    <mergeCell ref="D522:F522"/>
    <mergeCell ref="D512:F512"/>
    <mergeCell ref="D513:F513"/>
    <mergeCell ref="D514:F514"/>
    <mergeCell ref="D515:F515"/>
    <mergeCell ref="D516:F516"/>
    <mergeCell ref="D520:F520"/>
    <mergeCell ref="D518:F518"/>
    <mergeCell ref="D519:F519"/>
    <mergeCell ref="J522:K522"/>
    <mergeCell ref="J516:K516"/>
    <mergeCell ref="J517:K517"/>
    <mergeCell ref="J518:K518"/>
    <mergeCell ref="J511:K511"/>
    <mergeCell ref="J512:K512"/>
    <mergeCell ref="J513:K513"/>
    <mergeCell ref="J515:K515"/>
    <mergeCell ref="J514:K514"/>
    <mergeCell ref="B288:C288"/>
    <mergeCell ref="B269:C269"/>
    <mergeCell ref="B270:C270"/>
    <mergeCell ref="B271:C271"/>
    <mergeCell ref="B248:C248"/>
    <mergeCell ref="B249:C249"/>
    <mergeCell ref="D307:F307"/>
    <mergeCell ref="D308:F308"/>
    <mergeCell ref="J296:K296"/>
    <mergeCell ref="J297:K297"/>
    <mergeCell ref="J298:K298"/>
    <mergeCell ref="E295:F295"/>
    <mergeCell ref="D296:F296"/>
    <mergeCell ref="J293:K293"/>
    <mergeCell ref="B279:C279"/>
    <mergeCell ref="B251:C251"/>
    <mergeCell ref="B252:C252"/>
    <mergeCell ref="B253:C253"/>
    <mergeCell ref="B254:C254"/>
    <mergeCell ref="B255:C255"/>
    <mergeCell ref="B256:C256"/>
    <mergeCell ref="B272:C272"/>
    <mergeCell ref="J278:K278"/>
    <mergeCell ref="J289:K289"/>
    <mergeCell ref="J483:K483"/>
    <mergeCell ref="D297:F297"/>
    <mergeCell ref="D298:F298"/>
    <mergeCell ref="D299:F299"/>
    <mergeCell ref="D300:F300"/>
    <mergeCell ref="D301:F301"/>
    <mergeCell ref="D302:F302"/>
    <mergeCell ref="D303:F303"/>
    <mergeCell ref="D304:F304"/>
    <mergeCell ref="J479:K479"/>
    <mergeCell ref="J481:K481"/>
    <mergeCell ref="J472:K472"/>
    <mergeCell ref="J480:K480"/>
    <mergeCell ref="J466:K466"/>
    <mergeCell ref="J467:K467"/>
    <mergeCell ref="J468:K468"/>
    <mergeCell ref="J305:K305"/>
    <mergeCell ref="D309:F309"/>
    <mergeCell ref="D310:F310"/>
    <mergeCell ref="J302:K302"/>
    <mergeCell ref="J341:K341"/>
    <mergeCell ref="J331:K331"/>
    <mergeCell ref="J310:K310"/>
    <mergeCell ref="J313:K313"/>
    <mergeCell ref="A3:P7"/>
    <mergeCell ref="J225:K225"/>
    <mergeCell ref="M225:N225"/>
    <mergeCell ref="A225:F225"/>
    <mergeCell ref="D227:F227"/>
    <mergeCell ref="J227:K227"/>
    <mergeCell ref="M227:N227"/>
    <mergeCell ref="A227:C227"/>
    <mergeCell ref="J219:K219"/>
    <mergeCell ref="M219:N219"/>
    <mergeCell ref="L23:N23"/>
    <mergeCell ref="B231:F231"/>
    <mergeCell ref="B232:F232"/>
    <mergeCell ref="J232:K232"/>
    <mergeCell ref="M242:N242"/>
    <mergeCell ref="I23:K23"/>
    <mergeCell ref="J245:K245"/>
    <mergeCell ref="J246:K246"/>
    <mergeCell ref="A21:D21"/>
    <mergeCell ref="B287:C287"/>
    <mergeCell ref="J287:K287"/>
    <mergeCell ref="M278:N278"/>
    <mergeCell ref="B273:C273"/>
    <mergeCell ref="B274:C274"/>
    <mergeCell ref="J280:K280"/>
    <mergeCell ref="J281:K281"/>
    <mergeCell ref="J282:K282"/>
    <mergeCell ref="J283:K283"/>
    <mergeCell ref="J284:K284"/>
    <mergeCell ref="J285:K285"/>
    <mergeCell ref="B276:C276"/>
    <mergeCell ref="J244:K244"/>
    <mergeCell ref="B244:F244"/>
    <mergeCell ref="J328:K328"/>
    <mergeCell ref="J325:K325"/>
    <mergeCell ref="J316:K316"/>
    <mergeCell ref="J315:K315"/>
    <mergeCell ref="D305:F305"/>
    <mergeCell ref="D306:F306"/>
    <mergeCell ref="M293:N293"/>
    <mergeCell ref="J309:K309"/>
    <mergeCell ref="J307:K307"/>
    <mergeCell ref="J308:K308"/>
    <mergeCell ref="J300:K300"/>
    <mergeCell ref="J303:K303"/>
    <mergeCell ref="J306:K306"/>
    <mergeCell ref="J299:K299"/>
    <mergeCell ref="J304:K304"/>
    <mergeCell ref="D510:F510"/>
    <mergeCell ref="D494:F494"/>
    <mergeCell ref="D495:F495"/>
    <mergeCell ref="D484:F484"/>
    <mergeCell ref="D485:F485"/>
    <mergeCell ref="D486:F486"/>
    <mergeCell ref="D392:F392"/>
    <mergeCell ref="D393:F393"/>
    <mergeCell ref="D517:F517"/>
    <mergeCell ref="D507:F507"/>
    <mergeCell ref="D508:F508"/>
    <mergeCell ref="D509:F509"/>
    <mergeCell ref="D498:F498"/>
    <mergeCell ref="D499:F499"/>
    <mergeCell ref="D500:F500"/>
    <mergeCell ref="D501:F501"/>
    <mergeCell ref="D502:F502"/>
    <mergeCell ref="D503:F503"/>
    <mergeCell ref="D504:F504"/>
    <mergeCell ref="D505:F505"/>
    <mergeCell ref="D506:F506"/>
    <mergeCell ref="D488:F488"/>
    <mergeCell ref="D489:F489"/>
    <mergeCell ref="D490:F490"/>
    <mergeCell ref="D497:F497"/>
    <mergeCell ref="B245:C245"/>
    <mergeCell ref="B246:C246"/>
    <mergeCell ref="D496:F496"/>
    <mergeCell ref="D487:F487"/>
    <mergeCell ref="B388:C388"/>
    <mergeCell ref="B392:C392"/>
    <mergeCell ref="B393:C393"/>
    <mergeCell ref="B391:C391"/>
    <mergeCell ref="B370:C370"/>
    <mergeCell ref="B371:C371"/>
    <mergeCell ref="B372:C372"/>
    <mergeCell ref="B374:C374"/>
    <mergeCell ref="B375:C375"/>
    <mergeCell ref="B376:C376"/>
    <mergeCell ref="B377:C377"/>
    <mergeCell ref="B349:C349"/>
    <mergeCell ref="B351:C351"/>
    <mergeCell ref="D491:F491"/>
    <mergeCell ref="D492:F492"/>
    <mergeCell ref="D493:F493"/>
    <mergeCell ref="D384:F384"/>
    <mergeCell ref="D385:F385"/>
    <mergeCell ref="B286:C286"/>
    <mergeCell ref="AQ183:AW183"/>
    <mergeCell ref="F130:M130"/>
    <mergeCell ref="Q161:Q162"/>
    <mergeCell ref="G161:J162"/>
    <mergeCell ref="A20:D20"/>
    <mergeCell ref="B257:C257"/>
    <mergeCell ref="A22:N22"/>
    <mergeCell ref="B268:C268"/>
    <mergeCell ref="J231:K231"/>
    <mergeCell ref="D222:F222"/>
    <mergeCell ref="D223:F223"/>
    <mergeCell ref="J237:K237"/>
    <mergeCell ref="J238:K238"/>
    <mergeCell ref="J239:K239"/>
    <mergeCell ref="J240:K240"/>
    <mergeCell ref="J236:K236"/>
    <mergeCell ref="B263:C263"/>
    <mergeCell ref="B264:C264"/>
    <mergeCell ref="B265:C265"/>
    <mergeCell ref="B266:C266"/>
    <mergeCell ref="B267:C267"/>
    <mergeCell ref="G163:I163"/>
    <mergeCell ref="J242:K242"/>
    <mergeCell ref="N161:N162"/>
  </mergeCells>
  <phoneticPr fontId="102" type="noConversion"/>
  <dataValidations count="5">
    <dataValidation type="whole" allowBlank="1" showInputMessage="1" showErrorMessage="1" sqref="Y186:Y215" xr:uid="{5407A30B-BD06-4F96-A1F9-D2CCC7AA1EBF}">
      <formula1>1</formula1>
      <formula2>20</formula2>
    </dataValidation>
    <dataValidation type="whole" operator="greaterThan" allowBlank="1" showInputMessage="1" showErrorMessage="1" sqref="E135:E136 E139" xr:uid="{07513ADE-504D-46CF-8D7E-9B00EF499D01}">
      <formula1>0</formula1>
    </dataValidation>
    <dataValidation type="whole" allowBlank="1" showInputMessage="1" showErrorMessage="1" sqref="E131:E132" xr:uid="{989B517B-2FBB-41F4-A766-165829A89FF0}">
      <formula1>1</formula1>
      <formula2>31</formula2>
    </dataValidation>
    <dataValidation operator="greaterThan" allowBlank="1" showInputMessage="1" showErrorMessage="1" sqref="E137:E138 E151:E158 E140:E147" xr:uid="{B7DFA073-43C6-4286-8485-58723968E35A}"/>
    <dataValidation type="list" allowBlank="1" showInputMessage="1" showErrorMessage="1" sqref="AC186:AC216 I126 E172:E173 E148" xr:uid="{DEC4A4DA-CF5D-40B1-8848-1605AB397F06}">
      <formula1>"Yes, No"</formula1>
    </dataValidation>
  </dataValidations>
  <pageMargins left="0.7" right="0.7" top="0.75" bottom="0.75" header="0.3" footer="0.3"/>
  <pageSetup orientation="landscape" r:id="rId1"/>
  <legacyDrawing r:id="rId2"/>
  <extLst>
    <ext xmlns:x14="http://schemas.microsoft.com/office/spreadsheetml/2009/9/main" uri="{CCE6A557-97BC-4b89-ADB6-D9C93CAAB3DF}">
      <x14:dataValidations xmlns:xm="http://schemas.microsoft.com/office/excel/2006/main" count="28">
        <x14:dataValidation type="list" allowBlank="1" showInputMessage="1" showErrorMessage="1" xr:uid="{B0A5E9A1-D906-4F47-A5BA-24B2ED214783}">
          <x14:formula1>
            <xm:f>'C:\Users\Susan\AppData\Local\Box\Box Edit\Documents\Jk7gBnqENU2U14cZB3wVgw==\[Draft Lender Settlement Statement - (Deal Name v_) v10.xlsm]Drop Lists'!#REF!</xm:f>
          </x14:formula1>
          <xm:sqref>J21 B569 B574:B582 B584</xm:sqref>
        </x14:dataValidation>
        <x14:dataValidation type="list" operator="greaterThan" allowBlank="1" showInputMessage="1" showErrorMessage="1" xr:uid="{CC179DE0-9355-4774-BC5A-BB6AD997FFA0}">
          <x14:formula1>
            <xm:f>'C:\Users\Susan\AppData\Local\Box\Box Edit\Documents\Jk7gBnqENU2U14cZB3wVgw==\[Draft Lender Settlement Statement - (Deal Name v_) v10.xlsm]Drop Lists'!#REF!</xm:f>
          </x14:formula1>
          <xm:sqref>E148</xm:sqref>
        </x14:dataValidation>
        <x14:dataValidation type="list" allowBlank="1" showInputMessage="1" showErrorMessage="1" xr:uid="{1949DB54-7965-4E78-A6A2-166E93181BBB}">
          <x14:formula1>
            <xm:f>'Drop Lists'!$BR$4:$BR$9</xm:f>
          </x14:formula1>
          <xm:sqref>E133:E134</xm:sqref>
        </x14:dataValidation>
        <x14:dataValidation type="list" allowBlank="1" showInputMessage="1" showErrorMessage="1" xr:uid="{970C0615-ABAE-4EC9-8283-224CAE84751A}">
          <x14:formula1>
            <xm:f>'Drop Lists'!$BL$4:$BL$6</xm:f>
          </x14:formula1>
          <xm:sqref>E171</xm:sqref>
        </x14:dataValidation>
        <x14:dataValidation type="list" allowBlank="1" showInputMessage="1" showErrorMessage="1" xr:uid="{5431129F-8226-4A5A-810A-1D9F79220898}">
          <x14:formula1>
            <xm:f>'Drop Lists'!$A$4:$A$9</xm:f>
          </x14:formula1>
          <xm:sqref>E178:J178</xm:sqref>
        </x14:dataValidation>
        <x14:dataValidation type="list" allowBlank="1" showInputMessage="1" showErrorMessage="1" xr:uid="{16E1A432-E09D-40E9-953F-BE79DC9D3E6D}">
          <x14:formula1>
            <xm:f>'Drop Lists'!$A$45:$A$80</xm:f>
          </x14:formula1>
          <xm:sqref>B262:C275</xm:sqref>
        </x14:dataValidation>
        <x14:dataValidation type="list" allowBlank="1" showInputMessage="1" showErrorMessage="1" xr:uid="{6407E5C4-AE85-454A-B04E-3F312039C1DB}">
          <x14:formula1>
            <xm:f>'Drop Lists'!$C$4:$C$10</xm:f>
          </x14:formula1>
          <xm:sqref>E15</xm:sqref>
        </x14:dataValidation>
        <x14:dataValidation type="list" allowBlank="1" showInputMessage="1" showErrorMessage="1" xr:uid="{459FE9C2-E74F-426A-9E37-D69424562DC4}">
          <x14:formula1>
            <xm:f>'Drop Lists'!$Q$4:$Q$12</xm:f>
          </x14:formula1>
          <xm:sqref>H24:H124</xm:sqref>
        </x14:dataValidation>
        <x14:dataValidation type="list" operator="greaterThan" allowBlank="1" showInputMessage="1" showErrorMessage="1" xr:uid="{8F519124-1B75-466B-B8E4-61F603A0EF19}">
          <x14:formula1>
            <xm:f>'Drop Lists'!$X$4:$X$24</xm:f>
          </x14:formula1>
          <xm:sqref>E149</xm:sqref>
        </x14:dataValidation>
        <x14:dataValidation type="list" allowBlank="1" showInputMessage="1" showErrorMessage="1" xr:uid="{52F8149E-6B52-434A-BE03-EAAD8C5E08D7}">
          <x14:formula1>
            <xm:f>'Drop Lists'!$X$4:$X$24</xm:f>
          </x14:formula1>
          <xm:sqref>E149</xm:sqref>
        </x14:dataValidation>
        <x14:dataValidation type="list" operator="greaterThan" allowBlank="1" showInputMessage="1" showErrorMessage="1" xr:uid="{2BB71DEE-FC2C-4772-A63E-03A621D7C36A}">
          <x14:formula1>
            <xm:f>'Drop Lists'!$AB$4:$AB$7</xm:f>
          </x14:formula1>
          <xm:sqref>E150</xm:sqref>
        </x14:dataValidation>
        <x14:dataValidation type="list" allowBlank="1" showInputMessage="1" showErrorMessage="1" xr:uid="{92F8359B-5612-419F-A8BB-FB48FB23BB8B}">
          <x14:formula1>
            <xm:f>'Drop Lists'!$AB$4:$AB$7</xm:f>
          </x14:formula1>
          <xm:sqref>E150</xm:sqref>
        </x14:dataValidation>
        <x14:dataValidation type="list" allowBlank="1" showInputMessage="1" showErrorMessage="1" xr:uid="{79FF5313-2A69-48D6-852F-B533B0C9CFE0}">
          <x14:formula1>
            <xm:f>'Drop Lists'!$AG$4:$AG$13</xm:f>
          </x14:formula1>
          <xm:sqref>B555:B563</xm:sqref>
        </x14:dataValidation>
        <x14:dataValidation type="list" allowBlank="1" showInputMessage="1" showErrorMessage="1" xr:uid="{91804570-6796-4321-AF81-F8C827FEA75F}">
          <x14:formula1>
            <xm:f>'Drop Lists'!$AJ$4:$AJ$7</xm:f>
          </x14:formula1>
          <xm:sqref>B2</xm:sqref>
        </x14:dataValidation>
        <x14:dataValidation type="list" allowBlank="1" showInputMessage="1" showErrorMessage="1" xr:uid="{41157727-D9D4-44B4-BB0A-370B387B4337}">
          <x14:formula1>
            <xm:f>'Drop Lists'!$AL$4:$AL$14</xm:f>
          </x14:formula1>
          <xm:sqref>X186:X215</xm:sqref>
        </x14:dataValidation>
        <x14:dataValidation type="list" allowBlank="1" showInputMessage="1" showErrorMessage="1" xr:uid="{B8C879EA-59AF-46D3-908D-7A62C9A62169}">
          <x14:formula1>
            <xm:f>'Drop Lists'!$AN$4:$AN$24</xm:f>
          </x14:formula1>
          <xm:sqref>D324 D319</xm:sqref>
        </x14:dataValidation>
        <x14:dataValidation type="list" allowBlank="1" showInputMessage="1" showErrorMessage="1" xr:uid="{9D36E694-6C82-4318-AA74-8E9A966493B7}">
          <x14:formula1>
            <xm:f>'Drop Lists'!$AP$4:$AP$19</xm:f>
          </x14:formula1>
          <xm:sqref>E126</xm:sqref>
        </x14:dataValidation>
        <x14:dataValidation type="list" allowBlank="1" showInputMessage="1" showErrorMessage="1" xr:uid="{BB4EDEAB-7FE2-4CBF-8B3E-0AA14D1FE79C}">
          <x14:formula1>
            <xm:f>'Drop Lists'!$AR$4:$AR$40</xm:f>
          </x14:formula1>
          <xm:sqref>A309:A310 A298:A306</xm:sqref>
        </x14:dataValidation>
        <x14:dataValidation type="list" allowBlank="1" showInputMessage="1" showErrorMessage="1" xr:uid="{B1D78D62-F376-455E-B8CE-B8037A6D7C99}">
          <x14:formula1>
            <xm:f>'Drop Lists'!$K$4:$K$7</xm:f>
          </x14:formula1>
          <xm:sqref>D316</xm:sqref>
        </x14:dataValidation>
        <x14:dataValidation type="list" allowBlank="1" showInputMessage="1" showErrorMessage="1" xr:uid="{806C2557-4807-46CC-8814-6110044370C2}">
          <x14:formula1>
            <xm:f>'Drop Lists'!$G$4:$G$8</xm:f>
          </x14:formula1>
          <xm:sqref>E180</xm:sqref>
        </x14:dataValidation>
        <x14:dataValidation type="list" allowBlank="1" showInputMessage="1" showErrorMessage="1" xr:uid="{3BE2E78B-0C4A-4A5C-B004-ED8EF42C249A}">
          <x14:formula1>
            <xm:f>'Drop Lists'!$O$4:$O$34</xm:f>
          </x14:formula1>
          <xm:sqref>B249:C261</xm:sqref>
        </x14:dataValidation>
        <x14:dataValidation type="list" allowBlank="1" showInputMessage="1" showErrorMessage="1" xr:uid="{AE36EA83-1275-4763-81C7-FA581782A774}">
          <x14:formula1>
            <xm:f>'Drop Lists'!$AG$4:$AG$31</xm:f>
          </x14:formula1>
          <xm:sqref>A186:A215</xm:sqref>
        </x14:dataValidation>
        <x14:dataValidation type="list" allowBlank="1" showInputMessage="1" showErrorMessage="1" xr:uid="{838D2E50-EB77-471E-BA29-2FB4DFA1BAE1}">
          <x14:formula1>
            <xm:f>'Drop Lists'!$BZ$4:$BZ$56</xm:f>
          </x14:formula1>
          <xm:sqref>G24:G124 J20</xm:sqref>
        </x14:dataValidation>
        <x14:dataValidation type="list" allowBlank="1" showInputMessage="1" showErrorMessage="1" xr:uid="{C0F1DF2D-DED3-4134-AB4D-A6566345A8AD}">
          <x14:formula1>
            <xm:f>'Drop Lists'!$CF$4:$CF$33</xm:f>
          </x14:formula1>
          <xm:sqref>A279:A288 A315:A334</xm:sqref>
        </x14:dataValidation>
        <x14:dataValidation type="list" allowBlank="1" showInputMessage="1" showErrorMessage="1" xr:uid="{DEEEAEC6-7F38-4D08-9B86-59F51C1B270F}">
          <x14:formula1>
            <xm:f>'Drop Lists'!$BP$4:$BP$28</xm:f>
          </x14:formula1>
          <xm:sqref>A343:A351</xm:sqref>
        </x14:dataValidation>
        <x14:dataValidation type="list" allowBlank="1" showInputMessage="1" showErrorMessage="1" xr:uid="{3A716AA7-5165-43D1-A6F7-F3035E4ADB93}">
          <x14:formula1>
            <xm:f>'Drop Lists'!$AG$4:$AG$22</xm:f>
          </x14:formula1>
          <xm:sqref>B564:B568</xm:sqref>
        </x14:dataValidation>
        <x14:dataValidation type="list" allowBlank="1" showInputMessage="1" showErrorMessage="1" xr:uid="{CB68E883-F590-46A8-962F-CD395C5E4322}">
          <x14:formula1>
            <xm:f>'Drop Lists'!$BF$4:$BF$151</xm:f>
          </x14:formula1>
          <xm:sqref>D186:D215</xm:sqref>
        </x14:dataValidation>
        <x14:dataValidation type="list" allowBlank="1" showInputMessage="1" showErrorMessage="1" xr:uid="{3980FBE2-3002-4B54-B411-E2762356A380}">
          <x14:formula1>
            <xm:f>'Drop Lists'!$U$4:$U$34</xm:f>
          </x14:formula1>
          <xm:sqref>C186:C215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979C4-E38C-4C93-9E75-B55EF1CE1BD5}">
  <sheetPr codeName="M61Lookups">
    <tabColor theme="9" tint="0.59999389629810485"/>
  </sheetPr>
  <dimension ref="A1:E930"/>
  <sheetViews>
    <sheetView topLeftCell="A824" workbookViewId="0">
      <selection activeCell="B906" sqref="B906"/>
    </sheetView>
  </sheetViews>
  <sheetFormatPr defaultColWidth="9.7109375" defaultRowHeight="15"/>
  <cols>
    <col min="1" max="1" width="24.140625" customWidth="1"/>
    <col min="2" max="2" width="53.42578125" bestFit="1" customWidth="1"/>
    <col min="3" max="3" width="29.140625" bestFit="1" customWidth="1"/>
    <col min="4" max="4" width="62.5703125" customWidth="1"/>
    <col min="5" max="5" width="14.42578125" bestFit="1" customWidth="1"/>
  </cols>
  <sheetData>
    <row r="1" spans="1:5">
      <c r="A1" t="s">
        <v>2553</v>
      </c>
      <c r="B1" t="s">
        <v>1642</v>
      </c>
      <c r="C1" t="s">
        <v>4061</v>
      </c>
      <c r="D1" t="s">
        <v>4062</v>
      </c>
      <c r="E1" t="s">
        <v>4060</v>
      </c>
    </row>
    <row r="2" spans="1:5">
      <c r="B2" t="s">
        <v>2555</v>
      </c>
      <c r="C2">
        <v>1</v>
      </c>
      <c r="D2" t="s">
        <v>2919</v>
      </c>
      <c r="E2">
        <v>1</v>
      </c>
    </row>
    <row r="3" spans="1:5">
      <c r="B3" t="s">
        <v>2557</v>
      </c>
      <c r="C3">
        <v>2</v>
      </c>
      <c r="D3" t="s">
        <v>2920</v>
      </c>
      <c r="E3">
        <v>1</v>
      </c>
    </row>
    <row r="4" spans="1:5">
      <c r="A4" s="2457" t="s">
        <v>4063</v>
      </c>
      <c r="B4" t="s">
        <v>2584</v>
      </c>
      <c r="C4">
        <v>3</v>
      </c>
      <c r="D4" t="s">
        <v>2585</v>
      </c>
      <c r="E4">
        <v>2</v>
      </c>
    </row>
    <row r="5" spans="1:5">
      <c r="B5" t="s">
        <v>2586</v>
      </c>
      <c r="C5">
        <v>4</v>
      </c>
      <c r="D5" t="s">
        <v>2587</v>
      </c>
      <c r="E5">
        <v>2</v>
      </c>
    </row>
    <row r="6" spans="1:5">
      <c r="B6" t="s">
        <v>2921</v>
      </c>
      <c r="C6">
        <v>5</v>
      </c>
      <c r="D6" t="s">
        <v>2922</v>
      </c>
      <c r="E6">
        <v>3</v>
      </c>
    </row>
    <row r="7" spans="1:5">
      <c r="B7" t="s">
        <v>2923</v>
      </c>
      <c r="C7">
        <v>6</v>
      </c>
      <c r="D7" t="s">
        <v>2924</v>
      </c>
      <c r="E7">
        <v>3</v>
      </c>
    </row>
    <row r="8" spans="1:5">
      <c r="B8" t="s">
        <v>2925</v>
      </c>
      <c r="C8">
        <v>7</v>
      </c>
      <c r="D8" t="s">
        <v>2926</v>
      </c>
      <c r="E8">
        <v>3</v>
      </c>
    </row>
    <row r="9" spans="1:5">
      <c r="B9" t="s">
        <v>2927</v>
      </c>
      <c r="C9">
        <v>8</v>
      </c>
      <c r="D9" t="s">
        <v>2928</v>
      </c>
      <c r="E9">
        <v>3</v>
      </c>
    </row>
    <row r="10" spans="1:5">
      <c r="B10" t="s">
        <v>2929</v>
      </c>
      <c r="C10">
        <v>9</v>
      </c>
      <c r="D10" t="s">
        <v>2930</v>
      </c>
      <c r="E10">
        <v>3</v>
      </c>
    </row>
    <row r="11" spans="1:5">
      <c r="B11" t="s">
        <v>2931</v>
      </c>
      <c r="C11">
        <v>10</v>
      </c>
      <c r="D11" t="s">
        <v>2932</v>
      </c>
      <c r="E11">
        <v>3</v>
      </c>
    </row>
    <row r="12" spans="1:5">
      <c r="B12" t="s">
        <v>2933</v>
      </c>
      <c r="C12">
        <v>11</v>
      </c>
      <c r="D12" t="s">
        <v>2934</v>
      </c>
      <c r="E12">
        <v>3</v>
      </c>
    </row>
    <row r="13" spans="1:5">
      <c r="B13" t="s">
        <v>2935</v>
      </c>
      <c r="C13">
        <v>12</v>
      </c>
      <c r="D13" t="s">
        <v>2936</v>
      </c>
      <c r="E13">
        <v>3</v>
      </c>
    </row>
    <row r="14" spans="1:5">
      <c r="B14" t="s">
        <v>2937</v>
      </c>
      <c r="C14">
        <v>13</v>
      </c>
      <c r="D14" t="s">
        <v>2938</v>
      </c>
      <c r="E14">
        <v>3</v>
      </c>
    </row>
    <row r="15" spans="1:5">
      <c r="B15" t="s">
        <v>2939</v>
      </c>
      <c r="C15">
        <v>14</v>
      </c>
      <c r="D15" t="s">
        <v>2940</v>
      </c>
      <c r="E15">
        <v>3</v>
      </c>
    </row>
    <row r="16" spans="1:5">
      <c r="B16" t="s">
        <v>2941</v>
      </c>
      <c r="C16">
        <v>15</v>
      </c>
      <c r="D16" t="s">
        <v>2942</v>
      </c>
      <c r="E16">
        <v>3</v>
      </c>
    </row>
    <row r="17" spans="2:5">
      <c r="B17" t="s">
        <v>2943</v>
      </c>
      <c r="C17">
        <v>16</v>
      </c>
      <c r="D17" t="s">
        <v>2944</v>
      </c>
      <c r="E17">
        <v>3</v>
      </c>
    </row>
    <row r="18" spans="2:5">
      <c r="B18" t="s">
        <v>2945</v>
      </c>
      <c r="C18">
        <v>17</v>
      </c>
      <c r="D18" t="s">
        <v>2946</v>
      </c>
      <c r="E18">
        <v>3</v>
      </c>
    </row>
    <row r="19" spans="2:5">
      <c r="B19" t="s">
        <v>2947</v>
      </c>
      <c r="C19">
        <v>18</v>
      </c>
      <c r="D19" t="s">
        <v>2948</v>
      </c>
      <c r="E19">
        <v>3</v>
      </c>
    </row>
    <row r="20" spans="2:5">
      <c r="B20" t="s">
        <v>2949</v>
      </c>
      <c r="C20">
        <v>19</v>
      </c>
      <c r="D20" t="s">
        <v>2950</v>
      </c>
      <c r="E20">
        <v>3</v>
      </c>
    </row>
    <row r="21" spans="2:5">
      <c r="B21" t="s">
        <v>2951</v>
      </c>
      <c r="C21">
        <v>20</v>
      </c>
      <c r="D21" t="s">
        <v>2952</v>
      </c>
      <c r="E21">
        <v>3</v>
      </c>
    </row>
    <row r="22" spans="2:5">
      <c r="B22" t="s">
        <v>2953</v>
      </c>
      <c r="C22">
        <v>21</v>
      </c>
      <c r="D22" t="s">
        <v>2954</v>
      </c>
      <c r="E22">
        <v>4</v>
      </c>
    </row>
    <row r="23" spans="2:5">
      <c r="B23" t="s">
        <v>2629</v>
      </c>
      <c r="C23">
        <v>22</v>
      </c>
      <c r="D23" t="s">
        <v>2955</v>
      </c>
      <c r="E23">
        <v>4</v>
      </c>
    </row>
    <row r="24" spans="2:5">
      <c r="B24" t="s">
        <v>2195</v>
      </c>
      <c r="C24">
        <v>23</v>
      </c>
      <c r="D24" t="s">
        <v>2619</v>
      </c>
      <c r="E24">
        <v>5</v>
      </c>
    </row>
    <row r="25" spans="2:5">
      <c r="B25" t="s">
        <v>2620</v>
      </c>
      <c r="C25">
        <v>24</v>
      </c>
      <c r="D25" t="s">
        <v>2621</v>
      </c>
      <c r="E25">
        <v>5</v>
      </c>
    </row>
    <row r="26" spans="2:5">
      <c r="B26" t="s">
        <v>2956</v>
      </c>
      <c r="C26">
        <v>25</v>
      </c>
      <c r="D26" t="s">
        <v>2957</v>
      </c>
      <c r="E26">
        <v>6</v>
      </c>
    </row>
    <row r="27" spans="2:5">
      <c r="B27" t="s">
        <v>2958</v>
      </c>
      <c r="C27">
        <v>26</v>
      </c>
      <c r="D27" t="s">
        <v>2959</v>
      </c>
      <c r="E27">
        <v>6</v>
      </c>
    </row>
    <row r="28" spans="2:5">
      <c r="B28" t="s">
        <v>2960</v>
      </c>
      <c r="C28">
        <v>27</v>
      </c>
      <c r="D28" t="s">
        <v>2961</v>
      </c>
      <c r="E28">
        <v>6</v>
      </c>
    </row>
    <row r="29" spans="2:5">
      <c r="B29" t="s">
        <v>2962</v>
      </c>
      <c r="C29">
        <v>28</v>
      </c>
      <c r="D29" t="s">
        <v>2963</v>
      </c>
      <c r="E29">
        <v>6</v>
      </c>
    </row>
    <row r="30" spans="2:5">
      <c r="B30" t="s">
        <v>2964</v>
      </c>
      <c r="C30">
        <v>29</v>
      </c>
      <c r="D30" t="s">
        <v>2965</v>
      </c>
      <c r="E30">
        <v>6</v>
      </c>
    </row>
    <row r="31" spans="2:5">
      <c r="B31" t="s">
        <v>2966</v>
      </c>
      <c r="C31">
        <v>30</v>
      </c>
      <c r="D31" t="s">
        <v>2967</v>
      </c>
      <c r="E31">
        <v>6</v>
      </c>
    </row>
    <row r="32" spans="2:5">
      <c r="B32" t="s">
        <v>2968</v>
      </c>
      <c r="C32">
        <v>31</v>
      </c>
      <c r="D32" t="s">
        <v>2969</v>
      </c>
      <c r="E32">
        <v>7</v>
      </c>
    </row>
    <row r="33" spans="1:5">
      <c r="B33" t="s">
        <v>2970</v>
      </c>
      <c r="C33">
        <v>32</v>
      </c>
      <c r="D33" t="s">
        <v>2971</v>
      </c>
      <c r="E33">
        <v>7</v>
      </c>
    </row>
    <row r="34" spans="1:5">
      <c r="B34" t="s">
        <v>2972</v>
      </c>
      <c r="C34">
        <v>33</v>
      </c>
      <c r="D34" t="s">
        <v>2973</v>
      </c>
      <c r="E34">
        <v>7</v>
      </c>
    </row>
    <row r="35" spans="1:5">
      <c r="B35" t="s">
        <v>722</v>
      </c>
      <c r="C35">
        <v>34</v>
      </c>
      <c r="D35" t="s">
        <v>2974</v>
      </c>
      <c r="E35">
        <v>8</v>
      </c>
    </row>
    <row r="36" spans="1:5">
      <c r="B36" t="s">
        <v>2975</v>
      </c>
      <c r="C36">
        <v>35</v>
      </c>
      <c r="D36" t="s">
        <v>2976</v>
      </c>
      <c r="E36">
        <v>8</v>
      </c>
    </row>
    <row r="37" spans="1:5">
      <c r="B37" t="s">
        <v>788</v>
      </c>
      <c r="C37">
        <v>36</v>
      </c>
      <c r="D37" t="s">
        <v>2977</v>
      </c>
      <c r="E37">
        <v>8</v>
      </c>
    </row>
    <row r="38" spans="1:5">
      <c r="B38" t="s">
        <v>2978</v>
      </c>
      <c r="C38">
        <v>37</v>
      </c>
      <c r="D38" t="s">
        <v>2979</v>
      </c>
      <c r="E38">
        <v>9</v>
      </c>
    </row>
    <row r="39" spans="1:5">
      <c r="B39" t="s">
        <v>2980</v>
      </c>
      <c r="C39">
        <v>38</v>
      </c>
      <c r="D39" t="s">
        <v>2981</v>
      </c>
      <c r="E39">
        <v>9</v>
      </c>
    </row>
    <row r="40" spans="1:5">
      <c r="B40" t="s">
        <v>2982</v>
      </c>
      <c r="C40">
        <v>39</v>
      </c>
      <c r="D40" t="s">
        <v>2983</v>
      </c>
      <c r="E40">
        <v>9</v>
      </c>
    </row>
    <row r="41" spans="1:5">
      <c r="B41" t="s">
        <v>2984</v>
      </c>
      <c r="C41">
        <v>40</v>
      </c>
      <c r="D41" t="s">
        <v>2985</v>
      </c>
      <c r="E41">
        <v>9</v>
      </c>
    </row>
    <row r="42" spans="1:5">
      <c r="B42" t="s">
        <v>2986</v>
      </c>
      <c r="C42">
        <v>41</v>
      </c>
      <c r="D42" t="s">
        <v>2987</v>
      </c>
      <c r="E42">
        <v>9</v>
      </c>
    </row>
    <row r="43" spans="1:5">
      <c r="A43" s="2457" t="s">
        <v>4064</v>
      </c>
      <c r="B43" t="s">
        <v>2622</v>
      </c>
      <c r="C43">
        <v>42</v>
      </c>
      <c r="D43" t="s">
        <v>2623</v>
      </c>
      <c r="E43">
        <v>11</v>
      </c>
    </row>
    <row r="44" spans="1:5">
      <c r="B44" t="s">
        <v>2624</v>
      </c>
      <c r="C44">
        <v>43</v>
      </c>
      <c r="D44" t="s">
        <v>2625</v>
      </c>
      <c r="E44">
        <v>11</v>
      </c>
    </row>
    <row r="45" spans="1:5">
      <c r="B45" t="s">
        <v>804</v>
      </c>
      <c r="C45">
        <v>44</v>
      </c>
      <c r="D45" t="s">
        <v>2626</v>
      </c>
      <c r="E45">
        <v>11</v>
      </c>
    </row>
    <row r="46" spans="1:5">
      <c r="B46" t="s">
        <v>2627</v>
      </c>
      <c r="C46">
        <v>45</v>
      </c>
      <c r="D46" t="s">
        <v>2628</v>
      </c>
      <c r="E46">
        <v>11</v>
      </c>
    </row>
    <row r="47" spans="1:5">
      <c r="B47" t="s">
        <v>2629</v>
      </c>
      <c r="C47">
        <v>46</v>
      </c>
      <c r="D47" t="s">
        <v>2630</v>
      </c>
      <c r="E47">
        <v>11</v>
      </c>
    </row>
    <row r="48" spans="1:5">
      <c r="B48" t="s">
        <v>2631</v>
      </c>
      <c r="C48">
        <v>47</v>
      </c>
      <c r="D48" t="s">
        <v>2632</v>
      </c>
      <c r="E48">
        <v>11</v>
      </c>
    </row>
    <row r="49" spans="2:5">
      <c r="B49" t="s">
        <v>2633</v>
      </c>
      <c r="C49">
        <v>48</v>
      </c>
      <c r="D49" t="s">
        <v>2634</v>
      </c>
      <c r="E49">
        <v>11</v>
      </c>
    </row>
    <row r="50" spans="2:5">
      <c r="B50" t="s">
        <v>826</v>
      </c>
      <c r="C50">
        <v>49</v>
      </c>
      <c r="D50" t="s">
        <v>2635</v>
      </c>
      <c r="E50">
        <v>11</v>
      </c>
    </row>
    <row r="51" spans="2:5">
      <c r="B51" t="s">
        <v>2636</v>
      </c>
      <c r="C51">
        <v>50</v>
      </c>
      <c r="D51" t="s">
        <v>2637</v>
      </c>
      <c r="E51">
        <v>12</v>
      </c>
    </row>
    <row r="52" spans="2:5">
      <c r="B52" t="s">
        <v>2638</v>
      </c>
      <c r="C52">
        <v>51</v>
      </c>
      <c r="D52" t="s">
        <v>2639</v>
      </c>
      <c r="E52">
        <v>12</v>
      </c>
    </row>
    <row r="53" spans="2:5">
      <c r="B53" t="s">
        <v>2640</v>
      </c>
      <c r="C53">
        <v>52</v>
      </c>
      <c r="D53" t="s">
        <v>2641</v>
      </c>
      <c r="E53">
        <v>12</v>
      </c>
    </row>
    <row r="54" spans="2:5">
      <c r="B54" t="s">
        <v>2642</v>
      </c>
      <c r="C54">
        <v>53</v>
      </c>
      <c r="D54" t="s">
        <v>2643</v>
      </c>
      <c r="E54">
        <v>13</v>
      </c>
    </row>
    <row r="55" spans="2:5">
      <c r="B55" t="s">
        <v>2644</v>
      </c>
      <c r="C55">
        <v>54</v>
      </c>
      <c r="D55" t="s">
        <v>2645</v>
      </c>
      <c r="E55">
        <v>13</v>
      </c>
    </row>
    <row r="56" spans="2:5">
      <c r="B56" t="s">
        <v>2646</v>
      </c>
      <c r="C56">
        <v>55</v>
      </c>
      <c r="D56" t="s">
        <v>2647</v>
      </c>
      <c r="E56">
        <v>13</v>
      </c>
    </row>
    <row r="57" spans="2:5">
      <c r="B57" t="s">
        <v>2701</v>
      </c>
      <c r="C57">
        <v>56</v>
      </c>
      <c r="D57" t="s">
        <v>2702</v>
      </c>
      <c r="E57">
        <v>14</v>
      </c>
    </row>
    <row r="58" spans="2:5">
      <c r="B58" t="s">
        <v>2703</v>
      </c>
      <c r="C58">
        <v>57</v>
      </c>
      <c r="D58" t="s">
        <v>2704</v>
      </c>
      <c r="E58">
        <v>14</v>
      </c>
    </row>
    <row r="59" spans="2:5">
      <c r="B59" t="s">
        <v>2705</v>
      </c>
      <c r="C59">
        <v>58</v>
      </c>
      <c r="D59" t="s">
        <v>2706</v>
      </c>
      <c r="E59">
        <v>14</v>
      </c>
    </row>
    <row r="60" spans="2:5">
      <c r="B60" t="s">
        <v>2707</v>
      </c>
      <c r="C60">
        <v>59</v>
      </c>
      <c r="D60" t="s">
        <v>2708</v>
      </c>
      <c r="E60">
        <v>14</v>
      </c>
    </row>
    <row r="61" spans="2:5">
      <c r="B61" t="s">
        <v>2709</v>
      </c>
      <c r="C61">
        <v>60</v>
      </c>
      <c r="D61" t="s">
        <v>2710</v>
      </c>
      <c r="E61">
        <v>14</v>
      </c>
    </row>
    <row r="62" spans="2:5">
      <c r="B62" t="s">
        <v>690</v>
      </c>
      <c r="C62">
        <v>61</v>
      </c>
      <c r="D62" t="s">
        <v>2711</v>
      </c>
      <c r="E62">
        <v>14</v>
      </c>
    </row>
    <row r="63" spans="2:5">
      <c r="B63" t="s">
        <v>2712</v>
      </c>
      <c r="C63">
        <v>62</v>
      </c>
      <c r="D63" t="s">
        <v>2713</v>
      </c>
      <c r="E63">
        <v>14</v>
      </c>
    </row>
    <row r="64" spans="2:5">
      <c r="B64" t="s">
        <v>2714</v>
      </c>
      <c r="C64">
        <v>63</v>
      </c>
      <c r="D64" t="s">
        <v>2715</v>
      </c>
      <c r="E64">
        <v>14</v>
      </c>
    </row>
    <row r="65" spans="2:5">
      <c r="B65" t="s">
        <v>2716</v>
      </c>
      <c r="C65">
        <v>64</v>
      </c>
      <c r="D65" t="s">
        <v>2717</v>
      </c>
      <c r="E65">
        <v>14</v>
      </c>
    </row>
    <row r="66" spans="2:5">
      <c r="B66" t="s">
        <v>2718</v>
      </c>
      <c r="C66">
        <v>65</v>
      </c>
      <c r="D66" t="s">
        <v>2719</v>
      </c>
      <c r="E66">
        <v>14</v>
      </c>
    </row>
    <row r="67" spans="2:5">
      <c r="B67" t="s">
        <v>2720</v>
      </c>
      <c r="C67">
        <v>66</v>
      </c>
      <c r="D67" t="s">
        <v>2721</v>
      </c>
      <c r="E67">
        <v>14</v>
      </c>
    </row>
    <row r="68" spans="2:5">
      <c r="B68" t="s">
        <v>2722</v>
      </c>
      <c r="C68">
        <v>67</v>
      </c>
      <c r="D68" t="s">
        <v>2723</v>
      </c>
      <c r="E68">
        <v>14</v>
      </c>
    </row>
    <row r="69" spans="2:5">
      <c r="B69" t="s">
        <v>2724</v>
      </c>
      <c r="C69">
        <v>68</v>
      </c>
      <c r="D69" t="s">
        <v>2725</v>
      </c>
      <c r="E69">
        <v>14</v>
      </c>
    </row>
    <row r="70" spans="2:5">
      <c r="B70" t="s">
        <v>2726</v>
      </c>
      <c r="C70">
        <v>69</v>
      </c>
      <c r="D70" t="s">
        <v>2727</v>
      </c>
      <c r="E70">
        <v>14</v>
      </c>
    </row>
    <row r="71" spans="2:5">
      <c r="B71" t="s">
        <v>2728</v>
      </c>
      <c r="C71">
        <v>70</v>
      </c>
      <c r="D71" t="s">
        <v>2729</v>
      </c>
      <c r="E71">
        <v>14</v>
      </c>
    </row>
    <row r="72" spans="2:5">
      <c r="B72" t="s">
        <v>962</v>
      </c>
      <c r="C72">
        <v>71</v>
      </c>
      <c r="D72" t="s">
        <v>2730</v>
      </c>
      <c r="E72">
        <v>14</v>
      </c>
    </row>
    <row r="73" spans="2:5">
      <c r="B73" t="s">
        <v>1089</v>
      </c>
      <c r="C73">
        <v>72</v>
      </c>
      <c r="D73" t="s">
        <v>2731</v>
      </c>
      <c r="E73">
        <v>14</v>
      </c>
    </row>
    <row r="74" spans="2:5">
      <c r="B74" t="s">
        <v>2732</v>
      </c>
      <c r="C74">
        <v>73</v>
      </c>
      <c r="D74" t="s">
        <v>2733</v>
      </c>
      <c r="E74">
        <v>14</v>
      </c>
    </row>
    <row r="75" spans="2:5">
      <c r="B75" t="s">
        <v>2734</v>
      </c>
      <c r="C75">
        <v>74</v>
      </c>
      <c r="D75" t="s">
        <v>2735</v>
      </c>
      <c r="E75">
        <v>14</v>
      </c>
    </row>
    <row r="76" spans="2:5">
      <c r="B76" t="s">
        <v>2736</v>
      </c>
      <c r="C76">
        <v>75</v>
      </c>
      <c r="D76" t="s">
        <v>2737</v>
      </c>
      <c r="E76">
        <v>14</v>
      </c>
    </row>
    <row r="77" spans="2:5">
      <c r="B77" t="s">
        <v>2738</v>
      </c>
      <c r="C77">
        <v>76</v>
      </c>
      <c r="D77" t="s">
        <v>2739</v>
      </c>
      <c r="E77">
        <v>14</v>
      </c>
    </row>
    <row r="78" spans="2:5">
      <c r="B78" t="s">
        <v>2740</v>
      </c>
      <c r="C78">
        <v>77</v>
      </c>
      <c r="D78" t="s">
        <v>2741</v>
      </c>
      <c r="E78">
        <v>14</v>
      </c>
    </row>
    <row r="79" spans="2:5">
      <c r="B79" t="s">
        <v>2742</v>
      </c>
      <c r="C79">
        <v>78</v>
      </c>
      <c r="D79" t="s">
        <v>2743</v>
      </c>
      <c r="E79">
        <v>14</v>
      </c>
    </row>
    <row r="80" spans="2:5">
      <c r="B80" t="s">
        <v>2744</v>
      </c>
      <c r="C80">
        <v>79</v>
      </c>
      <c r="D80" t="s">
        <v>2745</v>
      </c>
      <c r="E80">
        <v>14</v>
      </c>
    </row>
    <row r="81" spans="2:5">
      <c r="B81" t="s">
        <v>2746</v>
      </c>
      <c r="C81">
        <v>80</v>
      </c>
      <c r="D81" t="s">
        <v>2747</v>
      </c>
      <c r="E81">
        <v>14</v>
      </c>
    </row>
    <row r="82" spans="2:5">
      <c r="B82" t="s">
        <v>2748</v>
      </c>
      <c r="C82">
        <v>81</v>
      </c>
      <c r="D82" t="s">
        <v>2749</v>
      </c>
      <c r="E82">
        <v>14</v>
      </c>
    </row>
    <row r="83" spans="2:5">
      <c r="B83" t="s">
        <v>2750</v>
      </c>
      <c r="C83">
        <v>82</v>
      </c>
      <c r="D83" t="s">
        <v>2751</v>
      </c>
      <c r="E83">
        <v>14</v>
      </c>
    </row>
    <row r="84" spans="2:5">
      <c r="B84" t="s">
        <v>2752</v>
      </c>
      <c r="C84">
        <v>83</v>
      </c>
      <c r="D84" t="s">
        <v>2753</v>
      </c>
      <c r="E84">
        <v>14</v>
      </c>
    </row>
    <row r="85" spans="2:5">
      <c r="B85" t="s">
        <v>2754</v>
      </c>
      <c r="C85">
        <v>84</v>
      </c>
      <c r="D85" t="s">
        <v>2755</v>
      </c>
      <c r="E85">
        <v>14</v>
      </c>
    </row>
    <row r="86" spans="2:5">
      <c r="B86" t="s">
        <v>2756</v>
      </c>
      <c r="C86">
        <v>85</v>
      </c>
      <c r="D86" t="s">
        <v>2757</v>
      </c>
      <c r="E86">
        <v>14</v>
      </c>
    </row>
    <row r="87" spans="2:5">
      <c r="B87" t="s">
        <v>2758</v>
      </c>
      <c r="C87">
        <v>86</v>
      </c>
      <c r="D87" t="s">
        <v>2759</v>
      </c>
      <c r="E87">
        <v>14</v>
      </c>
    </row>
    <row r="88" spans="2:5">
      <c r="B88" t="s">
        <v>2760</v>
      </c>
      <c r="C88">
        <v>87</v>
      </c>
      <c r="D88" t="s">
        <v>2761</v>
      </c>
      <c r="E88">
        <v>14</v>
      </c>
    </row>
    <row r="89" spans="2:5">
      <c r="B89" t="s">
        <v>2762</v>
      </c>
      <c r="C89">
        <v>88</v>
      </c>
      <c r="D89" t="s">
        <v>2763</v>
      </c>
      <c r="E89">
        <v>14</v>
      </c>
    </row>
    <row r="90" spans="2:5">
      <c r="B90" t="s">
        <v>2764</v>
      </c>
      <c r="C90">
        <v>89</v>
      </c>
      <c r="D90" t="s">
        <v>2765</v>
      </c>
      <c r="E90">
        <v>14</v>
      </c>
    </row>
    <row r="91" spans="2:5">
      <c r="B91" t="s">
        <v>2766</v>
      </c>
      <c r="C91">
        <v>90</v>
      </c>
      <c r="D91" t="s">
        <v>2767</v>
      </c>
      <c r="E91">
        <v>14</v>
      </c>
    </row>
    <row r="92" spans="2:5">
      <c r="B92" t="s">
        <v>2768</v>
      </c>
      <c r="C92">
        <v>91</v>
      </c>
      <c r="D92" t="s">
        <v>2769</v>
      </c>
      <c r="E92">
        <v>14</v>
      </c>
    </row>
    <row r="93" spans="2:5">
      <c r="B93" t="s">
        <v>2770</v>
      </c>
      <c r="C93">
        <v>92</v>
      </c>
      <c r="D93" t="s">
        <v>2771</v>
      </c>
      <c r="E93">
        <v>14</v>
      </c>
    </row>
    <row r="94" spans="2:5">
      <c r="B94" t="s">
        <v>2772</v>
      </c>
      <c r="C94">
        <v>93</v>
      </c>
      <c r="D94" t="s">
        <v>2773</v>
      </c>
      <c r="E94">
        <v>14</v>
      </c>
    </row>
    <row r="95" spans="2:5">
      <c r="B95" t="s">
        <v>825</v>
      </c>
      <c r="C95">
        <v>94</v>
      </c>
      <c r="D95" t="s">
        <v>2774</v>
      </c>
      <c r="E95">
        <v>14</v>
      </c>
    </row>
    <row r="96" spans="2:5">
      <c r="B96" t="s">
        <v>2775</v>
      </c>
      <c r="C96">
        <v>95</v>
      </c>
      <c r="D96" t="s">
        <v>2776</v>
      </c>
      <c r="E96">
        <v>14</v>
      </c>
    </row>
    <row r="97" spans="2:5">
      <c r="B97" t="s">
        <v>2777</v>
      </c>
      <c r="C97">
        <v>96</v>
      </c>
      <c r="D97" t="s">
        <v>2778</v>
      </c>
      <c r="E97">
        <v>14</v>
      </c>
    </row>
    <row r="98" spans="2:5">
      <c r="B98" t="s">
        <v>2779</v>
      </c>
      <c r="C98">
        <v>97</v>
      </c>
      <c r="D98" t="s">
        <v>2780</v>
      </c>
      <c r="E98">
        <v>14</v>
      </c>
    </row>
    <row r="99" spans="2:5">
      <c r="B99" t="s">
        <v>1390</v>
      </c>
      <c r="C99">
        <v>98</v>
      </c>
      <c r="D99" t="s">
        <v>2781</v>
      </c>
      <c r="E99">
        <v>14</v>
      </c>
    </row>
    <row r="100" spans="2:5">
      <c r="B100" t="s">
        <v>1078</v>
      </c>
      <c r="C100">
        <v>99</v>
      </c>
      <c r="D100" t="s">
        <v>2782</v>
      </c>
      <c r="E100">
        <v>14</v>
      </c>
    </row>
    <row r="101" spans="2:5">
      <c r="B101" t="s">
        <v>2783</v>
      </c>
      <c r="C101">
        <v>100</v>
      </c>
      <c r="D101" t="s">
        <v>2784</v>
      </c>
      <c r="E101">
        <v>14</v>
      </c>
    </row>
    <row r="102" spans="2:5">
      <c r="B102" t="s">
        <v>1083</v>
      </c>
      <c r="C102">
        <v>101</v>
      </c>
      <c r="D102" t="s">
        <v>2785</v>
      </c>
      <c r="E102">
        <v>14</v>
      </c>
    </row>
    <row r="103" spans="2:5">
      <c r="B103" t="s">
        <v>2786</v>
      </c>
      <c r="C103">
        <v>102</v>
      </c>
      <c r="D103" t="s">
        <v>2787</v>
      </c>
      <c r="E103">
        <v>14</v>
      </c>
    </row>
    <row r="104" spans="2:5">
      <c r="B104" t="s">
        <v>2788</v>
      </c>
      <c r="C104">
        <v>103</v>
      </c>
      <c r="D104" t="s">
        <v>2789</v>
      </c>
      <c r="E104">
        <v>14</v>
      </c>
    </row>
    <row r="105" spans="2:5">
      <c r="B105" t="s">
        <v>2790</v>
      </c>
      <c r="C105">
        <v>104</v>
      </c>
      <c r="D105" t="s">
        <v>2791</v>
      </c>
      <c r="E105">
        <v>14</v>
      </c>
    </row>
    <row r="106" spans="2:5">
      <c r="B106" t="s">
        <v>2792</v>
      </c>
      <c r="C106">
        <v>105</v>
      </c>
      <c r="D106" t="s">
        <v>2793</v>
      </c>
      <c r="E106">
        <v>14</v>
      </c>
    </row>
    <row r="107" spans="2:5">
      <c r="B107" t="s">
        <v>2794</v>
      </c>
      <c r="C107">
        <v>106</v>
      </c>
      <c r="D107" t="s">
        <v>2795</v>
      </c>
      <c r="E107">
        <v>14</v>
      </c>
    </row>
    <row r="108" spans="2:5">
      <c r="B108" t="s">
        <v>2796</v>
      </c>
      <c r="C108">
        <v>107</v>
      </c>
      <c r="D108" t="s">
        <v>2797</v>
      </c>
      <c r="E108">
        <v>14</v>
      </c>
    </row>
    <row r="109" spans="2:5">
      <c r="B109" t="s">
        <v>2798</v>
      </c>
      <c r="C109">
        <v>108</v>
      </c>
      <c r="D109" t="s">
        <v>2799</v>
      </c>
      <c r="E109">
        <v>14</v>
      </c>
    </row>
    <row r="110" spans="2:5">
      <c r="B110" t="s">
        <v>2800</v>
      </c>
      <c r="C110">
        <v>109</v>
      </c>
      <c r="D110" t="s">
        <v>2801</v>
      </c>
      <c r="E110">
        <v>14</v>
      </c>
    </row>
    <row r="111" spans="2:5">
      <c r="B111" t="s">
        <v>2802</v>
      </c>
      <c r="C111">
        <v>110</v>
      </c>
      <c r="D111" t="s">
        <v>2803</v>
      </c>
      <c r="E111">
        <v>14</v>
      </c>
    </row>
    <row r="112" spans="2:5">
      <c r="B112" t="s">
        <v>2804</v>
      </c>
      <c r="C112">
        <v>111</v>
      </c>
      <c r="D112" t="s">
        <v>2805</v>
      </c>
      <c r="E112">
        <v>14</v>
      </c>
    </row>
    <row r="113" spans="2:5">
      <c r="B113" t="s">
        <v>2806</v>
      </c>
      <c r="C113">
        <v>112</v>
      </c>
      <c r="D113" t="s">
        <v>2807</v>
      </c>
      <c r="E113">
        <v>14</v>
      </c>
    </row>
    <row r="114" spans="2:5">
      <c r="B114" t="s">
        <v>2808</v>
      </c>
      <c r="C114">
        <v>113</v>
      </c>
      <c r="D114" t="s">
        <v>2809</v>
      </c>
      <c r="E114">
        <v>14</v>
      </c>
    </row>
    <row r="115" spans="2:5">
      <c r="B115" t="s">
        <v>2810</v>
      </c>
      <c r="C115">
        <v>114</v>
      </c>
      <c r="D115" t="s">
        <v>2811</v>
      </c>
      <c r="E115">
        <v>14</v>
      </c>
    </row>
    <row r="116" spans="2:5">
      <c r="B116" t="s">
        <v>2812</v>
      </c>
      <c r="C116">
        <v>115</v>
      </c>
      <c r="D116" t="s">
        <v>2813</v>
      </c>
      <c r="E116">
        <v>14</v>
      </c>
    </row>
    <row r="117" spans="2:5">
      <c r="B117" t="s">
        <v>2814</v>
      </c>
      <c r="C117">
        <v>116</v>
      </c>
      <c r="D117" t="s">
        <v>2815</v>
      </c>
      <c r="E117">
        <v>14</v>
      </c>
    </row>
    <row r="118" spans="2:5">
      <c r="B118" t="s">
        <v>2816</v>
      </c>
      <c r="C118">
        <v>117</v>
      </c>
      <c r="D118" t="s">
        <v>2817</v>
      </c>
      <c r="E118">
        <v>14</v>
      </c>
    </row>
    <row r="119" spans="2:5">
      <c r="B119" t="s">
        <v>2818</v>
      </c>
      <c r="C119">
        <v>118</v>
      </c>
      <c r="D119" t="s">
        <v>2819</v>
      </c>
      <c r="E119">
        <v>14</v>
      </c>
    </row>
    <row r="120" spans="2:5">
      <c r="B120" t="s">
        <v>2820</v>
      </c>
      <c r="C120">
        <v>119</v>
      </c>
      <c r="D120" t="s">
        <v>2821</v>
      </c>
      <c r="E120">
        <v>14</v>
      </c>
    </row>
    <row r="121" spans="2:5">
      <c r="B121" t="s">
        <v>2822</v>
      </c>
      <c r="C121">
        <v>120</v>
      </c>
      <c r="D121" t="s">
        <v>2823</v>
      </c>
      <c r="E121">
        <v>14</v>
      </c>
    </row>
    <row r="122" spans="2:5">
      <c r="B122" t="s">
        <v>2824</v>
      </c>
      <c r="C122">
        <v>121</v>
      </c>
      <c r="D122" t="s">
        <v>2825</v>
      </c>
      <c r="E122">
        <v>14</v>
      </c>
    </row>
    <row r="123" spans="2:5">
      <c r="B123" t="s">
        <v>2826</v>
      </c>
      <c r="C123">
        <v>122</v>
      </c>
      <c r="D123" t="s">
        <v>2827</v>
      </c>
      <c r="E123">
        <v>14</v>
      </c>
    </row>
    <row r="124" spans="2:5">
      <c r="B124" t="s">
        <v>2828</v>
      </c>
      <c r="C124">
        <v>123</v>
      </c>
      <c r="D124" t="s">
        <v>2829</v>
      </c>
      <c r="E124">
        <v>14</v>
      </c>
    </row>
    <row r="125" spans="2:5">
      <c r="B125" t="s">
        <v>2830</v>
      </c>
      <c r="C125">
        <v>124</v>
      </c>
      <c r="D125" t="s">
        <v>2831</v>
      </c>
      <c r="E125">
        <v>14</v>
      </c>
    </row>
    <row r="126" spans="2:5">
      <c r="B126" t="s">
        <v>2832</v>
      </c>
      <c r="C126">
        <v>125</v>
      </c>
      <c r="D126" t="s">
        <v>2833</v>
      </c>
      <c r="E126">
        <v>14</v>
      </c>
    </row>
    <row r="127" spans="2:5">
      <c r="B127" t="s">
        <v>2834</v>
      </c>
      <c r="C127">
        <v>126</v>
      </c>
      <c r="D127" t="s">
        <v>2835</v>
      </c>
      <c r="E127">
        <v>14</v>
      </c>
    </row>
    <row r="128" spans="2:5">
      <c r="B128" t="s">
        <v>2836</v>
      </c>
      <c r="C128">
        <v>127</v>
      </c>
      <c r="D128" t="s">
        <v>2837</v>
      </c>
      <c r="E128">
        <v>14</v>
      </c>
    </row>
    <row r="129" spans="2:5">
      <c r="B129" t="s">
        <v>2838</v>
      </c>
      <c r="C129">
        <v>128</v>
      </c>
      <c r="D129" t="s">
        <v>2839</v>
      </c>
      <c r="E129">
        <v>14</v>
      </c>
    </row>
    <row r="130" spans="2:5">
      <c r="B130" t="s">
        <v>2840</v>
      </c>
      <c r="C130">
        <v>129</v>
      </c>
      <c r="D130" t="s">
        <v>2841</v>
      </c>
      <c r="E130">
        <v>14</v>
      </c>
    </row>
    <row r="131" spans="2:5">
      <c r="B131" t="s">
        <v>2842</v>
      </c>
      <c r="C131">
        <v>130</v>
      </c>
      <c r="D131" t="s">
        <v>2843</v>
      </c>
      <c r="E131">
        <v>14</v>
      </c>
    </row>
    <row r="132" spans="2:5">
      <c r="B132" t="s">
        <v>2568</v>
      </c>
      <c r="C132">
        <v>131</v>
      </c>
      <c r="D132" t="s">
        <v>2569</v>
      </c>
      <c r="E132">
        <v>15</v>
      </c>
    </row>
    <row r="133" spans="2:5">
      <c r="B133" t="s">
        <v>2570</v>
      </c>
      <c r="C133">
        <v>132</v>
      </c>
      <c r="D133" t="s">
        <v>2571</v>
      </c>
      <c r="E133">
        <v>15</v>
      </c>
    </row>
    <row r="134" spans="2:5">
      <c r="B134" t="s">
        <v>2572</v>
      </c>
      <c r="C134">
        <v>133</v>
      </c>
      <c r="D134" t="s">
        <v>2573</v>
      </c>
      <c r="E134">
        <v>15</v>
      </c>
    </row>
    <row r="135" spans="2:5">
      <c r="B135" t="s">
        <v>2574</v>
      </c>
      <c r="C135">
        <v>134</v>
      </c>
      <c r="D135" t="s">
        <v>2575</v>
      </c>
      <c r="E135">
        <v>15</v>
      </c>
    </row>
    <row r="136" spans="2:5">
      <c r="B136" t="s">
        <v>2844</v>
      </c>
      <c r="C136">
        <v>135</v>
      </c>
      <c r="D136" t="s">
        <v>2845</v>
      </c>
      <c r="E136">
        <v>15</v>
      </c>
    </row>
    <row r="137" spans="2:5">
      <c r="B137" t="s">
        <v>2576</v>
      </c>
      <c r="C137">
        <v>136</v>
      </c>
      <c r="D137" t="s">
        <v>2577</v>
      </c>
      <c r="E137">
        <v>15</v>
      </c>
    </row>
    <row r="138" spans="2:5">
      <c r="B138" t="s">
        <v>2578</v>
      </c>
      <c r="C138">
        <v>137</v>
      </c>
      <c r="D138" t="s">
        <v>2579</v>
      </c>
      <c r="E138">
        <v>15</v>
      </c>
    </row>
    <row r="139" spans="2:5">
      <c r="B139" t="s">
        <v>776</v>
      </c>
      <c r="C139">
        <v>296</v>
      </c>
      <c r="D139" t="s">
        <v>2561</v>
      </c>
      <c r="E139">
        <v>15</v>
      </c>
    </row>
    <row r="140" spans="2:5">
      <c r="B140" t="s">
        <v>2562</v>
      </c>
      <c r="C140">
        <v>297</v>
      </c>
      <c r="D140" t="s">
        <v>2563</v>
      </c>
      <c r="E140">
        <v>15</v>
      </c>
    </row>
    <row r="141" spans="2:5">
      <c r="B141" t="s">
        <v>2564</v>
      </c>
      <c r="C141">
        <v>298</v>
      </c>
      <c r="D141" t="s">
        <v>2565</v>
      </c>
      <c r="E141">
        <v>15</v>
      </c>
    </row>
    <row r="142" spans="2:5">
      <c r="B142" t="s">
        <v>2566</v>
      </c>
      <c r="C142">
        <v>299</v>
      </c>
      <c r="D142" t="s">
        <v>2567</v>
      </c>
      <c r="E142">
        <v>15</v>
      </c>
    </row>
    <row r="143" spans="2:5">
      <c r="B143" t="s">
        <v>2988</v>
      </c>
      <c r="C143">
        <v>460</v>
      </c>
      <c r="D143" t="s">
        <v>2989</v>
      </c>
      <c r="E143">
        <v>15</v>
      </c>
    </row>
    <row r="144" spans="2:5">
      <c r="B144" t="s">
        <v>2990</v>
      </c>
      <c r="C144">
        <v>461</v>
      </c>
      <c r="D144" t="s">
        <v>2991</v>
      </c>
      <c r="E144">
        <v>15</v>
      </c>
    </row>
    <row r="145" spans="1:5">
      <c r="B145" t="s">
        <v>2992</v>
      </c>
      <c r="C145">
        <v>462</v>
      </c>
      <c r="D145" t="s">
        <v>2993</v>
      </c>
      <c r="E145">
        <v>15</v>
      </c>
    </row>
    <row r="146" spans="1:5">
      <c r="B146" t="s">
        <v>826</v>
      </c>
      <c r="C146">
        <v>463</v>
      </c>
      <c r="D146" t="s">
        <v>2994</v>
      </c>
      <c r="E146">
        <v>15</v>
      </c>
    </row>
    <row r="147" spans="1:5">
      <c r="B147" t="s">
        <v>2995</v>
      </c>
      <c r="C147">
        <v>464</v>
      </c>
      <c r="D147" t="s">
        <v>2996</v>
      </c>
      <c r="E147">
        <v>15</v>
      </c>
    </row>
    <row r="148" spans="1:5">
      <c r="B148" t="s">
        <v>2997</v>
      </c>
      <c r="C148">
        <v>465</v>
      </c>
      <c r="D148" t="s">
        <v>2998</v>
      </c>
      <c r="E148">
        <v>15</v>
      </c>
    </row>
    <row r="149" spans="1:5">
      <c r="B149" t="s">
        <v>2999</v>
      </c>
      <c r="C149">
        <v>466</v>
      </c>
      <c r="D149" t="s">
        <v>3000</v>
      </c>
      <c r="E149">
        <v>15</v>
      </c>
    </row>
    <row r="150" spans="1:5">
      <c r="A150" s="2457" t="s">
        <v>4071</v>
      </c>
      <c r="B150" t="s">
        <v>17</v>
      </c>
      <c r="C150">
        <v>138</v>
      </c>
      <c r="D150" t="s">
        <v>2660</v>
      </c>
      <c r="E150">
        <v>16</v>
      </c>
    </row>
    <row r="151" spans="1:5">
      <c r="B151" t="s">
        <v>2661</v>
      </c>
      <c r="C151">
        <v>139</v>
      </c>
      <c r="D151" t="s">
        <v>2662</v>
      </c>
      <c r="E151">
        <v>16</v>
      </c>
    </row>
    <row r="152" spans="1:5">
      <c r="B152" t="s">
        <v>2663</v>
      </c>
      <c r="C152">
        <v>140</v>
      </c>
      <c r="D152" t="s">
        <v>2664</v>
      </c>
      <c r="E152">
        <v>16</v>
      </c>
    </row>
    <row r="153" spans="1:5">
      <c r="B153" t="s">
        <v>3001</v>
      </c>
      <c r="C153">
        <v>141</v>
      </c>
      <c r="D153" t="s">
        <v>3002</v>
      </c>
      <c r="E153">
        <v>17</v>
      </c>
    </row>
    <row r="154" spans="1:5">
      <c r="B154" t="s">
        <v>2802</v>
      </c>
      <c r="C154">
        <v>142</v>
      </c>
      <c r="D154" t="s">
        <v>3003</v>
      </c>
      <c r="E154">
        <v>17</v>
      </c>
    </row>
    <row r="155" spans="1:5">
      <c r="B155" t="s">
        <v>826</v>
      </c>
      <c r="C155">
        <v>143</v>
      </c>
      <c r="D155" t="s">
        <v>3004</v>
      </c>
      <c r="E155">
        <v>18</v>
      </c>
    </row>
    <row r="156" spans="1:5">
      <c r="B156" t="s">
        <v>3005</v>
      </c>
      <c r="C156">
        <v>144</v>
      </c>
      <c r="D156" t="s">
        <v>3006</v>
      </c>
      <c r="E156">
        <v>18</v>
      </c>
    </row>
    <row r="157" spans="1:5">
      <c r="B157" t="s">
        <v>784</v>
      </c>
      <c r="C157">
        <v>145</v>
      </c>
      <c r="D157" t="s">
        <v>3007</v>
      </c>
      <c r="E157">
        <v>18</v>
      </c>
    </row>
    <row r="158" spans="1:5">
      <c r="B158" t="s">
        <v>758</v>
      </c>
      <c r="C158">
        <v>146</v>
      </c>
      <c r="D158" t="s">
        <v>3008</v>
      </c>
      <c r="E158">
        <v>18</v>
      </c>
    </row>
    <row r="159" spans="1:5">
      <c r="B159" t="s">
        <v>730</v>
      </c>
      <c r="C159">
        <v>147</v>
      </c>
      <c r="D159" t="s">
        <v>3009</v>
      </c>
      <c r="E159">
        <v>18</v>
      </c>
    </row>
    <row r="160" spans="1:5">
      <c r="B160" t="s">
        <v>176</v>
      </c>
      <c r="C160">
        <v>148</v>
      </c>
      <c r="D160" t="s">
        <v>3010</v>
      </c>
      <c r="E160">
        <v>18</v>
      </c>
    </row>
    <row r="161" spans="1:5">
      <c r="B161" t="s">
        <v>807</v>
      </c>
      <c r="C161">
        <v>149</v>
      </c>
      <c r="D161" t="s">
        <v>3011</v>
      </c>
      <c r="E161">
        <v>18</v>
      </c>
    </row>
    <row r="162" spans="1:5">
      <c r="A162" t="s">
        <v>4133</v>
      </c>
      <c r="B162" t="s">
        <v>2237</v>
      </c>
      <c r="C162">
        <v>150</v>
      </c>
      <c r="D162" t="s">
        <v>2671</v>
      </c>
      <c r="E162">
        <v>19</v>
      </c>
    </row>
    <row r="163" spans="1:5">
      <c r="B163" t="s">
        <v>306</v>
      </c>
      <c r="C163">
        <v>151</v>
      </c>
      <c r="D163" t="s">
        <v>2672</v>
      </c>
      <c r="E163">
        <v>19</v>
      </c>
    </row>
    <row r="164" spans="1:5">
      <c r="B164" t="s">
        <v>2673</v>
      </c>
      <c r="C164">
        <v>152</v>
      </c>
      <c r="D164" t="s">
        <v>2674</v>
      </c>
      <c r="E164">
        <v>19</v>
      </c>
    </row>
    <row r="165" spans="1:5">
      <c r="B165" t="s">
        <v>2675</v>
      </c>
      <c r="C165">
        <v>153</v>
      </c>
      <c r="D165" t="s">
        <v>2676</v>
      </c>
      <c r="E165">
        <v>19</v>
      </c>
    </row>
    <row r="166" spans="1:5">
      <c r="B166" t="s">
        <v>2677</v>
      </c>
      <c r="C166">
        <v>154</v>
      </c>
      <c r="D166" t="s">
        <v>2678</v>
      </c>
      <c r="E166">
        <v>19</v>
      </c>
    </row>
    <row r="167" spans="1:5">
      <c r="B167" t="s">
        <v>2679</v>
      </c>
      <c r="C167">
        <v>155</v>
      </c>
      <c r="D167" t="s">
        <v>2680</v>
      </c>
      <c r="E167">
        <v>19</v>
      </c>
    </row>
    <row r="168" spans="1:5">
      <c r="B168" t="s">
        <v>2681</v>
      </c>
      <c r="C168">
        <v>156</v>
      </c>
      <c r="D168" t="s">
        <v>2682</v>
      </c>
      <c r="E168">
        <v>19</v>
      </c>
    </row>
    <row r="169" spans="1:5">
      <c r="B169" t="s">
        <v>2683</v>
      </c>
      <c r="C169">
        <v>157</v>
      </c>
      <c r="D169" t="s">
        <v>2684</v>
      </c>
      <c r="E169">
        <v>19</v>
      </c>
    </row>
    <row r="170" spans="1:5">
      <c r="B170" t="s">
        <v>2685</v>
      </c>
      <c r="C170">
        <v>158</v>
      </c>
      <c r="D170" t="s">
        <v>2686</v>
      </c>
      <c r="E170">
        <v>19</v>
      </c>
    </row>
    <row r="171" spans="1:5">
      <c r="B171" t="s">
        <v>2687</v>
      </c>
      <c r="C171">
        <v>159</v>
      </c>
      <c r="D171" t="s">
        <v>2688</v>
      </c>
      <c r="E171">
        <v>19</v>
      </c>
    </row>
    <row r="172" spans="1:5">
      <c r="B172" t="s">
        <v>2689</v>
      </c>
      <c r="C172">
        <v>596</v>
      </c>
      <c r="D172" t="s">
        <v>2690</v>
      </c>
      <c r="E172">
        <v>19</v>
      </c>
    </row>
    <row r="173" spans="1:5">
      <c r="B173" t="s">
        <v>2497</v>
      </c>
      <c r="C173">
        <v>778</v>
      </c>
      <c r="D173" t="s">
        <v>3012</v>
      </c>
      <c r="E173">
        <v>19</v>
      </c>
    </row>
    <row r="174" spans="1:5">
      <c r="B174" t="s">
        <v>2695</v>
      </c>
      <c r="C174">
        <v>160</v>
      </c>
      <c r="D174" t="s">
        <v>3013</v>
      </c>
      <c r="E174">
        <v>20</v>
      </c>
    </row>
    <row r="175" spans="1:5">
      <c r="B175" t="s">
        <v>2700</v>
      </c>
      <c r="C175">
        <v>161</v>
      </c>
      <c r="D175" t="s">
        <v>3014</v>
      </c>
      <c r="E175">
        <v>20</v>
      </c>
    </row>
    <row r="176" spans="1:5">
      <c r="B176" t="s">
        <v>2696</v>
      </c>
      <c r="C176">
        <v>162</v>
      </c>
      <c r="D176" t="s">
        <v>3015</v>
      </c>
      <c r="E176">
        <v>20</v>
      </c>
    </row>
    <row r="177" spans="2:5">
      <c r="B177" t="s">
        <v>2699</v>
      </c>
      <c r="C177">
        <v>350</v>
      </c>
      <c r="D177" t="s">
        <v>3016</v>
      </c>
      <c r="E177">
        <v>20</v>
      </c>
    </row>
    <row r="178" spans="2:5">
      <c r="B178" t="s">
        <v>2601</v>
      </c>
      <c r="C178">
        <v>163</v>
      </c>
      <c r="D178" t="s">
        <v>2602</v>
      </c>
      <c r="E178">
        <v>21</v>
      </c>
    </row>
    <row r="179" spans="2:5">
      <c r="B179" t="s">
        <v>2603</v>
      </c>
      <c r="C179">
        <v>164</v>
      </c>
      <c r="D179" t="s">
        <v>2604</v>
      </c>
      <c r="E179">
        <v>21</v>
      </c>
    </row>
    <row r="180" spans="2:5">
      <c r="B180" t="s">
        <v>2605</v>
      </c>
      <c r="C180">
        <v>165</v>
      </c>
      <c r="D180" t="s">
        <v>2606</v>
      </c>
      <c r="E180">
        <v>21</v>
      </c>
    </row>
    <row r="181" spans="2:5">
      <c r="B181" t="s">
        <v>2607</v>
      </c>
      <c r="C181">
        <v>166</v>
      </c>
      <c r="D181" t="s">
        <v>2608</v>
      </c>
      <c r="E181">
        <v>21</v>
      </c>
    </row>
    <row r="182" spans="2:5">
      <c r="B182" t="s">
        <v>2609</v>
      </c>
      <c r="C182">
        <v>405</v>
      </c>
      <c r="D182" t="s">
        <v>2610</v>
      </c>
      <c r="E182">
        <v>21</v>
      </c>
    </row>
    <row r="183" spans="2:5">
      <c r="B183" t="s">
        <v>3017</v>
      </c>
      <c r="C183">
        <v>167</v>
      </c>
      <c r="D183" t="s">
        <v>3018</v>
      </c>
      <c r="E183">
        <v>22</v>
      </c>
    </row>
    <row r="184" spans="2:5">
      <c r="B184" t="s">
        <v>3019</v>
      </c>
      <c r="C184">
        <v>168</v>
      </c>
      <c r="D184" t="s">
        <v>3020</v>
      </c>
      <c r="E184">
        <v>22</v>
      </c>
    </row>
    <row r="185" spans="2:5">
      <c r="B185" t="s">
        <v>3021</v>
      </c>
      <c r="C185">
        <v>169</v>
      </c>
      <c r="D185" t="s">
        <v>3022</v>
      </c>
      <c r="E185">
        <v>22</v>
      </c>
    </row>
    <row r="186" spans="2:5">
      <c r="B186" t="s">
        <v>3023</v>
      </c>
      <c r="C186">
        <v>170</v>
      </c>
      <c r="D186" t="s">
        <v>3024</v>
      </c>
      <c r="E186">
        <v>22</v>
      </c>
    </row>
    <row r="187" spans="2:5">
      <c r="B187" t="s">
        <v>3025</v>
      </c>
      <c r="C187">
        <v>171</v>
      </c>
      <c r="D187" t="s">
        <v>3026</v>
      </c>
      <c r="E187">
        <v>23</v>
      </c>
    </row>
    <row r="188" spans="2:5">
      <c r="B188" t="s">
        <v>3027</v>
      </c>
      <c r="C188">
        <v>172</v>
      </c>
      <c r="D188" t="s">
        <v>3028</v>
      </c>
      <c r="E188">
        <v>23</v>
      </c>
    </row>
    <row r="189" spans="2:5">
      <c r="B189" t="s">
        <v>3029</v>
      </c>
      <c r="C189">
        <v>173</v>
      </c>
      <c r="D189" t="s">
        <v>3030</v>
      </c>
      <c r="E189">
        <v>23</v>
      </c>
    </row>
    <row r="190" spans="2:5">
      <c r="B190" t="s">
        <v>3031</v>
      </c>
      <c r="C190">
        <v>174</v>
      </c>
      <c r="D190" t="s">
        <v>3032</v>
      </c>
      <c r="E190">
        <v>23</v>
      </c>
    </row>
    <row r="191" spans="2:5">
      <c r="B191" t="s">
        <v>3033</v>
      </c>
      <c r="C191">
        <v>175</v>
      </c>
      <c r="D191" t="s">
        <v>3034</v>
      </c>
      <c r="E191">
        <v>24</v>
      </c>
    </row>
    <row r="192" spans="2:5">
      <c r="B192" t="s">
        <v>3035</v>
      </c>
      <c r="C192">
        <v>176</v>
      </c>
      <c r="D192" t="s">
        <v>3036</v>
      </c>
      <c r="E192">
        <v>24</v>
      </c>
    </row>
    <row r="193" spans="1:5">
      <c r="B193" t="s">
        <v>3037</v>
      </c>
      <c r="C193">
        <v>177</v>
      </c>
      <c r="D193" t="s">
        <v>3038</v>
      </c>
      <c r="E193">
        <v>24</v>
      </c>
    </row>
    <row r="194" spans="1:5">
      <c r="A194" t="s">
        <v>4134</v>
      </c>
      <c r="B194" t="s">
        <v>200</v>
      </c>
      <c r="C194">
        <v>178</v>
      </c>
      <c r="D194" t="s">
        <v>2691</v>
      </c>
      <c r="E194">
        <v>25</v>
      </c>
    </row>
    <row r="195" spans="1:5">
      <c r="B195" t="s">
        <v>744</v>
      </c>
      <c r="C195">
        <v>179</v>
      </c>
      <c r="D195" t="s">
        <v>2692</v>
      </c>
      <c r="E195">
        <v>25</v>
      </c>
    </row>
    <row r="196" spans="1:5">
      <c r="B196" t="s">
        <v>2693</v>
      </c>
      <c r="C196">
        <v>180</v>
      </c>
      <c r="D196" t="s">
        <v>2694</v>
      </c>
      <c r="E196">
        <v>25</v>
      </c>
    </row>
    <row r="197" spans="1:5">
      <c r="B197" t="s">
        <v>3039</v>
      </c>
      <c r="C197">
        <v>181</v>
      </c>
      <c r="D197" t="s">
        <v>3040</v>
      </c>
      <c r="E197">
        <v>26</v>
      </c>
    </row>
    <row r="198" spans="1:5">
      <c r="B198" t="s">
        <v>1671</v>
      </c>
      <c r="C198">
        <v>182</v>
      </c>
      <c r="D198" t="s">
        <v>3041</v>
      </c>
      <c r="E198">
        <v>27</v>
      </c>
    </row>
    <row r="199" spans="1:5">
      <c r="B199" t="s">
        <v>3042</v>
      </c>
      <c r="C199">
        <v>183</v>
      </c>
      <c r="D199" t="s">
        <v>3043</v>
      </c>
      <c r="E199">
        <v>27</v>
      </c>
    </row>
    <row r="200" spans="1:5">
      <c r="B200" t="s">
        <v>3044</v>
      </c>
      <c r="C200">
        <v>283</v>
      </c>
      <c r="D200" t="s">
        <v>3045</v>
      </c>
      <c r="E200">
        <v>27</v>
      </c>
    </row>
    <row r="201" spans="1:5">
      <c r="B201" t="s">
        <v>668</v>
      </c>
      <c r="C201">
        <v>284</v>
      </c>
      <c r="D201" t="s">
        <v>3046</v>
      </c>
      <c r="E201">
        <v>27</v>
      </c>
    </row>
    <row r="202" spans="1:5">
      <c r="B202" t="s">
        <v>3047</v>
      </c>
      <c r="C202">
        <v>388</v>
      </c>
      <c r="D202" t="s">
        <v>3048</v>
      </c>
      <c r="E202">
        <v>27</v>
      </c>
    </row>
    <row r="203" spans="1:5">
      <c r="B203" t="s">
        <v>3049</v>
      </c>
      <c r="C203">
        <v>391</v>
      </c>
      <c r="D203" t="s">
        <v>3050</v>
      </c>
      <c r="E203">
        <v>27</v>
      </c>
    </row>
    <row r="204" spans="1:5">
      <c r="B204" t="s">
        <v>3051</v>
      </c>
      <c r="C204">
        <v>502</v>
      </c>
      <c r="D204" t="s">
        <v>3052</v>
      </c>
      <c r="E204">
        <v>27</v>
      </c>
    </row>
    <row r="205" spans="1:5">
      <c r="B205" t="s">
        <v>3053</v>
      </c>
      <c r="C205">
        <v>588</v>
      </c>
      <c r="D205" t="s">
        <v>3054</v>
      </c>
      <c r="E205">
        <v>27</v>
      </c>
    </row>
    <row r="206" spans="1:5">
      <c r="B206" t="s">
        <v>3055</v>
      </c>
      <c r="C206">
        <v>719</v>
      </c>
      <c r="D206" t="s">
        <v>3056</v>
      </c>
      <c r="E206">
        <v>27</v>
      </c>
    </row>
    <row r="207" spans="1:5">
      <c r="B207" t="s">
        <v>3057</v>
      </c>
      <c r="C207">
        <v>773</v>
      </c>
      <c r="D207" t="s">
        <v>3058</v>
      </c>
      <c r="E207">
        <v>27</v>
      </c>
    </row>
    <row r="208" spans="1:5">
      <c r="B208" t="s">
        <v>3059</v>
      </c>
      <c r="C208">
        <v>184</v>
      </c>
      <c r="D208" t="s">
        <v>3060</v>
      </c>
      <c r="E208">
        <v>28</v>
      </c>
    </row>
    <row r="209" spans="2:5">
      <c r="B209" t="s">
        <v>3061</v>
      </c>
      <c r="C209">
        <v>185</v>
      </c>
      <c r="D209" t="s">
        <v>3062</v>
      </c>
      <c r="E209">
        <v>28</v>
      </c>
    </row>
    <row r="210" spans="2:5">
      <c r="B210" t="s">
        <v>3063</v>
      </c>
      <c r="C210">
        <v>186</v>
      </c>
      <c r="D210" t="s">
        <v>3064</v>
      </c>
      <c r="E210">
        <v>28</v>
      </c>
    </row>
    <row r="211" spans="2:5">
      <c r="B211" t="s">
        <v>2611</v>
      </c>
      <c r="C211">
        <v>187</v>
      </c>
      <c r="D211" t="s">
        <v>2612</v>
      </c>
      <c r="E211">
        <v>29</v>
      </c>
    </row>
    <row r="212" spans="2:5">
      <c r="B212" t="s">
        <v>2613</v>
      </c>
      <c r="C212">
        <v>188</v>
      </c>
      <c r="D212" t="s">
        <v>2614</v>
      </c>
      <c r="E212">
        <v>29</v>
      </c>
    </row>
    <row r="213" spans="2:5">
      <c r="B213" t="s">
        <v>2615</v>
      </c>
      <c r="C213">
        <v>189</v>
      </c>
      <c r="D213" t="s">
        <v>2616</v>
      </c>
      <c r="E213">
        <v>29</v>
      </c>
    </row>
    <row r="214" spans="2:5">
      <c r="B214" t="s">
        <v>2617</v>
      </c>
      <c r="C214">
        <v>190</v>
      </c>
      <c r="D214" t="s">
        <v>2618</v>
      </c>
      <c r="E214">
        <v>29</v>
      </c>
    </row>
    <row r="215" spans="2:5">
      <c r="B215" t="s">
        <v>787</v>
      </c>
      <c r="C215">
        <v>191</v>
      </c>
      <c r="D215" t="s">
        <v>3065</v>
      </c>
      <c r="E215">
        <v>30</v>
      </c>
    </row>
    <row r="216" spans="2:5">
      <c r="B216" t="s">
        <v>3066</v>
      </c>
      <c r="C216">
        <v>192</v>
      </c>
      <c r="D216" t="s">
        <v>3067</v>
      </c>
      <c r="E216">
        <v>31</v>
      </c>
    </row>
    <row r="217" spans="2:5">
      <c r="B217" t="s">
        <v>3068</v>
      </c>
      <c r="C217">
        <v>193</v>
      </c>
      <c r="D217" t="s">
        <v>3069</v>
      </c>
      <c r="E217">
        <v>31</v>
      </c>
    </row>
    <row r="218" spans="2:5">
      <c r="B218" t="s">
        <v>3070</v>
      </c>
      <c r="C218">
        <v>194</v>
      </c>
      <c r="D218" t="s">
        <v>3071</v>
      </c>
      <c r="E218">
        <v>31</v>
      </c>
    </row>
    <row r="219" spans="2:5">
      <c r="B219" t="s">
        <v>3072</v>
      </c>
      <c r="C219">
        <v>195</v>
      </c>
      <c r="D219" t="s">
        <v>3073</v>
      </c>
      <c r="E219">
        <v>31</v>
      </c>
    </row>
    <row r="220" spans="2:5">
      <c r="B220" t="s">
        <v>3074</v>
      </c>
      <c r="C220">
        <v>196</v>
      </c>
      <c r="D220" t="s">
        <v>3075</v>
      </c>
      <c r="E220">
        <v>31</v>
      </c>
    </row>
    <row r="221" spans="2:5">
      <c r="B221" t="s">
        <v>3076</v>
      </c>
      <c r="C221">
        <v>197</v>
      </c>
      <c r="D221" t="s">
        <v>3077</v>
      </c>
      <c r="E221">
        <v>31</v>
      </c>
    </row>
    <row r="222" spans="2:5">
      <c r="B222" t="s">
        <v>3078</v>
      </c>
      <c r="C222">
        <v>198</v>
      </c>
      <c r="D222" t="s">
        <v>3079</v>
      </c>
      <c r="E222">
        <v>31</v>
      </c>
    </row>
    <row r="223" spans="2:5">
      <c r="B223" t="s">
        <v>3080</v>
      </c>
      <c r="C223">
        <v>199</v>
      </c>
      <c r="D223" t="s">
        <v>3081</v>
      </c>
      <c r="E223">
        <v>31</v>
      </c>
    </row>
    <row r="224" spans="2:5">
      <c r="B224" t="s">
        <v>3082</v>
      </c>
      <c r="C224">
        <v>200</v>
      </c>
      <c r="D224" t="s">
        <v>3083</v>
      </c>
      <c r="E224">
        <v>31</v>
      </c>
    </row>
    <row r="225" spans="2:5">
      <c r="B225" t="s">
        <v>3084</v>
      </c>
      <c r="C225">
        <v>201</v>
      </c>
      <c r="D225" t="s">
        <v>3085</v>
      </c>
      <c r="E225">
        <v>31</v>
      </c>
    </row>
    <row r="226" spans="2:5">
      <c r="B226" t="s">
        <v>3086</v>
      </c>
      <c r="C226">
        <v>202</v>
      </c>
      <c r="D226" t="s">
        <v>3087</v>
      </c>
      <c r="E226">
        <v>31</v>
      </c>
    </row>
    <row r="227" spans="2:5">
      <c r="B227" t="s">
        <v>3088</v>
      </c>
      <c r="C227">
        <v>203</v>
      </c>
      <c r="D227" t="s">
        <v>3089</v>
      </c>
      <c r="E227">
        <v>31</v>
      </c>
    </row>
    <row r="228" spans="2:5">
      <c r="B228" t="s">
        <v>3090</v>
      </c>
      <c r="C228">
        <v>204</v>
      </c>
      <c r="D228" t="s">
        <v>3091</v>
      </c>
      <c r="E228">
        <v>31</v>
      </c>
    </row>
    <row r="229" spans="2:5">
      <c r="B229" t="s">
        <v>3092</v>
      </c>
      <c r="C229">
        <v>205</v>
      </c>
      <c r="D229" t="s">
        <v>3093</v>
      </c>
      <c r="E229">
        <v>31</v>
      </c>
    </row>
    <row r="230" spans="2:5">
      <c r="B230" t="s">
        <v>3094</v>
      </c>
      <c r="C230">
        <v>206</v>
      </c>
      <c r="D230" t="s">
        <v>3095</v>
      </c>
      <c r="E230">
        <v>31</v>
      </c>
    </row>
    <row r="231" spans="2:5">
      <c r="B231" t="s">
        <v>3096</v>
      </c>
      <c r="C231">
        <v>207</v>
      </c>
      <c r="D231" t="s">
        <v>3097</v>
      </c>
      <c r="E231">
        <v>31</v>
      </c>
    </row>
    <row r="232" spans="2:5">
      <c r="B232" t="s">
        <v>3098</v>
      </c>
      <c r="C232">
        <v>208</v>
      </c>
      <c r="D232" t="s">
        <v>3099</v>
      </c>
      <c r="E232">
        <v>31</v>
      </c>
    </row>
    <row r="233" spans="2:5">
      <c r="B233" t="s">
        <v>3100</v>
      </c>
      <c r="C233">
        <v>209</v>
      </c>
      <c r="D233" t="s">
        <v>3101</v>
      </c>
      <c r="E233">
        <v>31</v>
      </c>
    </row>
    <row r="234" spans="2:5">
      <c r="B234" t="s">
        <v>3102</v>
      </c>
      <c r="C234">
        <v>210</v>
      </c>
      <c r="D234" t="s">
        <v>3103</v>
      </c>
      <c r="E234">
        <v>31</v>
      </c>
    </row>
    <row r="235" spans="2:5">
      <c r="B235" t="s">
        <v>3104</v>
      </c>
      <c r="C235">
        <v>211</v>
      </c>
      <c r="D235" t="s">
        <v>3105</v>
      </c>
      <c r="E235">
        <v>31</v>
      </c>
    </row>
    <row r="236" spans="2:5">
      <c r="B236" t="s">
        <v>3106</v>
      </c>
      <c r="C236">
        <v>212</v>
      </c>
      <c r="D236" t="s">
        <v>3107</v>
      </c>
      <c r="E236">
        <v>31</v>
      </c>
    </row>
    <row r="237" spans="2:5">
      <c r="B237" t="s">
        <v>3108</v>
      </c>
      <c r="C237">
        <v>213</v>
      </c>
      <c r="D237" t="s">
        <v>3109</v>
      </c>
      <c r="E237">
        <v>31</v>
      </c>
    </row>
    <row r="238" spans="2:5">
      <c r="B238" t="s">
        <v>3110</v>
      </c>
      <c r="C238">
        <v>214</v>
      </c>
      <c r="D238" t="s">
        <v>3111</v>
      </c>
      <c r="E238">
        <v>31</v>
      </c>
    </row>
    <row r="239" spans="2:5">
      <c r="B239" t="s">
        <v>3112</v>
      </c>
      <c r="C239">
        <v>215</v>
      </c>
      <c r="D239" t="s">
        <v>3113</v>
      </c>
      <c r="E239">
        <v>31</v>
      </c>
    </row>
    <row r="240" spans="2:5">
      <c r="B240" t="s">
        <v>3114</v>
      </c>
      <c r="C240">
        <v>216</v>
      </c>
      <c r="D240" t="s">
        <v>3115</v>
      </c>
      <c r="E240">
        <v>31</v>
      </c>
    </row>
    <row r="241" spans="2:5">
      <c r="B241" t="s">
        <v>3116</v>
      </c>
      <c r="C241">
        <v>217</v>
      </c>
      <c r="D241" t="s">
        <v>3117</v>
      </c>
      <c r="E241">
        <v>31</v>
      </c>
    </row>
    <row r="242" spans="2:5">
      <c r="B242" t="s">
        <v>3118</v>
      </c>
      <c r="C242">
        <v>218</v>
      </c>
      <c r="D242" t="s">
        <v>3119</v>
      </c>
      <c r="E242">
        <v>31</v>
      </c>
    </row>
    <row r="243" spans="2:5">
      <c r="B243" t="s">
        <v>3120</v>
      </c>
      <c r="C243">
        <v>219</v>
      </c>
      <c r="D243" t="s">
        <v>3121</v>
      </c>
      <c r="E243">
        <v>31</v>
      </c>
    </row>
    <row r="244" spans="2:5">
      <c r="B244" t="s">
        <v>3122</v>
      </c>
      <c r="C244">
        <v>220</v>
      </c>
      <c r="D244" t="s">
        <v>3123</v>
      </c>
      <c r="E244">
        <v>31</v>
      </c>
    </row>
    <row r="245" spans="2:5">
      <c r="B245" t="s">
        <v>3124</v>
      </c>
      <c r="C245">
        <v>221</v>
      </c>
      <c r="D245" t="s">
        <v>3125</v>
      </c>
      <c r="E245">
        <v>31</v>
      </c>
    </row>
    <row r="246" spans="2:5">
      <c r="B246" t="s">
        <v>3126</v>
      </c>
      <c r="C246">
        <v>222</v>
      </c>
      <c r="D246" t="s">
        <v>3127</v>
      </c>
      <c r="E246">
        <v>31</v>
      </c>
    </row>
    <row r="247" spans="2:5">
      <c r="B247" t="s">
        <v>3128</v>
      </c>
      <c r="C247">
        <v>223</v>
      </c>
      <c r="D247" t="s">
        <v>3129</v>
      </c>
      <c r="E247">
        <v>31</v>
      </c>
    </row>
    <row r="248" spans="2:5">
      <c r="B248" t="s">
        <v>3130</v>
      </c>
      <c r="C248">
        <v>224</v>
      </c>
      <c r="D248" t="s">
        <v>3131</v>
      </c>
      <c r="E248">
        <v>31</v>
      </c>
    </row>
    <row r="249" spans="2:5">
      <c r="B249" t="s">
        <v>3132</v>
      </c>
      <c r="C249">
        <v>225</v>
      </c>
      <c r="D249" t="s">
        <v>3133</v>
      </c>
      <c r="E249">
        <v>31</v>
      </c>
    </row>
    <row r="250" spans="2:5">
      <c r="B250" t="s">
        <v>3134</v>
      </c>
      <c r="C250">
        <v>226</v>
      </c>
      <c r="D250" t="s">
        <v>3135</v>
      </c>
      <c r="E250">
        <v>31</v>
      </c>
    </row>
    <row r="251" spans="2:5">
      <c r="B251" t="s">
        <v>3136</v>
      </c>
      <c r="C251">
        <v>227</v>
      </c>
      <c r="D251" t="s">
        <v>3137</v>
      </c>
      <c r="E251">
        <v>31</v>
      </c>
    </row>
    <row r="252" spans="2:5">
      <c r="B252" t="s">
        <v>3138</v>
      </c>
      <c r="C252">
        <v>228</v>
      </c>
      <c r="D252" t="s">
        <v>3139</v>
      </c>
      <c r="E252">
        <v>31</v>
      </c>
    </row>
    <row r="253" spans="2:5">
      <c r="B253" t="s">
        <v>3140</v>
      </c>
      <c r="C253">
        <v>229</v>
      </c>
      <c r="D253" t="s">
        <v>3141</v>
      </c>
      <c r="E253">
        <v>31</v>
      </c>
    </row>
    <row r="254" spans="2:5">
      <c r="B254" t="s">
        <v>3142</v>
      </c>
      <c r="C254">
        <v>230</v>
      </c>
      <c r="D254" t="s">
        <v>3143</v>
      </c>
      <c r="E254">
        <v>31</v>
      </c>
    </row>
    <row r="255" spans="2:5">
      <c r="B255" t="s">
        <v>3144</v>
      </c>
      <c r="C255">
        <v>231</v>
      </c>
      <c r="D255" t="s">
        <v>3145</v>
      </c>
      <c r="E255">
        <v>31</v>
      </c>
    </row>
    <row r="256" spans="2:5">
      <c r="B256" t="s">
        <v>3146</v>
      </c>
      <c r="C256">
        <v>232</v>
      </c>
      <c r="D256" t="s">
        <v>3147</v>
      </c>
      <c r="E256">
        <v>31</v>
      </c>
    </row>
    <row r="257" spans="1:5">
      <c r="B257" t="s">
        <v>3148</v>
      </c>
      <c r="C257">
        <v>233</v>
      </c>
      <c r="D257" t="s">
        <v>3149</v>
      </c>
      <c r="E257">
        <v>31</v>
      </c>
    </row>
    <row r="258" spans="1:5">
      <c r="B258" t="s">
        <v>3150</v>
      </c>
      <c r="C258">
        <v>234</v>
      </c>
      <c r="D258" t="s">
        <v>3151</v>
      </c>
      <c r="E258">
        <v>31</v>
      </c>
    </row>
    <row r="259" spans="1:5">
      <c r="B259" t="s">
        <v>3152</v>
      </c>
      <c r="C259">
        <v>235</v>
      </c>
      <c r="D259" t="s">
        <v>3153</v>
      </c>
      <c r="E259">
        <v>31</v>
      </c>
    </row>
    <row r="260" spans="1:5">
      <c r="B260" t="s">
        <v>3154</v>
      </c>
      <c r="C260">
        <v>236</v>
      </c>
      <c r="D260" t="s">
        <v>3155</v>
      </c>
      <c r="E260">
        <v>31</v>
      </c>
    </row>
    <row r="261" spans="1:5">
      <c r="B261" t="s">
        <v>3156</v>
      </c>
      <c r="C261">
        <v>237</v>
      </c>
      <c r="D261" t="s">
        <v>3157</v>
      </c>
      <c r="E261">
        <v>31</v>
      </c>
    </row>
    <row r="262" spans="1:5">
      <c r="B262" t="s">
        <v>3158</v>
      </c>
      <c r="C262">
        <v>238</v>
      </c>
      <c r="D262" t="s">
        <v>3159</v>
      </c>
      <c r="E262">
        <v>31</v>
      </c>
    </row>
    <row r="263" spans="1:5">
      <c r="B263" t="s">
        <v>3160</v>
      </c>
      <c r="C263">
        <v>239</v>
      </c>
      <c r="D263" t="s">
        <v>3161</v>
      </c>
      <c r="E263">
        <v>31</v>
      </c>
    </row>
    <row r="264" spans="1:5">
      <c r="B264" t="s">
        <v>3162</v>
      </c>
      <c r="C264">
        <v>240</v>
      </c>
      <c r="D264" t="s">
        <v>3163</v>
      </c>
      <c r="E264">
        <v>31</v>
      </c>
    </row>
    <row r="265" spans="1:5">
      <c r="B265" t="s">
        <v>3164</v>
      </c>
      <c r="C265">
        <v>241</v>
      </c>
      <c r="D265" t="s">
        <v>3165</v>
      </c>
      <c r="E265">
        <v>31</v>
      </c>
    </row>
    <row r="266" spans="1:5">
      <c r="B266" t="s">
        <v>3166</v>
      </c>
      <c r="C266">
        <v>242</v>
      </c>
      <c r="D266" t="s">
        <v>3167</v>
      </c>
      <c r="E266">
        <v>31</v>
      </c>
    </row>
    <row r="267" spans="1:5">
      <c r="B267" t="s">
        <v>3168</v>
      </c>
      <c r="C267">
        <v>243</v>
      </c>
      <c r="D267" t="s">
        <v>3169</v>
      </c>
      <c r="E267">
        <v>31</v>
      </c>
    </row>
    <row r="268" spans="1:5">
      <c r="A268" s="2457" t="s">
        <v>4065</v>
      </c>
      <c r="B268" t="s">
        <v>17</v>
      </c>
      <c r="C268">
        <v>244</v>
      </c>
      <c r="D268" t="s">
        <v>2846</v>
      </c>
      <c r="E268">
        <v>32</v>
      </c>
    </row>
    <row r="269" spans="1:5">
      <c r="B269" t="s">
        <v>2847</v>
      </c>
      <c r="C269">
        <v>245</v>
      </c>
      <c r="D269" t="s">
        <v>2848</v>
      </c>
      <c r="E269">
        <v>32</v>
      </c>
    </row>
    <row r="270" spans="1:5">
      <c r="B270" t="s">
        <v>2849</v>
      </c>
      <c r="C270">
        <v>246</v>
      </c>
      <c r="D270" t="s">
        <v>2850</v>
      </c>
      <c r="E270">
        <v>32</v>
      </c>
    </row>
    <row r="271" spans="1:5">
      <c r="B271" t="s">
        <v>2851</v>
      </c>
      <c r="C271">
        <v>247</v>
      </c>
      <c r="D271" t="s">
        <v>2852</v>
      </c>
      <c r="E271">
        <v>32</v>
      </c>
    </row>
    <row r="272" spans="1:5">
      <c r="B272" t="s">
        <v>2853</v>
      </c>
      <c r="C272">
        <v>248</v>
      </c>
      <c r="D272" t="s">
        <v>2854</v>
      </c>
      <c r="E272">
        <v>32</v>
      </c>
    </row>
    <row r="273" spans="1:5">
      <c r="B273" t="s">
        <v>2855</v>
      </c>
      <c r="C273">
        <v>249</v>
      </c>
      <c r="D273" t="s">
        <v>2856</v>
      </c>
      <c r="E273">
        <v>32</v>
      </c>
    </row>
    <row r="274" spans="1:5">
      <c r="B274" t="s">
        <v>3170</v>
      </c>
      <c r="C274">
        <v>777</v>
      </c>
      <c r="D274" t="s">
        <v>3171</v>
      </c>
      <c r="E274">
        <v>32</v>
      </c>
    </row>
    <row r="275" spans="1:5">
      <c r="A275" s="2457" t="s">
        <v>4066</v>
      </c>
      <c r="B275" t="s">
        <v>2665</v>
      </c>
      <c r="C275">
        <v>250</v>
      </c>
      <c r="D275" t="s">
        <v>2666</v>
      </c>
      <c r="E275">
        <v>33</v>
      </c>
    </row>
    <row r="276" spans="1:5">
      <c r="B276" t="s">
        <v>2667</v>
      </c>
      <c r="C276">
        <v>251</v>
      </c>
      <c r="D276" t="s">
        <v>2668</v>
      </c>
      <c r="E276">
        <v>33</v>
      </c>
    </row>
    <row r="277" spans="1:5">
      <c r="B277" t="s">
        <v>2669</v>
      </c>
      <c r="C277">
        <v>252</v>
      </c>
      <c r="D277" t="s">
        <v>2670</v>
      </c>
      <c r="E277">
        <v>33</v>
      </c>
    </row>
    <row r="278" spans="1:5">
      <c r="B278" t="s">
        <v>3172</v>
      </c>
      <c r="C278">
        <v>253</v>
      </c>
      <c r="D278" t="s">
        <v>3173</v>
      </c>
      <c r="E278">
        <v>34</v>
      </c>
    </row>
    <row r="279" spans="1:5">
      <c r="B279" t="s">
        <v>3174</v>
      </c>
      <c r="C279">
        <v>254</v>
      </c>
      <c r="D279" t="s">
        <v>3175</v>
      </c>
      <c r="E279">
        <v>35</v>
      </c>
    </row>
    <row r="280" spans="1:5">
      <c r="B280" t="s">
        <v>3176</v>
      </c>
      <c r="C280">
        <v>255</v>
      </c>
      <c r="D280" t="s">
        <v>3177</v>
      </c>
      <c r="E280">
        <v>35</v>
      </c>
    </row>
    <row r="281" spans="1:5">
      <c r="B281" t="s">
        <v>3178</v>
      </c>
      <c r="C281">
        <v>256</v>
      </c>
      <c r="D281" t="s">
        <v>3179</v>
      </c>
      <c r="E281">
        <v>36</v>
      </c>
    </row>
    <row r="282" spans="1:5">
      <c r="B282" t="s">
        <v>3180</v>
      </c>
      <c r="C282">
        <v>257</v>
      </c>
      <c r="D282" t="s">
        <v>3181</v>
      </c>
      <c r="E282">
        <v>36</v>
      </c>
    </row>
    <row r="283" spans="1:5">
      <c r="B283" t="s">
        <v>3182</v>
      </c>
      <c r="C283">
        <v>349</v>
      </c>
      <c r="D283" t="s">
        <v>3183</v>
      </c>
      <c r="E283">
        <v>36</v>
      </c>
    </row>
    <row r="284" spans="1:5">
      <c r="B284" t="s">
        <v>3184</v>
      </c>
      <c r="C284">
        <v>352</v>
      </c>
      <c r="D284" t="s">
        <v>3185</v>
      </c>
      <c r="E284">
        <v>36</v>
      </c>
    </row>
    <row r="285" spans="1:5">
      <c r="B285" t="s">
        <v>3186</v>
      </c>
      <c r="C285">
        <v>613</v>
      </c>
      <c r="D285" t="s">
        <v>3187</v>
      </c>
      <c r="E285">
        <v>36</v>
      </c>
    </row>
    <row r="286" spans="1:5">
      <c r="B286" t="s">
        <v>3188</v>
      </c>
      <c r="C286">
        <v>682</v>
      </c>
      <c r="D286" t="s">
        <v>3189</v>
      </c>
      <c r="E286">
        <v>36</v>
      </c>
    </row>
    <row r="287" spans="1:5">
      <c r="B287" t="s">
        <v>3190</v>
      </c>
      <c r="C287">
        <v>714</v>
      </c>
      <c r="D287" t="s">
        <v>3191</v>
      </c>
      <c r="E287">
        <v>36</v>
      </c>
    </row>
    <row r="288" spans="1:5">
      <c r="B288" t="s">
        <v>3192</v>
      </c>
      <c r="C288">
        <v>258</v>
      </c>
      <c r="D288" t="s">
        <v>3193</v>
      </c>
      <c r="E288">
        <v>37</v>
      </c>
    </row>
    <row r="289" spans="1:5">
      <c r="B289" t="s">
        <v>3194</v>
      </c>
      <c r="C289">
        <v>259</v>
      </c>
      <c r="D289" t="s">
        <v>3195</v>
      </c>
      <c r="E289">
        <v>37</v>
      </c>
    </row>
    <row r="290" spans="1:5">
      <c r="A290" s="2457" t="s">
        <v>4132</v>
      </c>
      <c r="B290" t="s">
        <v>2580</v>
      </c>
      <c r="C290">
        <v>260</v>
      </c>
      <c r="D290" t="s">
        <v>2581</v>
      </c>
      <c r="E290">
        <v>38</v>
      </c>
    </row>
    <row r="291" spans="1:5">
      <c r="B291" t="s">
        <v>2582</v>
      </c>
      <c r="C291">
        <v>261</v>
      </c>
      <c r="D291" t="s">
        <v>2583</v>
      </c>
      <c r="E291">
        <v>38</v>
      </c>
    </row>
    <row r="292" spans="1:5">
      <c r="B292" t="s">
        <v>3196</v>
      </c>
      <c r="C292">
        <v>262</v>
      </c>
      <c r="D292" t="s">
        <v>3197</v>
      </c>
      <c r="E292">
        <v>39</v>
      </c>
    </row>
    <row r="293" spans="1:5">
      <c r="B293" t="s">
        <v>3198</v>
      </c>
      <c r="C293">
        <v>263</v>
      </c>
      <c r="D293" t="s">
        <v>3199</v>
      </c>
      <c r="E293">
        <v>39</v>
      </c>
    </row>
    <row r="294" spans="1:5">
      <c r="B294" t="s">
        <v>3200</v>
      </c>
      <c r="C294">
        <v>264</v>
      </c>
      <c r="D294" t="s">
        <v>3201</v>
      </c>
      <c r="E294">
        <v>39</v>
      </c>
    </row>
    <row r="295" spans="1:5">
      <c r="B295" t="s">
        <v>3202</v>
      </c>
      <c r="C295">
        <v>420</v>
      </c>
      <c r="D295" t="s">
        <v>3203</v>
      </c>
      <c r="E295">
        <v>39</v>
      </c>
    </row>
    <row r="296" spans="1:5">
      <c r="B296" t="s">
        <v>3204</v>
      </c>
      <c r="C296">
        <v>421</v>
      </c>
      <c r="D296" t="s">
        <v>3205</v>
      </c>
      <c r="E296">
        <v>39</v>
      </c>
    </row>
    <row r="297" spans="1:5">
      <c r="B297" t="s">
        <v>3206</v>
      </c>
      <c r="C297">
        <v>422</v>
      </c>
      <c r="D297" t="s">
        <v>3207</v>
      </c>
      <c r="E297">
        <v>39</v>
      </c>
    </row>
    <row r="298" spans="1:5">
      <c r="B298" t="s">
        <v>3208</v>
      </c>
      <c r="C298">
        <v>652</v>
      </c>
      <c r="D298" t="s">
        <v>3209</v>
      </c>
      <c r="E298">
        <v>39</v>
      </c>
    </row>
    <row r="299" spans="1:5">
      <c r="B299" t="s">
        <v>3210</v>
      </c>
      <c r="C299">
        <v>265</v>
      </c>
      <c r="D299" t="s">
        <v>3211</v>
      </c>
      <c r="E299">
        <v>40</v>
      </c>
    </row>
    <row r="300" spans="1:5">
      <c r="B300" t="s">
        <v>3212</v>
      </c>
      <c r="C300">
        <v>266</v>
      </c>
      <c r="D300" t="s">
        <v>3213</v>
      </c>
      <c r="E300">
        <v>40</v>
      </c>
    </row>
    <row r="301" spans="1:5">
      <c r="B301" t="s">
        <v>3214</v>
      </c>
      <c r="C301">
        <v>267</v>
      </c>
      <c r="D301" t="s">
        <v>3215</v>
      </c>
      <c r="E301">
        <v>40</v>
      </c>
    </row>
    <row r="302" spans="1:5">
      <c r="B302" t="s">
        <v>3216</v>
      </c>
      <c r="C302">
        <v>292</v>
      </c>
      <c r="D302" t="s">
        <v>3217</v>
      </c>
      <c r="E302">
        <v>40</v>
      </c>
    </row>
    <row r="303" spans="1:5">
      <c r="B303" t="s">
        <v>3218</v>
      </c>
      <c r="C303">
        <v>326</v>
      </c>
      <c r="D303" t="s">
        <v>3219</v>
      </c>
      <c r="E303">
        <v>40</v>
      </c>
    </row>
    <row r="304" spans="1:5">
      <c r="B304" t="s">
        <v>3220</v>
      </c>
      <c r="C304">
        <v>735</v>
      </c>
      <c r="D304" t="s">
        <v>3221</v>
      </c>
      <c r="E304">
        <v>40</v>
      </c>
    </row>
    <row r="305" spans="2:5">
      <c r="B305" t="s">
        <v>3222</v>
      </c>
      <c r="C305">
        <v>736</v>
      </c>
      <c r="D305" t="s">
        <v>3223</v>
      </c>
      <c r="E305">
        <v>40</v>
      </c>
    </row>
    <row r="306" spans="2:5">
      <c r="B306" t="s">
        <v>3224</v>
      </c>
      <c r="C306">
        <v>810</v>
      </c>
      <c r="D306" t="s">
        <v>3225</v>
      </c>
      <c r="E306">
        <v>40</v>
      </c>
    </row>
    <row r="307" spans="2:5">
      <c r="B307" t="s">
        <v>3226</v>
      </c>
      <c r="C307">
        <v>268</v>
      </c>
      <c r="D307" t="s">
        <v>3227</v>
      </c>
      <c r="E307">
        <v>41</v>
      </c>
    </row>
    <row r="308" spans="2:5">
      <c r="B308" t="s">
        <v>3228</v>
      </c>
      <c r="C308">
        <v>269</v>
      </c>
      <c r="D308" t="s">
        <v>3229</v>
      </c>
      <c r="E308">
        <v>41</v>
      </c>
    </row>
    <row r="309" spans="2:5">
      <c r="B309" t="s">
        <v>3230</v>
      </c>
      <c r="C309">
        <v>270</v>
      </c>
      <c r="D309" t="s">
        <v>3231</v>
      </c>
      <c r="E309">
        <v>41</v>
      </c>
    </row>
    <row r="310" spans="2:5">
      <c r="B310" t="s">
        <v>3232</v>
      </c>
      <c r="C310">
        <v>271</v>
      </c>
      <c r="D310" t="s">
        <v>3233</v>
      </c>
      <c r="E310">
        <v>41</v>
      </c>
    </row>
    <row r="311" spans="2:5">
      <c r="B311" t="s">
        <v>3234</v>
      </c>
      <c r="C311">
        <v>272</v>
      </c>
      <c r="D311" t="s">
        <v>3235</v>
      </c>
      <c r="E311">
        <v>42</v>
      </c>
    </row>
    <row r="312" spans="2:5">
      <c r="B312" t="s">
        <v>3236</v>
      </c>
      <c r="C312">
        <v>273</v>
      </c>
      <c r="D312" t="s">
        <v>3237</v>
      </c>
      <c r="E312">
        <v>42</v>
      </c>
    </row>
    <row r="313" spans="2:5">
      <c r="B313" t="s">
        <v>17</v>
      </c>
      <c r="C313">
        <v>274</v>
      </c>
      <c r="D313" t="s">
        <v>2648</v>
      </c>
      <c r="E313">
        <v>43</v>
      </c>
    </row>
    <row r="314" spans="2:5">
      <c r="B314" t="s">
        <v>2649</v>
      </c>
      <c r="C314">
        <v>275</v>
      </c>
      <c r="D314" t="s">
        <v>2650</v>
      </c>
      <c r="E314">
        <v>43</v>
      </c>
    </row>
    <row r="315" spans="2:5">
      <c r="B315" t="s">
        <v>2651</v>
      </c>
      <c r="C315">
        <v>276</v>
      </c>
      <c r="D315" t="s">
        <v>2652</v>
      </c>
      <c r="E315">
        <v>43</v>
      </c>
    </row>
    <row r="316" spans="2:5">
      <c r="B316" t="s">
        <v>2653</v>
      </c>
      <c r="C316">
        <v>277</v>
      </c>
      <c r="D316" t="s">
        <v>2654</v>
      </c>
      <c r="E316">
        <v>43</v>
      </c>
    </row>
    <row r="317" spans="2:5">
      <c r="B317">
        <v>1</v>
      </c>
      <c r="C317">
        <v>278</v>
      </c>
      <c r="D317" t="s">
        <v>2655</v>
      </c>
      <c r="E317">
        <v>44</v>
      </c>
    </row>
    <row r="318" spans="2:5">
      <c r="B318">
        <v>2</v>
      </c>
      <c r="C318">
        <v>279</v>
      </c>
      <c r="D318" t="s">
        <v>2656</v>
      </c>
      <c r="E318">
        <v>44</v>
      </c>
    </row>
    <row r="319" spans="2:5">
      <c r="B319">
        <v>3</v>
      </c>
      <c r="C319">
        <v>280</v>
      </c>
      <c r="D319" t="s">
        <v>2657</v>
      </c>
      <c r="E319">
        <v>44</v>
      </c>
    </row>
    <row r="320" spans="2:5">
      <c r="B320">
        <v>4</v>
      </c>
      <c r="C320">
        <v>281</v>
      </c>
      <c r="D320" t="s">
        <v>2658</v>
      </c>
      <c r="E320">
        <v>44</v>
      </c>
    </row>
    <row r="321" spans="2:5">
      <c r="B321">
        <v>5</v>
      </c>
      <c r="C321">
        <v>282</v>
      </c>
      <c r="D321" t="s">
        <v>2659</v>
      </c>
      <c r="E321">
        <v>44</v>
      </c>
    </row>
    <row r="322" spans="2:5">
      <c r="B322" t="s">
        <v>3238</v>
      </c>
      <c r="C322">
        <v>285</v>
      </c>
      <c r="D322" t="s">
        <v>3239</v>
      </c>
      <c r="E322">
        <v>45</v>
      </c>
    </row>
    <row r="323" spans="2:5">
      <c r="B323" t="s">
        <v>3240</v>
      </c>
      <c r="C323">
        <v>286</v>
      </c>
      <c r="D323" t="s">
        <v>3241</v>
      </c>
      <c r="E323">
        <v>45</v>
      </c>
    </row>
    <row r="324" spans="2:5">
      <c r="B324" t="s">
        <v>3242</v>
      </c>
      <c r="C324">
        <v>287</v>
      </c>
      <c r="D324" t="s">
        <v>3243</v>
      </c>
      <c r="E324">
        <v>45</v>
      </c>
    </row>
    <row r="325" spans="2:5">
      <c r="B325" t="s">
        <v>2535</v>
      </c>
      <c r="C325">
        <v>288</v>
      </c>
      <c r="D325" t="s">
        <v>3244</v>
      </c>
      <c r="E325">
        <v>45</v>
      </c>
    </row>
    <row r="326" spans="2:5">
      <c r="B326" t="s">
        <v>3245</v>
      </c>
      <c r="C326">
        <v>289</v>
      </c>
      <c r="D326" t="s">
        <v>3246</v>
      </c>
      <c r="E326">
        <v>45</v>
      </c>
    </row>
    <row r="327" spans="2:5">
      <c r="B327" t="s">
        <v>3247</v>
      </c>
      <c r="C327">
        <v>290</v>
      </c>
      <c r="D327" t="s">
        <v>3248</v>
      </c>
      <c r="E327">
        <v>45</v>
      </c>
    </row>
    <row r="328" spans="2:5">
      <c r="B328" t="s">
        <v>3249</v>
      </c>
      <c r="C328">
        <v>291</v>
      </c>
      <c r="D328" t="s">
        <v>3250</v>
      </c>
      <c r="E328">
        <v>45</v>
      </c>
    </row>
    <row r="329" spans="2:5">
      <c r="B329" t="s">
        <v>3251</v>
      </c>
      <c r="C329">
        <v>322</v>
      </c>
      <c r="D329" t="s">
        <v>3252</v>
      </c>
      <c r="E329">
        <v>45</v>
      </c>
    </row>
    <row r="330" spans="2:5">
      <c r="B330" t="s">
        <v>3253</v>
      </c>
      <c r="C330">
        <v>293</v>
      </c>
      <c r="D330" t="s">
        <v>3254</v>
      </c>
      <c r="E330">
        <v>46</v>
      </c>
    </row>
    <row r="331" spans="2:5">
      <c r="B331" t="s">
        <v>3255</v>
      </c>
      <c r="C331">
        <v>294</v>
      </c>
      <c r="D331" t="s">
        <v>3256</v>
      </c>
      <c r="E331">
        <v>46</v>
      </c>
    </row>
    <row r="332" spans="2:5">
      <c r="B332" t="s">
        <v>3257</v>
      </c>
      <c r="C332">
        <v>295</v>
      </c>
      <c r="D332" t="s">
        <v>3258</v>
      </c>
      <c r="E332">
        <v>46</v>
      </c>
    </row>
    <row r="333" spans="2:5">
      <c r="B333" t="s">
        <v>3259</v>
      </c>
      <c r="C333">
        <v>300</v>
      </c>
      <c r="D333" t="s">
        <v>3260</v>
      </c>
      <c r="E333">
        <v>47</v>
      </c>
    </row>
    <row r="334" spans="2:5">
      <c r="B334" t="s">
        <v>3261</v>
      </c>
      <c r="C334">
        <v>301</v>
      </c>
      <c r="D334" t="s">
        <v>3262</v>
      </c>
      <c r="E334">
        <v>47</v>
      </c>
    </row>
    <row r="335" spans="2:5">
      <c r="B335" t="s">
        <v>3263</v>
      </c>
      <c r="C335">
        <v>302</v>
      </c>
      <c r="D335" t="s">
        <v>3264</v>
      </c>
      <c r="E335">
        <v>48</v>
      </c>
    </row>
    <row r="336" spans="2:5">
      <c r="B336" t="s">
        <v>3265</v>
      </c>
      <c r="C336">
        <v>303</v>
      </c>
      <c r="D336" t="s">
        <v>3266</v>
      </c>
      <c r="E336">
        <v>48</v>
      </c>
    </row>
    <row r="337" spans="1:5">
      <c r="B337" t="s">
        <v>3025</v>
      </c>
      <c r="C337">
        <v>304</v>
      </c>
      <c r="D337" t="s">
        <v>3267</v>
      </c>
      <c r="E337">
        <v>48</v>
      </c>
    </row>
    <row r="338" spans="1:5">
      <c r="B338" t="s">
        <v>1433</v>
      </c>
      <c r="C338">
        <v>305</v>
      </c>
      <c r="D338" t="s">
        <v>3268</v>
      </c>
      <c r="E338">
        <v>48</v>
      </c>
    </row>
    <row r="339" spans="1:5">
      <c r="B339" t="s">
        <v>3269</v>
      </c>
      <c r="C339">
        <v>306</v>
      </c>
      <c r="D339" t="s">
        <v>3270</v>
      </c>
      <c r="E339">
        <v>48</v>
      </c>
    </row>
    <row r="340" spans="1:5">
      <c r="B340" t="s">
        <v>3029</v>
      </c>
      <c r="C340">
        <v>307</v>
      </c>
      <c r="D340" t="s">
        <v>3271</v>
      </c>
      <c r="E340">
        <v>48</v>
      </c>
    </row>
    <row r="341" spans="1:5">
      <c r="B341" t="s">
        <v>961</v>
      </c>
      <c r="C341">
        <v>308</v>
      </c>
      <c r="D341" t="s">
        <v>3272</v>
      </c>
      <c r="E341">
        <v>48</v>
      </c>
    </row>
    <row r="342" spans="1:5">
      <c r="B342" t="s">
        <v>3273</v>
      </c>
      <c r="C342">
        <v>309</v>
      </c>
      <c r="D342" t="s">
        <v>3274</v>
      </c>
      <c r="E342">
        <v>48</v>
      </c>
    </row>
    <row r="343" spans="1:5">
      <c r="B343" t="s">
        <v>563</v>
      </c>
      <c r="C343">
        <v>310</v>
      </c>
      <c r="D343" t="s">
        <v>3275</v>
      </c>
      <c r="E343">
        <v>48</v>
      </c>
    </row>
    <row r="344" spans="1:5">
      <c r="B344" t="s">
        <v>3276</v>
      </c>
      <c r="C344">
        <v>311</v>
      </c>
      <c r="D344" t="s">
        <v>3277</v>
      </c>
      <c r="E344">
        <v>48</v>
      </c>
    </row>
    <row r="345" spans="1:5">
      <c r="B345" t="s">
        <v>3278</v>
      </c>
      <c r="C345">
        <v>312</v>
      </c>
      <c r="D345" t="s">
        <v>3279</v>
      </c>
      <c r="E345">
        <v>49</v>
      </c>
    </row>
    <row r="346" spans="1:5">
      <c r="B346" t="s">
        <v>3280</v>
      </c>
      <c r="C346">
        <v>313</v>
      </c>
      <c r="D346" t="s">
        <v>3281</v>
      </c>
      <c r="E346">
        <v>49</v>
      </c>
    </row>
    <row r="347" spans="1:5">
      <c r="B347" t="s">
        <v>3282</v>
      </c>
      <c r="C347">
        <v>314</v>
      </c>
      <c r="D347" t="s">
        <v>3283</v>
      </c>
      <c r="E347">
        <v>49</v>
      </c>
    </row>
    <row r="348" spans="1:5">
      <c r="A348" s="2457" t="s">
        <v>4171</v>
      </c>
      <c r="B348" t="s">
        <v>2588</v>
      </c>
      <c r="C348">
        <v>315</v>
      </c>
      <c r="D348" t="s">
        <v>2589</v>
      </c>
      <c r="E348">
        <v>50</v>
      </c>
    </row>
    <row r="349" spans="1:5">
      <c r="B349" t="s">
        <v>2590</v>
      </c>
      <c r="C349">
        <v>316</v>
      </c>
      <c r="D349" t="s">
        <v>2591</v>
      </c>
      <c r="E349">
        <v>50</v>
      </c>
    </row>
    <row r="350" spans="1:5">
      <c r="B350" t="s">
        <v>2592</v>
      </c>
      <c r="C350">
        <v>317</v>
      </c>
      <c r="D350" t="s">
        <v>2593</v>
      </c>
      <c r="E350">
        <v>50</v>
      </c>
    </row>
    <row r="351" spans="1:5">
      <c r="B351" t="s">
        <v>2594</v>
      </c>
      <c r="C351">
        <v>318</v>
      </c>
      <c r="D351" t="s">
        <v>2595</v>
      </c>
      <c r="E351">
        <v>50</v>
      </c>
    </row>
    <row r="352" spans="1:5">
      <c r="B352" t="s">
        <v>2596</v>
      </c>
      <c r="C352">
        <v>319</v>
      </c>
      <c r="D352" t="s">
        <v>2597</v>
      </c>
      <c r="E352">
        <v>50</v>
      </c>
    </row>
    <row r="353" spans="1:5">
      <c r="B353" t="s">
        <v>3284</v>
      </c>
      <c r="C353">
        <v>320</v>
      </c>
      <c r="D353" t="s">
        <v>3285</v>
      </c>
      <c r="E353">
        <v>50</v>
      </c>
    </row>
    <row r="354" spans="1:5">
      <c r="B354" t="s">
        <v>826</v>
      </c>
      <c r="C354">
        <v>321</v>
      </c>
      <c r="D354" t="s">
        <v>2598</v>
      </c>
      <c r="E354">
        <v>50</v>
      </c>
    </row>
    <row r="355" spans="1:5">
      <c r="B355" t="s">
        <v>2599</v>
      </c>
      <c r="C355">
        <v>351</v>
      </c>
      <c r="D355" t="s">
        <v>2600</v>
      </c>
      <c r="E355">
        <v>50</v>
      </c>
    </row>
    <row r="356" spans="1:5">
      <c r="B356" t="s">
        <v>3286</v>
      </c>
      <c r="C356">
        <v>517</v>
      </c>
      <c r="D356" t="s">
        <v>3287</v>
      </c>
      <c r="E356">
        <v>50</v>
      </c>
    </row>
    <row r="357" spans="1:5">
      <c r="B357" t="s">
        <v>3288</v>
      </c>
      <c r="C357">
        <v>518</v>
      </c>
      <c r="D357" t="s">
        <v>3289</v>
      </c>
      <c r="E357">
        <v>50</v>
      </c>
    </row>
    <row r="358" spans="1:5">
      <c r="B358" t="s">
        <v>3290</v>
      </c>
      <c r="C358">
        <v>519</v>
      </c>
      <c r="D358" t="s">
        <v>3291</v>
      </c>
      <c r="E358">
        <v>50</v>
      </c>
    </row>
    <row r="359" spans="1:5">
      <c r="B359" t="s">
        <v>3292</v>
      </c>
      <c r="C359">
        <v>520</v>
      </c>
      <c r="D359" t="s">
        <v>3293</v>
      </c>
      <c r="E359">
        <v>50</v>
      </c>
    </row>
    <row r="360" spans="1:5">
      <c r="B360" t="s">
        <v>3294</v>
      </c>
      <c r="C360">
        <v>581</v>
      </c>
      <c r="D360" t="s">
        <v>3295</v>
      </c>
      <c r="E360">
        <v>50</v>
      </c>
    </row>
    <row r="361" spans="1:5">
      <c r="B361" t="s">
        <v>3296</v>
      </c>
      <c r="C361">
        <v>629</v>
      </c>
      <c r="D361" t="s">
        <v>3297</v>
      </c>
      <c r="E361">
        <v>50</v>
      </c>
    </row>
    <row r="362" spans="1:5">
      <c r="B362" t="s">
        <v>3298</v>
      </c>
      <c r="C362">
        <v>630</v>
      </c>
      <c r="D362" t="s">
        <v>3299</v>
      </c>
      <c r="E362">
        <v>50</v>
      </c>
    </row>
    <row r="363" spans="1:5">
      <c r="B363" t="s">
        <v>3300</v>
      </c>
      <c r="C363">
        <v>631</v>
      </c>
      <c r="D363" t="s">
        <v>3301</v>
      </c>
      <c r="E363">
        <v>50</v>
      </c>
    </row>
    <row r="364" spans="1:5">
      <c r="A364" s="2457" t="s">
        <v>2480</v>
      </c>
      <c r="B364" t="s">
        <v>2555</v>
      </c>
      <c r="C364">
        <v>323</v>
      </c>
      <c r="D364" t="s">
        <v>2556</v>
      </c>
      <c r="E364">
        <v>51</v>
      </c>
    </row>
    <row r="365" spans="1:5">
      <c r="B365" t="s">
        <v>2557</v>
      </c>
      <c r="C365">
        <v>324</v>
      </c>
      <c r="D365" t="s">
        <v>2558</v>
      </c>
      <c r="E365">
        <v>51</v>
      </c>
    </row>
    <row r="366" spans="1:5">
      <c r="B366" t="s">
        <v>2559</v>
      </c>
      <c r="C366">
        <v>325</v>
      </c>
      <c r="D366" t="s">
        <v>2560</v>
      </c>
      <c r="E366">
        <v>51</v>
      </c>
    </row>
    <row r="367" spans="1:5">
      <c r="B367" t="s">
        <v>3302</v>
      </c>
      <c r="C367">
        <v>341</v>
      </c>
      <c r="D367" t="s">
        <v>3303</v>
      </c>
      <c r="E367">
        <v>51</v>
      </c>
    </row>
    <row r="368" spans="1:5">
      <c r="B368" t="s">
        <v>2871</v>
      </c>
      <c r="C368">
        <v>327</v>
      </c>
      <c r="D368" t="s">
        <v>3304</v>
      </c>
      <c r="E368">
        <v>52</v>
      </c>
    </row>
    <row r="369" spans="2:5">
      <c r="B369" t="s">
        <v>3305</v>
      </c>
      <c r="C369">
        <v>328</v>
      </c>
      <c r="D369" t="s">
        <v>3306</v>
      </c>
      <c r="E369">
        <v>52</v>
      </c>
    </row>
    <row r="370" spans="2:5">
      <c r="B370" t="s">
        <v>2490</v>
      </c>
      <c r="C370">
        <v>329</v>
      </c>
      <c r="D370" t="s">
        <v>3307</v>
      </c>
      <c r="E370">
        <v>52</v>
      </c>
    </row>
    <row r="371" spans="2:5">
      <c r="B371" t="s">
        <v>3308</v>
      </c>
      <c r="C371">
        <v>330</v>
      </c>
      <c r="D371" t="s">
        <v>3309</v>
      </c>
      <c r="E371">
        <v>52</v>
      </c>
    </row>
    <row r="372" spans="2:5">
      <c r="B372" t="s">
        <v>3310</v>
      </c>
      <c r="C372">
        <v>331</v>
      </c>
      <c r="D372" t="s">
        <v>3311</v>
      </c>
      <c r="E372">
        <v>52</v>
      </c>
    </row>
    <row r="373" spans="2:5">
      <c r="B373" t="s">
        <v>3312</v>
      </c>
      <c r="C373">
        <v>332</v>
      </c>
      <c r="D373" t="s">
        <v>3313</v>
      </c>
      <c r="E373">
        <v>52</v>
      </c>
    </row>
    <row r="374" spans="2:5">
      <c r="B374" t="s">
        <v>3314</v>
      </c>
      <c r="C374">
        <v>333</v>
      </c>
      <c r="D374" t="s">
        <v>3315</v>
      </c>
      <c r="E374">
        <v>52</v>
      </c>
    </row>
    <row r="375" spans="2:5">
      <c r="B375" t="s">
        <v>2489</v>
      </c>
      <c r="C375">
        <v>343</v>
      </c>
      <c r="D375" t="s">
        <v>3316</v>
      </c>
      <c r="E375">
        <v>52</v>
      </c>
    </row>
    <row r="376" spans="2:5">
      <c r="B376" t="s">
        <v>3317</v>
      </c>
      <c r="C376">
        <v>553</v>
      </c>
      <c r="D376" t="s">
        <v>3318</v>
      </c>
      <c r="E376">
        <v>52</v>
      </c>
    </row>
    <row r="377" spans="2:5">
      <c r="B377" t="s">
        <v>3319</v>
      </c>
      <c r="C377">
        <v>715</v>
      </c>
      <c r="D377" t="s">
        <v>3320</v>
      </c>
      <c r="E377">
        <v>52</v>
      </c>
    </row>
    <row r="378" spans="2:5">
      <c r="B378" t="s">
        <v>3305</v>
      </c>
      <c r="C378">
        <v>334</v>
      </c>
      <c r="D378" t="s">
        <v>3321</v>
      </c>
      <c r="E378">
        <v>53</v>
      </c>
    </row>
    <row r="379" spans="2:5">
      <c r="B379" t="s">
        <v>2490</v>
      </c>
      <c r="C379">
        <v>335</v>
      </c>
      <c r="D379" t="s">
        <v>3322</v>
      </c>
      <c r="E379">
        <v>53</v>
      </c>
    </row>
    <row r="380" spans="2:5">
      <c r="B380" t="s">
        <v>3308</v>
      </c>
      <c r="C380">
        <v>336</v>
      </c>
      <c r="D380" t="s">
        <v>3323</v>
      </c>
      <c r="E380">
        <v>53</v>
      </c>
    </row>
    <row r="381" spans="2:5">
      <c r="B381" t="s">
        <v>3310</v>
      </c>
      <c r="C381">
        <v>337</v>
      </c>
      <c r="D381" t="s">
        <v>3324</v>
      </c>
      <c r="E381">
        <v>53</v>
      </c>
    </row>
    <row r="382" spans="2:5">
      <c r="B382" t="s">
        <v>3312</v>
      </c>
      <c r="C382">
        <v>338</v>
      </c>
      <c r="D382" t="s">
        <v>3325</v>
      </c>
      <c r="E382">
        <v>53</v>
      </c>
    </row>
    <row r="383" spans="2:5">
      <c r="B383" t="s">
        <v>3314</v>
      </c>
      <c r="C383">
        <v>339</v>
      </c>
      <c r="D383" t="s">
        <v>3326</v>
      </c>
      <c r="E383">
        <v>53</v>
      </c>
    </row>
    <row r="384" spans="2:5">
      <c r="B384" t="s">
        <v>2489</v>
      </c>
      <c r="C384">
        <v>342</v>
      </c>
      <c r="D384" t="s">
        <v>3327</v>
      </c>
      <c r="E384">
        <v>53</v>
      </c>
    </row>
    <row r="385" spans="1:5">
      <c r="B385" t="s">
        <v>3328</v>
      </c>
      <c r="C385">
        <v>340</v>
      </c>
      <c r="D385" t="s">
        <v>3329</v>
      </c>
      <c r="E385">
        <v>54</v>
      </c>
    </row>
    <row r="386" spans="1:5">
      <c r="B386" t="s">
        <v>3330</v>
      </c>
      <c r="C386">
        <v>347</v>
      </c>
      <c r="D386" t="s">
        <v>3331</v>
      </c>
      <c r="E386">
        <v>54</v>
      </c>
    </row>
    <row r="387" spans="1:5">
      <c r="B387" t="s">
        <v>3332</v>
      </c>
      <c r="C387">
        <v>348</v>
      </c>
      <c r="D387" t="s">
        <v>3333</v>
      </c>
      <c r="E387">
        <v>54</v>
      </c>
    </row>
    <row r="388" spans="1:5">
      <c r="B388" t="s">
        <v>3334</v>
      </c>
      <c r="C388">
        <v>363</v>
      </c>
      <c r="D388" t="s">
        <v>3335</v>
      </c>
      <c r="E388">
        <v>54</v>
      </c>
    </row>
    <row r="389" spans="1:5">
      <c r="B389" t="s">
        <v>3336</v>
      </c>
      <c r="C389">
        <v>595</v>
      </c>
      <c r="D389" t="s">
        <v>3337</v>
      </c>
      <c r="E389">
        <v>54</v>
      </c>
    </row>
    <row r="390" spans="1:5">
      <c r="B390" t="s">
        <v>3338</v>
      </c>
      <c r="C390">
        <v>598</v>
      </c>
      <c r="D390" t="s">
        <v>3339</v>
      </c>
      <c r="E390">
        <v>54</v>
      </c>
    </row>
    <row r="391" spans="1:5">
      <c r="B391" t="s">
        <v>3340</v>
      </c>
      <c r="C391">
        <v>615</v>
      </c>
      <c r="D391" t="s">
        <v>3341</v>
      </c>
      <c r="E391">
        <v>54</v>
      </c>
    </row>
    <row r="392" spans="1:5">
      <c r="B392" t="s">
        <v>3342</v>
      </c>
      <c r="C392">
        <v>683</v>
      </c>
      <c r="D392" t="s">
        <v>3343</v>
      </c>
      <c r="E392">
        <v>54</v>
      </c>
    </row>
    <row r="393" spans="1:5">
      <c r="B393" t="s">
        <v>3344</v>
      </c>
      <c r="C393">
        <v>686</v>
      </c>
      <c r="D393" t="s">
        <v>3345</v>
      </c>
      <c r="E393">
        <v>54</v>
      </c>
    </row>
    <row r="394" spans="1:5">
      <c r="B394" t="s">
        <v>3346</v>
      </c>
      <c r="C394">
        <v>706</v>
      </c>
      <c r="D394" t="s">
        <v>3347</v>
      </c>
      <c r="E394">
        <v>54</v>
      </c>
    </row>
    <row r="395" spans="1:5">
      <c r="B395" t="s">
        <v>3348</v>
      </c>
      <c r="C395">
        <v>802</v>
      </c>
      <c r="D395" t="s">
        <v>3349</v>
      </c>
      <c r="E395">
        <v>54</v>
      </c>
    </row>
    <row r="396" spans="1:5">
      <c r="B396" t="s">
        <v>3350</v>
      </c>
      <c r="C396">
        <v>803</v>
      </c>
      <c r="D396" t="s">
        <v>3351</v>
      </c>
      <c r="E396">
        <v>54</v>
      </c>
    </row>
    <row r="397" spans="1:5">
      <c r="B397" t="s">
        <v>3352</v>
      </c>
      <c r="C397">
        <v>344</v>
      </c>
      <c r="D397" t="s">
        <v>3353</v>
      </c>
      <c r="E397">
        <v>55</v>
      </c>
    </row>
    <row r="398" spans="1:5">
      <c r="B398" t="s">
        <v>3354</v>
      </c>
      <c r="C398">
        <v>345</v>
      </c>
      <c r="D398" t="s">
        <v>3355</v>
      </c>
      <c r="E398">
        <v>55</v>
      </c>
    </row>
    <row r="399" spans="1:5">
      <c r="B399" t="s">
        <v>3356</v>
      </c>
      <c r="C399">
        <v>346</v>
      </c>
      <c r="D399" t="s">
        <v>3357</v>
      </c>
      <c r="E399">
        <v>55</v>
      </c>
    </row>
    <row r="400" spans="1:5">
      <c r="A400" s="2457" t="s">
        <v>4072</v>
      </c>
      <c r="B400" t="s">
        <v>685</v>
      </c>
      <c r="C400">
        <v>353</v>
      </c>
      <c r="D400" t="s">
        <v>3358</v>
      </c>
      <c r="E400">
        <v>56</v>
      </c>
    </row>
    <row r="401" spans="2:5">
      <c r="B401" t="s">
        <v>720</v>
      </c>
      <c r="C401">
        <v>354</v>
      </c>
      <c r="D401" t="s">
        <v>3359</v>
      </c>
      <c r="E401">
        <v>56</v>
      </c>
    </row>
    <row r="402" spans="2:5">
      <c r="B402" t="s">
        <v>747</v>
      </c>
      <c r="C402">
        <v>355</v>
      </c>
      <c r="D402" t="s">
        <v>3360</v>
      </c>
      <c r="E402">
        <v>56</v>
      </c>
    </row>
    <row r="403" spans="2:5">
      <c r="B403" t="s">
        <v>233</v>
      </c>
      <c r="C403">
        <v>356</v>
      </c>
      <c r="D403" t="s">
        <v>3361</v>
      </c>
      <c r="E403">
        <v>56</v>
      </c>
    </row>
    <row r="404" spans="2:5">
      <c r="B404" t="s">
        <v>796</v>
      </c>
      <c r="C404">
        <v>357</v>
      </c>
      <c r="D404" t="s">
        <v>3362</v>
      </c>
      <c r="E404">
        <v>56</v>
      </c>
    </row>
    <row r="405" spans="2:5">
      <c r="B405" t="s">
        <v>821</v>
      </c>
      <c r="C405">
        <v>358</v>
      </c>
      <c r="D405" t="s">
        <v>3363</v>
      </c>
      <c r="E405">
        <v>56</v>
      </c>
    </row>
    <row r="406" spans="2:5">
      <c r="B406" t="s">
        <v>842</v>
      </c>
      <c r="C406">
        <v>359</v>
      </c>
      <c r="D406" t="s">
        <v>3364</v>
      </c>
      <c r="E406">
        <v>56</v>
      </c>
    </row>
    <row r="407" spans="2:5">
      <c r="B407" t="s">
        <v>862</v>
      </c>
      <c r="C407">
        <v>360</v>
      </c>
      <c r="D407" t="s">
        <v>3365</v>
      </c>
      <c r="E407">
        <v>56</v>
      </c>
    </row>
    <row r="408" spans="2:5">
      <c r="B408" t="s">
        <v>826</v>
      </c>
      <c r="C408">
        <v>361</v>
      </c>
      <c r="D408" t="s">
        <v>3366</v>
      </c>
      <c r="E408">
        <v>56</v>
      </c>
    </row>
    <row r="409" spans="2:5">
      <c r="B409" t="s">
        <v>899</v>
      </c>
      <c r="C409">
        <v>362</v>
      </c>
      <c r="D409" t="s">
        <v>3367</v>
      </c>
      <c r="E409">
        <v>56</v>
      </c>
    </row>
    <row r="410" spans="2:5">
      <c r="B410" t="s">
        <v>3368</v>
      </c>
      <c r="C410">
        <v>364</v>
      </c>
      <c r="D410" t="s">
        <v>3369</v>
      </c>
      <c r="E410">
        <v>57</v>
      </c>
    </row>
    <row r="411" spans="2:5">
      <c r="B411" t="s">
        <v>3370</v>
      </c>
      <c r="C411">
        <v>365</v>
      </c>
      <c r="D411" t="s">
        <v>3371</v>
      </c>
      <c r="E411">
        <v>57</v>
      </c>
    </row>
    <row r="412" spans="2:5">
      <c r="B412" t="s">
        <v>3372</v>
      </c>
      <c r="C412">
        <v>366</v>
      </c>
      <c r="D412" t="s">
        <v>3373</v>
      </c>
      <c r="E412">
        <v>57</v>
      </c>
    </row>
    <row r="413" spans="2:5">
      <c r="B413" t="s">
        <v>3374</v>
      </c>
      <c r="C413">
        <v>367</v>
      </c>
      <c r="D413" t="s">
        <v>3375</v>
      </c>
      <c r="E413">
        <v>57</v>
      </c>
    </row>
    <row r="414" spans="2:5">
      <c r="B414" t="s">
        <v>3376</v>
      </c>
      <c r="C414">
        <v>368</v>
      </c>
      <c r="D414" t="s">
        <v>3377</v>
      </c>
      <c r="E414">
        <v>57</v>
      </c>
    </row>
    <row r="415" spans="2:5">
      <c r="B415" t="s">
        <v>3378</v>
      </c>
      <c r="C415">
        <v>369</v>
      </c>
      <c r="D415" t="s">
        <v>3379</v>
      </c>
      <c r="E415">
        <v>58</v>
      </c>
    </row>
    <row r="416" spans="2:5">
      <c r="B416" t="s">
        <v>3380</v>
      </c>
      <c r="C416">
        <v>370</v>
      </c>
      <c r="D416" t="s">
        <v>3381</v>
      </c>
      <c r="E416">
        <v>58</v>
      </c>
    </row>
    <row r="417" spans="2:5">
      <c r="B417" t="s">
        <v>3382</v>
      </c>
      <c r="C417">
        <v>371</v>
      </c>
      <c r="D417" t="s">
        <v>3383</v>
      </c>
      <c r="E417">
        <v>58</v>
      </c>
    </row>
    <row r="418" spans="2:5">
      <c r="B418" t="s">
        <v>3384</v>
      </c>
      <c r="C418">
        <v>372</v>
      </c>
      <c r="D418" t="s">
        <v>3385</v>
      </c>
      <c r="E418">
        <v>58</v>
      </c>
    </row>
    <row r="419" spans="2:5">
      <c r="B419" t="s">
        <v>3386</v>
      </c>
      <c r="C419">
        <v>373</v>
      </c>
      <c r="D419" t="s">
        <v>3387</v>
      </c>
      <c r="E419">
        <v>59</v>
      </c>
    </row>
    <row r="420" spans="2:5">
      <c r="B420" t="s">
        <v>3388</v>
      </c>
      <c r="C420">
        <v>374</v>
      </c>
      <c r="D420" t="s">
        <v>3389</v>
      </c>
      <c r="E420">
        <v>59</v>
      </c>
    </row>
    <row r="421" spans="2:5">
      <c r="B421" t="s">
        <v>3390</v>
      </c>
      <c r="C421">
        <v>375</v>
      </c>
      <c r="D421" t="s">
        <v>3391</v>
      </c>
      <c r="E421">
        <v>59</v>
      </c>
    </row>
    <row r="422" spans="2:5">
      <c r="B422" t="s">
        <v>2966</v>
      </c>
      <c r="C422">
        <v>376</v>
      </c>
      <c r="D422" t="s">
        <v>3392</v>
      </c>
      <c r="E422">
        <v>59</v>
      </c>
    </row>
    <row r="423" spans="2:5">
      <c r="B423" t="s">
        <v>3393</v>
      </c>
      <c r="C423">
        <v>377</v>
      </c>
      <c r="D423" t="s">
        <v>3394</v>
      </c>
      <c r="E423">
        <v>59</v>
      </c>
    </row>
    <row r="424" spans="2:5">
      <c r="B424" t="s">
        <v>3395</v>
      </c>
      <c r="C424">
        <v>378</v>
      </c>
      <c r="D424" t="s">
        <v>3396</v>
      </c>
      <c r="E424">
        <v>59</v>
      </c>
    </row>
    <row r="425" spans="2:5">
      <c r="B425" t="s">
        <v>3047</v>
      </c>
      <c r="C425">
        <v>379</v>
      </c>
      <c r="D425" t="s">
        <v>3397</v>
      </c>
      <c r="E425">
        <v>60</v>
      </c>
    </row>
    <row r="426" spans="2:5">
      <c r="B426" t="s">
        <v>3398</v>
      </c>
      <c r="C426">
        <v>380</v>
      </c>
      <c r="D426" t="s">
        <v>3399</v>
      </c>
      <c r="E426">
        <v>60</v>
      </c>
    </row>
    <row r="427" spans="2:5">
      <c r="B427" t="s">
        <v>1705</v>
      </c>
      <c r="C427">
        <v>381</v>
      </c>
      <c r="D427" t="s">
        <v>3400</v>
      </c>
      <c r="E427">
        <v>61</v>
      </c>
    </row>
    <row r="428" spans="2:5">
      <c r="B428" t="s">
        <v>3401</v>
      </c>
      <c r="C428">
        <v>382</v>
      </c>
      <c r="D428" t="s">
        <v>3402</v>
      </c>
      <c r="E428">
        <v>61</v>
      </c>
    </row>
    <row r="429" spans="2:5">
      <c r="B429" t="s">
        <v>3403</v>
      </c>
      <c r="C429">
        <v>383</v>
      </c>
      <c r="D429" t="s">
        <v>3404</v>
      </c>
      <c r="E429">
        <v>61</v>
      </c>
    </row>
    <row r="430" spans="2:5">
      <c r="B430" t="s">
        <v>3405</v>
      </c>
      <c r="C430">
        <v>384</v>
      </c>
      <c r="D430" t="s">
        <v>3406</v>
      </c>
      <c r="E430">
        <v>61</v>
      </c>
    </row>
    <row r="431" spans="2:5">
      <c r="B431" t="s">
        <v>3407</v>
      </c>
      <c r="C431">
        <v>385</v>
      </c>
      <c r="D431" t="s">
        <v>3408</v>
      </c>
      <c r="E431">
        <v>61</v>
      </c>
    </row>
    <row r="432" spans="2:5">
      <c r="B432" t="s">
        <v>3409</v>
      </c>
      <c r="C432">
        <v>386</v>
      </c>
      <c r="D432" t="s">
        <v>3410</v>
      </c>
      <c r="E432">
        <v>61</v>
      </c>
    </row>
    <row r="433" spans="2:5">
      <c r="B433" t="s">
        <v>3411</v>
      </c>
      <c r="C433">
        <v>387</v>
      </c>
      <c r="D433" t="s">
        <v>3412</v>
      </c>
      <c r="E433">
        <v>61</v>
      </c>
    </row>
    <row r="434" spans="2:5">
      <c r="B434" t="s">
        <v>3413</v>
      </c>
      <c r="C434">
        <v>389</v>
      </c>
      <c r="D434" t="s">
        <v>3414</v>
      </c>
      <c r="E434">
        <v>62</v>
      </c>
    </row>
    <row r="435" spans="2:5">
      <c r="B435" t="s">
        <v>826</v>
      </c>
      <c r="C435">
        <v>390</v>
      </c>
      <c r="D435" t="s">
        <v>3415</v>
      </c>
      <c r="E435">
        <v>62</v>
      </c>
    </row>
    <row r="436" spans="2:5">
      <c r="B436" t="s">
        <v>3416</v>
      </c>
      <c r="C436">
        <v>392</v>
      </c>
      <c r="D436" t="s">
        <v>3417</v>
      </c>
      <c r="E436">
        <v>63</v>
      </c>
    </row>
    <row r="437" spans="2:5">
      <c r="B437" t="s">
        <v>3418</v>
      </c>
      <c r="C437">
        <v>393</v>
      </c>
      <c r="D437" t="s">
        <v>3419</v>
      </c>
      <c r="E437">
        <v>63</v>
      </c>
    </row>
    <row r="438" spans="2:5">
      <c r="B438" t="s">
        <v>3420</v>
      </c>
      <c r="C438">
        <v>394</v>
      </c>
      <c r="D438" t="s">
        <v>3421</v>
      </c>
      <c r="E438">
        <v>64</v>
      </c>
    </row>
    <row r="439" spans="2:5">
      <c r="B439" t="s">
        <v>3422</v>
      </c>
      <c r="C439">
        <v>395</v>
      </c>
      <c r="D439" t="s">
        <v>3423</v>
      </c>
      <c r="E439">
        <v>64</v>
      </c>
    </row>
    <row r="440" spans="2:5">
      <c r="B440" t="s">
        <v>3424</v>
      </c>
      <c r="C440">
        <v>396</v>
      </c>
      <c r="D440" t="s">
        <v>3425</v>
      </c>
      <c r="E440">
        <v>65</v>
      </c>
    </row>
    <row r="441" spans="2:5">
      <c r="B441" t="s">
        <v>3426</v>
      </c>
      <c r="C441">
        <v>397</v>
      </c>
      <c r="D441" t="s">
        <v>3427</v>
      </c>
      <c r="E441">
        <v>65</v>
      </c>
    </row>
    <row r="442" spans="2:5">
      <c r="B442" t="s">
        <v>3428</v>
      </c>
      <c r="C442">
        <v>398</v>
      </c>
      <c r="D442" t="s">
        <v>3429</v>
      </c>
      <c r="E442">
        <v>65</v>
      </c>
    </row>
    <row r="443" spans="2:5">
      <c r="B443" t="s">
        <v>3430</v>
      </c>
      <c r="C443">
        <v>399</v>
      </c>
      <c r="D443" t="s">
        <v>3431</v>
      </c>
      <c r="E443">
        <v>66</v>
      </c>
    </row>
    <row r="444" spans="2:5">
      <c r="B444" t="s">
        <v>3432</v>
      </c>
      <c r="C444">
        <v>400</v>
      </c>
      <c r="D444" t="s">
        <v>3433</v>
      </c>
      <c r="E444">
        <v>66</v>
      </c>
    </row>
    <row r="445" spans="2:5">
      <c r="B445" t="s">
        <v>3434</v>
      </c>
      <c r="C445">
        <v>401</v>
      </c>
      <c r="D445" t="s">
        <v>3435</v>
      </c>
      <c r="E445">
        <v>66</v>
      </c>
    </row>
    <row r="446" spans="2:5">
      <c r="B446" t="s">
        <v>3428</v>
      </c>
      <c r="C446">
        <v>402</v>
      </c>
      <c r="D446" t="s">
        <v>3436</v>
      </c>
      <c r="E446">
        <v>66</v>
      </c>
    </row>
    <row r="447" spans="2:5">
      <c r="B447" t="s">
        <v>3437</v>
      </c>
      <c r="C447">
        <v>403</v>
      </c>
      <c r="D447" t="s">
        <v>3438</v>
      </c>
      <c r="E447">
        <v>66</v>
      </c>
    </row>
    <row r="448" spans="2:5">
      <c r="B448" t="s">
        <v>3439</v>
      </c>
      <c r="C448">
        <v>404</v>
      </c>
      <c r="D448" t="s">
        <v>3440</v>
      </c>
      <c r="E448">
        <v>66</v>
      </c>
    </row>
    <row r="449" spans="2:5">
      <c r="B449" t="s">
        <v>3441</v>
      </c>
      <c r="C449">
        <v>413</v>
      </c>
      <c r="D449" t="s">
        <v>3442</v>
      </c>
      <c r="E449">
        <v>66</v>
      </c>
    </row>
    <row r="450" spans="2:5">
      <c r="B450" t="s">
        <v>3443</v>
      </c>
      <c r="C450">
        <v>495</v>
      </c>
      <c r="D450" t="s">
        <v>3444</v>
      </c>
      <c r="E450">
        <v>66</v>
      </c>
    </row>
    <row r="451" spans="2:5">
      <c r="B451" t="s">
        <v>3445</v>
      </c>
      <c r="C451">
        <v>685</v>
      </c>
      <c r="D451" t="s">
        <v>3446</v>
      </c>
      <c r="E451">
        <v>66</v>
      </c>
    </row>
    <row r="452" spans="2:5">
      <c r="B452" t="s">
        <v>3447</v>
      </c>
      <c r="C452">
        <v>780</v>
      </c>
      <c r="D452" t="s">
        <v>3448</v>
      </c>
      <c r="E452">
        <v>66</v>
      </c>
    </row>
    <row r="453" spans="2:5">
      <c r="B453" t="s">
        <v>826</v>
      </c>
      <c r="C453">
        <v>406</v>
      </c>
      <c r="D453" t="s">
        <v>3449</v>
      </c>
      <c r="E453">
        <v>67</v>
      </c>
    </row>
    <row r="454" spans="2:5">
      <c r="B454" t="s">
        <v>2864</v>
      </c>
      <c r="C454">
        <v>407</v>
      </c>
      <c r="D454" t="s">
        <v>3450</v>
      </c>
      <c r="E454">
        <v>67</v>
      </c>
    </row>
    <row r="455" spans="2:5">
      <c r="B455" t="s">
        <v>1850</v>
      </c>
      <c r="C455">
        <v>408</v>
      </c>
      <c r="D455" t="s">
        <v>3451</v>
      </c>
      <c r="E455">
        <v>67</v>
      </c>
    </row>
    <row r="456" spans="2:5">
      <c r="B456" t="s">
        <v>3452</v>
      </c>
      <c r="C456">
        <v>409</v>
      </c>
      <c r="D456" t="s">
        <v>3453</v>
      </c>
      <c r="E456">
        <v>67</v>
      </c>
    </row>
    <row r="457" spans="2:5">
      <c r="B457" t="s">
        <v>3454</v>
      </c>
      <c r="C457">
        <v>410</v>
      </c>
      <c r="D457" t="s">
        <v>3455</v>
      </c>
      <c r="E457">
        <v>67</v>
      </c>
    </row>
    <row r="458" spans="2:5">
      <c r="B458" t="s">
        <v>2865</v>
      </c>
      <c r="C458">
        <v>597</v>
      </c>
      <c r="D458" t="s">
        <v>3456</v>
      </c>
      <c r="E458">
        <v>67</v>
      </c>
    </row>
    <row r="459" spans="2:5">
      <c r="B459" t="s">
        <v>3457</v>
      </c>
      <c r="C459">
        <v>411</v>
      </c>
      <c r="D459" t="s">
        <v>3458</v>
      </c>
      <c r="E459">
        <v>68</v>
      </c>
    </row>
    <row r="460" spans="2:5">
      <c r="B460" t="s">
        <v>3459</v>
      </c>
      <c r="C460">
        <v>412</v>
      </c>
      <c r="D460" t="s">
        <v>3460</v>
      </c>
      <c r="E460">
        <v>68</v>
      </c>
    </row>
    <row r="461" spans="2:5">
      <c r="B461" t="s">
        <v>3461</v>
      </c>
      <c r="C461">
        <v>414</v>
      </c>
      <c r="D461" t="s">
        <v>3462</v>
      </c>
      <c r="E461">
        <v>69</v>
      </c>
    </row>
    <row r="462" spans="2:5">
      <c r="B462" t="s">
        <v>3463</v>
      </c>
      <c r="C462">
        <v>415</v>
      </c>
      <c r="D462" t="s">
        <v>3464</v>
      </c>
      <c r="E462">
        <v>69</v>
      </c>
    </row>
    <row r="463" spans="2:5">
      <c r="B463" t="s">
        <v>3465</v>
      </c>
      <c r="C463">
        <v>416</v>
      </c>
      <c r="D463" t="s">
        <v>3466</v>
      </c>
      <c r="E463">
        <v>69</v>
      </c>
    </row>
    <row r="464" spans="2:5">
      <c r="B464" t="s">
        <v>3467</v>
      </c>
      <c r="C464">
        <v>417</v>
      </c>
      <c r="D464" t="s">
        <v>3468</v>
      </c>
      <c r="E464">
        <v>69</v>
      </c>
    </row>
    <row r="465" spans="2:5">
      <c r="B465" t="s">
        <v>2554</v>
      </c>
      <c r="C465">
        <v>418</v>
      </c>
      <c r="D465" t="s">
        <v>3469</v>
      </c>
      <c r="E465">
        <v>69</v>
      </c>
    </row>
    <row r="466" spans="2:5">
      <c r="B466" t="s">
        <v>3470</v>
      </c>
      <c r="C466">
        <v>419</v>
      </c>
      <c r="D466" t="s">
        <v>3471</v>
      </c>
      <c r="E466">
        <v>69</v>
      </c>
    </row>
    <row r="467" spans="2:5">
      <c r="B467" t="s">
        <v>3472</v>
      </c>
      <c r="C467">
        <v>634</v>
      </c>
      <c r="D467" t="s">
        <v>3473</v>
      </c>
      <c r="E467">
        <v>69</v>
      </c>
    </row>
    <row r="468" spans="2:5">
      <c r="B468" t="s">
        <v>3474</v>
      </c>
      <c r="C468">
        <v>774</v>
      </c>
      <c r="D468" t="s">
        <v>3475</v>
      </c>
      <c r="E468">
        <v>69</v>
      </c>
    </row>
    <row r="469" spans="2:5">
      <c r="B469" t="s">
        <v>3476</v>
      </c>
      <c r="C469">
        <v>423</v>
      </c>
      <c r="D469" t="s">
        <v>3477</v>
      </c>
      <c r="E469">
        <v>70</v>
      </c>
    </row>
    <row r="470" spans="2:5">
      <c r="B470" t="s">
        <v>681</v>
      </c>
      <c r="C470">
        <v>424</v>
      </c>
      <c r="D470" t="s">
        <v>3478</v>
      </c>
      <c r="E470">
        <v>71</v>
      </c>
    </row>
    <row r="471" spans="2:5">
      <c r="B471" t="s">
        <v>714</v>
      </c>
      <c r="C471">
        <v>425</v>
      </c>
      <c r="D471" t="s">
        <v>3479</v>
      </c>
      <c r="E471">
        <v>71</v>
      </c>
    </row>
    <row r="472" spans="2:5">
      <c r="B472" t="s">
        <v>3480</v>
      </c>
      <c r="C472">
        <v>426</v>
      </c>
      <c r="D472" t="s">
        <v>3481</v>
      </c>
      <c r="E472">
        <v>71</v>
      </c>
    </row>
    <row r="473" spans="2:5">
      <c r="B473" t="s">
        <v>956</v>
      </c>
      <c r="C473">
        <v>427</v>
      </c>
      <c r="D473" t="s">
        <v>3482</v>
      </c>
      <c r="E473">
        <v>71</v>
      </c>
    </row>
    <row r="474" spans="2:5">
      <c r="B474" t="s">
        <v>988</v>
      </c>
      <c r="C474">
        <v>428</v>
      </c>
      <c r="D474" t="s">
        <v>3483</v>
      </c>
      <c r="E474">
        <v>71</v>
      </c>
    </row>
    <row r="475" spans="2:5">
      <c r="B475" t="s">
        <v>1021</v>
      </c>
      <c r="C475">
        <v>429</v>
      </c>
      <c r="D475" t="s">
        <v>3484</v>
      </c>
      <c r="E475">
        <v>71</v>
      </c>
    </row>
    <row r="476" spans="2:5">
      <c r="B476" t="s">
        <v>1045</v>
      </c>
      <c r="C476">
        <v>430</v>
      </c>
      <c r="D476" t="s">
        <v>3485</v>
      </c>
      <c r="E476">
        <v>71</v>
      </c>
    </row>
    <row r="477" spans="2:5">
      <c r="B477" t="s">
        <v>1034</v>
      </c>
      <c r="C477">
        <v>431</v>
      </c>
      <c r="D477" t="s">
        <v>3486</v>
      </c>
      <c r="E477">
        <v>71</v>
      </c>
    </row>
    <row r="478" spans="2:5">
      <c r="B478" t="s">
        <v>3487</v>
      </c>
      <c r="C478">
        <v>432</v>
      </c>
      <c r="D478" t="s">
        <v>3488</v>
      </c>
      <c r="E478">
        <v>71</v>
      </c>
    </row>
    <row r="479" spans="2:5">
      <c r="B479" t="s">
        <v>1056</v>
      </c>
      <c r="C479">
        <v>433</v>
      </c>
      <c r="D479" t="s">
        <v>3489</v>
      </c>
      <c r="E479">
        <v>71</v>
      </c>
    </row>
    <row r="480" spans="2:5">
      <c r="B480" t="s">
        <v>3490</v>
      </c>
      <c r="C480">
        <v>434</v>
      </c>
      <c r="D480" t="s">
        <v>3491</v>
      </c>
      <c r="E480">
        <v>71</v>
      </c>
    </row>
    <row r="481" spans="1:5">
      <c r="B481" t="s">
        <v>3492</v>
      </c>
      <c r="C481">
        <v>435</v>
      </c>
      <c r="D481" t="s">
        <v>3493</v>
      </c>
      <c r="E481">
        <v>71</v>
      </c>
    </row>
    <row r="482" spans="1:5">
      <c r="B482" t="s">
        <v>3494</v>
      </c>
      <c r="C482">
        <v>436</v>
      </c>
      <c r="D482" t="s">
        <v>3495</v>
      </c>
      <c r="E482">
        <v>71</v>
      </c>
    </row>
    <row r="483" spans="1:5">
      <c r="B483" t="s">
        <v>3496</v>
      </c>
      <c r="C483">
        <v>437</v>
      </c>
      <c r="D483" t="s">
        <v>3497</v>
      </c>
      <c r="E483">
        <v>71</v>
      </c>
    </row>
    <row r="484" spans="1:5">
      <c r="B484" t="s">
        <v>1069</v>
      </c>
      <c r="C484">
        <v>438</v>
      </c>
      <c r="D484" t="s">
        <v>3498</v>
      </c>
      <c r="E484">
        <v>71</v>
      </c>
    </row>
    <row r="485" spans="1:5">
      <c r="B485" t="s">
        <v>926</v>
      </c>
      <c r="C485">
        <v>439</v>
      </c>
      <c r="D485" t="s">
        <v>3499</v>
      </c>
      <c r="E485">
        <v>71</v>
      </c>
    </row>
    <row r="486" spans="1:5">
      <c r="B486" t="s">
        <v>3500</v>
      </c>
      <c r="C486">
        <v>440</v>
      </c>
      <c r="D486" t="s">
        <v>3501</v>
      </c>
      <c r="E486">
        <v>71</v>
      </c>
    </row>
    <row r="487" spans="1:5">
      <c r="B487" t="s">
        <v>3502</v>
      </c>
      <c r="C487">
        <v>441</v>
      </c>
      <c r="D487" t="s">
        <v>3503</v>
      </c>
      <c r="E487">
        <v>71</v>
      </c>
    </row>
    <row r="488" spans="1:5">
      <c r="B488" t="s">
        <v>2871</v>
      </c>
      <c r="C488">
        <v>455</v>
      </c>
      <c r="D488" t="s">
        <v>3504</v>
      </c>
      <c r="E488">
        <v>71</v>
      </c>
    </row>
    <row r="489" spans="1:5">
      <c r="B489" t="s">
        <v>1001</v>
      </c>
      <c r="C489">
        <v>580</v>
      </c>
      <c r="D489" t="s">
        <v>3505</v>
      </c>
      <c r="E489">
        <v>71</v>
      </c>
    </row>
    <row r="490" spans="1:5">
      <c r="B490" t="s">
        <v>3506</v>
      </c>
      <c r="C490">
        <v>599</v>
      </c>
      <c r="D490" t="s">
        <v>3507</v>
      </c>
      <c r="E490">
        <v>71</v>
      </c>
    </row>
    <row r="491" spans="1:5">
      <c r="B491" t="s">
        <v>3508</v>
      </c>
      <c r="C491">
        <v>600</v>
      </c>
      <c r="D491" t="s">
        <v>3509</v>
      </c>
      <c r="E491">
        <v>71</v>
      </c>
    </row>
    <row r="492" spans="1:5">
      <c r="B492" t="s">
        <v>3510</v>
      </c>
      <c r="C492">
        <v>601</v>
      </c>
      <c r="D492" t="s">
        <v>3511</v>
      </c>
      <c r="E492">
        <v>71</v>
      </c>
    </row>
    <row r="493" spans="1:5">
      <c r="B493" t="s">
        <v>1012</v>
      </c>
      <c r="C493">
        <v>602</v>
      </c>
      <c r="D493" t="s">
        <v>3512</v>
      </c>
      <c r="E493">
        <v>71</v>
      </c>
    </row>
    <row r="494" spans="1:5">
      <c r="B494" t="s">
        <v>3513</v>
      </c>
      <c r="C494">
        <v>603</v>
      </c>
      <c r="D494" t="s">
        <v>3514</v>
      </c>
      <c r="E494">
        <v>71</v>
      </c>
    </row>
    <row r="495" spans="1:5">
      <c r="A495" t="s">
        <v>4068</v>
      </c>
      <c r="B495" t="s">
        <v>2868</v>
      </c>
      <c r="C495">
        <v>442</v>
      </c>
      <c r="D495" t="s">
        <v>3515</v>
      </c>
      <c r="E495">
        <v>72</v>
      </c>
    </row>
    <row r="496" spans="1:5">
      <c r="B496" t="s">
        <v>2869</v>
      </c>
      <c r="C496">
        <v>443</v>
      </c>
      <c r="D496" t="s">
        <v>3516</v>
      </c>
      <c r="E496">
        <v>72</v>
      </c>
    </row>
    <row r="497" spans="2:5">
      <c r="B497" t="s">
        <v>2870</v>
      </c>
      <c r="C497">
        <v>444</v>
      </c>
      <c r="D497" t="s">
        <v>3517</v>
      </c>
      <c r="E497">
        <v>72</v>
      </c>
    </row>
    <row r="498" spans="2:5">
      <c r="B498" t="s">
        <v>2871</v>
      </c>
      <c r="C498">
        <v>456</v>
      </c>
      <c r="D498" t="s">
        <v>3518</v>
      </c>
      <c r="E498">
        <v>72</v>
      </c>
    </row>
    <row r="499" spans="2:5">
      <c r="B499" t="s">
        <v>467</v>
      </c>
      <c r="C499">
        <v>565</v>
      </c>
      <c r="D499" t="s">
        <v>3519</v>
      </c>
      <c r="E499">
        <v>72</v>
      </c>
    </row>
    <row r="500" spans="2:5">
      <c r="B500" t="s">
        <v>3520</v>
      </c>
      <c r="C500">
        <v>566</v>
      </c>
      <c r="D500" t="s">
        <v>3521</v>
      </c>
      <c r="E500">
        <v>72</v>
      </c>
    </row>
    <row r="501" spans="2:5">
      <c r="B501" t="s">
        <v>774</v>
      </c>
      <c r="C501">
        <v>567</v>
      </c>
      <c r="D501" t="s">
        <v>3522</v>
      </c>
      <c r="E501">
        <v>72</v>
      </c>
    </row>
    <row r="502" spans="2:5">
      <c r="B502" t="s">
        <v>477</v>
      </c>
      <c r="C502">
        <v>568</v>
      </c>
      <c r="D502" t="s">
        <v>3523</v>
      </c>
      <c r="E502">
        <v>72</v>
      </c>
    </row>
    <row r="503" spans="2:5">
      <c r="B503" t="s">
        <v>471</v>
      </c>
      <c r="C503">
        <v>569</v>
      </c>
      <c r="D503" t="s">
        <v>3524</v>
      </c>
      <c r="E503">
        <v>72</v>
      </c>
    </row>
    <row r="504" spans="2:5">
      <c r="B504" t="s">
        <v>955</v>
      </c>
      <c r="C504">
        <v>570</v>
      </c>
      <c r="D504" t="s">
        <v>3525</v>
      </c>
      <c r="E504">
        <v>72</v>
      </c>
    </row>
    <row r="505" spans="2:5">
      <c r="B505" t="s">
        <v>2867</v>
      </c>
      <c r="C505">
        <v>445</v>
      </c>
      <c r="D505" t="s">
        <v>3526</v>
      </c>
      <c r="E505">
        <v>73</v>
      </c>
    </row>
    <row r="506" spans="2:5">
      <c r="B506" t="s">
        <v>2866</v>
      </c>
      <c r="C506">
        <v>446</v>
      </c>
      <c r="D506" t="s">
        <v>3527</v>
      </c>
      <c r="E506">
        <v>73</v>
      </c>
    </row>
    <row r="507" spans="2:5">
      <c r="B507" t="s">
        <v>2871</v>
      </c>
      <c r="C507">
        <v>457</v>
      </c>
      <c r="D507" t="s">
        <v>3528</v>
      </c>
      <c r="E507">
        <v>73</v>
      </c>
    </row>
    <row r="508" spans="2:5">
      <c r="B508" t="s">
        <v>3529</v>
      </c>
      <c r="C508">
        <v>447</v>
      </c>
      <c r="D508" t="s">
        <v>3530</v>
      </c>
      <c r="E508">
        <v>74</v>
      </c>
    </row>
    <row r="509" spans="2:5">
      <c r="B509" t="s">
        <v>2870</v>
      </c>
      <c r="C509">
        <v>448</v>
      </c>
      <c r="D509" t="s">
        <v>3531</v>
      </c>
      <c r="E509">
        <v>74</v>
      </c>
    </row>
    <row r="510" spans="2:5">
      <c r="B510" t="s">
        <v>12</v>
      </c>
      <c r="C510">
        <v>449</v>
      </c>
      <c r="D510" t="s">
        <v>3532</v>
      </c>
      <c r="E510">
        <v>74</v>
      </c>
    </row>
    <row r="511" spans="2:5">
      <c r="B511" t="s">
        <v>713</v>
      </c>
      <c r="C511">
        <v>450</v>
      </c>
      <c r="D511" t="s">
        <v>3533</v>
      </c>
      <c r="E511">
        <v>74</v>
      </c>
    </row>
    <row r="512" spans="2:5">
      <c r="B512" t="s">
        <v>3534</v>
      </c>
      <c r="C512">
        <v>451</v>
      </c>
      <c r="D512" t="s">
        <v>3535</v>
      </c>
      <c r="E512">
        <v>74</v>
      </c>
    </row>
    <row r="513" spans="2:5">
      <c r="B513" t="s">
        <v>3536</v>
      </c>
      <c r="C513">
        <v>452</v>
      </c>
      <c r="D513" t="s">
        <v>3537</v>
      </c>
      <c r="E513">
        <v>74</v>
      </c>
    </row>
    <row r="514" spans="2:5">
      <c r="B514" t="s">
        <v>7</v>
      </c>
      <c r="C514">
        <v>453</v>
      </c>
      <c r="D514" t="s">
        <v>3538</v>
      </c>
      <c r="E514">
        <v>74</v>
      </c>
    </row>
    <row r="515" spans="2:5">
      <c r="B515" t="s">
        <v>3539</v>
      </c>
      <c r="C515">
        <v>454</v>
      </c>
      <c r="D515" t="s">
        <v>3540</v>
      </c>
      <c r="E515">
        <v>74</v>
      </c>
    </row>
    <row r="516" spans="2:5">
      <c r="B516" t="s">
        <v>2871</v>
      </c>
      <c r="C516">
        <v>458</v>
      </c>
      <c r="D516" t="s">
        <v>3541</v>
      </c>
      <c r="E516">
        <v>74</v>
      </c>
    </row>
    <row r="517" spans="2:5">
      <c r="B517" t="s">
        <v>3542</v>
      </c>
      <c r="C517">
        <v>724</v>
      </c>
      <c r="D517" t="s">
        <v>3543</v>
      </c>
      <c r="E517">
        <v>74</v>
      </c>
    </row>
    <row r="518" spans="2:5">
      <c r="B518" t="s">
        <v>3544</v>
      </c>
      <c r="C518">
        <v>725</v>
      </c>
      <c r="D518" t="s">
        <v>3545</v>
      </c>
      <c r="E518">
        <v>74</v>
      </c>
    </row>
    <row r="519" spans="2:5">
      <c r="B519" t="s">
        <v>859</v>
      </c>
      <c r="C519">
        <v>726</v>
      </c>
      <c r="D519" t="s">
        <v>3546</v>
      </c>
      <c r="E519">
        <v>74</v>
      </c>
    </row>
    <row r="520" spans="2:5">
      <c r="B520" t="s">
        <v>972</v>
      </c>
      <c r="C520">
        <v>727</v>
      </c>
      <c r="D520" t="s">
        <v>3547</v>
      </c>
      <c r="E520">
        <v>74</v>
      </c>
    </row>
    <row r="521" spans="2:5">
      <c r="B521" t="s">
        <v>1001</v>
      </c>
      <c r="C521">
        <v>728</v>
      </c>
      <c r="D521" t="s">
        <v>3548</v>
      </c>
      <c r="E521">
        <v>74</v>
      </c>
    </row>
    <row r="522" spans="2:5">
      <c r="B522" t="s">
        <v>1011</v>
      </c>
      <c r="C522">
        <v>729</v>
      </c>
      <c r="D522" t="s">
        <v>3549</v>
      </c>
      <c r="E522">
        <v>74</v>
      </c>
    </row>
    <row r="523" spans="2:5">
      <c r="B523" t="s">
        <v>3550</v>
      </c>
      <c r="C523">
        <v>730</v>
      </c>
      <c r="D523" t="s">
        <v>3551</v>
      </c>
      <c r="E523">
        <v>74</v>
      </c>
    </row>
    <row r="524" spans="2:5">
      <c r="B524" t="s">
        <v>3552</v>
      </c>
      <c r="C524">
        <v>731</v>
      </c>
      <c r="D524" t="s">
        <v>3553</v>
      </c>
      <c r="E524">
        <v>74</v>
      </c>
    </row>
    <row r="525" spans="2:5">
      <c r="B525" t="s">
        <v>3554</v>
      </c>
      <c r="C525">
        <v>732</v>
      </c>
      <c r="D525" t="s">
        <v>3555</v>
      </c>
      <c r="E525">
        <v>74</v>
      </c>
    </row>
    <row r="526" spans="2:5">
      <c r="B526" t="s">
        <v>3556</v>
      </c>
      <c r="C526">
        <v>779</v>
      </c>
      <c r="D526" t="s">
        <v>3557</v>
      </c>
      <c r="E526">
        <v>74</v>
      </c>
    </row>
    <row r="527" spans="2:5">
      <c r="B527" t="s">
        <v>3558</v>
      </c>
      <c r="C527">
        <v>785</v>
      </c>
      <c r="D527" t="s">
        <v>3559</v>
      </c>
      <c r="E527">
        <v>74</v>
      </c>
    </row>
    <row r="528" spans="2:5">
      <c r="B528" t="s">
        <v>3560</v>
      </c>
      <c r="C528">
        <v>786</v>
      </c>
      <c r="D528" t="s">
        <v>3561</v>
      </c>
      <c r="E528">
        <v>74</v>
      </c>
    </row>
    <row r="529" spans="2:5">
      <c r="B529" t="s">
        <v>3562</v>
      </c>
      <c r="C529">
        <v>787</v>
      </c>
      <c r="D529" t="s">
        <v>3563</v>
      </c>
      <c r="E529">
        <v>74</v>
      </c>
    </row>
    <row r="530" spans="2:5">
      <c r="B530" t="s">
        <v>3564</v>
      </c>
      <c r="C530">
        <v>788</v>
      </c>
      <c r="D530" t="s">
        <v>3565</v>
      </c>
      <c r="E530">
        <v>74</v>
      </c>
    </row>
    <row r="531" spans="2:5">
      <c r="B531" t="s">
        <v>3566</v>
      </c>
      <c r="C531">
        <v>790</v>
      </c>
      <c r="D531" t="s">
        <v>3567</v>
      </c>
      <c r="E531">
        <v>74</v>
      </c>
    </row>
    <row r="532" spans="2:5">
      <c r="B532" t="s">
        <v>3568</v>
      </c>
      <c r="C532">
        <v>805</v>
      </c>
      <c r="D532" t="s">
        <v>3569</v>
      </c>
      <c r="E532">
        <v>74</v>
      </c>
    </row>
    <row r="533" spans="2:5">
      <c r="B533" t="s">
        <v>3570</v>
      </c>
      <c r="C533">
        <v>817</v>
      </c>
      <c r="D533" t="s">
        <v>3571</v>
      </c>
      <c r="E533">
        <v>74</v>
      </c>
    </row>
    <row r="534" spans="2:5">
      <c r="B534" t="s">
        <v>3572</v>
      </c>
      <c r="C534">
        <v>459</v>
      </c>
      <c r="D534" t="s">
        <v>3573</v>
      </c>
      <c r="E534">
        <v>75</v>
      </c>
    </row>
    <row r="535" spans="2:5">
      <c r="B535" t="s">
        <v>3574</v>
      </c>
      <c r="C535">
        <v>641</v>
      </c>
      <c r="D535" t="s">
        <v>3575</v>
      </c>
      <c r="E535">
        <v>75</v>
      </c>
    </row>
    <row r="536" spans="2:5">
      <c r="B536" t="s">
        <v>3576</v>
      </c>
      <c r="C536">
        <v>642</v>
      </c>
      <c r="D536" t="s">
        <v>3577</v>
      </c>
      <c r="E536">
        <v>75</v>
      </c>
    </row>
    <row r="537" spans="2:5">
      <c r="B537" t="s">
        <v>689</v>
      </c>
      <c r="C537">
        <v>467</v>
      </c>
      <c r="D537" t="s">
        <v>3578</v>
      </c>
      <c r="E537">
        <v>76</v>
      </c>
    </row>
    <row r="538" spans="2:5">
      <c r="B538" t="s">
        <v>751</v>
      </c>
      <c r="C538">
        <v>468</v>
      </c>
      <c r="D538" t="s">
        <v>3579</v>
      </c>
      <c r="E538">
        <v>76</v>
      </c>
    </row>
    <row r="539" spans="2:5">
      <c r="B539" t="s">
        <v>3580</v>
      </c>
      <c r="C539">
        <v>469</v>
      </c>
      <c r="D539" t="s">
        <v>3581</v>
      </c>
      <c r="E539">
        <v>76</v>
      </c>
    </row>
    <row r="540" spans="2:5">
      <c r="B540" t="s">
        <v>799</v>
      </c>
      <c r="C540">
        <v>470</v>
      </c>
      <c r="D540" t="s">
        <v>3582</v>
      </c>
      <c r="E540">
        <v>76</v>
      </c>
    </row>
    <row r="541" spans="2:5">
      <c r="B541" t="s">
        <v>3583</v>
      </c>
      <c r="C541">
        <v>471</v>
      </c>
      <c r="D541" t="s">
        <v>3584</v>
      </c>
      <c r="E541">
        <v>76</v>
      </c>
    </row>
    <row r="542" spans="2:5">
      <c r="B542" t="s">
        <v>881</v>
      </c>
      <c r="C542">
        <v>472</v>
      </c>
      <c r="D542" t="s">
        <v>3585</v>
      </c>
      <c r="E542">
        <v>76</v>
      </c>
    </row>
    <row r="543" spans="2:5">
      <c r="B543" t="s">
        <v>901</v>
      </c>
      <c r="C543">
        <v>473</v>
      </c>
      <c r="D543" t="s">
        <v>3586</v>
      </c>
      <c r="E543">
        <v>76</v>
      </c>
    </row>
    <row r="544" spans="2:5">
      <c r="B544" t="s">
        <v>992</v>
      </c>
      <c r="C544">
        <v>474</v>
      </c>
      <c r="D544" t="s">
        <v>3587</v>
      </c>
      <c r="E544">
        <v>76</v>
      </c>
    </row>
    <row r="545" spans="2:5">
      <c r="B545" t="s">
        <v>917</v>
      </c>
      <c r="C545">
        <v>475</v>
      </c>
      <c r="D545" t="s">
        <v>3588</v>
      </c>
      <c r="E545">
        <v>76</v>
      </c>
    </row>
    <row r="546" spans="2:5">
      <c r="B546" t="s">
        <v>931</v>
      </c>
      <c r="C546">
        <v>476</v>
      </c>
      <c r="D546" t="s">
        <v>3589</v>
      </c>
      <c r="E546">
        <v>76</v>
      </c>
    </row>
    <row r="547" spans="2:5">
      <c r="B547" t="s">
        <v>961</v>
      </c>
      <c r="C547">
        <v>477</v>
      </c>
      <c r="D547" t="s">
        <v>3590</v>
      </c>
      <c r="E547">
        <v>76</v>
      </c>
    </row>
    <row r="548" spans="2:5">
      <c r="B548" t="s">
        <v>1095</v>
      </c>
      <c r="C548">
        <v>478</v>
      </c>
      <c r="D548" t="s">
        <v>3591</v>
      </c>
      <c r="E548">
        <v>76</v>
      </c>
    </row>
    <row r="549" spans="2:5">
      <c r="B549" t="s">
        <v>3592</v>
      </c>
      <c r="C549">
        <v>479</v>
      </c>
      <c r="D549" t="s">
        <v>3593</v>
      </c>
      <c r="E549">
        <v>76</v>
      </c>
    </row>
    <row r="550" spans="2:5">
      <c r="B550" t="s">
        <v>1528</v>
      </c>
      <c r="C550">
        <v>480</v>
      </c>
      <c r="D550" t="s">
        <v>3594</v>
      </c>
      <c r="E550">
        <v>76</v>
      </c>
    </row>
    <row r="551" spans="2:5">
      <c r="B551" t="s">
        <v>945</v>
      </c>
      <c r="C551">
        <v>481</v>
      </c>
      <c r="D551" t="s">
        <v>3595</v>
      </c>
      <c r="E551">
        <v>76</v>
      </c>
    </row>
    <row r="552" spans="2:5">
      <c r="B552" t="s">
        <v>826</v>
      </c>
      <c r="C552">
        <v>482</v>
      </c>
      <c r="D552" t="s">
        <v>3596</v>
      </c>
      <c r="E552">
        <v>76</v>
      </c>
    </row>
    <row r="553" spans="2:5">
      <c r="B553" t="s">
        <v>1038</v>
      </c>
      <c r="C553">
        <v>483</v>
      </c>
      <c r="D553" t="s">
        <v>3597</v>
      </c>
      <c r="E553">
        <v>76</v>
      </c>
    </row>
    <row r="554" spans="2:5">
      <c r="B554" t="s">
        <v>1047</v>
      </c>
      <c r="C554">
        <v>484</v>
      </c>
      <c r="D554" t="s">
        <v>3598</v>
      </c>
      <c r="E554">
        <v>76</v>
      </c>
    </row>
    <row r="555" spans="2:5">
      <c r="B555" t="s">
        <v>1064</v>
      </c>
      <c r="C555">
        <v>485</v>
      </c>
      <c r="D555" t="s">
        <v>3599</v>
      </c>
      <c r="E555">
        <v>76</v>
      </c>
    </row>
    <row r="556" spans="2:5">
      <c r="B556" t="s">
        <v>1071</v>
      </c>
      <c r="C556">
        <v>486</v>
      </c>
      <c r="D556" t="s">
        <v>3600</v>
      </c>
      <c r="E556">
        <v>76</v>
      </c>
    </row>
    <row r="557" spans="2:5">
      <c r="B557" t="s">
        <v>1077</v>
      </c>
      <c r="C557">
        <v>487</v>
      </c>
      <c r="D557" t="s">
        <v>3601</v>
      </c>
      <c r="E557">
        <v>76</v>
      </c>
    </row>
    <row r="558" spans="2:5">
      <c r="B558" t="s">
        <v>3602</v>
      </c>
      <c r="C558">
        <v>488</v>
      </c>
      <c r="D558" t="s">
        <v>3603</v>
      </c>
      <c r="E558">
        <v>76</v>
      </c>
    </row>
    <row r="559" spans="2:5">
      <c r="B559" t="s">
        <v>1082</v>
      </c>
      <c r="C559">
        <v>489</v>
      </c>
      <c r="D559" t="s">
        <v>3604</v>
      </c>
      <c r="E559">
        <v>76</v>
      </c>
    </row>
    <row r="560" spans="2:5">
      <c r="B560" t="s">
        <v>1088</v>
      </c>
      <c r="C560">
        <v>490</v>
      </c>
      <c r="D560" t="s">
        <v>3605</v>
      </c>
      <c r="E560">
        <v>76</v>
      </c>
    </row>
    <row r="561" spans="2:5">
      <c r="B561" t="s">
        <v>977</v>
      </c>
      <c r="C561">
        <v>491</v>
      </c>
      <c r="D561" t="s">
        <v>3606</v>
      </c>
      <c r="E561">
        <v>76</v>
      </c>
    </row>
    <row r="562" spans="2:5">
      <c r="B562" t="s">
        <v>845</v>
      </c>
      <c r="C562">
        <v>492</v>
      </c>
      <c r="D562" t="s">
        <v>3607</v>
      </c>
      <c r="E562">
        <v>76</v>
      </c>
    </row>
    <row r="563" spans="2:5">
      <c r="B563" t="s">
        <v>1090</v>
      </c>
      <c r="C563">
        <v>493</v>
      </c>
      <c r="D563" t="s">
        <v>3608</v>
      </c>
      <c r="E563">
        <v>76</v>
      </c>
    </row>
    <row r="564" spans="2:5">
      <c r="B564" t="s">
        <v>1025</v>
      </c>
      <c r="C564">
        <v>494</v>
      </c>
      <c r="D564" t="s">
        <v>3609</v>
      </c>
      <c r="E564">
        <v>76</v>
      </c>
    </row>
    <row r="565" spans="2:5">
      <c r="B565" t="s">
        <v>571</v>
      </c>
      <c r="C565">
        <v>589</v>
      </c>
      <c r="D565" t="s">
        <v>3610</v>
      </c>
      <c r="E565">
        <v>76</v>
      </c>
    </row>
    <row r="566" spans="2:5">
      <c r="B566" t="s">
        <v>865</v>
      </c>
      <c r="C566">
        <v>590</v>
      </c>
      <c r="D566" t="s">
        <v>3611</v>
      </c>
      <c r="E566">
        <v>76</v>
      </c>
    </row>
    <row r="567" spans="2:5">
      <c r="B567" t="s">
        <v>1057</v>
      </c>
      <c r="C567">
        <v>591</v>
      </c>
      <c r="D567" t="s">
        <v>3612</v>
      </c>
      <c r="E567">
        <v>76</v>
      </c>
    </row>
    <row r="568" spans="2:5">
      <c r="B568" t="s">
        <v>3613</v>
      </c>
      <c r="C568">
        <v>496</v>
      </c>
      <c r="D568" t="s">
        <v>3614</v>
      </c>
      <c r="E568">
        <v>77</v>
      </c>
    </row>
    <row r="569" spans="2:5">
      <c r="B569" t="s">
        <v>3615</v>
      </c>
      <c r="C569">
        <v>497</v>
      </c>
      <c r="D569" t="s">
        <v>3616</v>
      </c>
      <c r="E569">
        <v>77</v>
      </c>
    </row>
    <row r="570" spans="2:5">
      <c r="B570" t="s">
        <v>3617</v>
      </c>
      <c r="C570">
        <v>498</v>
      </c>
      <c r="D570" t="s">
        <v>3618</v>
      </c>
      <c r="E570">
        <v>77</v>
      </c>
    </row>
    <row r="571" spans="2:5">
      <c r="B571" t="s">
        <v>3619</v>
      </c>
      <c r="C571">
        <v>551</v>
      </c>
      <c r="D571" t="s">
        <v>3620</v>
      </c>
      <c r="E571">
        <v>77</v>
      </c>
    </row>
    <row r="572" spans="2:5">
      <c r="B572" t="s">
        <v>3621</v>
      </c>
      <c r="C572">
        <v>582</v>
      </c>
      <c r="D572" t="s">
        <v>3622</v>
      </c>
      <c r="E572">
        <v>77</v>
      </c>
    </row>
    <row r="573" spans="2:5">
      <c r="B573" t="s">
        <v>10</v>
      </c>
      <c r="C573">
        <v>499</v>
      </c>
      <c r="D573" t="s">
        <v>3623</v>
      </c>
      <c r="E573">
        <v>78</v>
      </c>
    </row>
    <row r="574" spans="2:5">
      <c r="B574" t="s">
        <v>3624</v>
      </c>
      <c r="C574">
        <v>500</v>
      </c>
      <c r="D574" t="s">
        <v>3625</v>
      </c>
      <c r="E574">
        <v>78</v>
      </c>
    </row>
    <row r="575" spans="2:5">
      <c r="B575" t="s">
        <v>17</v>
      </c>
      <c r="C575">
        <v>501</v>
      </c>
      <c r="D575" t="s">
        <v>3626</v>
      </c>
      <c r="E575">
        <v>78</v>
      </c>
    </row>
    <row r="576" spans="2:5">
      <c r="B576" t="s">
        <v>3627</v>
      </c>
      <c r="C576">
        <v>550</v>
      </c>
      <c r="D576" t="s">
        <v>3628</v>
      </c>
      <c r="E576">
        <v>78</v>
      </c>
    </row>
    <row r="577" spans="2:5">
      <c r="B577" t="s">
        <v>9</v>
      </c>
      <c r="C577">
        <v>616</v>
      </c>
      <c r="D577" t="s">
        <v>3629</v>
      </c>
      <c r="E577">
        <v>78</v>
      </c>
    </row>
    <row r="578" spans="2:5">
      <c r="B578" t="s">
        <v>3005</v>
      </c>
      <c r="C578">
        <v>503</v>
      </c>
      <c r="D578" t="s">
        <v>3630</v>
      </c>
      <c r="E578">
        <v>79</v>
      </c>
    </row>
    <row r="579" spans="2:5">
      <c r="B579" t="s">
        <v>3631</v>
      </c>
      <c r="C579">
        <v>504</v>
      </c>
      <c r="D579" t="s">
        <v>3632</v>
      </c>
      <c r="E579">
        <v>79</v>
      </c>
    </row>
    <row r="580" spans="2:5">
      <c r="B580" t="s">
        <v>3633</v>
      </c>
      <c r="C580">
        <v>505</v>
      </c>
      <c r="D580" t="s">
        <v>3634</v>
      </c>
      <c r="E580">
        <v>79</v>
      </c>
    </row>
    <row r="581" spans="2:5">
      <c r="B581" t="s">
        <v>3635</v>
      </c>
      <c r="C581">
        <v>506</v>
      </c>
      <c r="D581" t="s">
        <v>3636</v>
      </c>
      <c r="E581">
        <v>79</v>
      </c>
    </row>
    <row r="582" spans="2:5">
      <c r="B582" t="s">
        <v>3637</v>
      </c>
      <c r="C582">
        <v>507</v>
      </c>
      <c r="D582" t="s">
        <v>3638</v>
      </c>
      <c r="E582">
        <v>79</v>
      </c>
    </row>
    <row r="583" spans="2:5">
      <c r="B583" t="s">
        <v>3639</v>
      </c>
      <c r="C583">
        <v>508</v>
      </c>
      <c r="D583" t="s">
        <v>3640</v>
      </c>
      <c r="E583">
        <v>79</v>
      </c>
    </row>
    <row r="584" spans="2:5">
      <c r="B584" t="s">
        <v>3641</v>
      </c>
      <c r="C584">
        <v>509</v>
      </c>
      <c r="D584" t="s">
        <v>3642</v>
      </c>
      <c r="E584">
        <v>79</v>
      </c>
    </row>
    <row r="585" spans="2:5">
      <c r="B585" t="s">
        <v>3643</v>
      </c>
      <c r="C585">
        <v>510</v>
      </c>
      <c r="D585" t="s">
        <v>3644</v>
      </c>
      <c r="E585">
        <v>80</v>
      </c>
    </row>
    <row r="586" spans="2:5">
      <c r="B586" t="s">
        <v>3645</v>
      </c>
      <c r="C586">
        <v>511</v>
      </c>
      <c r="D586" t="s">
        <v>3646</v>
      </c>
      <c r="E586">
        <v>80</v>
      </c>
    </row>
    <row r="587" spans="2:5">
      <c r="B587" t="s">
        <v>3647</v>
      </c>
      <c r="C587">
        <v>512</v>
      </c>
      <c r="D587" t="s">
        <v>3648</v>
      </c>
      <c r="E587">
        <v>80</v>
      </c>
    </row>
    <row r="588" spans="2:5">
      <c r="B588" t="s">
        <v>3649</v>
      </c>
      <c r="C588">
        <v>574</v>
      </c>
      <c r="D588" t="s">
        <v>3650</v>
      </c>
      <c r="E588">
        <v>80</v>
      </c>
    </row>
    <row r="589" spans="2:5">
      <c r="B589" t="s">
        <v>3651</v>
      </c>
      <c r="C589">
        <v>633</v>
      </c>
      <c r="D589" t="s">
        <v>3652</v>
      </c>
      <c r="E589">
        <v>80</v>
      </c>
    </row>
    <row r="590" spans="2:5">
      <c r="B590" t="s">
        <v>3653</v>
      </c>
      <c r="C590">
        <v>513</v>
      </c>
      <c r="D590" t="s">
        <v>3654</v>
      </c>
      <c r="E590">
        <v>81</v>
      </c>
    </row>
    <row r="591" spans="2:5">
      <c r="B591" t="s">
        <v>3655</v>
      </c>
      <c r="C591">
        <v>514</v>
      </c>
      <c r="D591" t="s">
        <v>3656</v>
      </c>
      <c r="E591">
        <v>81</v>
      </c>
    </row>
    <row r="592" spans="2:5">
      <c r="B592" t="s">
        <v>3657</v>
      </c>
      <c r="C592">
        <v>515</v>
      </c>
      <c r="D592" t="s">
        <v>3658</v>
      </c>
      <c r="E592">
        <v>81</v>
      </c>
    </row>
    <row r="593" spans="2:5">
      <c r="B593" t="s">
        <v>3659</v>
      </c>
      <c r="C593">
        <v>516</v>
      </c>
      <c r="D593" t="s">
        <v>3660</v>
      </c>
      <c r="E593">
        <v>81</v>
      </c>
    </row>
    <row r="594" spans="2:5">
      <c r="B594" t="s">
        <v>2871</v>
      </c>
      <c r="C594">
        <v>528</v>
      </c>
      <c r="D594" t="s">
        <v>3661</v>
      </c>
      <c r="E594">
        <v>81</v>
      </c>
    </row>
    <row r="595" spans="2:5">
      <c r="B595" t="s">
        <v>3662</v>
      </c>
      <c r="C595">
        <v>521</v>
      </c>
      <c r="D595" t="s">
        <v>3663</v>
      </c>
      <c r="E595">
        <v>82</v>
      </c>
    </row>
    <row r="596" spans="2:5">
      <c r="B596" t="s">
        <v>3664</v>
      </c>
      <c r="C596">
        <v>522</v>
      </c>
      <c r="D596" t="s">
        <v>3665</v>
      </c>
      <c r="E596">
        <v>82</v>
      </c>
    </row>
    <row r="597" spans="2:5">
      <c r="B597" t="s">
        <v>3666</v>
      </c>
      <c r="C597">
        <v>523</v>
      </c>
      <c r="D597" t="s">
        <v>3667</v>
      </c>
      <c r="E597">
        <v>82</v>
      </c>
    </row>
    <row r="598" spans="2:5">
      <c r="B598" t="s">
        <v>3668</v>
      </c>
      <c r="C598">
        <v>524</v>
      </c>
      <c r="D598" t="s">
        <v>3669</v>
      </c>
      <c r="E598">
        <v>83</v>
      </c>
    </row>
    <row r="599" spans="2:5">
      <c r="B599" t="s">
        <v>3670</v>
      </c>
      <c r="C599">
        <v>525</v>
      </c>
      <c r="D599" t="s">
        <v>3671</v>
      </c>
      <c r="E599">
        <v>83</v>
      </c>
    </row>
    <row r="600" spans="2:5">
      <c r="B600" t="s">
        <v>3672</v>
      </c>
      <c r="C600">
        <v>526</v>
      </c>
      <c r="D600" t="s">
        <v>3673</v>
      </c>
      <c r="E600">
        <v>83</v>
      </c>
    </row>
    <row r="601" spans="2:5">
      <c r="B601" t="s">
        <v>3674</v>
      </c>
      <c r="C601">
        <v>527</v>
      </c>
      <c r="D601" t="s">
        <v>3675</v>
      </c>
      <c r="E601">
        <v>83</v>
      </c>
    </row>
    <row r="602" spans="2:5">
      <c r="B602" t="s">
        <v>3259</v>
      </c>
      <c r="C602">
        <v>529</v>
      </c>
      <c r="D602" t="s">
        <v>3676</v>
      </c>
      <c r="E602">
        <v>84</v>
      </c>
    </row>
    <row r="603" spans="2:5">
      <c r="B603" t="s">
        <v>3677</v>
      </c>
      <c r="C603">
        <v>530</v>
      </c>
      <c r="D603" t="s">
        <v>3678</v>
      </c>
      <c r="E603">
        <v>84</v>
      </c>
    </row>
    <row r="604" spans="2:5">
      <c r="B604" t="s">
        <v>176</v>
      </c>
      <c r="C604">
        <v>531</v>
      </c>
      <c r="D604" t="s">
        <v>3679</v>
      </c>
      <c r="E604">
        <v>85</v>
      </c>
    </row>
    <row r="605" spans="2:5">
      <c r="B605" t="s">
        <v>730</v>
      </c>
      <c r="C605">
        <v>532</v>
      </c>
      <c r="D605" t="s">
        <v>3680</v>
      </c>
      <c r="E605">
        <v>85</v>
      </c>
    </row>
    <row r="606" spans="2:5">
      <c r="B606" t="s">
        <v>3681</v>
      </c>
      <c r="C606">
        <v>533</v>
      </c>
      <c r="D606" t="s">
        <v>3682</v>
      </c>
      <c r="E606">
        <v>85</v>
      </c>
    </row>
    <row r="607" spans="2:5">
      <c r="B607" t="s">
        <v>784</v>
      </c>
      <c r="C607">
        <v>534</v>
      </c>
      <c r="D607" t="s">
        <v>3683</v>
      </c>
      <c r="E607">
        <v>85</v>
      </c>
    </row>
    <row r="608" spans="2:5">
      <c r="B608" t="s">
        <v>200</v>
      </c>
      <c r="C608">
        <v>535</v>
      </c>
      <c r="D608" t="s">
        <v>3684</v>
      </c>
      <c r="E608">
        <v>86</v>
      </c>
    </row>
    <row r="609" spans="2:5">
      <c r="B609" t="s">
        <v>3685</v>
      </c>
      <c r="C609">
        <v>536</v>
      </c>
      <c r="D609" t="s">
        <v>3686</v>
      </c>
      <c r="E609">
        <v>86</v>
      </c>
    </row>
    <row r="610" spans="2:5">
      <c r="B610" t="s">
        <v>3687</v>
      </c>
      <c r="C610">
        <v>537</v>
      </c>
      <c r="D610" t="s">
        <v>3688</v>
      </c>
      <c r="E610">
        <v>87</v>
      </c>
    </row>
    <row r="611" spans="2:5">
      <c r="B611" t="s">
        <v>168</v>
      </c>
      <c r="C611">
        <v>538</v>
      </c>
      <c r="D611" t="s">
        <v>3689</v>
      </c>
      <c r="E611">
        <v>87</v>
      </c>
    </row>
    <row r="612" spans="2:5">
      <c r="B612" t="s">
        <v>3690</v>
      </c>
      <c r="C612">
        <v>539</v>
      </c>
      <c r="D612" t="s">
        <v>3691</v>
      </c>
      <c r="E612">
        <v>87</v>
      </c>
    </row>
    <row r="613" spans="2:5">
      <c r="B613" t="s">
        <v>3692</v>
      </c>
      <c r="C613">
        <v>540</v>
      </c>
      <c r="D613" t="s">
        <v>3693</v>
      </c>
      <c r="E613">
        <v>87</v>
      </c>
    </row>
    <row r="614" spans="2:5">
      <c r="B614" t="s">
        <v>3694</v>
      </c>
      <c r="C614">
        <v>541</v>
      </c>
      <c r="D614" t="s">
        <v>3695</v>
      </c>
      <c r="E614">
        <v>88</v>
      </c>
    </row>
    <row r="615" spans="2:5">
      <c r="B615" t="s">
        <v>3696</v>
      </c>
      <c r="C615">
        <v>542</v>
      </c>
      <c r="D615" t="s">
        <v>3697</v>
      </c>
      <c r="E615">
        <v>88</v>
      </c>
    </row>
    <row r="616" spans="2:5">
      <c r="B616" t="s">
        <v>3698</v>
      </c>
      <c r="C616">
        <v>543</v>
      </c>
      <c r="D616" t="s">
        <v>3699</v>
      </c>
      <c r="E616">
        <v>89</v>
      </c>
    </row>
    <row r="617" spans="2:5">
      <c r="B617" t="s">
        <v>3700</v>
      </c>
      <c r="C617">
        <v>544</v>
      </c>
      <c r="D617" t="s">
        <v>3701</v>
      </c>
      <c r="E617">
        <v>89</v>
      </c>
    </row>
    <row r="618" spans="2:5">
      <c r="B618" t="s">
        <v>3702</v>
      </c>
      <c r="C618">
        <v>545</v>
      </c>
      <c r="D618" t="s">
        <v>3703</v>
      </c>
      <c r="E618">
        <v>90</v>
      </c>
    </row>
    <row r="619" spans="2:5">
      <c r="B619" t="s">
        <v>3704</v>
      </c>
      <c r="C619">
        <v>546</v>
      </c>
      <c r="D619" t="s">
        <v>3705</v>
      </c>
      <c r="E619">
        <v>90</v>
      </c>
    </row>
    <row r="620" spans="2:5">
      <c r="B620" t="b">
        <v>1</v>
      </c>
      <c r="C620">
        <v>547</v>
      </c>
      <c r="D620" t="s">
        <v>3706</v>
      </c>
      <c r="E620">
        <v>91</v>
      </c>
    </row>
    <row r="621" spans="2:5">
      <c r="B621" t="b">
        <v>0</v>
      </c>
      <c r="C621">
        <v>548</v>
      </c>
      <c r="D621" t="s">
        <v>3707</v>
      </c>
      <c r="E621">
        <v>91</v>
      </c>
    </row>
    <row r="622" spans="2:5">
      <c r="B622" t="s">
        <v>3708</v>
      </c>
      <c r="C622">
        <v>549</v>
      </c>
      <c r="D622" t="s">
        <v>3709</v>
      </c>
      <c r="E622">
        <v>92</v>
      </c>
    </row>
    <row r="623" spans="2:5">
      <c r="B623" t="s">
        <v>3710</v>
      </c>
      <c r="C623">
        <v>552</v>
      </c>
      <c r="D623" t="s">
        <v>3711</v>
      </c>
      <c r="E623">
        <v>93</v>
      </c>
    </row>
    <row r="624" spans="2:5">
      <c r="B624" t="s">
        <v>3712</v>
      </c>
      <c r="C624">
        <v>564</v>
      </c>
      <c r="D624" t="s">
        <v>3713</v>
      </c>
      <c r="E624">
        <v>93</v>
      </c>
    </row>
    <row r="625" spans="1:5">
      <c r="B625" t="s">
        <v>3714</v>
      </c>
      <c r="C625">
        <v>606</v>
      </c>
      <c r="D625" t="s">
        <v>3715</v>
      </c>
      <c r="E625">
        <v>93</v>
      </c>
    </row>
    <row r="626" spans="1:5">
      <c r="B626" t="s">
        <v>3716</v>
      </c>
      <c r="C626">
        <v>610</v>
      </c>
      <c r="D626" t="s">
        <v>3717</v>
      </c>
      <c r="E626">
        <v>93</v>
      </c>
    </row>
    <row r="627" spans="1:5">
      <c r="B627" t="s">
        <v>3718</v>
      </c>
      <c r="C627">
        <v>617</v>
      </c>
      <c r="D627" t="s">
        <v>3719</v>
      </c>
      <c r="E627">
        <v>93</v>
      </c>
    </row>
    <row r="628" spans="1:5">
      <c r="B628" t="s">
        <v>3720</v>
      </c>
      <c r="C628">
        <v>720</v>
      </c>
      <c r="D628" t="s">
        <v>3721</v>
      </c>
      <c r="E628">
        <v>93</v>
      </c>
    </row>
    <row r="629" spans="1:5">
      <c r="B629" t="s">
        <v>2695</v>
      </c>
      <c r="C629">
        <v>554</v>
      </c>
      <c r="D629" t="s">
        <v>3722</v>
      </c>
      <c r="E629">
        <v>94</v>
      </c>
    </row>
    <row r="630" spans="1:5">
      <c r="B630" t="s">
        <v>3723</v>
      </c>
      <c r="C630">
        <v>555</v>
      </c>
      <c r="D630" t="s">
        <v>3724</v>
      </c>
      <c r="E630">
        <v>94</v>
      </c>
    </row>
    <row r="631" spans="1:5">
      <c r="B631" t="s">
        <v>2696</v>
      </c>
      <c r="C631">
        <v>556</v>
      </c>
      <c r="D631" t="s">
        <v>3725</v>
      </c>
      <c r="E631">
        <v>94</v>
      </c>
    </row>
    <row r="632" spans="1:5">
      <c r="B632" t="s">
        <v>1635</v>
      </c>
      <c r="C632">
        <v>557</v>
      </c>
      <c r="D632" t="s">
        <v>3726</v>
      </c>
      <c r="E632">
        <v>94</v>
      </c>
    </row>
    <row r="633" spans="1:5">
      <c r="B633" t="s">
        <v>2697</v>
      </c>
      <c r="C633">
        <v>558</v>
      </c>
      <c r="D633" t="s">
        <v>3727</v>
      </c>
      <c r="E633">
        <v>94</v>
      </c>
    </row>
    <row r="634" spans="1:5">
      <c r="B634" t="s">
        <v>2698</v>
      </c>
      <c r="C634">
        <v>559</v>
      </c>
      <c r="D634" t="s">
        <v>3728</v>
      </c>
      <c r="E634">
        <v>94</v>
      </c>
    </row>
    <row r="635" spans="1:5">
      <c r="B635" t="s">
        <v>2699</v>
      </c>
      <c r="C635">
        <v>560</v>
      </c>
      <c r="D635" t="s">
        <v>3729</v>
      </c>
      <c r="E635">
        <v>94</v>
      </c>
    </row>
    <row r="636" spans="1:5">
      <c r="B636" t="s">
        <v>2700</v>
      </c>
      <c r="C636">
        <v>561</v>
      </c>
      <c r="D636" t="s">
        <v>3730</v>
      </c>
      <c r="E636">
        <v>94</v>
      </c>
    </row>
    <row r="637" spans="1:5">
      <c r="B637" t="s">
        <v>3731</v>
      </c>
      <c r="C637">
        <v>562</v>
      </c>
      <c r="D637" t="s">
        <v>3732</v>
      </c>
      <c r="E637">
        <v>94</v>
      </c>
    </row>
    <row r="638" spans="1:5">
      <c r="B638" t="s">
        <v>3733</v>
      </c>
      <c r="C638">
        <v>563</v>
      </c>
      <c r="D638" t="s">
        <v>3734</v>
      </c>
      <c r="E638">
        <v>94</v>
      </c>
    </row>
    <row r="639" spans="1:5">
      <c r="B639" t="s">
        <v>3735</v>
      </c>
      <c r="C639">
        <v>684</v>
      </c>
      <c r="D639" t="s">
        <v>3736</v>
      </c>
      <c r="E639">
        <v>94</v>
      </c>
    </row>
    <row r="640" spans="1:5">
      <c r="A640" s="2461" t="s">
        <v>4170</v>
      </c>
      <c r="B640" t="s">
        <v>10</v>
      </c>
      <c r="C640">
        <v>571</v>
      </c>
      <c r="D640" t="s">
        <v>2860</v>
      </c>
      <c r="E640">
        <v>95</v>
      </c>
    </row>
    <row r="641" spans="1:5">
      <c r="B641" t="s">
        <v>9</v>
      </c>
      <c r="C641">
        <v>572</v>
      </c>
      <c r="D641" t="s">
        <v>2861</v>
      </c>
      <c r="E641">
        <v>95</v>
      </c>
    </row>
    <row r="642" spans="1:5">
      <c r="B642" t="s">
        <v>2862</v>
      </c>
      <c r="C642">
        <v>573</v>
      </c>
      <c r="D642" t="s">
        <v>2863</v>
      </c>
      <c r="E642">
        <v>95</v>
      </c>
    </row>
    <row r="643" spans="1:5">
      <c r="B643" t="s">
        <v>2871</v>
      </c>
      <c r="C643">
        <v>575</v>
      </c>
      <c r="D643" t="s">
        <v>3737</v>
      </c>
      <c r="E643">
        <v>96</v>
      </c>
    </row>
    <row r="644" spans="1:5">
      <c r="B644" t="s">
        <v>3738</v>
      </c>
      <c r="C644">
        <v>576</v>
      </c>
      <c r="D644" t="s">
        <v>3739</v>
      </c>
      <c r="E644">
        <v>96</v>
      </c>
    </row>
    <row r="645" spans="1:5">
      <c r="B645" t="s">
        <v>3740</v>
      </c>
      <c r="C645">
        <v>577</v>
      </c>
      <c r="D645" t="s">
        <v>3741</v>
      </c>
      <c r="E645">
        <v>96</v>
      </c>
    </row>
    <row r="646" spans="1:5">
      <c r="B646" t="s">
        <v>3742</v>
      </c>
      <c r="C646">
        <v>578</v>
      </c>
      <c r="D646" t="s">
        <v>3743</v>
      </c>
      <c r="E646">
        <v>97</v>
      </c>
    </row>
    <row r="647" spans="1:5">
      <c r="B647" t="s">
        <v>3744</v>
      </c>
      <c r="C647">
        <v>579</v>
      </c>
      <c r="D647" t="s">
        <v>3745</v>
      </c>
      <c r="E647">
        <v>97</v>
      </c>
    </row>
    <row r="648" spans="1:5">
      <c r="B648" t="s">
        <v>17</v>
      </c>
      <c r="C648">
        <v>583</v>
      </c>
      <c r="D648" t="s">
        <v>3746</v>
      </c>
      <c r="E648">
        <v>98</v>
      </c>
    </row>
    <row r="649" spans="1:5">
      <c r="B649" t="s">
        <v>3747</v>
      </c>
      <c r="C649">
        <v>584</v>
      </c>
      <c r="D649" t="s">
        <v>3748</v>
      </c>
      <c r="E649">
        <v>98</v>
      </c>
    </row>
    <row r="650" spans="1:5">
      <c r="B650" t="s">
        <v>3749</v>
      </c>
      <c r="C650">
        <v>585</v>
      </c>
      <c r="D650" t="s">
        <v>3750</v>
      </c>
      <c r="E650">
        <v>98</v>
      </c>
    </row>
    <row r="651" spans="1:5">
      <c r="B651" t="s">
        <v>176</v>
      </c>
      <c r="C651">
        <v>586</v>
      </c>
      <c r="D651" t="s">
        <v>3751</v>
      </c>
      <c r="E651">
        <v>98</v>
      </c>
    </row>
    <row r="652" spans="1:5">
      <c r="B652" t="s">
        <v>730</v>
      </c>
      <c r="C652">
        <v>587</v>
      </c>
      <c r="D652" t="s">
        <v>3752</v>
      </c>
      <c r="E652">
        <v>98</v>
      </c>
    </row>
    <row r="653" spans="1:5">
      <c r="A653" s="2457" t="s">
        <v>4067</v>
      </c>
      <c r="B653" t="s">
        <v>2857</v>
      </c>
      <c r="C653">
        <v>592</v>
      </c>
      <c r="D653" t="s">
        <v>3753</v>
      </c>
      <c r="E653">
        <v>99</v>
      </c>
    </row>
    <row r="654" spans="1:5">
      <c r="B654" t="s">
        <v>2858</v>
      </c>
      <c r="C654">
        <v>593</v>
      </c>
      <c r="D654" t="s">
        <v>3754</v>
      </c>
      <c r="E654">
        <v>99</v>
      </c>
    </row>
    <row r="655" spans="1:5">
      <c r="B655" t="s">
        <v>2859</v>
      </c>
      <c r="C655">
        <v>594</v>
      </c>
      <c r="D655" t="s">
        <v>3755</v>
      </c>
      <c r="E655">
        <v>99</v>
      </c>
    </row>
    <row r="656" spans="1:5">
      <c r="B656" t="s">
        <v>3756</v>
      </c>
      <c r="C656">
        <v>604</v>
      </c>
      <c r="D656" t="s">
        <v>3757</v>
      </c>
      <c r="E656">
        <v>100</v>
      </c>
    </row>
    <row r="657" spans="2:5">
      <c r="B657" t="s">
        <v>3758</v>
      </c>
      <c r="C657">
        <v>605</v>
      </c>
      <c r="D657" t="s">
        <v>3759</v>
      </c>
      <c r="E657">
        <v>100</v>
      </c>
    </row>
    <row r="658" spans="2:5">
      <c r="B658" t="s">
        <v>3760</v>
      </c>
      <c r="C658">
        <v>607</v>
      </c>
      <c r="D658" t="s">
        <v>3761</v>
      </c>
      <c r="E658">
        <v>100</v>
      </c>
    </row>
    <row r="659" spans="2:5">
      <c r="B659" t="s">
        <v>3762</v>
      </c>
      <c r="C659">
        <v>704</v>
      </c>
      <c r="D659" t="s">
        <v>3763</v>
      </c>
      <c r="E659">
        <v>100</v>
      </c>
    </row>
    <row r="660" spans="2:5">
      <c r="B660" t="s">
        <v>3764</v>
      </c>
      <c r="C660">
        <v>608</v>
      </c>
      <c r="D660" t="s">
        <v>3765</v>
      </c>
      <c r="E660">
        <v>101</v>
      </c>
    </row>
    <row r="661" spans="2:5">
      <c r="B661" t="s">
        <v>3766</v>
      </c>
      <c r="C661">
        <v>609</v>
      </c>
      <c r="D661" t="s">
        <v>3767</v>
      </c>
      <c r="E661">
        <v>101</v>
      </c>
    </row>
    <row r="662" spans="2:5">
      <c r="B662" t="s">
        <v>3768</v>
      </c>
      <c r="C662">
        <v>611</v>
      </c>
      <c r="D662" t="s">
        <v>3769</v>
      </c>
      <c r="E662">
        <v>101</v>
      </c>
    </row>
    <row r="663" spans="2:5">
      <c r="B663" t="s">
        <v>3770</v>
      </c>
      <c r="C663">
        <v>612</v>
      </c>
      <c r="D663" t="s">
        <v>3771</v>
      </c>
      <c r="E663">
        <v>101</v>
      </c>
    </row>
    <row r="664" spans="2:5">
      <c r="B664" t="s">
        <v>3772</v>
      </c>
      <c r="C664">
        <v>614</v>
      </c>
      <c r="D664" t="s">
        <v>3773</v>
      </c>
      <c r="E664">
        <v>102</v>
      </c>
    </row>
    <row r="665" spans="2:5">
      <c r="B665" t="s">
        <v>3774</v>
      </c>
      <c r="C665">
        <v>618</v>
      </c>
      <c r="D665" t="s">
        <v>3775</v>
      </c>
      <c r="E665">
        <v>103</v>
      </c>
    </row>
    <row r="666" spans="2:5">
      <c r="B666" t="s">
        <v>3776</v>
      </c>
      <c r="C666">
        <v>619</v>
      </c>
      <c r="D666" t="s">
        <v>3777</v>
      </c>
      <c r="E666">
        <v>103</v>
      </c>
    </row>
    <row r="667" spans="2:5">
      <c r="B667" t="s">
        <v>3778</v>
      </c>
      <c r="C667">
        <v>620</v>
      </c>
      <c r="D667" t="s">
        <v>3779</v>
      </c>
      <c r="E667">
        <v>103</v>
      </c>
    </row>
    <row r="668" spans="2:5">
      <c r="B668" t="s">
        <v>3780</v>
      </c>
      <c r="C668">
        <v>621</v>
      </c>
      <c r="D668" t="s">
        <v>3781</v>
      </c>
      <c r="E668">
        <v>103</v>
      </c>
    </row>
    <row r="669" spans="2:5">
      <c r="B669" t="s">
        <v>3782</v>
      </c>
      <c r="C669">
        <v>622</v>
      </c>
      <c r="D669" t="s">
        <v>3783</v>
      </c>
      <c r="E669">
        <v>103</v>
      </c>
    </row>
    <row r="670" spans="2:5">
      <c r="B670" t="s">
        <v>3784</v>
      </c>
      <c r="C670">
        <v>623</v>
      </c>
      <c r="D670" t="s">
        <v>3785</v>
      </c>
      <c r="E670">
        <v>103</v>
      </c>
    </row>
    <row r="671" spans="2:5">
      <c r="B671" t="s">
        <v>3786</v>
      </c>
      <c r="C671">
        <v>624</v>
      </c>
      <c r="D671" t="s">
        <v>3787</v>
      </c>
      <c r="E671">
        <v>104</v>
      </c>
    </row>
    <row r="672" spans="2:5">
      <c r="B672" t="s">
        <v>3788</v>
      </c>
      <c r="C672">
        <v>625</v>
      </c>
      <c r="D672" t="s">
        <v>3789</v>
      </c>
      <c r="E672">
        <v>104</v>
      </c>
    </row>
    <row r="673" spans="2:5">
      <c r="B673" t="s">
        <v>3790</v>
      </c>
      <c r="C673">
        <v>626</v>
      </c>
      <c r="D673" t="s">
        <v>3791</v>
      </c>
      <c r="E673">
        <v>104</v>
      </c>
    </row>
    <row r="674" spans="2:5">
      <c r="B674" t="s">
        <v>3792</v>
      </c>
      <c r="C674">
        <v>627</v>
      </c>
      <c r="D674" t="s">
        <v>3793</v>
      </c>
      <c r="E674">
        <v>104</v>
      </c>
    </row>
    <row r="675" spans="2:5">
      <c r="B675" t="s">
        <v>2986</v>
      </c>
      <c r="C675">
        <v>628</v>
      </c>
      <c r="D675" t="s">
        <v>3794</v>
      </c>
      <c r="E675">
        <v>104</v>
      </c>
    </row>
    <row r="676" spans="2:5">
      <c r="B676" t="s">
        <v>3795</v>
      </c>
      <c r="C676">
        <v>635</v>
      </c>
      <c r="D676" t="s">
        <v>3796</v>
      </c>
      <c r="E676">
        <v>104</v>
      </c>
    </row>
    <row r="677" spans="2:5">
      <c r="B677" t="s">
        <v>3797</v>
      </c>
      <c r="C677">
        <v>636</v>
      </c>
      <c r="D677" t="s">
        <v>3798</v>
      </c>
      <c r="E677">
        <v>104</v>
      </c>
    </row>
    <row r="678" spans="2:5">
      <c r="B678" t="s">
        <v>3799</v>
      </c>
      <c r="C678">
        <v>632</v>
      </c>
      <c r="D678" t="s">
        <v>3800</v>
      </c>
      <c r="E678">
        <v>105</v>
      </c>
    </row>
    <row r="679" spans="2:5">
      <c r="B679" t="s">
        <v>1850</v>
      </c>
      <c r="C679">
        <v>637</v>
      </c>
      <c r="D679" t="s">
        <v>3801</v>
      </c>
      <c r="E679">
        <v>106</v>
      </c>
    </row>
    <row r="680" spans="2:5">
      <c r="B680" t="s">
        <v>3802</v>
      </c>
      <c r="C680">
        <v>638</v>
      </c>
      <c r="D680" t="s">
        <v>3803</v>
      </c>
      <c r="E680">
        <v>106</v>
      </c>
    </row>
    <row r="681" spans="2:5">
      <c r="B681" t="s">
        <v>3804</v>
      </c>
      <c r="C681">
        <v>639</v>
      </c>
      <c r="D681" t="s">
        <v>3805</v>
      </c>
      <c r="E681">
        <v>106</v>
      </c>
    </row>
    <row r="682" spans="2:5">
      <c r="B682" t="s">
        <v>3265</v>
      </c>
      <c r="C682">
        <v>640</v>
      </c>
      <c r="D682" t="s">
        <v>3806</v>
      </c>
      <c r="E682">
        <v>106</v>
      </c>
    </row>
    <row r="683" spans="2:5">
      <c r="B683" t="s">
        <v>3296</v>
      </c>
      <c r="C683">
        <v>649</v>
      </c>
      <c r="D683" t="s">
        <v>3807</v>
      </c>
      <c r="E683">
        <v>106</v>
      </c>
    </row>
    <row r="684" spans="2:5">
      <c r="B684" t="s">
        <v>3808</v>
      </c>
      <c r="C684">
        <v>690</v>
      </c>
      <c r="D684" t="s">
        <v>3809</v>
      </c>
      <c r="E684">
        <v>106</v>
      </c>
    </row>
    <row r="685" spans="2:5">
      <c r="B685" t="s">
        <v>3276</v>
      </c>
      <c r="C685">
        <v>691</v>
      </c>
      <c r="D685" t="s">
        <v>3810</v>
      </c>
      <c r="E685">
        <v>106</v>
      </c>
    </row>
    <row r="686" spans="2:5">
      <c r="B686" t="s">
        <v>3811</v>
      </c>
      <c r="C686">
        <v>643</v>
      </c>
      <c r="D686" t="s">
        <v>3812</v>
      </c>
      <c r="E686">
        <v>107</v>
      </c>
    </row>
    <row r="687" spans="2:5">
      <c r="B687" t="s">
        <v>3813</v>
      </c>
      <c r="C687">
        <v>644</v>
      </c>
      <c r="D687" t="s">
        <v>3814</v>
      </c>
      <c r="E687">
        <v>108</v>
      </c>
    </row>
    <row r="688" spans="2:5">
      <c r="B688" t="s">
        <v>3815</v>
      </c>
      <c r="C688">
        <v>645</v>
      </c>
      <c r="D688" t="s">
        <v>3816</v>
      </c>
      <c r="E688">
        <v>108</v>
      </c>
    </row>
    <row r="689" spans="2:5">
      <c r="B689" t="s">
        <v>3817</v>
      </c>
      <c r="C689">
        <v>646</v>
      </c>
      <c r="D689" t="s">
        <v>3818</v>
      </c>
      <c r="E689">
        <v>108</v>
      </c>
    </row>
    <row r="690" spans="2:5">
      <c r="B690" t="s">
        <v>3819</v>
      </c>
      <c r="C690">
        <v>647</v>
      </c>
      <c r="D690" t="s">
        <v>3820</v>
      </c>
      <c r="E690">
        <v>108</v>
      </c>
    </row>
    <row r="691" spans="2:5">
      <c r="B691" t="s">
        <v>826</v>
      </c>
      <c r="C691">
        <v>648</v>
      </c>
      <c r="D691" t="s">
        <v>3821</v>
      </c>
      <c r="E691">
        <v>108</v>
      </c>
    </row>
    <row r="692" spans="2:5">
      <c r="B692" t="s">
        <v>3822</v>
      </c>
      <c r="C692">
        <v>650</v>
      </c>
      <c r="D692" t="s">
        <v>3823</v>
      </c>
      <c r="E692">
        <v>109</v>
      </c>
    </row>
    <row r="693" spans="2:5">
      <c r="B693" t="s">
        <v>3824</v>
      </c>
      <c r="C693">
        <v>651</v>
      </c>
      <c r="D693" t="s">
        <v>3825</v>
      </c>
      <c r="E693">
        <v>109</v>
      </c>
    </row>
    <row r="694" spans="2:5">
      <c r="B694" t="s">
        <v>3826</v>
      </c>
      <c r="C694">
        <v>653</v>
      </c>
      <c r="D694" t="s">
        <v>3827</v>
      </c>
      <c r="E694">
        <v>110</v>
      </c>
    </row>
    <row r="695" spans="2:5">
      <c r="B695" t="s">
        <v>3828</v>
      </c>
      <c r="C695">
        <v>654</v>
      </c>
      <c r="D695" t="s">
        <v>3829</v>
      </c>
      <c r="E695">
        <v>110</v>
      </c>
    </row>
    <row r="696" spans="2:5">
      <c r="B696" t="s">
        <v>3830</v>
      </c>
      <c r="C696">
        <v>655</v>
      </c>
      <c r="D696" t="s">
        <v>3831</v>
      </c>
      <c r="E696">
        <v>110</v>
      </c>
    </row>
    <row r="697" spans="2:5">
      <c r="B697" t="s">
        <v>3832</v>
      </c>
      <c r="C697">
        <v>656</v>
      </c>
      <c r="D697" t="s">
        <v>3833</v>
      </c>
      <c r="E697">
        <v>110</v>
      </c>
    </row>
    <row r="698" spans="2:5">
      <c r="B698" t="s">
        <v>3834</v>
      </c>
      <c r="C698">
        <v>657</v>
      </c>
      <c r="D698" t="s">
        <v>3835</v>
      </c>
      <c r="E698">
        <v>110</v>
      </c>
    </row>
    <row r="699" spans="2:5">
      <c r="B699" t="s">
        <v>3836</v>
      </c>
      <c r="C699">
        <v>658</v>
      </c>
      <c r="D699" t="s">
        <v>3837</v>
      </c>
      <c r="E699">
        <v>110</v>
      </c>
    </row>
    <row r="700" spans="2:5">
      <c r="B700" t="s">
        <v>3838</v>
      </c>
      <c r="C700">
        <v>659</v>
      </c>
      <c r="D700" t="s">
        <v>3839</v>
      </c>
      <c r="E700">
        <v>110</v>
      </c>
    </row>
    <row r="701" spans="2:5">
      <c r="B701" t="s">
        <v>3840</v>
      </c>
      <c r="C701">
        <v>660</v>
      </c>
      <c r="D701" t="s">
        <v>3841</v>
      </c>
      <c r="E701">
        <v>110</v>
      </c>
    </row>
    <row r="702" spans="2:5">
      <c r="B702" t="s">
        <v>3842</v>
      </c>
      <c r="C702">
        <v>661</v>
      </c>
      <c r="D702" t="s">
        <v>3843</v>
      </c>
      <c r="E702">
        <v>110</v>
      </c>
    </row>
    <row r="703" spans="2:5">
      <c r="B703" t="s">
        <v>3844</v>
      </c>
      <c r="C703">
        <v>662</v>
      </c>
      <c r="D703" t="s">
        <v>3845</v>
      </c>
      <c r="E703">
        <v>110</v>
      </c>
    </row>
    <row r="704" spans="2:5">
      <c r="B704" t="s">
        <v>3846</v>
      </c>
      <c r="C704">
        <v>663</v>
      </c>
      <c r="D704" t="s">
        <v>3847</v>
      </c>
      <c r="E704">
        <v>110</v>
      </c>
    </row>
    <row r="705" spans="2:5">
      <c r="B705" t="s">
        <v>3848</v>
      </c>
      <c r="C705">
        <v>664</v>
      </c>
      <c r="D705" t="s">
        <v>3849</v>
      </c>
      <c r="E705">
        <v>110</v>
      </c>
    </row>
    <row r="706" spans="2:5">
      <c r="B706" t="s">
        <v>3850</v>
      </c>
      <c r="C706">
        <v>665</v>
      </c>
      <c r="D706" t="s">
        <v>3851</v>
      </c>
      <c r="E706">
        <v>110</v>
      </c>
    </row>
    <row r="707" spans="2:5">
      <c r="B707" t="s">
        <v>3852</v>
      </c>
      <c r="C707">
        <v>666</v>
      </c>
      <c r="D707" t="s">
        <v>3853</v>
      </c>
      <c r="E707">
        <v>110</v>
      </c>
    </row>
    <row r="708" spans="2:5">
      <c r="B708" t="s">
        <v>3854</v>
      </c>
      <c r="C708">
        <v>667</v>
      </c>
      <c r="D708" t="s">
        <v>3855</v>
      </c>
      <c r="E708">
        <v>110</v>
      </c>
    </row>
    <row r="709" spans="2:5">
      <c r="B709" t="s">
        <v>3856</v>
      </c>
      <c r="C709">
        <v>668</v>
      </c>
      <c r="D709" t="s">
        <v>3857</v>
      </c>
      <c r="E709">
        <v>110</v>
      </c>
    </row>
    <row r="710" spans="2:5">
      <c r="B710" t="s">
        <v>3858</v>
      </c>
      <c r="C710">
        <v>669</v>
      </c>
      <c r="D710" t="s">
        <v>3859</v>
      </c>
      <c r="E710">
        <v>110</v>
      </c>
    </row>
    <row r="711" spans="2:5">
      <c r="B711" t="s">
        <v>3860</v>
      </c>
      <c r="C711">
        <v>670</v>
      </c>
      <c r="D711" t="s">
        <v>3861</v>
      </c>
      <c r="E711">
        <v>110</v>
      </c>
    </row>
    <row r="712" spans="2:5">
      <c r="B712" t="s">
        <v>3862</v>
      </c>
      <c r="C712">
        <v>671</v>
      </c>
      <c r="D712" t="s">
        <v>3863</v>
      </c>
      <c r="E712">
        <v>110</v>
      </c>
    </row>
    <row r="713" spans="2:5">
      <c r="B713" t="s">
        <v>3864</v>
      </c>
      <c r="C713">
        <v>672</v>
      </c>
      <c r="D713" t="s">
        <v>3865</v>
      </c>
      <c r="E713">
        <v>110</v>
      </c>
    </row>
    <row r="714" spans="2:5">
      <c r="B714" t="s">
        <v>3866</v>
      </c>
      <c r="C714">
        <v>673</v>
      </c>
      <c r="D714" t="s">
        <v>3867</v>
      </c>
      <c r="E714">
        <v>110</v>
      </c>
    </row>
    <row r="715" spans="2:5">
      <c r="B715" t="s">
        <v>3868</v>
      </c>
      <c r="C715">
        <v>674</v>
      </c>
      <c r="D715" t="s">
        <v>3869</v>
      </c>
      <c r="E715">
        <v>110</v>
      </c>
    </row>
    <row r="716" spans="2:5">
      <c r="B716" t="s">
        <v>3870</v>
      </c>
      <c r="C716">
        <v>675</v>
      </c>
      <c r="D716" t="s">
        <v>3871</v>
      </c>
      <c r="E716">
        <v>110</v>
      </c>
    </row>
    <row r="717" spans="2:5">
      <c r="B717" t="s">
        <v>3872</v>
      </c>
      <c r="C717">
        <v>676</v>
      </c>
      <c r="D717" t="s">
        <v>3873</v>
      </c>
      <c r="E717">
        <v>110</v>
      </c>
    </row>
    <row r="718" spans="2:5">
      <c r="B718" t="s">
        <v>3874</v>
      </c>
      <c r="C718">
        <v>677</v>
      </c>
      <c r="D718" t="s">
        <v>3875</v>
      </c>
      <c r="E718">
        <v>110</v>
      </c>
    </row>
    <row r="719" spans="2:5">
      <c r="B719" t="s">
        <v>3876</v>
      </c>
      <c r="C719">
        <v>678</v>
      </c>
      <c r="D719" t="s">
        <v>3877</v>
      </c>
      <c r="E719">
        <v>110</v>
      </c>
    </row>
    <row r="720" spans="2:5">
      <c r="B720" t="s">
        <v>3878</v>
      </c>
      <c r="C720">
        <v>679</v>
      </c>
      <c r="D720" t="s">
        <v>3879</v>
      </c>
      <c r="E720">
        <v>110</v>
      </c>
    </row>
    <row r="721" spans="2:5">
      <c r="B721" t="s">
        <v>3880</v>
      </c>
      <c r="C721">
        <v>680</v>
      </c>
      <c r="D721" t="s">
        <v>3881</v>
      </c>
      <c r="E721">
        <v>110</v>
      </c>
    </row>
    <row r="722" spans="2:5">
      <c r="B722" t="s">
        <v>3882</v>
      </c>
      <c r="C722">
        <v>681</v>
      </c>
      <c r="D722" t="s">
        <v>3883</v>
      </c>
      <c r="E722">
        <v>110</v>
      </c>
    </row>
    <row r="723" spans="2:5">
      <c r="B723" t="s">
        <v>2871</v>
      </c>
      <c r="C723">
        <v>702</v>
      </c>
      <c r="D723" t="s">
        <v>3884</v>
      </c>
      <c r="E723">
        <v>110</v>
      </c>
    </row>
    <row r="724" spans="2:5">
      <c r="B724" t="s">
        <v>3885</v>
      </c>
      <c r="C724">
        <v>687</v>
      </c>
      <c r="D724" t="s">
        <v>3886</v>
      </c>
      <c r="E724">
        <v>111</v>
      </c>
    </row>
    <row r="725" spans="2:5">
      <c r="B725" t="s">
        <v>3887</v>
      </c>
      <c r="C725">
        <v>688</v>
      </c>
      <c r="D725" t="s">
        <v>3888</v>
      </c>
      <c r="E725">
        <v>111</v>
      </c>
    </row>
    <row r="726" spans="2:5">
      <c r="B726" t="s">
        <v>826</v>
      </c>
      <c r="C726">
        <v>689</v>
      </c>
      <c r="D726" t="s">
        <v>3889</v>
      </c>
      <c r="E726">
        <v>111</v>
      </c>
    </row>
    <row r="727" spans="2:5">
      <c r="B727" t="s">
        <v>3890</v>
      </c>
      <c r="C727">
        <v>692</v>
      </c>
      <c r="D727" t="s">
        <v>3891</v>
      </c>
      <c r="E727">
        <v>112</v>
      </c>
    </row>
    <row r="728" spans="2:5">
      <c r="B728" t="s">
        <v>3892</v>
      </c>
      <c r="C728">
        <v>693</v>
      </c>
      <c r="D728" t="s">
        <v>3893</v>
      </c>
      <c r="E728">
        <v>112</v>
      </c>
    </row>
    <row r="729" spans="2:5">
      <c r="B729" t="s">
        <v>3894</v>
      </c>
      <c r="C729">
        <v>694</v>
      </c>
      <c r="D729" t="s">
        <v>3895</v>
      </c>
      <c r="E729">
        <v>112</v>
      </c>
    </row>
    <row r="730" spans="2:5">
      <c r="B730" t="s">
        <v>17</v>
      </c>
      <c r="C730">
        <v>695</v>
      </c>
      <c r="D730" t="s">
        <v>3896</v>
      </c>
      <c r="E730">
        <v>112</v>
      </c>
    </row>
    <row r="731" spans="2:5">
      <c r="B731" t="s">
        <v>3897</v>
      </c>
      <c r="C731">
        <v>696</v>
      </c>
      <c r="D731" t="s">
        <v>3898</v>
      </c>
      <c r="E731">
        <v>112</v>
      </c>
    </row>
    <row r="732" spans="2:5">
      <c r="B732" t="s">
        <v>3899</v>
      </c>
      <c r="C732">
        <v>697</v>
      </c>
      <c r="D732" t="s">
        <v>3900</v>
      </c>
      <c r="E732">
        <v>113</v>
      </c>
    </row>
    <row r="733" spans="2:5">
      <c r="B733" t="s">
        <v>3901</v>
      </c>
      <c r="C733">
        <v>698</v>
      </c>
      <c r="D733" t="s">
        <v>3902</v>
      </c>
      <c r="E733">
        <v>113</v>
      </c>
    </row>
    <row r="734" spans="2:5">
      <c r="B734" t="s">
        <v>3702</v>
      </c>
      <c r="C734">
        <v>699</v>
      </c>
      <c r="D734" t="s">
        <v>3903</v>
      </c>
      <c r="E734">
        <v>114</v>
      </c>
    </row>
    <row r="735" spans="2:5">
      <c r="B735" t="s">
        <v>3904</v>
      </c>
      <c r="C735">
        <v>700</v>
      </c>
      <c r="D735" t="s">
        <v>3905</v>
      </c>
      <c r="E735">
        <v>114</v>
      </c>
    </row>
    <row r="736" spans="2:5">
      <c r="B736" t="s">
        <v>3906</v>
      </c>
      <c r="C736">
        <v>701</v>
      </c>
      <c r="D736" t="s">
        <v>3907</v>
      </c>
      <c r="E736">
        <v>114</v>
      </c>
    </row>
    <row r="737" spans="2:5">
      <c r="B737" t="s">
        <v>3908</v>
      </c>
      <c r="C737">
        <v>703</v>
      </c>
      <c r="D737" t="s">
        <v>3909</v>
      </c>
      <c r="E737">
        <v>115</v>
      </c>
    </row>
    <row r="738" spans="2:5">
      <c r="B738" t="s">
        <v>3910</v>
      </c>
      <c r="C738">
        <v>705</v>
      </c>
      <c r="D738" t="s">
        <v>3911</v>
      </c>
      <c r="E738">
        <v>116</v>
      </c>
    </row>
    <row r="739" spans="2:5">
      <c r="B739" t="s">
        <v>3912</v>
      </c>
      <c r="C739">
        <v>707</v>
      </c>
      <c r="D739" t="s">
        <v>3913</v>
      </c>
      <c r="E739">
        <v>117</v>
      </c>
    </row>
    <row r="740" spans="2:5">
      <c r="B740" t="s">
        <v>11</v>
      </c>
      <c r="C740">
        <v>708</v>
      </c>
      <c r="D740" t="s">
        <v>3914</v>
      </c>
      <c r="E740">
        <v>118</v>
      </c>
    </row>
    <row r="741" spans="2:5">
      <c r="B741" t="s">
        <v>3915</v>
      </c>
      <c r="C741">
        <v>709</v>
      </c>
      <c r="D741" t="s">
        <v>3916</v>
      </c>
      <c r="E741">
        <v>118</v>
      </c>
    </row>
    <row r="742" spans="2:5">
      <c r="B742" t="s">
        <v>3917</v>
      </c>
      <c r="C742">
        <v>710</v>
      </c>
      <c r="D742" t="s">
        <v>3918</v>
      </c>
      <c r="E742">
        <v>118</v>
      </c>
    </row>
    <row r="743" spans="2:5">
      <c r="B743" t="s">
        <v>3919</v>
      </c>
      <c r="C743">
        <v>711</v>
      </c>
      <c r="D743" t="s">
        <v>3920</v>
      </c>
      <c r="E743">
        <v>118</v>
      </c>
    </row>
    <row r="744" spans="2:5">
      <c r="B744" t="s">
        <v>3921</v>
      </c>
      <c r="C744">
        <v>712</v>
      </c>
      <c r="D744" t="s">
        <v>3922</v>
      </c>
      <c r="E744">
        <v>118</v>
      </c>
    </row>
    <row r="745" spans="2:5">
      <c r="B745" t="s">
        <v>3923</v>
      </c>
      <c r="C745">
        <v>713</v>
      </c>
      <c r="D745" t="s">
        <v>3924</v>
      </c>
      <c r="E745">
        <v>118</v>
      </c>
    </row>
    <row r="746" spans="2:5">
      <c r="B746" t="s">
        <v>3925</v>
      </c>
      <c r="C746">
        <v>716</v>
      </c>
      <c r="D746" t="s">
        <v>3926</v>
      </c>
      <c r="E746">
        <v>119</v>
      </c>
    </row>
    <row r="747" spans="2:5">
      <c r="B747" t="s">
        <v>3927</v>
      </c>
      <c r="C747">
        <v>717</v>
      </c>
      <c r="D747" t="s">
        <v>3928</v>
      </c>
      <c r="E747">
        <v>119</v>
      </c>
    </row>
    <row r="748" spans="2:5">
      <c r="B748" t="s">
        <v>3929</v>
      </c>
      <c r="C748">
        <v>718</v>
      </c>
      <c r="D748" t="s">
        <v>3930</v>
      </c>
      <c r="E748">
        <v>119</v>
      </c>
    </row>
    <row r="749" spans="2:5">
      <c r="B749" t="s">
        <v>3931</v>
      </c>
      <c r="C749">
        <v>721</v>
      </c>
      <c r="D749" t="s">
        <v>3932</v>
      </c>
      <c r="E749">
        <v>120</v>
      </c>
    </row>
    <row r="750" spans="2:5">
      <c r="B750" t="s">
        <v>3933</v>
      </c>
      <c r="C750">
        <v>722</v>
      </c>
      <c r="D750" t="s">
        <v>3934</v>
      </c>
      <c r="E750">
        <v>120</v>
      </c>
    </row>
    <row r="751" spans="2:5">
      <c r="B751" t="s">
        <v>3935</v>
      </c>
      <c r="C751">
        <v>723</v>
      </c>
      <c r="D751" t="s">
        <v>3936</v>
      </c>
      <c r="E751">
        <v>120</v>
      </c>
    </row>
    <row r="752" spans="2:5">
      <c r="B752" t="s">
        <v>702</v>
      </c>
      <c r="C752">
        <v>733</v>
      </c>
      <c r="D752" t="s">
        <v>3937</v>
      </c>
      <c r="E752">
        <v>121</v>
      </c>
    </row>
    <row r="753" spans="2:5">
      <c r="B753" t="s">
        <v>3938</v>
      </c>
      <c r="C753">
        <v>734</v>
      </c>
      <c r="D753" t="s">
        <v>3939</v>
      </c>
      <c r="E753">
        <v>121</v>
      </c>
    </row>
    <row r="754" spans="2:5">
      <c r="B754" t="s">
        <v>3940</v>
      </c>
      <c r="C754">
        <v>737</v>
      </c>
      <c r="D754" t="s">
        <v>3941</v>
      </c>
      <c r="E754">
        <v>122</v>
      </c>
    </row>
    <row r="755" spans="2:5">
      <c r="B755" t="s">
        <v>3942</v>
      </c>
      <c r="C755">
        <v>738</v>
      </c>
      <c r="D755" t="s">
        <v>3943</v>
      </c>
      <c r="E755">
        <v>123</v>
      </c>
    </row>
    <row r="756" spans="2:5">
      <c r="B756" t="s">
        <v>227</v>
      </c>
      <c r="C756">
        <v>739</v>
      </c>
      <c r="D756" t="s">
        <v>3944</v>
      </c>
      <c r="E756">
        <v>123</v>
      </c>
    </row>
    <row r="757" spans="2:5">
      <c r="B757" t="s">
        <v>3945</v>
      </c>
      <c r="C757">
        <v>740</v>
      </c>
      <c r="D757" t="s">
        <v>3946</v>
      </c>
      <c r="E757">
        <v>123</v>
      </c>
    </row>
    <row r="758" spans="2:5">
      <c r="B758" t="s">
        <v>3947</v>
      </c>
      <c r="C758">
        <v>741</v>
      </c>
      <c r="D758" t="s">
        <v>3948</v>
      </c>
      <c r="E758">
        <v>123</v>
      </c>
    </row>
    <row r="759" spans="2:5">
      <c r="B759" t="s">
        <v>3949</v>
      </c>
      <c r="C759">
        <v>742</v>
      </c>
      <c r="D759" t="s">
        <v>3950</v>
      </c>
      <c r="E759">
        <v>124</v>
      </c>
    </row>
    <row r="760" spans="2:5">
      <c r="B760" t="s">
        <v>3951</v>
      </c>
      <c r="C760">
        <v>743</v>
      </c>
      <c r="D760" t="s">
        <v>3952</v>
      </c>
      <c r="E760">
        <v>124</v>
      </c>
    </row>
    <row r="761" spans="2:5">
      <c r="B761" t="s">
        <v>3953</v>
      </c>
      <c r="C761">
        <v>744</v>
      </c>
      <c r="D761" t="s">
        <v>3954</v>
      </c>
      <c r="E761">
        <v>124</v>
      </c>
    </row>
    <row r="762" spans="2:5">
      <c r="B762" t="s">
        <v>3955</v>
      </c>
      <c r="C762">
        <v>745</v>
      </c>
      <c r="D762" t="s">
        <v>3956</v>
      </c>
      <c r="E762">
        <v>124</v>
      </c>
    </row>
    <row r="763" spans="2:5">
      <c r="B763" t="s">
        <v>3957</v>
      </c>
      <c r="C763">
        <v>746</v>
      </c>
      <c r="D763" t="s">
        <v>3958</v>
      </c>
      <c r="E763">
        <v>125</v>
      </c>
    </row>
    <row r="764" spans="2:5">
      <c r="B764" t="s">
        <v>3959</v>
      </c>
      <c r="C764">
        <v>747</v>
      </c>
      <c r="D764" t="s">
        <v>3960</v>
      </c>
      <c r="E764">
        <v>125</v>
      </c>
    </row>
    <row r="765" spans="2:5">
      <c r="B765" t="s">
        <v>3263</v>
      </c>
      <c r="C765">
        <v>748</v>
      </c>
      <c r="D765" t="s">
        <v>3961</v>
      </c>
      <c r="E765">
        <v>126</v>
      </c>
    </row>
    <row r="766" spans="2:5">
      <c r="B766" t="s">
        <v>3962</v>
      </c>
      <c r="C766">
        <v>749</v>
      </c>
      <c r="D766" t="s">
        <v>3963</v>
      </c>
      <c r="E766">
        <v>126</v>
      </c>
    </row>
    <row r="767" spans="2:5">
      <c r="B767" t="s">
        <v>3964</v>
      </c>
      <c r="C767">
        <v>750</v>
      </c>
      <c r="D767" t="s">
        <v>3965</v>
      </c>
      <c r="E767">
        <v>126</v>
      </c>
    </row>
    <row r="768" spans="2:5">
      <c r="B768" t="s">
        <v>3966</v>
      </c>
      <c r="C768">
        <v>751</v>
      </c>
      <c r="D768" t="s">
        <v>3967</v>
      </c>
      <c r="E768">
        <v>126</v>
      </c>
    </row>
    <row r="769" spans="2:5">
      <c r="B769" t="s">
        <v>3968</v>
      </c>
      <c r="C769">
        <v>752</v>
      </c>
      <c r="D769" t="s">
        <v>3969</v>
      </c>
      <c r="E769">
        <v>126</v>
      </c>
    </row>
    <row r="770" spans="2:5">
      <c r="B770" t="s">
        <v>3970</v>
      </c>
      <c r="C770">
        <v>753</v>
      </c>
      <c r="D770" t="s">
        <v>3971</v>
      </c>
      <c r="E770">
        <v>126</v>
      </c>
    </row>
    <row r="771" spans="2:5">
      <c r="B771" t="s">
        <v>3972</v>
      </c>
      <c r="C771">
        <v>754</v>
      </c>
      <c r="D771" t="s">
        <v>3973</v>
      </c>
      <c r="E771">
        <v>126</v>
      </c>
    </row>
    <row r="772" spans="2:5">
      <c r="B772" t="s">
        <v>3974</v>
      </c>
      <c r="C772">
        <v>755</v>
      </c>
      <c r="D772" t="s">
        <v>3975</v>
      </c>
      <c r="E772">
        <v>126</v>
      </c>
    </row>
    <row r="773" spans="2:5">
      <c r="B773" t="s">
        <v>3976</v>
      </c>
      <c r="C773">
        <v>756</v>
      </c>
      <c r="D773" t="s">
        <v>3977</v>
      </c>
      <c r="E773">
        <v>126</v>
      </c>
    </row>
    <row r="774" spans="2:5">
      <c r="B774" t="s">
        <v>3978</v>
      </c>
      <c r="C774">
        <v>757</v>
      </c>
      <c r="D774" t="s">
        <v>3979</v>
      </c>
      <c r="E774">
        <v>126</v>
      </c>
    </row>
    <row r="775" spans="2:5">
      <c r="B775" t="s">
        <v>3980</v>
      </c>
      <c r="C775">
        <v>758</v>
      </c>
      <c r="D775" t="s">
        <v>3981</v>
      </c>
      <c r="E775">
        <v>126</v>
      </c>
    </row>
    <row r="776" spans="2:5">
      <c r="B776" t="s">
        <v>3982</v>
      </c>
      <c r="C776">
        <v>759</v>
      </c>
      <c r="D776" t="s">
        <v>3983</v>
      </c>
      <c r="E776">
        <v>126</v>
      </c>
    </row>
    <row r="777" spans="2:5">
      <c r="B777" t="s">
        <v>3984</v>
      </c>
      <c r="C777">
        <v>760</v>
      </c>
      <c r="D777" t="s">
        <v>3985</v>
      </c>
      <c r="E777">
        <v>126</v>
      </c>
    </row>
    <row r="778" spans="2:5">
      <c r="B778" t="s">
        <v>3986</v>
      </c>
      <c r="C778">
        <v>761</v>
      </c>
      <c r="D778" t="s">
        <v>3987</v>
      </c>
      <c r="E778">
        <v>126</v>
      </c>
    </row>
    <row r="779" spans="2:5">
      <c r="B779" t="s">
        <v>3988</v>
      </c>
      <c r="C779">
        <v>762</v>
      </c>
      <c r="D779" t="s">
        <v>3989</v>
      </c>
      <c r="E779">
        <v>126</v>
      </c>
    </row>
    <row r="780" spans="2:5">
      <c r="B780" t="s">
        <v>3990</v>
      </c>
      <c r="C780">
        <v>763</v>
      </c>
      <c r="D780" t="s">
        <v>3991</v>
      </c>
      <c r="E780">
        <v>126</v>
      </c>
    </row>
    <row r="781" spans="2:5">
      <c r="B781" t="s">
        <v>3992</v>
      </c>
      <c r="C781">
        <v>764</v>
      </c>
      <c r="D781" t="s">
        <v>3993</v>
      </c>
      <c r="E781">
        <v>126</v>
      </c>
    </row>
    <row r="782" spans="2:5">
      <c r="B782" t="s">
        <v>773</v>
      </c>
      <c r="C782">
        <v>765</v>
      </c>
      <c r="D782" t="s">
        <v>3994</v>
      </c>
      <c r="E782">
        <v>126</v>
      </c>
    </row>
    <row r="783" spans="2:5">
      <c r="B783" t="s">
        <v>3995</v>
      </c>
      <c r="C783">
        <v>766</v>
      </c>
      <c r="D783" t="s">
        <v>3996</v>
      </c>
      <c r="E783">
        <v>126</v>
      </c>
    </row>
    <row r="784" spans="2:5">
      <c r="B784" t="s">
        <v>3997</v>
      </c>
      <c r="C784">
        <v>767</v>
      </c>
      <c r="D784" t="s">
        <v>3998</v>
      </c>
      <c r="E784">
        <v>126</v>
      </c>
    </row>
    <row r="785" spans="2:5">
      <c r="B785" t="s">
        <v>3999</v>
      </c>
      <c r="C785">
        <v>768</v>
      </c>
      <c r="D785" t="s">
        <v>4000</v>
      </c>
      <c r="E785">
        <v>126</v>
      </c>
    </row>
    <row r="786" spans="2:5">
      <c r="B786" t="s">
        <v>4001</v>
      </c>
      <c r="C786">
        <v>769</v>
      </c>
      <c r="D786" t="s">
        <v>4002</v>
      </c>
      <c r="E786">
        <v>126</v>
      </c>
    </row>
    <row r="787" spans="2:5">
      <c r="B787" t="s">
        <v>4003</v>
      </c>
      <c r="C787">
        <v>770</v>
      </c>
      <c r="D787" t="s">
        <v>4004</v>
      </c>
      <c r="E787">
        <v>126</v>
      </c>
    </row>
    <row r="788" spans="2:5">
      <c r="B788" t="s">
        <v>4005</v>
      </c>
      <c r="C788">
        <v>771</v>
      </c>
      <c r="D788" t="s">
        <v>4006</v>
      </c>
      <c r="E788">
        <v>126</v>
      </c>
    </row>
    <row r="789" spans="2:5">
      <c r="B789" t="s">
        <v>4007</v>
      </c>
      <c r="C789">
        <v>772</v>
      </c>
      <c r="D789" t="s">
        <v>4008</v>
      </c>
      <c r="E789">
        <v>126</v>
      </c>
    </row>
    <row r="790" spans="2:5">
      <c r="B790" t="s">
        <v>4009</v>
      </c>
      <c r="C790">
        <v>775</v>
      </c>
      <c r="D790" t="s">
        <v>4010</v>
      </c>
      <c r="E790">
        <v>127</v>
      </c>
    </row>
    <row r="791" spans="2:5">
      <c r="B791" t="s">
        <v>4011</v>
      </c>
      <c r="C791">
        <v>776</v>
      </c>
      <c r="D791" t="s">
        <v>4012</v>
      </c>
      <c r="E791">
        <v>127</v>
      </c>
    </row>
    <row r="792" spans="2:5">
      <c r="B792" t="s">
        <v>4013</v>
      </c>
      <c r="C792">
        <v>781</v>
      </c>
      <c r="D792" t="s">
        <v>4014</v>
      </c>
      <c r="E792">
        <v>128</v>
      </c>
    </row>
    <row r="793" spans="2:5">
      <c r="B793" t="s">
        <v>4015</v>
      </c>
      <c r="C793">
        <v>782</v>
      </c>
      <c r="D793" t="s">
        <v>4016</v>
      </c>
      <c r="E793">
        <v>129</v>
      </c>
    </row>
    <row r="794" spans="2:5">
      <c r="B794" t="s">
        <v>4017</v>
      </c>
      <c r="C794">
        <v>783</v>
      </c>
      <c r="D794" t="s">
        <v>4018</v>
      </c>
      <c r="E794">
        <v>129</v>
      </c>
    </row>
    <row r="795" spans="2:5">
      <c r="B795" t="s">
        <v>4019</v>
      </c>
      <c r="C795">
        <v>784</v>
      </c>
      <c r="D795" t="s">
        <v>4020</v>
      </c>
      <c r="E795">
        <v>129</v>
      </c>
    </row>
    <row r="796" spans="2:5">
      <c r="B796" t="s">
        <v>4021</v>
      </c>
      <c r="C796">
        <v>789</v>
      </c>
      <c r="D796" t="s">
        <v>4022</v>
      </c>
      <c r="E796">
        <v>130</v>
      </c>
    </row>
    <row r="797" spans="2:5">
      <c r="B797" t="s">
        <v>4023</v>
      </c>
      <c r="C797">
        <v>799</v>
      </c>
      <c r="D797" t="s">
        <v>4024</v>
      </c>
      <c r="E797">
        <v>130</v>
      </c>
    </row>
    <row r="798" spans="2:5">
      <c r="B798" t="s">
        <v>4025</v>
      </c>
      <c r="C798">
        <v>800</v>
      </c>
      <c r="D798" t="s">
        <v>4026</v>
      </c>
      <c r="E798">
        <v>130</v>
      </c>
    </row>
    <row r="799" spans="2:5">
      <c r="B799" t="s">
        <v>4027</v>
      </c>
      <c r="C799">
        <v>801</v>
      </c>
      <c r="D799" t="s">
        <v>4028</v>
      </c>
      <c r="E799">
        <v>130</v>
      </c>
    </row>
    <row r="800" spans="2:5">
      <c r="B800" t="s">
        <v>4029</v>
      </c>
      <c r="C800">
        <v>806</v>
      </c>
      <c r="D800" t="s">
        <v>4030</v>
      </c>
      <c r="E800">
        <v>130</v>
      </c>
    </row>
    <row r="801" spans="2:5">
      <c r="B801" t="s">
        <v>4031</v>
      </c>
      <c r="C801">
        <v>807</v>
      </c>
      <c r="D801" t="s">
        <v>4032</v>
      </c>
      <c r="E801">
        <v>130</v>
      </c>
    </row>
    <row r="802" spans="2:5">
      <c r="B802" t="s">
        <v>4033</v>
      </c>
      <c r="C802">
        <v>791</v>
      </c>
      <c r="D802" t="s">
        <v>4034</v>
      </c>
      <c r="E802">
        <v>131</v>
      </c>
    </row>
    <row r="803" spans="2:5">
      <c r="B803" t="s">
        <v>4035</v>
      </c>
      <c r="C803">
        <v>792</v>
      </c>
      <c r="D803" t="s">
        <v>4036</v>
      </c>
      <c r="E803">
        <v>132</v>
      </c>
    </row>
    <row r="804" spans="2:5">
      <c r="B804" t="s">
        <v>3747</v>
      </c>
      <c r="C804">
        <v>793</v>
      </c>
      <c r="D804" t="s">
        <v>4037</v>
      </c>
      <c r="E804">
        <v>133</v>
      </c>
    </row>
    <row r="805" spans="2:5">
      <c r="B805" t="s">
        <v>176</v>
      </c>
      <c r="C805">
        <v>794</v>
      </c>
      <c r="D805" t="s">
        <v>4038</v>
      </c>
      <c r="E805">
        <v>133</v>
      </c>
    </row>
    <row r="806" spans="2:5">
      <c r="B806" t="s">
        <v>730</v>
      </c>
      <c r="C806">
        <v>795</v>
      </c>
      <c r="D806" t="s">
        <v>4039</v>
      </c>
      <c r="E806">
        <v>133</v>
      </c>
    </row>
    <row r="807" spans="2:5">
      <c r="B807" t="s">
        <v>784</v>
      </c>
      <c r="C807">
        <v>796</v>
      </c>
      <c r="D807" t="s">
        <v>4040</v>
      </c>
      <c r="E807">
        <v>133</v>
      </c>
    </row>
    <row r="808" spans="2:5">
      <c r="B808" t="s">
        <v>4041</v>
      </c>
      <c r="C808">
        <v>797</v>
      </c>
      <c r="D808" t="s">
        <v>4042</v>
      </c>
      <c r="E808">
        <v>134</v>
      </c>
    </row>
    <row r="809" spans="2:5">
      <c r="B809" t="s">
        <v>4043</v>
      </c>
      <c r="C809">
        <v>798</v>
      </c>
      <c r="D809" t="s">
        <v>4044</v>
      </c>
      <c r="E809">
        <v>134</v>
      </c>
    </row>
    <row r="810" spans="2:5">
      <c r="B810" t="s">
        <v>4045</v>
      </c>
      <c r="C810">
        <v>804</v>
      </c>
      <c r="D810" t="s">
        <v>4046</v>
      </c>
      <c r="E810">
        <v>134</v>
      </c>
    </row>
    <row r="811" spans="2:5">
      <c r="B811" t="s">
        <v>402</v>
      </c>
      <c r="C811">
        <v>808</v>
      </c>
      <c r="D811" t="s">
        <v>4047</v>
      </c>
      <c r="E811">
        <v>135</v>
      </c>
    </row>
    <row r="812" spans="2:5">
      <c r="B812" t="s">
        <v>361</v>
      </c>
      <c r="C812">
        <v>809</v>
      </c>
      <c r="D812" t="s">
        <v>4048</v>
      </c>
      <c r="E812">
        <v>135</v>
      </c>
    </row>
    <row r="813" spans="2:5">
      <c r="B813" t="s">
        <v>4049</v>
      </c>
      <c r="C813">
        <v>811</v>
      </c>
      <c r="D813" t="s">
        <v>4050</v>
      </c>
      <c r="E813">
        <v>136</v>
      </c>
    </row>
    <row r="814" spans="2:5">
      <c r="B814" t="s">
        <v>4051</v>
      </c>
      <c r="C814">
        <v>812</v>
      </c>
      <c r="D814" t="s">
        <v>4052</v>
      </c>
      <c r="E814">
        <v>136</v>
      </c>
    </row>
    <row r="815" spans="2:5">
      <c r="B815" t="s">
        <v>2871</v>
      </c>
      <c r="C815">
        <v>813</v>
      </c>
      <c r="D815" t="s">
        <v>4053</v>
      </c>
      <c r="E815">
        <v>137</v>
      </c>
    </row>
    <row r="816" spans="2:5">
      <c r="B816" t="s">
        <v>4054</v>
      </c>
      <c r="C816">
        <v>814</v>
      </c>
      <c r="D816" t="s">
        <v>4055</v>
      </c>
      <c r="E816">
        <v>137</v>
      </c>
    </row>
    <row r="817" spans="1:5">
      <c r="B817" t="s">
        <v>4056</v>
      </c>
      <c r="C817">
        <v>815</v>
      </c>
      <c r="D817" t="s">
        <v>4057</v>
      </c>
      <c r="E817">
        <v>137</v>
      </c>
    </row>
    <row r="818" spans="1:5">
      <c r="B818" t="s">
        <v>4058</v>
      </c>
      <c r="C818">
        <v>816</v>
      </c>
      <c r="D818" t="s">
        <v>4059</v>
      </c>
      <c r="E818">
        <v>137</v>
      </c>
    </row>
    <row r="819" spans="1:5">
      <c r="A819" s="2461" t="s">
        <v>4088</v>
      </c>
      <c r="B819" t="s">
        <v>684</v>
      </c>
      <c r="C819">
        <v>1</v>
      </c>
      <c r="D819" t="s">
        <v>4073</v>
      </c>
      <c r="E819" t="s">
        <v>4088</v>
      </c>
    </row>
    <row r="820" spans="1:5">
      <c r="B820" t="s">
        <v>719</v>
      </c>
      <c r="C820">
        <v>2</v>
      </c>
      <c r="D820" t="s">
        <v>4074</v>
      </c>
      <c r="E820" t="s">
        <v>4088</v>
      </c>
    </row>
    <row r="821" spans="1:5">
      <c r="B821" t="s">
        <v>4075</v>
      </c>
      <c r="C821">
        <v>3</v>
      </c>
      <c r="D821" t="s">
        <v>4076</v>
      </c>
      <c r="E821" t="s">
        <v>4088</v>
      </c>
    </row>
    <row r="822" spans="1:5">
      <c r="B822" t="s">
        <v>4077</v>
      </c>
      <c r="C822">
        <v>4</v>
      </c>
      <c r="D822" t="s">
        <v>4078</v>
      </c>
      <c r="E822" t="s">
        <v>4088</v>
      </c>
    </row>
    <row r="823" spans="1:5">
      <c r="B823" t="s">
        <v>4079</v>
      </c>
      <c r="C823">
        <v>5</v>
      </c>
      <c r="D823" t="s">
        <v>4080</v>
      </c>
      <c r="E823" t="s">
        <v>4088</v>
      </c>
    </row>
    <row r="824" spans="1:5">
      <c r="B824" t="s">
        <v>4081</v>
      </c>
      <c r="C824">
        <v>6</v>
      </c>
      <c r="D824" t="s">
        <v>4082</v>
      </c>
      <c r="E824" t="s">
        <v>4088</v>
      </c>
    </row>
    <row r="825" spans="1:5">
      <c r="B825" t="s">
        <v>4083</v>
      </c>
      <c r="C825">
        <v>7</v>
      </c>
      <c r="D825" t="s">
        <v>4084</v>
      </c>
      <c r="E825" t="s">
        <v>4088</v>
      </c>
    </row>
    <row r="826" spans="1:5">
      <c r="B826" t="s">
        <v>4085</v>
      </c>
      <c r="C826">
        <v>8</v>
      </c>
      <c r="D826" t="s">
        <v>4086</v>
      </c>
      <c r="E826" t="s">
        <v>4088</v>
      </c>
    </row>
    <row r="827" spans="1:5">
      <c r="B827" t="s">
        <v>351</v>
      </c>
      <c r="C827">
        <v>9</v>
      </c>
      <c r="D827" t="s">
        <v>4087</v>
      </c>
      <c r="E827" t="s">
        <v>4088</v>
      </c>
    </row>
    <row r="828" spans="1:5" ht="16.5">
      <c r="A828" s="2462" t="s">
        <v>3643</v>
      </c>
      <c r="B828" t="s">
        <v>713</v>
      </c>
      <c r="C828">
        <v>5</v>
      </c>
      <c r="E828" s="2460" t="s">
        <v>3643</v>
      </c>
    </row>
    <row r="829" spans="1:5" ht="16.5">
      <c r="B829" t="s">
        <v>4089</v>
      </c>
      <c r="C829">
        <v>18</v>
      </c>
      <c r="E829" s="2460" t="s">
        <v>3643</v>
      </c>
    </row>
    <row r="830" spans="1:5" ht="16.5">
      <c r="B830" t="s">
        <v>4090</v>
      </c>
      <c r="C830">
        <v>19</v>
      </c>
      <c r="E830" s="2460" t="s">
        <v>3643</v>
      </c>
    </row>
    <row r="831" spans="1:5" ht="16.5">
      <c r="B831" t="s">
        <v>4091</v>
      </c>
      <c r="C831">
        <v>9</v>
      </c>
      <c r="E831" s="2460" t="s">
        <v>3643</v>
      </c>
    </row>
    <row r="832" spans="1:5" ht="16.5">
      <c r="B832" t="s">
        <v>4092</v>
      </c>
      <c r="C832">
        <v>7</v>
      </c>
      <c r="E832" s="2460" t="s">
        <v>3643</v>
      </c>
    </row>
    <row r="833" spans="1:5" ht="16.5">
      <c r="B833" t="s">
        <v>4093</v>
      </c>
      <c r="C833">
        <v>11</v>
      </c>
      <c r="E833" s="2460" t="s">
        <v>3643</v>
      </c>
    </row>
    <row r="834" spans="1:5" ht="16.5">
      <c r="B834" t="s">
        <v>939</v>
      </c>
      <c r="C834">
        <v>12</v>
      </c>
      <c r="E834" s="2460" t="s">
        <v>3643</v>
      </c>
    </row>
    <row r="835" spans="1:5" ht="16.5">
      <c r="B835" t="s">
        <v>4094</v>
      </c>
      <c r="C835">
        <v>3</v>
      </c>
      <c r="E835" s="2460" t="s">
        <v>3643</v>
      </c>
    </row>
    <row r="836" spans="1:5" ht="16.5">
      <c r="B836" t="s">
        <v>4095</v>
      </c>
      <c r="C836">
        <v>13</v>
      </c>
      <c r="E836" s="2460" t="s">
        <v>3643</v>
      </c>
    </row>
    <row r="837" spans="1:5" ht="16.5">
      <c r="B837" t="s">
        <v>972</v>
      </c>
      <c r="C837">
        <v>10</v>
      </c>
      <c r="E837" s="2460" t="s">
        <v>3643</v>
      </c>
    </row>
    <row r="838" spans="1:5" ht="16.5">
      <c r="B838" t="s">
        <v>4096</v>
      </c>
      <c r="C838">
        <v>1</v>
      </c>
      <c r="E838" s="2460" t="s">
        <v>3643</v>
      </c>
    </row>
    <row r="839" spans="1:5" ht="16.5">
      <c r="B839" t="s">
        <v>1001</v>
      </c>
      <c r="C839">
        <v>8</v>
      </c>
      <c r="E839" s="2460" t="s">
        <v>3643</v>
      </c>
    </row>
    <row r="840" spans="1:5" ht="16.5">
      <c r="B840" t="s">
        <v>3566</v>
      </c>
      <c r="C840">
        <v>20</v>
      </c>
      <c r="E840" s="2460" t="s">
        <v>3643</v>
      </c>
    </row>
    <row r="841" spans="1:5" ht="16.5">
      <c r="B841" t="s">
        <v>4097</v>
      </c>
      <c r="C841">
        <v>14</v>
      </c>
      <c r="E841" s="2460" t="s">
        <v>3643</v>
      </c>
    </row>
    <row r="842" spans="1:5" ht="16.5">
      <c r="B842" t="s">
        <v>3562</v>
      </c>
      <c r="C842">
        <v>15</v>
      </c>
      <c r="E842" s="2460" t="s">
        <v>3643</v>
      </c>
    </row>
    <row r="843" spans="1:5" ht="16.5">
      <c r="B843" t="s">
        <v>2871</v>
      </c>
      <c r="C843">
        <v>6</v>
      </c>
      <c r="E843" s="2460" t="s">
        <v>3643</v>
      </c>
    </row>
    <row r="844" spans="1:5" ht="16.5">
      <c r="B844" t="s">
        <v>4098</v>
      </c>
      <c r="C844">
        <v>4</v>
      </c>
      <c r="E844" s="2460" t="s">
        <v>3643</v>
      </c>
    </row>
    <row r="845" spans="1:5" ht="16.5">
      <c r="B845" t="s">
        <v>4099</v>
      </c>
      <c r="C845">
        <v>17</v>
      </c>
      <c r="E845" s="2460" t="s">
        <v>3643</v>
      </c>
    </row>
    <row r="846" spans="1:5" ht="16.5">
      <c r="B846" t="s">
        <v>7</v>
      </c>
      <c r="C846">
        <v>2</v>
      </c>
      <c r="E846" s="2460" t="s">
        <v>3643</v>
      </c>
    </row>
    <row r="847" spans="1:5" ht="16.5">
      <c r="B847" t="s">
        <v>4100</v>
      </c>
      <c r="C847">
        <v>16</v>
      </c>
      <c r="E847" s="2460" t="s">
        <v>3643</v>
      </c>
    </row>
    <row r="848" spans="1:5">
      <c r="A848" s="2461" t="s">
        <v>4131</v>
      </c>
      <c r="B848" t="s">
        <v>680</v>
      </c>
      <c r="C848">
        <v>1</v>
      </c>
      <c r="E848" t="s">
        <v>4131</v>
      </c>
    </row>
    <row r="849" spans="2:5">
      <c r="B849" t="s">
        <v>713</v>
      </c>
      <c r="C849">
        <v>2</v>
      </c>
      <c r="E849" t="s">
        <v>4131</v>
      </c>
    </row>
    <row r="850" spans="2:5">
      <c r="B850" t="s">
        <v>4101</v>
      </c>
      <c r="C850">
        <v>42</v>
      </c>
      <c r="E850" t="s">
        <v>4131</v>
      </c>
    </row>
    <row r="851" spans="2:5">
      <c r="B851" t="s">
        <v>4102</v>
      </c>
      <c r="C851">
        <v>43</v>
      </c>
      <c r="E851" t="s">
        <v>4131</v>
      </c>
    </row>
    <row r="852" spans="2:5">
      <c r="B852" t="s">
        <v>4103</v>
      </c>
      <c r="C852">
        <v>30</v>
      </c>
      <c r="E852" t="s">
        <v>4131</v>
      </c>
    </row>
    <row r="853" spans="2:5">
      <c r="B853" t="s">
        <v>4104</v>
      </c>
      <c r="C853">
        <v>33</v>
      </c>
      <c r="E853" t="s">
        <v>4131</v>
      </c>
    </row>
    <row r="854" spans="2:5">
      <c r="B854" t="s">
        <v>2466</v>
      </c>
      <c r="C854">
        <v>3</v>
      </c>
      <c r="E854" t="s">
        <v>4131</v>
      </c>
    </row>
    <row r="855" spans="2:5">
      <c r="B855" t="s">
        <v>4105</v>
      </c>
      <c r="C855">
        <v>34</v>
      </c>
      <c r="E855" t="s">
        <v>4131</v>
      </c>
    </row>
    <row r="856" spans="2:5">
      <c r="B856" t="s">
        <v>3513</v>
      </c>
      <c r="C856">
        <v>4</v>
      </c>
      <c r="E856" t="s">
        <v>4131</v>
      </c>
    </row>
    <row r="857" spans="2:5">
      <c r="B857" t="s">
        <v>4106</v>
      </c>
      <c r="C857">
        <v>35</v>
      </c>
      <c r="E857" t="s">
        <v>4131</v>
      </c>
    </row>
    <row r="858" spans="2:5">
      <c r="B858" t="s">
        <v>4107</v>
      </c>
      <c r="C858">
        <v>41</v>
      </c>
      <c r="E858" t="s">
        <v>4131</v>
      </c>
    </row>
    <row r="859" spans="2:5">
      <c r="B859" t="s">
        <v>3542</v>
      </c>
      <c r="C859">
        <v>5</v>
      </c>
      <c r="E859" t="s">
        <v>4131</v>
      </c>
    </row>
    <row r="860" spans="2:5">
      <c r="B860" t="s">
        <v>4108</v>
      </c>
      <c r="C860">
        <v>31</v>
      </c>
      <c r="E860" t="s">
        <v>4131</v>
      </c>
    </row>
    <row r="861" spans="2:5">
      <c r="B861" t="s">
        <v>4109</v>
      </c>
      <c r="C861">
        <v>36</v>
      </c>
      <c r="E861" t="s">
        <v>4131</v>
      </c>
    </row>
    <row r="862" spans="2:5">
      <c r="B862" t="s">
        <v>4110</v>
      </c>
      <c r="C862">
        <v>59</v>
      </c>
      <c r="E862" t="s">
        <v>4131</v>
      </c>
    </row>
    <row r="863" spans="2:5">
      <c r="B863" t="s">
        <v>4089</v>
      </c>
      <c r="C863">
        <v>45</v>
      </c>
      <c r="E863" t="s">
        <v>4131</v>
      </c>
    </row>
    <row r="864" spans="2:5">
      <c r="B864" t="s">
        <v>770</v>
      </c>
      <c r="C864">
        <v>63</v>
      </c>
      <c r="E864" t="s">
        <v>4131</v>
      </c>
    </row>
    <row r="865" spans="2:5">
      <c r="B865" t="s">
        <v>792</v>
      </c>
      <c r="C865">
        <v>65</v>
      </c>
      <c r="E865" t="s">
        <v>4131</v>
      </c>
    </row>
    <row r="866" spans="2:5">
      <c r="B866" t="s">
        <v>816</v>
      </c>
      <c r="C866">
        <v>61</v>
      </c>
      <c r="E866" t="s">
        <v>4131</v>
      </c>
    </row>
    <row r="867" spans="2:5">
      <c r="B867" t="s">
        <v>838</v>
      </c>
      <c r="C867">
        <v>60</v>
      </c>
      <c r="E867" t="s">
        <v>4131</v>
      </c>
    </row>
    <row r="868" spans="2:5">
      <c r="B868" t="s">
        <v>858</v>
      </c>
      <c r="C868">
        <v>39</v>
      </c>
      <c r="E868" t="s">
        <v>4131</v>
      </c>
    </row>
    <row r="869" spans="2:5">
      <c r="B869" t="s">
        <v>875</v>
      </c>
      <c r="C869">
        <v>38</v>
      </c>
      <c r="E869" t="s">
        <v>4131</v>
      </c>
    </row>
    <row r="870" spans="2:5">
      <c r="B870" t="s">
        <v>895</v>
      </c>
      <c r="C870">
        <v>64</v>
      </c>
      <c r="E870" t="s">
        <v>4131</v>
      </c>
    </row>
    <row r="871" spans="2:5">
      <c r="B871" t="s">
        <v>910</v>
      </c>
      <c r="C871">
        <v>66</v>
      </c>
      <c r="E871" t="s">
        <v>4131</v>
      </c>
    </row>
    <row r="872" spans="2:5">
      <c r="B872" t="s">
        <v>12</v>
      </c>
      <c r="C872">
        <v>6</v>
      </c>
      <c r="E872" t="s">
        <v>4131</v>
      </c>
    </row>
    <row r="873" spans="2:5">
      <c r="B873" t="s">
        <v>4111</v>
      </c>
      <c r="C873">
        <v>7</v>
      </c>
      <c r="E873" t="s">
        <v>4131</v>
      </c>
    </row>
    <row r="874" spans="2:5">
      <c r="B874" t="s">
        <v>939</v>
      </c>
      <c r="C874">
        <v>40</v>
      </c>
      <c r="E874" t="s">
        <v>4131</v>
      </c>
    </row>
    <row r="875" spans="2:5">
      <c r="B875" t="s">
        <v>4095</v>
      </c>
      <c r="C875">
        <v>8</v>
      </c>
      <c r="E875" t="s">
        <v>4131</v>
      </c>
    </row>
    <row r="876" spans="2:5">
      <c r="B876" t="s">
        <v>4112</v>
      </c>
      <c r="C876">
        <v>9</v>
      </c>
      <c r="E876" t="s">
        <v>4131</v>
      </c>
    </row>
    <row r="877" spans="2:5">
      <c r="B877" t="s">
        <v>955</v>
      </c>
      <c r="C877">
        <v>10</v>
      </c>
      <c r="E877" t="s">
        <v>4131</v>
      </c>
    </row>
    <row r="878" spans="2:5">
      <c r="B878" t="s">
        <v>972</v>
      </c>
      <c r="C878">
        <v>37</v>
      </c>
      <c r="E878" t="s">
        <v>4131</v>
      </c>
    </row>
    <row r="879" spans="2:5">
      <c r="B879" t="s">
        <v>987</v>
      </c>
      <c r="C879">
        <v>11</v>
      </c>
      <c r="E879" t="s">
        <v>4131</v>
      </c>
    </row>
    <row r="880" spans="2:5">
      <c r="B880" t="s">
        <v>1001</v>
      </c>
      <c r="C880">
        <v>12</v>
      </c>
      <c r="E880" t="s">
        <v>4131</v>
      </c>
    </row>
    <row r="881" spans="2:5">
      <c r="B881" t="s">
        <v>1011</v>
      </c>
      <c r="C881">
        <v>13</v>
      </c>
      <c r="E881" t="s">
        <v>4131</v>
      </c>
    </row>
    <row r="882" spans="2:5">
      <c r="B882" t="s">
        <v>4113</v>
      </c>
      <c r="C882">
        <v>26</v>
      </c>
      <c r="E882" t="s">
        <v>4131</v>
      </c>
    </row>
    <row r="883" spans="2:5">
      <c r="B883" t="s">
        <v>1020</v>
      </c>
      <c r="C883">
        <v>14</v>
      </c>
      <c r="E883" t="s">
        <v>4131</v>
      </c>
    </row>
    <row r="884" spans="2:5">
      <c r="B884" t="s">
        <v>1033</v>
      </c>
      <c r="C884">
        <v>15</v>
      </c>
      <c r="E884" t="s">
        <v>4131</v>
      </c>
    </row>
    <row r="885" spans="2:5">
      <c r="B885" t="s">
        <v>4114</v>
      </c>
      <c r="C885">
        <v>16</v>
      </c>
      <c r="E885" t="s">
        <v>4131</v>
      </c>
    </row>
    <row r="886" spans="2:5">
      <c r="B886" t="s">
        <v>3566</v>
      </c>
      <c r="C886">
        <v>58</v>
      </c>
      <c r="E886" t="s">
        <v>4131</v>
      </c>
    </row>
    <row r="887" spans="2:5">
      <c r="B887" t="s">
        <v>3562</v>
      </c>
      <c r="C887">
        <v>56</v>
      </c>
      <c r="E887" t="s">
        <v>4131</v>
      </c>
    </row>
    <row r="888" spans="2:5">
      <c r="B888" t="s">
        <v>4115</v>
      </c>
      <c r="C888">
        <v>44</v>
      </c>
      <c r="E888" t="s">
        <v>4131</v>
      </c>
    </row>
    <row r="889" spans="2:5">
      <c r="B889" t="s">
        <v>4116</v>
      </c>
      <c r="C889">
        <v>17</v>
      </c>
      <c r="E889" t="s">
        <v>4131</v>
      </c>
    </row>
    <row r="890" spans="2:5">
      <c r="B890" t="s">
        <v>2871</v>
      </c>
      <c r="C890">
        <v>18</v>
      </c>
      <c r="E890" t="s">
        <v>4131</v>
      </c>
    </row>
    <row r="891" spans="2:5">
      <c r="B891" t="s">
        <v>1055</v>
      </c>
      <c r="C891">
        <v>19</v>
      </c>
      <c r="E891" t="s">
        <v>4131</v>
      </c>
    </row>
    <row r="892" spans="2:5">
      <c r="B892" t="s">
        <v>4117</v>
      </c>
      <c r="C892">
        <v>48</v>
      </c>
      <c r="E892" t="s">
        <v>4131</v>
      </c>
    </row>
    <row r="893" spans="2:5">
      <c r="B893" t="s">
        <v>4118</v>
      </c>
      <c r="C893">
        <v>62</v>
      </c>
      <c r="E893" t="s">
        <v>4131</v>
      </c>
    </row>
    <row r="894" spans="2:5">
      <c r="B894" t="s">
        <v>4119</v>
      </c>
      <c r="C894">
        <v>49</v>
      </c>
      <c r="E894" t="s">
        <v>4131</v>
      </c>
    </row>
    <row r="895" spans="2:5">
      <c r="B895" t="s">
        <v>4120</v>
      </c>
      <c r="C895">
        <v>50</v>
      </c>
      <c r="E895" t="s">
        <v>4131</v>
      </c>
    </row>
    <row r="896" spans="2:5">
      <c r="B896" t="s">
        <v>4121</v>
      </c>
      <c r="C896">
        <v>51</v>
      </c>
      <c r="E896" t="s">
        <v>4131</v>
      </c>
    </row>
    <row r="897" spans="1:5">
      <c r="B897" t="s">
        <v>4122</v>
      </c>
      <c r="C897">
        <v>52</v>
      </c>
      <c r="E897" t="s">
        <v>4131</v>
      </c>
    </row>
    <row r="898" spans="1:5">
      <c r="B898" t="s">
        <v>4123</v>
      </c>
      <c r="C898">
        <v>53</v>
      </c>
      <c r="E898" t="s">
        <v>4131</v>
      </c>
    </row>
    <row r="899" spans="1:5">
      <c r="B899" t="s">
        <v>4124</v>
      </c>
      <c r="C899">
        <v>54</v>
      </c>
      <c r="E899" t="s">
        <v>4131</v>
      </c>
    </row>
    <row r="900" spans="1:5">
      <c r="B900" t="s">
        <v>4125</v>
      </c>
      <c r="C900">
        <v>20</v>
      </c>
      <c r="E900" t="s">
        <v>4131</v>
      </c>
    </row>
    <row r="901" spans="1:5">
      <c r="B901" t="s">
        <v>4098</v>
      </c>
      <c r="C901">
        <v>21</v>
      </c>
      <c r="E901" t="s">
        <v>4131</v>
      </c>
    </row>
    <row r="902" spans="1:5">
      <c r="B902" t="s">
        <v>4126</v>
      </c>
      <c r="C902">
        <v>57</v>
      </c>
      <c r="E902" t="s">
        <v>4131</v>
      </c>
    </row>
    <row r="903" spans="1:5">
      <c r="B903" t="s">
        <v>4127</v>
      </c>
      <c r="C903">
        <v>22</v>
      </c>
      <c r="E903" t="s">
        <v>4131</v>
      </c>
    </row>
    <row r="904" spans="1:5">
      <c r="B904" t="s">
        <v>4128</v>
      </c>
      <c r="C904">
        <v>23</v>
      </c>
      <c r="E904" t="s">
        <v>4131</v>
      </c>
    </row>
    <row r="905" spans="1:5">
      <c r="B905" t="s">
        <v>487</v>
      </c>
      <c r="C905">
        <v>24</v>
      </c>
      <c r="E905" t="s">
        <v>4131</v>
      </c>
    </row>
    <row r="906" spans="1:5">
      <c r="B906" t="s">
        <v>489</v>
      </c>
      <c r="C906">
        <v>55</v>
      </c>
      <c r="E906" t="s">
        <v>4131</v>
      </c>
    </row>
    <row r="907" spans="1:5">
      <c r="B907" t="s">
        <v>4129</v>
      </c>
      <c r="C907">
        <v>25</v>
      </c>
      <c r="E907" t="s">
        <v>4131</v>
      </c>
    </row>
    <row r="908" spans="1:5">
      <c r="B908" t="s">
        <v>4130</v>
      </c>
      <c r="C908">
        <v>47</v>
      </c>
      <c r="E908" t="s">
        <v>4131</v>
      </c>
    </row>
    <row r="909" spans="1:5">
      <c r="A909" s="2461" t="s">
        <v>4168</v>
      </c>
      <c r="B909" t="s">
        <v>3001</v>
      </c>
      <c r="C909">
        <v>411</v>
      </c>
      <c r="D909" t="s">
        <v>4135</v>
      </c>
    </row>
    <row r="910" spans="1:5">
      <c r="B910" t="s">
        <v>2802</v>
      </c>
      <c r="C910">
        <v>412</v>
      </c>
      <c r="D910" t="s">
        <v>4136</v>
      </c>
    </row>
    <row r="911" spans="1:5">
      <c r="B911" t="s">
        <v>4137</v>
      </c>
      <c r="C911">
        <v>413</v>
      </c>
      <c r="D911" t="s">
        <v>4138</v>
      </c>
    </row>
    <row r="912" spans="1:5">
      <c r="A912" s="2461" t="s">
        <v>4169</v>
      </c>
      <c r="B912" t="s">
        <v>2695</v>
      </c>
      <c r="C912">
        <v>1</v>
      </c>
      <c r="D912" t="s">
        <v>4139</v>
      </c>
    </row>
    <row r="913" spans="2:4">
      <c r="B913" t="s">
        <v>2696</v>
      </c>
      <c r="C913">
        <v>2</v>
      </c>
      <c r="D913" t="s">
        <v>4140</v>
      </c>
    </row>
    <row r="914" spans="2:4">
      <c r="B914" t="s">
        <v>4141</v>
      </c>
      <c r="C914">
        <v>3</v>
      </c>
      <c r="D914" t="s">
        <v>4142</v>
      </c>
    </row>
    <row r="915" spans="2:4">
      <c r="B915" t="s">
        <v>1635</v>
      </c>
      <c r="C915">
        <v>4</v>
      </c>
      <c r="D915" t="s">
        <v>4143</v>
      </c>
    </row>
    <row r="916" spans="2:4">
      <c r="B916" t="s">
        <v>2697</v>
      </c>
      <c r="C916">
        <v>5</v>
      </c>
      <c r="D916" t="s">
        <v>4144</v>
      </c>
    </row>
    <row r="917" spans="2:4">
      <c r="B917" t="s">
        <v>2698</v>
      </c>
      <c r="C917">
        <v>6</v>
      </c>
      <c r="D917" t="s">
        <v>4145</v>
      </c>
    </row>
    <row r="918" spans="2:4">
      <c r="B918" t="s">
        <v>2699</v>
      </c>
      <c r="C918">
        <v>7</v>
      </c>
      <c r="D918" t="s">
        <v>4146</v>
      </c>
    </row>
    <row r="919" spans="2:4">
      <c r="B919" t="s">
        <v>2700</v>
      </c>
      <c r="C919">
        <v>8</v>
      </c>
      <c r="D919" t="s">
        <v>4147</v>
      </c>
    </row>
    <row r="920" spans="2:4">
      <c r="B920" t="s">
        <v>4148</v>
      </c>
      <c r="C920">
        <v>11</v>
      </c>
      <c r="D920" t="s">
        <v>4149</v>
      </c>
    </row>
    <row r="921" spans="2:4">
      <c r="B921" t="s">
        <v>4150</v>
      </c>
      <c r="C921">
        <v>12</v>
      </c>
      <c r="D921" t="s">
        <v>4151</v>
      </c>
    </row>
    <row r="922" spans="2:4">
      <c r="B922" t="s">
        <v>4152</v>
      </c>
      <c r="C922">
        <v>13</v>
      </c>
      <c r="D922" t="s">
        <v>4153</v>
      </c>
    </row>
    <row r="923" spans="2:4">
      <c r="B923" t="s">
        <v>4154</v>
      </c>
      <c r="C923">
        <v>14</v>
      </c>
      <c r="D923" t="s">
        <v>4155</v>
      </c>
    </row>
    <row r="924" spans="2:4">
      <c r="B924" t="s">
        <v>4156</v>
      </c>
      <c r="C924">
        <v>15</v>
      </c>
      <c r="D924" t="s">
        <v>4157</v>
      </c>
    </row>
    <row r="925" spans="2:4">
      <c r="B925" t="s">
        <v>2910</v>
      </c>
      <c r="C925">
        <v>16</v>
      </c>
      <c r="D925" t="s">
        <v>4158</v>
      </c>
    </row>
    <row r="926" spans="2:4">
      <c r="B926" t="s">
        <v>1129</v>
      </c>
      <c r="C926">
        <v>17</v>
      </c>
      <c r="D926" t="s">
        <v>4159</v>
      </c>
    </row>
    <row r="927" spans="2:4">
      <c r="B927" t="s">
        <v>4160</v>
      </c>
      <c r="C927">
        <v>18</v>
      </c>
      <c r="D927" t="s">
        <v>4161</v>
      </c>
    </row>
    <row r="928" spans="2:4">
      <c r="B928" t="s">
        <v>4162</v>
      </c>
      <c r="C928">
        <v>19</v>
      </c>
      <c r="D928" t="s">
        <v>4163</v>
      </c>
    </row>
    <row r="929" spans="2:4">
      <c r="B929" t="s">
        <v>4164</v>
      </c>
      <c r="C929">
        <v>20</v>
      </c>
      <c r="D929" t="s">
        <v>4165</v>
      </c>
    </row>
    <row r="930" spans="2:4">
      <c r="B930" t="s">
        <v>4166</v>
      </c>
      <c r="C930">
        <v>21</v>
      </c>
      <c r="D930" t="s">
        <v>4167</v>
      </c>
    </row>
  </sheetData>
  <autoFilter ref="A1:E363" xr:uid="{38C979C4-E38C-4C93-9E75-B55EF1CE1BD5}"/>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04692-DC9C-4718-8372-579B8EA9AB2D}">
  <sheetPr codeName="M61InputsExpanded">
    <tabColor theme="9" tint="0.59999389629810485"/>
  </sheetPr>
  <dimension ref="A1:CT68"/>
  <sheetViews>
    <sheetView tabSelected="1" zoomScale="90" zoomScaleNormal="90" workbookViewId="0">
      <selection activeCell="B6" sqref="B6"/>
    </sheetView>
  </sheetViews>
  <sheetFormatPr defaultRowHeight="15"/>
  <cols>
    <col min="1" max="1" width="20" bestFit="1" customWidth="1"/>
    <col min="2" max="2" width="29.140625" bestFit="1" customWidth="1"/>
    <col min="3" max="3" width="17.85546875" customWidth="1"/>
    <col min="4" max="4" width="18" bestFit="1" customWidth="1"/>
    <col min="5" max="5" width="16" customWidth="1"/>
    <col min="6" max="6" width="17.28515625" customWidth="1"/>
    <col min="7" max="7" width="20.28515625" customWidth="1"/>
    <col min="8" max="8" width="17.140625" customWidth="1"/>
    <col min="9" max="9" width="18.42578125" customWidth="1"/>
    <col min="10" max="10" width="23.7109375" customWidth="1"/>
    <col min="11" max="11" width="21.140625" customWidth="1"/>
    <col min="12" max="12" width="19.42578125" customWidth="1"/>
    <col min="13" max="14" width="18.140625" customWidth="1"/>
    <col min="15" max="15" width="20.28515625" customWidth="1"/>
    <col min="16" max="16" width="21.5703125" customWidth="1"/>
    <col min="17" max="17" width="21.7109375" customWidth="1"/>
    <col min="18" max="18" width="18.140625" customWidth="1"/>
    <col min="19" max="19" width="11.7109375" customWidth="1"/>
    <col min="20" max="20" width="12.7109375" customWidth="1"/>
    <col min="21" max="21" width="14.5703125" customWidth="1"/>
    <col min="22" max="22" width="17.5703125" bestFit="1" customWidth="1"/>
    <col min="23" max="24" width="17.5703125" customWidth="1"/>
    <col min="25" max="25" width="17.85546875" bestFit="1" customWidth="1"/>
    <col min="26" max="26" width="21.7109375" bestFit="1" customWidth="1"/>
    <col min="27" max="27" width="23" bestFit="1" customWidth="1"/>
    <col min="28" max="29" width="35.85546875" bestFit="1" customWidth="1"/>
    <col min="30" max="30" width="24" bestFit="1" customWidth="1"/>
    <col min="31" max="31" width="15.5703125" customWidth="1"/>
    <col min="32" max="32" width="22.5703125" bestFit="1" customWidth="1"/>
    <col min="33" max="33" width="12.28515625" customWidth="1"/>
    <col min="34" max="34" width="29.140625" bestFit="1" customWidth="1"/>
    <col min="35" max="35" width="17.42578125" bestFit="1" customWidth="1"/>
    <col min="36" max="36" width="28.28515625" bestFit="1" customWidth="1"/>
    <col min="37" max="37" width="29.28515625" customWidth="1"/>
    <col min="38" max="38" width="29.42578125" customWidth="1"/>
    <col min="39" max="39" width="23.7109375" customWidth="1"/>
    <col min="40" max="40" width="24.7109375" customWidth="1"/>
    <col min="41" max="41" width="26.28515625" customWidth="1"/>
    <col min="42" max="42" width="18.28515625" customWidth="1"/>
    <col min="43" max="43" width="21.85546875" customWidth="1"/>
    <col min="44" max="44" width="16.28515625" customWidth="1"/>
    <col min="45" max="45" width="20.5703125" customWidth="1"/>
    <col min="46" max="46" width="13.7109375" bestFit="1" customWidth="1"/>
    <col min="47" max="47" width="17.140625" customWidth="1"/>
    <col min="48" max="48" width="17.7109375" customWidth="1"/>
    <col min="49" max="49" width="18.28515625" customWidth="1"/>
    <col min="50" max="50" width="17.7109375" customWidth="1"/>
    <col min="51" max="51" width="29.7109375" customWidth="1"/>
    <col min="52" max="52" width="19.5703125" bestFit="1" customWidth="1"/>
    <col min="53" max="53" width="17" bestFit="1" customWidth="1"/>
    <col min="54" max="54" width="25.28515625" customWidth="1"/>
    <col min="55" max="55" width="17.85546875" customWidth="1"/>
    <col min="56" max="56" width="20.7109375" customWidth="1"/>
    <col min="57" max="57" width="21.85546875" customWidth="1"/>
    <col min="58" max="58" width="19.85546875" customWidth="1"/>
    <col min="59" max="59" width="21.28515625" customWidth="1"/>
    <col min="60" max="60" width="12" customWidth="1"/>
    <col min="61" max="61" width="14" customWidth="1"/>
    <col min="62" max="62" width="10.85546875" customWidth="1"/>
    <col min="64" max="64" width="20.85546875" bestFit="1" customWidth="1"/>
    <col min="65" max="65" width="20.7109375" customWidth="1"/>
    <col min="66" max="66" width="17.28515625" customWidth="1"/>
    <col min="67" max="67" width="15.85546875" customWidth="1"/>
    <col min="68" max="68" width="16.28515625" customWidth="1"/>
    <col min="69" max="69" width="19.85546875" customWidth="1"/>
    <col min="70" max="70" width="20.140625" customWidth="1"/>
    <col min="71" max="71" width="22.5703125" customWidth="1"/>
    <col min="73" max="73" width="20.42578125" bestFit="1" customWidth="1"/>
    <col min="74" max="74" width="13.42578125" customWidth="1"/>
    <col min="75" max="75" width="16.140625" customWidth="1"/>
    <col min="76" max="76" width="11.85546875" customWidth="1"/>
    <col min="77" max="77" width="15.7109375" customWidth="1"/>
    <col min="78" max="78" width="17.7109375" customWidth="1"/>
    <col min="79" max="79" width="17.5703125" hidden="1" customWidth="1"/>
    <col min="80" max="80" width="21.28515625" hidden="1" customWidth="1"/>
    <col min="82" max="82" width="16.5703125" customWidth="1"/>
    <col min="83" max="83" width="15" customWidth="1"/>
    <col min="84" max="85" width="17" customWidth="1"/>
    <col min="86" max="86" width="15.140625" customWidth="1"/>
    <col min="87" max="87" width="13.28515625" customWidth="1"/>
    <col min="88" max="88" width="16.85546875" bestFit="1" customWidth="1"/>
    <col min="89" max="89" width="17.85546875" bestFit="1" customWidth="1"/>
    <col min="90" max="90" width="13.5703125" bestFit="1" customWidth="1"/>
    <col min="91" max="91" width="19" bestFit="1" customWidth="1"/>
    <col min="92" max="92" width="13.7109375" bestFit="1" customWidth="1"/>
    <col min="93" max="93" width="16.7109375" bestFit="1" customWidth="1"/>
    <col min="95" max="95" width="22.140625" customWidth="1"/>
    <col min="96" max="96" width="19.42578125" customWidth="1"/>
    <col min="97" max="97" width="13.5703125" customWidth="1"/>
    <col min="98" max="98" width="20.28515625" customWidth="1"/>
  </cols>
  <sheetData>
    <row r="1" spans="1:98" ht="32.25">
      <c r="G1" s="2569" t="str">
        <f>GetEnv()&amp;  " -  Lender_Settlement_Statement"</f>
        <v>Integration -  Lender_Settlement_Statement</v>
      </c>
      <c r="H1" s="2569"/>
      <c r="I1" s="2569"/>
      <c r="J1" s="2569"/>
      <c r="AH1" s="2566" t="s">
        <v>2874</v>
      </c>
      <c r="AI1" s="2452" t="s">
        <v>2501</v>
      </c>
      <c r="AJ1" s="2452" t="s">
        <v>2502</v>
      </c>
      <c r="AK1" s="2452" t="s">
        <v>2503</v>
      </c>
      <c r="AL1" s="2452" t="s">
        <v>4069</v>
      </c>
      <c r="AM1" s="2452" t="s">
        <v>2504</v>
      </c>
      <c r="AN1" s="2452" t="s">
        <v>2505</v>
      </c>
      <c r="AO1" s="2452" t="s">
        <v>2506</v>
      </c>
      <c r="AP1" s="2452" t="s">
        <v>2507</v>
      </c>
      <c r="AQ1" s="2452" t="s">
        <v>2508</v>
      </c>
      <c r="AR1" s="2452" t="s">
        <v>2509</v>
      </c>
      <c r="AS1" s="2452" t="s">
        <v>2510</v>
      </c>
      <c r="AT1" s="2452" t="s">
        <v>2511</v>
      </c>
      <c r="AU1" s="2452" t="s">
        <v>2512</v>
      </c>
      <c r="AV1" s="2452" t="s">
        <v>2513</v>
      </c>
      <c r="AW1" s="2452" t="s">
        <v>2514</v>
      </c>
      <c r="AX1" s="2452" t="s">
        <v>2515</v>
      </c>
      <c r="AY1" s="2452" t="s">
        <v>2516</v>
      </c>
      <c r="AZ1" s="2452" t="s">
        <v>2517</v>
      </c>
      <c r="BA1" s="2452" t="s">
        <v>2518</v>
      </c>
      <c r="BB1" s="2452" t="s">
        <v>2519</v>
      </c>
      <c r="BC1" s="2452" t="s">
        <v>2520</v>
      </c>
      <c r="BD1" s="2452" t="s">
        <v>2521</v>
      </c>
      <c r="BE1" s="2452" t="s">
        <v>2522</v>
      </c>
      <c r="BF1" s="2452" t="s">
        <v>2523</v>
      </c>
      <c r="BG1" s="2452" t="s">
        <v>2524</v>
      </c>
      <c r="BH1" s="2452" t="s">
        <v>2525</v>
      </c>
      <c r="BI1" s="2452" t="s">
        <v>2526</v>
      </c>
      <c r="BJ1" s="2452" t="s">
        <v>2527</v>
      </c>
    </row>
    <row r="2" spans="1:98">
      <c r="J2" s="2568" t="s">
        <v>2911</v>
      </c>
      <c r="K2" s="2568"/>
      <c r="L2" s="2568"/>
      <c r="M2" s="2568"/>
      <c r="N2" s="2568"/>
      <c r="O2" s="2568"/>
      <c r="P2" s="2568"/>
      <c r="Q2" s="2568"/>
      <c r="R2" s="2568"/>
      <c r="AH2" s="2567"/>
      <c r="AI2" s="2450">
        <v>1</v>
      </c>
      <c r="AJ2" s="2450">
        <v>-2</v>
      </c>
      <c r="AK2" s="2450">
        <v>10</v>
      </c>
      <c r="AL2" s="2450">
        <v>0</v>
      </c>
      <c r="AM2" s="2450">
        <v>-1</v>
      </c>
      <c r="AN2" s="2450">
        <v>0</v>
      </c>
      <c r="AO2" s="2450"/>
      <c r="AP2" s="2450">
        <v>4</v>
      </c>
      <c r="AQ2" s="2450">
        <v>4</v>
      </c>
      <c r="AR2" s="2450">
        <v>1</v>
      </c>
      <c r="AS2" s="2450">
        <v>4</v>
      </c>
      <c r="AT2" s="2450">
        <v>4</v>
      </c>
      <c r="AU2" s="2450">
        <v>360</v>
      </c>
      <c r="AV2" s="2450">
        <v>3</v>
      </c>
      <c r="AW2" s="2450">
        <v>0</v>
      </c>
      <c r="AX2" s="2450">
        <v>0</v>
      </c>
      <c r="AY2" s="2450">
        <v>3</v>
      </c>
      <c r="AZ2" s="2450">
        <v>1000</v>
      </c>
      <c r="BA2" s="2450">
        <v>251</v>
      </c>
      <c r="BB2" s="2450">
        <v>4</v>
      </c>
      <c r="BC2" s="2450">
        <v>0</v>
      </c>
      <c r="BD2" s="2450">
        <v>1</v>
      </c>
      <c r="BE2" s="2450">
        <v>1</v>
      </c>
      <c r="BF2" s="2450">
        <v>594</v>
      </c>
      <c r="BG2" s="2450">
        <v>594</v>
      </c>
      <c r="BH2" s="2450">
        <v>442</v>
      </c>
      <c r="BI2" s="2450">
        <v>3</v>
      </c>
      <c r="BJ2" s="2450">
        <v>500</v>
      </c>
    </row>
    <row r="3" spans="1:98" ht="30">
      <c r="A3" s="2452" t="s">
        <v>2479</v>
      </c>
      <c r="B3" s="2452" t="s">
        <v>39</v>
      </c>
      <c r="C3" s="2452" t="s">
        <v>2480</v>
      </c>
      <c r="D3" s="2452" t="s">
        <v>47</v>
      </c>
      <c r="E3" s="2452" t="s">
        <v>48</v>
      </c>
      <c r="F3" s="2452" t="s">
        <v>2552</v>
      </c>
      <c r="G3" s="2452" t="s">
        <v>1446</v>
      </c>
      <c r="H3" s="2455" t="s">
        <v>2911</v>
      </c>
      <c r="J3" s="2452" t="s">
        <v>2912</v>
      </c>
      <c r="K3" s="2452" t="s">
        <v>2918</v>
      </c>
      <c r="L3" s="2452" t="s">
        <v>2913</v>
      </c>
      <c r="M3" s="2452" t="s">
        <v>2914</v>
      </c>
      <c r="N3" s="2452" t="s">
        <v>2543</v>
      </c>
      <c r="O3" s="2452" t="s">
        <v>2544</v>
      </c>
      <c r="P3" s="2455" t="s">
        <v>2915</v>
      </c>
      <c r="Q3" s="2455" t="s">
        <v>2916</v>
      </c>
      <c r="R3" s="2452" t="s">
        <v>2917</v>
      </c>
    </row>
    <row r="4" spans="1:98">
      <c r="A4" s="2450" t="s">
        <v>4176</v>
      </c>
      <c r="B4" s="2450" t="s">
        <v>4177</v>
      </c>
      <c r="C4" s="2450">
        <v>323</v>
      </c>
      <c r="D4" s="2450"/>
      <c r="E4" s="2450"/>
      <c r="F4" s="2450"/>
      <c r="G4" s="2459">
        <f>SUM(AA11:AA500)</f>
        <v>306900000</v>
      </c>
      <c r="H4" s="2450">
        <v>3</v>
      </c>
      <c r="J4" s="2450">
        <v>318</v>
      </c>
      <c r="K4" s="2459">
        <f>SUM(BR11:BR68)</f>
        <v>78236409</v>
      </c>
      <c r="L4" s="2450">
        <v>0</v>
      </c>
      <c r="M4" s="2450">
        <v>0</v>
      </c>
      <c r="N4" s="2454">
        <v>44753</v>
      </c>
      <c r="O4" s="2454">
        <v>45847</v>
      </c>
      <c r="P4" s="2450">
        <v>609</v>
      </c>
      <c r="Q4" s="2450">
        <v>1</v>
      </c>
      <c r="R4" s="2450"/>
    </row>
    <row r="5" spans="1:98">
      <c r="J5" s="2450"/>
      <c r="K5" s="2459"/>
      <c r="L5" s="2450"/>
      <c r="M5" s="2450"/>
      <c r="N5" s="2454"/>
      <c r="O5" s="2454"/>
      <c r="P5" s="2450"/>
      <c r="Q5" s="2450"/>
      <c r="R5" s="2450"/>
    </row>
    <row r="6" spans="1:98" ht="18">
      <c r="A6" s="1"/>
      <c r="F6" s="2456"/>
      <c r="J6" s="2450"/>
      <c r="K6" s="2459"/>
      <c r="L6" s="2450"/>
      <c r="M6" s="2450"/>
      <c r="N6" s="2454"/>
      <c r="O6" s="2454"/>
      <c r="P6" s="2450"/>
      <c r="Q6" s="2450"/>
      <c r="R6" s="2450"/>
    </row>
    <row r="7" spans="1:98">
      <c r="J7" s="2450"/>
      <c r="K7" s="2459"/>
      <c r="L7" s="2450"/>
      <c r="M7" s="2450"/>
      <c r="N7" s="2454"/>
      <c r="O7" s="2454"/>
      <c r="P7" s="2450"/>
      <c r="Q7" s="2450"/>
      <c r="R7" s="2450"/>
    </row>
    <row r="8" spans="1:98">
      <c r="A8">
        <f>COLUMN(A7)</f>
        <v>1</v>
      </c>
      <c r="B8">
        <f t="shared" ref="B8:BW8" si="0">COLUMN(B7)</f>
        <v>2</v>
      </c>
      <c r="C8">
        <f t="shared" si="0"/>
        <v>3</v>
      </c>
      <c r="D8">
        <f t="shared" si="0"/>
        <v>4</v>
      </c>
      <c r="E8">
        <f t="shared" si="0"/>
        <v>5</v>
      </c>
      <c r="F8">
        <f t="shared" si="0"/>
        <v>6</v>
      </c>
      <c r="G8">
        <f t="shared" si="0"/>
        <v>7</v>
      </c>
      <c r="H8">
        <f t="shared" si="0"/>
        <v>8</v>
      </c>
      <c r="I8">
        <f t="shared" si="0"/>
        <v>9</v>
      </c>
      <c r="J8">
        <f t="shared" si="0"/>
        <v>10</v>
      </c>
      <c r="K8">
        <f t="shared" si="0"/>
        <v>11</v>
      </c>
      <c r="L8">
        <f t="shared" si="0"/>
        <v>12</v>
      </c>
      <c r="M8">
        <f t="shared" si="0"/>
        <v>13</v>
      </c>
      <c r="N8">
        <f t="shared" si="0"/>
        <v>14</v>
      </c>
      <c r="O8">
        <f t="shared" si="0"/>
        <v>15</v>
      </c>
      <c r="P8">
        <f t="shared" si="0"/>
        <v>16</v>
      </c>
      <c r="Q8">
        <f t="shared" si="0"/>
        <v>17</v>
      </c>
      <c r="R8">
        <f t="shared" si="0"/>
        <v>18</v>
      </c>
      <c r="S8">
        <f t="shared" si="0"/>
        <v>19</v>
      </c>
      <c r="T8">
        <f t="shared" si="0"/>
        <v>20</v>
      </c>
      <c r="U8">
        <f t="shared" si="0"/>
        <v>21</v>
      </c>
      <c r="V8">
        <f t="shared" si="0"/>
        <v>22</v>
      </c>
      <c r="W8">
        <f t="shared" si="0"/>
        <v>23</v>
      </c>
      <c r="X8">
        <f t="shared" si="0"/>
        <v>24</v>
      </c>
      <c r="Y8">
        <f t="shared" si="0"/>
        <v>25</v>
      </c>
      <c r="Z8">
        <f t="shared" si="0"/>
        <v>26</v>
      </c>
      <c r="AA8">
        <f t="shared" si="0"/>
        <v>27</v>
      </c>
      <c r="AB8">
        <f t="shared" si="0"/>
        <v>28</v>
      </c>
      <c r="AC8">
        <f t="shared" si="0"/>
        <v>29</v>
      </c>
      <c r="AD8">
        <f t="shared" si="0"/>
        <v>30</v>
      </c>
      <c r="AE8">
        <f t="shared" si="0"/>
        <v>31</v>
      </c>
      <c r="AF8">
        <f t="shared" si="0"/>
        <v>32</v>
      </c>
      <c r="AG8">
        <f t="shared" si="0"/>
        <v>33</v>
      </c>
      <c r="AH8">
        <f t="shared" si="0"/>
        <v>34</v>
      </c>
      <c r="AI8">
        <f t="shared" si="0"/>
        <v>35</v>
      </c>
      <c r="AJ8">
        <f t="shared" si="0"/>
        <v>36</v>
      </c>
      <c r="AK8">
        <f t="shared" si="0"/>
        <v>37</v>
      </c>
      <c r="AL8">
        <f t="shared" si="0"/>
        <v>38</v>
      </c>
      <c r="AM8">
        <f t="shared" si="0"/>
        <v>39</v>
      </c>
      <c r="AN8">
        <f t="shared" si="0"/>
        <v>40</v>
      </c>
      <c r="AO8">
        <f t="shared" si="0"/>
        <v>41</v>
      </c>
      <c r="AP8">
        <f t="shared" si="0"/>
        <v>42</v>
      </c>
      <c r="AQ8">
        <f t="shared" si="0"/>
        <v>43</v>
      </c>
      <c r="AR8">
        <f t="shared" si="0"/>
        <v>44</v>
      </c>
      <c r="AS8">
        <f t="shared" si="0"/>
        <v>45</v>
      </c>
      <c r="AT8">
        <f t="shared" si="0"/>
        <v>46</v>
      </c>
      <c r="AU8">
        <f t="shared" si="0"/>
        <v>47</v>
      </c>
      <c r="AV8">
        <f t="shared" si="0"/>
        <v>48</v>
      </c>
      <c r="AW8">
        <f t="shared" si="0"/>
        <v>49</v>
      </c>
      <c r="AX8">
        <f t="shared" si="0"/>
        <v>50</v>
      </c>
      <c r="AY8">
        <f t="shared" si="0"/>
        <v>51</v>
      </c>
      <c r="AZ8">
        <f t="shared" si="0"/>
        <v>52</v>
      </c>
      <c r="BA8">
        <f t="shared" si="0"/>
        <v>53</v>
      </c>
      <c r="BB8">
        <f t="shared" si="0"/>
        <v>54</v>
      </c>
      <c r="BC8">
        <f t="shared" si="0"/>
        <v>55</v>
      </c>
      <c r="BD8">
        <f t="shared" si="0"/>
        <v>56</v>
      </c>
      <c r="BE8">
        <f t="shared" si="0"/>
        <v>57</v>
      </c>
      <c r="BF8">
        <f t="shared" si="0"/>
        <v>58</v>
      </c>
      <c r="BG8">
        <f t="shared" si="0"/>
        <v>59</v>
      </c>
      <c r="BH8">
        <f t="shared" si="0"/>
        <v>60</v>
      </c>
      <c r="BI8">
        <f t="shared" si="0"/>
        <v>61</v>
      </c>
      <c r="BJ8">
        <f t="shared" si="0"/>
        <v>62</v>
      </c>
      <c r="BK8">
        <f t="shared" si="0"/>
        <v>63</v>
      </c>
      <c r="BL8">
        <f t="shared" si="0"/>
        <v>64</v>
      </c>
      <c r="BM8">
        <f t="shared" si="0"/>
        <v>65</v>
      </c>
      <c r="BN8">
        <f t="shared" si="0"/>
        <v>66</v>
      </c>
      <c r="BO8">
        <f t="shared" si="0"/>
        <v>67</v>
      </c>
      <c r="BP8">
        <f t="shared" si="0"/>
        <v>68</v>
      </c>
      <c r="BQ8">
        <f t="shared" si="0"/>
        <v>69</v>
      </c>
      <c r="BR8">
        <f t="shared" si="0"/>
        <v>70</v>
      </c>
      <c r="BS8">
        <f t="shared" si="0"/>
        <v>71</v>
      </c>
      <c r="BT8">
        <f t="shared" si="0"/>
        <v>72</v>
      </c>
      <c r="BU8">
        <f t="shared" si="0"/>
        <v>73</v>
      </c>
      <c r="BV8">
        <f t="shared" si="0"/>
        <v>74</v>
      </c>
      <c r="BW8">
        <f t="shared" si="0"/>
        <v>75</v>
      </c>
      <c r="BX8">
        <f t="shared" ref="BX8:CT8" si="1">COLUMN(BX7)</f>
        <v>76</v>
      </c>
      <c r="BY8">
        <f t="shared" si="1"/>
        <v>77</v>
      </c>
      <c r="BZ8">
        <f t="shared" si="1"/>
        <v>78</v>
      </c>
      <c r="CA8">
        <f t="shared" si="1"/>
        <v>79</v>
      </c>
      <c r="CB8">
        <f t="shared" si="1"/>
        <v>80</v>
      </c>
      <c r="CC8">
        <f t="shared" si="1"/>
        <v>81</v>
      </c>
      <c r="CD8">
        <f>COLUMN(CD7)</f>
        <v>82</v>
      </c>
      <c r="CE8">
        <f t="shared" si="1"/>
        <v>83</v>
      </c>
      <c r="CF8">
        <f t="shared" si="1"/>
        <v>84</v>
      </c>
      <c r="CG8">
        <f t="shared" si="1"/>
        <v>85</v>
      </c>
      <c r="CH8">
        <f t="shared" si="1"/>
        <v>86</v>
      </c>
      <c r="CI8">
        <f t="shared" si="1"/>
        <v>87</v>
      </c>
      <c r="CJ8">
        <f t="shared" si="1"/>
        <v>88</v>
      </c>
      <c r="CK8">
        <f t="shared" si="1"/>
        <v>89</v>
      </c>
      <c r="CL8">
        <f t="shared" si="1"/>
        <v>90</v>
      </c>
      <c r="CM8">
        <f t="shared" si="1"/>
        <v>91</v>
      </c>
      <c r="CN8">
        <f t="shared" si="1"/>
        <v>92</v>
      </c>
      <c r="CO8">
        <f t="shared" si="1"/>
        <v>93</v>
      </c>
      <c r="CQ8">
        <f t="shared" si="1"/>
        <v>95</v>
      </c>
      <c r="CR8">
        <f t="shared" si="1"/>
        <v>96</v>
      </c>
      <c r="CS8">
        <f t="shared" si="1"/>
        <v>97</v>
      </c>
      <c r="CT8">
        <f t="shared" si="1"/>
        <v>98</v>
      </c>
    </row>
    <row r="9" spans="1:98">
      <c r="A9" s="2564" t="s">
        <v>2481</v>
      </c>
      <c r="B9" s="2564"/>
      <c r="C9" s="2564"/>
      <c r="D9" s="2564"/>
      <c r="E9" s="2564"/>
      <c r="F9" s="2564"/>
      <c r="G9" s="2564"/>
      <c r="H9" s="2564"/>
      <c r="I9" s="2564"/>
      <c r="J9" s="2564"/>
      <c r="K9" s="2564"/>
      <c r="L9" s="2564"/>
      <c r="M9" s="2564"/>
      <c r="N9" s="2564"/>
      <c r="O9" s="2564"/>
      <c r="P9" s="2564"/>
      <c r="Q9" s="2564"/>
      <c r="R9" s="2564"/>
      <c r="S9" s="2564"/>
      <c r="T9" s="2564"/>
      <c r="U9" s="2564"/>
      <c r="V9" s="2564"/>
      <c r="W9" s="2564"/>
      <c r="X9" s="2564"/>
      <c r="Y9" s="2564"/>
      <c r="Z9" s="2564"/>
      <c r="AA9" s="2564"/>
      <c r="AB9" s="2564"/>
      <c r="AC9" s="2564"/>
      <c r="AD9" s="2564"/>
      <c r="AE9" s="2564"/>
      <c r="AF9" s="2564"/>
      <c r="AG9" s="2564"/>
      <c r="AH9" s="2451"/>
      <c r="AI9" s="2565" t="s">
        <v>2482</v>
      </c>
      <c r="AJ9" s="2565"/>
      <c r="AK9" s="2565"/>
      <c r="AL9" s="2565"/>
      <c r="AM9" s="2565"/>
      <c r="AN9" s="2565"/>
      <c r="AO9" s="2565"/>
      <c r="AP9" s="2565"/>
      <c r="AQ9" s="2565"/>
      <c r="AR9" s="2565"/>
      <c r="AS9" s="2565"/>
      <c r="AT9" s="2565"/>
      <c r="AU9" s="2565"/>
      <c r="AV9" s="2565"/>
      <c r="AW9" s="2565"/>
      <c r="AX9" s="2565"/>
      <c r="AY9" s="2565"/>
      <c r="AZ9" s="2565"/>
      <c r="BA9" s="2565"/>
      <c r="BB9" s="2565"/>
      <c r="BC9" s="2565"/>
      <c r="BD9" s="2565"/>
      <c r="BE9" s="2565"/>
      <c r="BF9" s="2565"/>
      <c r="BG9" s="2565"/>
      <c r="BH9" s="2565"/>
      <c r="BI9" s="2565"/>
      <c r="BJ9" s="2565"/>
      <c r="BL9" s="1" t="s">
        <v>2483</v>
      </c>
      <c r="BU9" s="1" t="s">
        <v>2484</v>
      </c>
      <c r="CD9" s="1" t="s">
        <v>2485</v>
      </c>
    </row>
    <row r="10" spans="1:98" ht="30" customHeight="1">
      <c r="A10" s="2452" t="s">
        <v>317</v>
      </c>
      <c r="B10" s="2452" t="s">
        <v>299</v>
      </c>
      <c r="C10" s="2452" t="s">
        <v>2486</v>
      </c>
      <c r="D10" s="2452" t="s">
        <v>173</v>
      </c>
      <c r="E10" s="2452" t="s">
        <v>2487</v>
      </c>
      <c r="F10" s="2452" t="s">
        <v>2488</v>
      </c>
      <c r="G10" s="2452" t="s">
        <v>2489</v>
      </c>
      <c r="H10" s="2452" t="s">
        <v>2490</v>
      </c>
      <c r="I10" s="2452" t="s">
        <v>2491</v>
      </c>
      <c r="J10" s="2452" t="s">
        <v>2492</v>
      </c>
      <c r="K10" s="2452" t="s">
        <v>2493</v>
      </c>
      <c r="L10" s="2452" t="s">
        <v>2875</v>
      </c>
      <c r="M10" s="2452" t="s">
        <v>2876</v>
      </c>
      <c r="N10" s="2452" t="s">
        <v>2877</v>
      </c>
      <c r="O10" s="2452" t="s">
        <v>2878</v>
      </c>
      <c r="P10" s="2452" t="s">
        <v>2879</v>
      </c>
      <c r="Q10" s="2452" t="s">
        <v>2880</v>
      </c>
      <c r="R10" s="2452" t="s">
        <v>2881</v>
      </c>
      <c r="S10" s="2452" t="s">
        <v>2494</v>
      </c>
      <c r="T10" s="2452" t="s">
        <v>2495</v>
      </c>
      <c r="U10" s="2452" t="s">
        <v>2496</v>
      </c>
      <c r="V10" s="2452" t="s">
        <v>2497</v>
      </c>
      <c r="W10" s="2455" t="s">
        <v>4172</v>
      </c>
      <c r="X10" s="2455" t="s">
        <v>4173</v>
      </c>
      <c r="Y10" s="2452" t="s">
        <v>300</v>
      </c>
      <c r="Z10" s="2452" t="s">
        <v>2498</v>
      </c>
      <c r="AA10" s="2452" t="s">
        <v>2499</v>
      </c>
      <c r="AB10" s="2452" t="s">
        <v>2500</v>
      </c>
      <c r="AC10" s="2455" t="s">
        <v>297</v>
      </c>
      <c r="AD10" s="2455" t="s">
        <v>641</v>
      </c>
      <c r="AE10" s="2452" t="s">
        <v>315</v>
      </c>
      <c r="AF10" s="2452" t="s">
        <v>2872</v>
      </c>
      <c r="AG10" s="2452" t="s">
        <v>318</v>
      </c>
      <c r="AH10" s="2452" t="s">
        <v>2873</v>
      </c>
      <c r="AI10" s="2455" t="s">
        <v>2882</v>
      </c>
      <c r="AJ10" s="2452" t="s">
        <v>2883</v>
      </c>
      <c r="AK10" s="2452" t="s">
        <v>2884</v>
      </c>
      <c r="AL10" s="2452" t="s">
        <v>4070</v>
      </c>
      <c r="AM10" s="2452" t="s">
        <v>2885</v>
      </c>
      <c r="AN10" s="2452" t="s">
        <v>2886</v>
      </c>
      <c r="AO10" s="2452" t="s">
        <v>2887</v>
      </c>
      <c r="AP10" s="2452" t="s">
        <v>2888</v>
      </c>
      <c r="AQ10" s="2452" t="s">
        <v>2889</v>
      </c>
      <c r="AR10" s="2452" t="s">
        <v>2890</v>
      </c>
      <c r="AS10" s="2452" t="s">
        <v>2891</v>
      </c>
      <c r="AT10" s="2452" t="s">
        <v>2892</v>
      </c>
      <c r="AU10" s="2452" t="s">
        <v>2893</v>
      </c>
      <c r="AV10" s="2452" t="s">
        <v>2894</v>
      </c>
      <c r="AW10" s="2452" t="s">
        <v>2895</v>
      </c>
      <c r="AX10" s="2452" t="s">
        <v>2896</v>
      </c>
      <c r="AY10" s="2452" t="s">
        <v>2897</v>
      </c>
      <c r="AZ10" s="2452" t="s">
        <v>2898</v>
      </c>
      <c r="BA10" s="2452" t="s">
        <v>2899</v>
      </c>
      <c r="BB10" s="2452" t="s">
        <v>2900</v>
      </c>
      <c r="BC10" s="2452" t="s">
        <v>2901</v>
      </c>
      <c r="BD10" s="2452" t="s">
        <v>2902</v>
      </c>
      <c r="BE10" s="2452" t="s">
        <v>2903</v>
      </c>
      <c r="BF10" s="2452" t="s">
        <v>2904</v>
      </c>
      <c r="BG10" s="2452" t="s">
        <v>2905</v>
      </c>
      <c r="BH10" s="2452" t="s">
        <v>2906</v>
      </c>
      <c r="BI10" s="2452" t="s">
        <v>2907</v>
      </c>
      <c r="BJ10" s="2452" t="s">
        <v>2908</v>
      </c>
      <c r="BL10" s="2455" t="s">
        <v>299</v>
      </c>
      <c r="BM10" s="2455" t="s">
        <v>2528</v>
      </c>
      <c r="BN10" s="2455" t="s">
        <v>2529</v>
      </c>
      <c r="BO10" s="2452" t="s">
        <v>2530</v>
      </c>
      <c r="BP10" s="2455" t="s">
        <v>2531</v>
      </c>
      <c r="BQ10" s="2455" t="s">
        <v>2532</v>
      </c>
      <c r="BR10" s="2455" t="s">
        <v>2533</v>
      </c>
      <c r="BS10" s="2455" t="s">
        <v>2534</v>
      </c>
      <c r="BU10" s="2452" t="s">
        <v>2535</v>
      </c>
      <c r="BV10" s="2452" t="s">
        <v>2536</v>
      </c>
      <c r="BW10" s="2452" t="s">
        <v>2537</v>
      </c>
      <c r="BX10" s="2452" t="s">
        <v>2538</v>
      </c>
      <c r="BY10" s="2452" t="s">
        <v>2539</v>
      </c>
      <c r="BZ10" s="2452" t="s">
        <v>2540</v>
      </c>
      <c r="CA10" s="2455" t="s">
        <v>2497</v>
      </c>
      <c r="CB10" s="2452" t="s">
        <v>2541</v>
      </c>
      <c r="CD10" s="2452" t="s">
        <v>299</v>
      </c>
      <c r="CE10" s="2455" t="s">
        <v>2542</v>
      </c>
      <c r="CF10" s="2452" t="s">
        <v>2543</v>
      </c>
      <c r="CG10" s="2455" t="s">
        <v>2544</v>
      </c>
      <c r="CH10" s="2455" t="s">
        <v>2545</v>
      </c>
      <c r="CI10" s="2452" t="s">
        <v>2538</v>
      </c>
      <c r="CJ10" s="2455" t="s">
        <v>2546</v>
      </c>
      <c r="CK10" s="2452" t="s">
        <v>2547</v>
      </c>
      <c r="CL10" s="2455" t="s">
        <v>2548</v>
      </c>
      <c r="CM10" s="2455" t="s">
        <v>2549</v>
      </c>
      <c r="CN10" s="2452" t="s">
        <v>2550</v>
      </c>
      <c r="CO10" s="2452" t="s">
        <v>2551</v>
      </c>
    </row>
    <row r="11" spans="1:98">
      <c r="A11" s="2450" t="s">
        <v>4178</v>
      </c>
      <c r="B11" s="2450" t="s">
        <v>697</v>
      </c>
      <c r="C11" s="2454">
        <v>44753</v>
      </c>
      <c r="D11" s="2454">
        <v>44814</v>
      </c>
      <c r="E11" s="2450">
        <v>1</v>
      </c>
      <c r="F11" s="2454">
        <v>45848</v>
      </c>
      <c r="G11" s="2454">
        <v>46975</v>
      </c>
      <c r="H11" s="2454"/>
      <c r="I11" s="2454">
        <v>46244</v>
      </c>
      <c r="J11" s="2454">
        <v>46609</v>
      </c>
      <c r="K11" s="2454">
        <v>46975</v>
      </c>
      <c r="L11" s="2454"/>
      <c r="M11" s="2454"/>
      <c r="N11" s="2454"/>
      <c r="O11" s="2454"/>
      <c r="P11" s="2454"/>
      <c r="Q11" s="2454"/>
      <c r="R11" s="2454"/>
      <c r="S11" s="2458">
        <v>72</v>
      </c>
      <c r="T11" s="2458">
        <v>360</v>
      </c>
      <c r="U11" s="2450" t="s">
        <v>2664</v>
      </c>
      <c r="V11" s="2450" t="s">
        <v>3171</v>
      </c>
      <c r="W11" s="2454">
        <v>44813</v>
      </c>
      <c r="X11" s="2454">
        <v>46974</v>
      </c>
      <c r="Y11" s="2450" t="s">
        <v>231</v>
      </c>
      <c r="Z11" s="2459">
        <v>64037354</v>
      </c>
      <c r="AA11" s="2459">
        <v>85947500</v>
      </c>
      <c r="AB11" s="2459">
        <v>89972.479999999996</v>
      </c>
      <c r="AC11" s="2450" t="s">
        <v>7</v>
      </c>
      <c r="AD11" s="2450" t="s">
        <v>487</v>
      </c>
      <c r="AE11" s="2450" t="s">
        <v>685</v>
      </c>
      <c r="AF11" s="2450">
        <v>1</v>
      </c>
      <c r="AG11" s="2450"/>
      <c r="AH11" s="2450" t="s">
        <v>719</v>
      </c>
      <c r="AI11" s="2458"/>
      <c r="AJ11" s="2458"/>
      <c r="AK11" s="2458"/>
      <c r="AL11" s="2458"/>
      <c r="AM11" s="2458"/>
      <c r="AN11" s="2459"/>
      <c r="AO11" s="2459"/>
      <c r="AP11" s="2450"/>
      <c r="AQ11" s="2450"/>
      <c r="AR11" s="2450"/>
      <c r="AS11" s="2454"/>
      <c r="AT11" s="2450"/>
      <c r="AU11" s="2450"/>
      <c r="AV11" s="2450"/>
      <c r="AW11" s="2459"/>
      <c r="AX11" s="2450">
        <v>1.686E-2</v>
      </c>
      <c r="AY11" s="2450"/>
      <c r="AZ11" s="2450"/>
      <c r="BA11" s="2450"/>
      <c r="BB11" s="2450"/>
      <c r="BC11" s="2450"/>
      <c r="BD11" s="2450"/>
      <c r="BE11" s="2450"/>
      <c r="BF11" s="2450"/>
      <c r="BG11" s="2450"/>
      <c r="BH11" s="2450"/>
      <c r="BI11" s="2450"/>
      <c r="BJ11" s="2450"/>
      <c r="BK11" s="2453"/>
      <c r="BL11" s="2450" t="s">
        <v>697</v>
      </c>
      <c r="BM11" s="2450">
        <v>3</v>
      </c>
      <c r="BN11" s="2450">
        <v>260</v>
      </c>
      <c r="BO11" s="2450">
        <v>1</v>
      </c>
      <c r="BP11" s="2450">
        <v>0</v>
      </c>
      <c r="BQ11" s="2450">
        <v>1</v>
      </c>
      <c r="BR11" s="2459">
        <v>21910146</v>
      </c>
      <c r="BS11" s="2459">
        <v>85947500</v>
      </c>
      <c r="BU11" s="2450" t="s">
        <v>697</v>
      </c>
      <c r="BV11" s="2454">
        <v>44753</v>
      </c>
      <c r="BW11" s="2450">
        <v>154</v>
      </c>
      <c r="BX11" s="2463">
        <v>2.5000000000000001E-3</v>
      </c>
      <c r="BY11" s="2450">
        <v>178</v>
      </c>
      <c r="BZ11" s="2450"/>
      <c r="CA11" s="2450"/>
      <c r="CB11" s="2450"/>
      <c r="CD11" s="2450" t="s">
        <v>697</v>
      </c>
      <c r="CE11" s="2450" t="s">
        <v>2909</v>
      </c>
      <c r="CF11" s="2454">
        <v>44753</v>
      </c>
      <c r="CG11" s="2454"/>
      <c r="CH11" s="2450">
        <v>4</v>
      </c>
      <c r="CI11" s="2463">
        <v>0.01</v>
      </c>
      <c r="CJ11" s="2459"/>
      <c r="CK11" s="2459">
        <v>85947500</v>
      </c>
      <c r="CL11" s="2450"/>
      <c r="CM11" s="2463">
        <v>1</v>
      </c>
      <c r="CN11" s="2463"/>
      <c r="CO11" s="2463"/>
    </row>
    <row r="12" spans="1:98">
      <c r="A12" s="2450" t="s">
        <v>4179</v>
      </c>
      <c r="B12" s="2450" t="s">
        <v>780</v>
      </c>
      <c r="C12" s="2454">
        <v>44753</v>
      </c>
      <c r="D12" s="2454">
        <v>44814</v>
      </c>
      <c r="E12" s="2450">
        <v>1</v>
      </c>
      <c r="F12" s="2454">
        <v>45848</v>
      </c>
      <c r="G12" s="2454">
        <v>46975</v>
      </c>
      <c r="H12" s="2454"/>
      <c r="I12" s="2454">
        <v>46244</v>
      </c>
      <c r="J12" s="2454">
        <v>46609</v>
      </c>
      <c r="K12" s="2454">
        <v>46975</v>
      </c>
      <c r="L12" s="2454"/>
      <c r="M12" s="2454"/>
      <c r="N12" s="2454"/>
      <c r="O12" s="2454"/>
      <c r="P12" s="2454"/>
      <c r="Q12" s="2454"/>
      <c r="R12" s="2454"/>
      <c r="S12" s="2458">
        <v>72</v>
      </c>
      <c r="T12" s="2458">
        <v>360</v>
      </c>
      <c r="U12" s="2450" t="s">
        <v>2664</v>
      </c>
      <c r="V12" s="2450" t="s">
        <v>3171</v>
      </c>
      <c r="W12" s="2454">
        <v>44813</v>
      </c>
      <c r="X12" s="2454">
        <v>46974</v>
      </c>
      <c r="Y12" s="2450" t="s">
        <v>231</v>
      </c>
      <c r="Z12" s="2459">
        <v>15818990</v>
      </c>
      <c r="AA12" s="2459">
        <v>22180000</v>
      </c>
      <c r="AB12" s="2459">
        <v>22225.68</v>
      </c>
      <c r="AC12" s="2450" t="s">
        <v>7</v>
      </c>
      <c r="AD12" s="2450" t="s">
        <v>487</v>
      </c>
      <c r="AE12" s="2450" t="s">
        <v>685</v>
      </c>
      <c r="AF12" s="2450">
        <v>2</v>
      </c>
      <c r="AG12" s="2450"/>
      <c r="AH12" s="2450" t="s">
        <v>719</v>
      </c>
      <c r="AI12" s="2458"/>
      <c r="AJ12" s="2458"/>
      <c r="AK12" s="2458"/>
      <c r="AL12" s="2458"/>
      <c r="AM12" s="2458"/>
      <c r="AN12" s="2459"/>
      <c r="AO12" s="2459"/>
      <c r="AP12" s="2450"/>
      <c r="AQ12" s="2450"/>
      <c r="AR12" s="2450"/>
      <c r="AS12" s="2454"/>
      <c r="AT12" s="2450"/>
      <c r="AU12" s="2450"/>
      <c r="AV12" s="2450"/>
      <c r="AW12" s="2459"/>
      <c r="AX12" s="2450">
        <v>1.686E-2</v>
      </c>
      <c r="AY12" s="2450"/>
      <c r="AZ12" s="2450"/>
      <c r="BA12" s="2450"/>
      <c r="BB12" s="2450"/>
      <c r="BC12" s="2450"/>
      <c r="BD12" s="2450"/>
      <c r="BE12" s="2450"/>
      <c r="BF12" s="2450"/>
      <c r="BG12" s="2450"/>
      <c r="BH12" s="2450"/>
      <c r="BI12" s="2450"/>
      <c r="BJ12" s="2450"/>
      <c r="BK12" s="2453"/>
      <c r="BL12" s="2450" t="s">
        <v>780</v>
      </c>
      <c r="BM12" s="2450">
        <v>3</v>
      </c>
      <c r="BN12" s="2450">
        <v>260</v>
      </c>
      <c r="BO12" s="2450">
        <v>1</v>
      </c>
      <c r="BP12" s="2450">
        <v>0</v>
      </c>
      <c r="BQ12" s="2450">
        <v>1</v>
      </c>
      <c r="BR12" s="2459">
        <v>6361010</v>
      </c>
      <c r="BS12" s="2459">
        <v>22180000</v>
      </c>
      <c r="BU12" s="2450" t="s">
        <v>780</v>
      </c>
      <c r="BV12" s="2454">
        <v>44753</v>
      </c>
      <c r="BW12" s="2450">
        <v>154</v>
      </c>
      <c r="BX12" s="2463">
        <v>2.5000000000000001E-3</v>
      </c>
      <c r="BY12" s="2450">
        <v>178</v>
      </c>
      <c r="BZ12" s="2450"/>
      <c r="CA12" s="2450"/>
      <c r="CB12" s="2450"/>
      <c r="CD12" s="2450" t="s">
        <v>780</v>
      </c>
      <c r="CE12" s="2450" t="s">
        <v>2909</v>
      </c>
      <c r="CF12" s="2454">
        <v>44753</v>
      </c>
      <c r="CG12" s="2454"/>
      <c r="CH12" s="2450">
        <v>4</v>
      </c>
      <c r="CI12" s="2463">
        <v>0.01</v>
      </c>
      <c r="CJ12" s="2459"/>
      <c r="CK12" s="2459">
        <v>22180000</v>
      </c>
      <c r="CL12" s="2450"/>
      <c r="CM12" s="2463">
        <v>1</v>
      </c>
      <c r="CN12" s="2463"/>
      <c r="CO12" s="2463"/>
    </row>
    <row r="13" spans="1:98">
      <c r="A13" s="2450" t="s">
        <v>4180</v>
      </c>
      <c r="B13" s="2450" t="s">
        <v>1287</v>
      </c>
      <c r="C13" s="2454">
        <v>44753</v>
      </c>
      <c r="D13" s="2454">
        <v>44814</v>
      </c>
      <c r="E13" s="2450">
        <v>1</v>
      </c>
      <c r="F13" s="2454">
        <v>45848</v>
      </c>
      <c r="G13" s="2454">
        <v>46975</v>
      </c>
      <c r="H13" s="2454"/>
      <c r="I13" s="2454">
        <v>46244</v>
      </c>
      <c r="J13" s="2454">
        <v>46609</v>
      </c>
      <c r="K13" s="2454">
        <v>46975</v>
      </c>
      <c r="L13" s="2454"/>
      <c r="M13" s="2454"/>
      <c r="N13" s="2454"/>
      <c r="O13" s="2454"/>
      <c r="P13" s="2454"/>
      <c r="Q13" s="2454"/>
      <c r="R13" s="2454"/>
      <c r="S13" s="2458">
        <v>72</v>
      </c>
      <c r="T13" s="2458">
        <v>360</v>
      </c>
      <c r="U13" s="2450" t="s">
        <v>2664</v>
      </c>
      <c r="V13" s="2450" t="s">
        <v>3171</v>
      </c>
      <c r="W13" s="2454">
        <v>44813</v>
      </c>
      <c r="X13" s="2454">
        <v>46974</v>
      </c>
      <c r="Y13" s="2450" t="s">
        <v>233</v>
      </c>
      <c r="Z13" s="2459">
        <v>2772500</v>
      </c>
      <c r="AA13" s="2459">
        <v>2772500</v>
      </c>
      <c r="AB13" s="2459">
        <v>3895.36</v>
      </c>
      <c r="AC13" s="2450" t="s">
        <v>7</v>
      </c>
      <c r="AD13" s="2450" t="s">
        <v>487</v>
      </c>
      <c r="AE13" s="2450" t="s">
        <v>233</v>
      </c>
      <c r="AF13" s="2450">
        <v>3</v>
      </c>
      <c r="AG13" s="2450"/>
      <c r="AH13" s="2450" t="s">
        <v>719</v>
      </c>
      <c r="AI13" s="2458"/>
      <c r="AJ13" s="2458"/>
      <c r="AK13" s="2458"/>
      <c r="AL13" s="2458"/>
      <c r="AM13" s="2458"/>
      <c r="AN13" s="2459"/>
      <c r="AO13" s="2459"/>
      <c r="AP13" s="2450"/>
      <c r="AQ13" s="2450"/>
      <c r="AR13" s="2450"/>
      <c r="AS13" s="2454"/>
      <c r="AT13" s="2450"/>
      <c r="AU13" s="2450"/>
      <c r="AV13" s="2450"/>
      <c r="AW13" s="2459"/>
      <c r="AX13" s="2450">
        <v>1.686E-2</v>
      </c>
      <c r="AY13" s="2450"/>
      <c r="AZ13" s="2450"/>
      <c r="BA13" s="2450"/>
      <c r="BB13" s="2450"/>
      <c r="BC13" s="2450"/>
      <c r="BD13" s="2450"/>
      <c r="BE13" s="2450"/>
      <c r="BF13" s="2450"/>
      <c r="BG13" s="2450"/>
      <c r="BH13" s="2450"/>
      <c r="BI13" s="2450"/>
      <c r="BJ13" s="2450"/>
      <c r="BK13" s="2453"/>
      <c r="BL13" s="2450" t="s">
        <v>1287</v>
      </c>
      <c r="BM13" s="2450">
        <v>3</v>
      </c>
      <c r="BN13" s="2450">
        <v>260</v>
      </c>
      <c r="BO13" s="2450">
        <v>1</v>
      </c>
      <c r="BP13" s="2450">
        <v>0</v>
      </c>
      <c r="BQ13" s="2450">
        <v>1</v>
      </c>
      <c r="BR13" s="2459"/>
      <c r="BS13" s="2459">
        <v>2772500</v>
      </c>
      <c r="BU13" s="2450" t="s">
        <v>1287</v>
      </c>
      <c r="BV13" s="2454">
        <v>44753</v>
      </c>
      <c r="BW13" s="2450">
        <v>154</v>
      </c>
      <c r="BX13" s="2463">
        <v>2.5000000000000001E-3</v>
      </c>
      <c r="BY13" s="2450">
        <v>178</v>
      </c>
      <c r="BZ13" s="2450"/>
      <c r="CA13" s="2450"/>
      <c r="CB13" s="2450"/>
      <c r="CD13" s="2450" t="s">
        <v>1287</v>
      </c>
      <c r="CE13" s="2450" t="s">
        <v>2909</v>
      </c>
      <c r="CF13" s="2454">
        <v>44753</v>
      </c>
      <c r="CG13" s="2454"/>
      <c r="CH13" s="2450">
        <v>4</v>
      </c>
      <c r="CI13" s="2463">
        <v>0.01</v>
      </c>
      <c r="CJ13" s="2459"/>
      <c r="CK13" s="2459">
        <v>2772500</v>
      </c>
      <c r="CL13" s="2450"/>
      <c r="CM13" s="2463">
        <v>1</v>
      </c>
      <c r="CN13" s="2463"/>
      <c r="CO13" s="2463"/>
    </row>
    <row r="14" spans="1:98">
      <c r="A14" s="2450" t="s">
        <v>4181</v>
      </c>
      <c r="B14" s="2450" t="s">
        <v>727</v>
      </c>
      <c r="C14" s="2454">
        <v>44753</v>
      </c>
      <c r="D14" s="2454">
        <v>44814</v>
      </c>
      <c r="E14" s="2450">
        <v>1</v>
      </c>
      <c r="F14" s="2454">
        <v>45848</v>
      </c>
      <c r="G14" s="2454">
        <v>46975</v>
      </c>
      <c r="H14" s="2454"/>
      <c r="I14" s="2454">
        <v>46244</v>
      </c>
      <c r="J14" s="2454">
        <v>46609</v>
      </c>
      <c r="K14" s="2454">
        <v>46975</v>
      </c>
      <c r="L14" s="2454"/>
      <c r="M14" s="2454"/>
      <c r="N14" s="2454"/>
      <c r="O14" s="2454"/>
      <c r="P14" s="2454"/>
      <c r="Q14" s="2454"/>
      <c r="R14" s="2454"/>
      <c r="S14" s="2458">
        <v>72</v>
      </c>
      <c r="T14" s="2458">
        <v>360</v>
      </c>
      <c r="U14" s="2450" t="s">
        <v>2664</v>
      </c>
      <c r="V14" s="2450" t="s">
        <v>3171</v>
      </c>
      <c r="W14" s="2454">
        <v>44813</v>
      </c>
      <c r="X14" s="2454">
        <v>46974</v>
      </c>
      <c r="Y14" s="2450" t="s">
        <v>231</v>
      </c>
      <c r="Z14" s="2459">
        <v>13916143</v>
      </c>
      <c r="AA14" s="2459">
        <v>18677500</v>
      </c>
      <c r="AB14" s="2459">
        <v>19552.18</v>
      </c>
      <c r="AC14" s="2450" t="s">
        <v>12</v>
      </c>
      <c r="AD14" s="2450" t="s">
        <v>12</v>
      </c>
      <c r="AE14" s="2450" t="s">
        <v>685</v>
      </c>
      <c r="AF14" s="2450">
        <v>1</v>
      </c>
      <c r="AG14" s="2450"/>
      <c r="AH14" s="2450" t="s">
        <v>719</v>
      </c>
      <c r="AI14" s="2458"/>
      <c r="AJ14" s="2458"/>
      <c r="AK14" s="2458"/>
      <c r="AL14" s="2458"/>
      <c r="AM14" s="2458"/>
      <c r="AN14" s="2459"/>
      <c r="AO14" s="2459"/>
      <c r="AP14" s="2450"/>
      <c r="AQ14" s="2450"/>
      <c r="AR14" s="2450"/>
      <c r="AS14" s="2454"/>
      <c r="AT14" s="2450"/>
      <c r="AU14" s="2450"/>
      <c r="AV14" s="2450"/>
      <c r="AW14" s="2459"/>
      <c r="AX14" s="2450">
        <v>1.686E-2</v>
      </c>
      <c r="AY14" s="2450"/>
      <c r="AZ14" s="2450"/>
      <c r="BA14" s="2450"/>
      <c r="BB14" s="2450"/>
      <c r="BC14" s="2450"/>
      <c r="BD14" s="2450"/>
      <c r="BE14" s="2450"/>
      <c r="BF14" s="2450"/>
      <c r="BG14" s="2450"/>
      <c r="BH14" s="2450"/>
      <c r="BI14" s="2450"/>
      <c r="BJ14" s="2450"/>
      <c r="BK14" s="2453"/>
      <c r="BL14" s="2450" t="s">
        <v>727</v>
      </c>
      <c r="BM14" s="2450">
        <v>3</v>
      </c>
      <c r="BN14" s="2450">
        <v>260</v>
      </c>
      <c r="BO14" s="2450">
        <v>1</v>
      </c>
      <c r="BP14" s="2450">
        <v>0</v>
      </c>
      <c r="BQ14" s="2450">
        <v>1</v>
      </c>
      <c r="BR14" s="2459">
        <v>4761357</v>
      </c>
      <c r="BS14" s="2459">
        <v>18677500</v>
      </c>
      <c r="BU14" s="2450" t="s">
        <v>727</v>
      </c>
      <c r="BV14" s="2454">
        <v>44753</v>
      </c>
      <c r="BW14" s="2450">
        <v>154</v>
      </c>
      <c r="BX14" s="2463">
        <v>2.5000000000000001E-3</v>
      </c>
      <c r="BY14" s="2450">
        <v>178</v>
      </c>
      <c r="BZ14" s="2450"/>
      <c r="CA14" s="2450"/>
      <c r="CB14" s="2450"/>
      <c r="CD14" s="2450" t="s">
        <v>727</v>
      </c>
      <c r="CE14" s="2450" t="s">
        <v>2909</v>
      </c>
      <c r="CF14" s="2454">
        <v>44753</v>
      </c>
      <c r="CG14" s="2454"/>
      <c r="CH14" s="2450">
        <v>4</v>
      </c>
      <c r="CI14" s="2463">
        <v>0.01</v>
      </c>
      <c r="CJ14" s="2459"/>
      <c r="CK14" s="2459">
        <v>18677500</v>
      </c>
      <c r="CL14" s="2450"/>
      <c r="CM14" s="2463">
        <v>1</v>
      </c>
      <c r="CN14" s="2463"/>
      <c r="CO14" s="2463"/>
    </row>
    <row r="15" spans="1:98">
      <c r="A15" s="2450" t="s">
        <v>4182</v>
      </c>
      <c r="B15" s="2450" t="s">
        <v>803</v>
      </c>
      <c r="C15" s="2454">
        <v>44753</v>
      </c>
      <c r="D15" s="2454">
        <v>44814</v>
      </c>
      <c r="E15" s="2450">
        <v>1</v>
      </c>
      <c r="F15" s="2454">
        <v>45848</v>
      </c>
      <c r="G15" s="2454">
        <v>46975</v>
      </c>
      <c r="H15" s="2454"/>
      <c r="I15" s="2454">
        <v>46244</v>
      </c>
      <c r="J15" s="2454">
        <v>46609</v>
      </c>
      <c r="K15" s="2454">
        <v>46975</v>
      </c>
      <c r="L15" s="2454"/>
      <c r="M15" s="2454"/>
      <c r="N15" s="2454"/>
      <c r="O15" s="2454"/>
      <c r="P15" s="2454"/>
      <c r="Q15" s="2454"/>
      <c r="R15" s="2454"/>
      <c r="S15" s="2458">
        <v>72</v>
      </c>
      <c r="T15" s="2458">
        <v>360</v>
      </c>
      <c r="U15" s="2450" t="s">
        <v>2664</v>
      </c>
      <c r="V15" s="2450" t="s">
        <v>3171</v>
      </c>
      <c r="W15" s="2454">
        <v>44813</v>
      </c>
      <c r="X15" s="2454">
        <v>46974</v>
      </c>
      <c r="Y15" s="2450" t="s">
        <v>231</v>
      </c>
      <c r="Z15" s="2459">
        <v>3437670</v>
      </c>
      <c r="AA15" s="2459">
        <v>4820000</v>
      </c>
      <c r="AB15" s="2459">
        <v>4829.93</v>
      </c>
      <c r="AC15" s="2450" t="s">
        <v>12</v>
      </c>
      <c r="AD15" s="2450" t="s">
        <v>12</v>
      </c>
      <c r="AE15" s="2450" t="s">
        <v>685</v>
      </c>
      <c r="AF15" s="2450">
        <v>2</v>
      </c>
      <c r="AG15" s="2450"/>
      <c r="AH15" s="2450" t="s">
        <v>719</v>
      </c>
      <c r="AI15" s="2458"/>
      <c r="AJ15" s="2458"/>
      <c r="AK15" s="2458"/>
      <c r="AL15" s="2458"/>
      <c r="AM15" s="2458"/>
      <c r="AN15" s="2459"/>
      <c r="AO15" s="2459"/>
      <c r="AP15" s="2450"/>
      <c r="AQ15" s="2450"/>
      <c r="AR15" s="2450"/>
      <c r="AS15" s="2454"/>
      <c r="AT15" s="2450"/>
      <c r="AU15" s="2450"/>
      <c r="AV15" s="2450"/>
      <c r="AW15" s="2459"/>
      <c r="AX15" s="2450">
        <v>1.686E-2</v>
      </c>
      <c r="AY15" s="2450"/>
      <c r="AZ15" s="2450"/>
      <c r="BA15" s="2450"/>
      <c r="BB15" s="2450"/>
      <c r="BC15" s="2450"/>
      <c r="BD15" s="2450"/>
      <c r="BE15" s="2450"/>
      <c r="BF15" s="2450"/>
      <c r="BG15" s="2450"/>
      <c r="BH15" s="2450"/>
      <c r="BI15" s="2450"/>
      <c r="BJ15" s="2450"/>
      <c r="BK15" s="2453"/>
      <c r="BL15" s="2450" t="s">
        <v>803</v>
      </c>
      <c r="BM15" s="2450">
        <v>3</v>
      </c>
      <c r="BN15" s="2450">
        <v>260</v>
      </c>
      <c r="BO15" s="2450">
        <v>1</v>
      </c>
      <c r="BP15" s="2450">
        <v>0</v>
      </c>
      <c r="BQ15" s="2450">
        <v>1</v>
      </c>
      <c r="BR15" s="2459">
        <v>1382330</v>
      </c>
      <c r="BS15" s="2459">
        <v>4820000</v>
      </c>
      <c r="BU15" s="2450" t="s">
        <v>803</v>
      </c>
      <c r="BV15" s="2454">
        <v>44753</v>
      </c>
      <c r="BW15" s="2450">
        <v>154</v>
      </c>
      <c r="BX15" s="2463">
        <v>2.5000000000000001E-3</v>
      </c>
      <c r="BY15" s="2450">
        <v>178</v>
      </c>
      <c r="BZ15" s="2450"/>
      <c r="CA15" s="2450"/>
      <c r="CB15" s="2450"/>
      <c r="CD15" s="2450" t="s">
        <v>803</v>
      </c>
      <c r="CE15" s="2450" t="s">
        <v>2909</v>
      </c>
      <c r="CF15" s="2454">
        <v>44753</v>
      </c>
      <c r="CG15" s="2454"/>
      <c r="CH15" s="2450">
        <v>4</v>
      </c>
      <c r="CI15" s="2463">
        <v>0.01</v>
      </c>
      <c r="CJ15" s="2459"/>
      <c r="CK15" s="2459">
        <v>4820000</v>
      </c>
      <c r="CL15" s="2450"/>
      <c r="CM15" s="2463">
        <v>1</v>
      </c>
      <c r="CN15" s="2463"/>
      <c r="CO15" s="2463"/>
    </row>
    <row r="16" spans="1:98">
      <c r="A16" s="2450" t="s">
        <v>4183</v>
      </c>
      <c r="B16" s="2450" t="s">
        <v>1289</v>
      </c>
      <c r="C16" s="2454">
        <v>44753</v>
      </c>
      <c r="D16" s="2454">
        <v>44814</v>
      </c>
      <c r="E16" s="2450">
        <v>1</v>
      </c>
      <c r="F16" s="2454">
        <v>45848</v>
      </c>
      <c r="G16" s="2454">
        <v>46975</v>
      </c>
      <c r="H16" s="2454"/>
      <c r="I16" s="2454">
        <v>46244</v>
      </c>
      <c r="J16" s="2454">
        <v>46609</v>
      </c>
      <c r="K16" s="2454">
        <v>46975</v>
      </c>
      <c r="L16" s="2454"/>
      <c r="M16" s="2454"/>
      <c r="N16" s="2454"/>
      <c r="O16" s="2454"/>
      <c r="P16" s="2454"/>
      <c r="Q16" s="2454"/>
      <c r="R16" s="2454"/>
      <c r="S16" s="2458">
        <v>72</v>
      </c>
      <c r="T16" s="2458">
        <v>360</v>
      </c>
      <c r="U16" s="2450" t="s">
        <v>2664</v>
      </c>
      <c r="V16" s="2450" t="s">
        <v>3171</v>
      </c>
      <c r="W16" s="2454">
        <v>44813</v>
      </c>
      <c r="X16" s="2454">
        <v>46974</v>
      </c>
      <c r="Y16" s="2450" t="s">
        <v>233</v>
      </c>
      <c r="Z16" s="2459">
        <v>602500</v>
      </c>
      <c r="AA16" s="2459">
        <v>602500</v>
      </c>
      <c r="AB16" s="2459">
        <v>846.51</v>
      </c>
      <c r="AC16" s="2450" t="s">
        <v>12</v>
      </c>
      <c r="AD16" s="2450" t="s">
        <v>12</v>
      </c>
      <c r="AE16" s="2450" t="s">
        <v>233</v>
      </c>
      <c r="AF16" s="2450">
        <v>3</v>
      </c>
      <c r="AG16" s="2450"/>
      <c r="AH16" s="2450" t="s">
        <v>719</v>
      </c>
      <c r="AI16" s="2458"/>
      <c r="AJ16" s="2458"/>
      <c r="AK16" s="2458"/>
      <c r="AL16" s="2458"/>
      <c r="AM16" s="2458"/>
      <c r="AN16" s="2459"/>
      <c r="AO16" s="2459"/>
      <c r="AP16" s="2450"/>
      <c r="AQ16" s="2450"/>
      <c r="AR16" s="2450"/>
      <c r="AS16" s="2454"/>
      <c r="AT16" s="2450"/>
      <c r="AU16" s="2450"/>
      <c r="AV16" s="2450"/>
      <c r="AW16" s="2459"/>
      <c r="AX16" s="2450">
        <v>1.686E-2</v>
      </c>
      <c r="AY16" s="2450"/>
      <c r="AZ16" s="2450"/>
      <c r="BA16" s="2450"/>
      <c r="BB16" s="2450"/>
      <c r="BC16" s="2450"/>
      <c r="BD16" s="2450"/>
      <c r="BE16" s="2450"/>
      <c r="BF16" s="2450"/>
      <c r="BG16" s="2450"/>
      <c r="BH16" s="2450"/>
      <c r="BI16" s="2450"/>
      <c r="BJ16" s="2450"/>
      <c r="BK16" s="2453"/>
      <c r="BL16" s="2450" t="s">
        <v>1289</v>
      </c>
      <c r="BM16" s="2450">
        <v>3</v>
      </c>
      <c r="BN16" s="2450">
        <v>260</v>
      </c>
      <c r="BO16" s="2450">
        <v>1</v>
      </c>
      <c r="BP16" s="2450">
        <v>0</v>
      </c>
      <c r="BQ16" s="2450">
        <v>1</v>
      </c>
      <c r="BR16" s="2459"/>
      <c r="BS16" s="2459">
        <v>602500</v>
      </c>
      <c r="BU16" s="2450" t="s">
        <v>1289</v>
      </c>
      <c r="BV16" s="2454">
        <v>44753</v>
      </c>
      <c r="BW16" s="2450">
        <v>154</v>
      </c>
      <c r="BX16" s="2463">
        <v>2.5000000000000001E-3</v>
      </c>
      <c r="BY16" s="2450">
        <v>178</v>
      </c>
      <c r="BZ16" s="2450"/>
      <c r="CA16" s="2450"/>
      <c r="CB16" s="2450"/>
      <c r="CD16" s="2450" t="s">
        <v>1289</v>
      </c>
      <c r="CE16" s="2450" t="s">
        <v>2909</v>
      </c>
      <c r="CF16" s="2454">
        <v>44753</v>
      </c>
      <c r="CG16" s="2454"/>
      <c r="CH16" s="2450">
        <v>4</v>
      </c>
      <c r="CI16" s="2463">
        <v>0.01</v>
      </c>
      <c r="CJ16" s="2459"/>
      <c r="CK16" s="2459">
        <v>602500</v>
      </c>
      <c r="CL16" s="2450"/>
      <c r="CM16" s="2463">
        <v>1</v>
      </c>
      <c r="CN16" s="2463"/>
      <c r="CO16" s="2463"/>
    </row>
    <row r="17" spans="1:93">
      <c r="A17" s="2450" t="s">
        <v>4184</v>
      </c>
      <c r="B17" s="2450" t="s">
        <v>754</v>
      </c>
      <c r="C17" s="2454">
        <v>44753</v>
      </c>
      <c r="D17" s="2454">
        <v>44814</v>
      </c>
      <c r="E17" s="2450">
        <v>1</v>
      </c>
      <c r="F17" s="2454">
        <v>45848</v>
      </c>
      <c r="G17" s="2454">
        <v>46975</v>
      </c>
      <c r="H17" s="2454"/>
      <c r="I17" s="2454">
        <v>46244</v>
      </c>
      <c r="J17" s="2454">
        <v>46609</v>
      </c>
      <c r="K17" s="2454">
        <v>46975</v>
      </c>
      <c r="L17" s="2454"/>
      <c r="M17" s="2454"/>
      <c r="N17" s="2454"/>
      <c r="O17" s="2454"/>
      <c r="P17" s="2454"/>
      <c r="Q17" s="2454"/>
      <c r="R17" s="2454"/>
      <c r="S17" s="2458">
        <v>72</v>
      </c>
      <c r="T17" s="2458">
        <v>360</v>
      </c>
      <c r="U17" s="2450" t="s">
        <v>2664</v>
      </c>
      <c r="V17" s="2450" t="s">
        <v>3171</v>
      </c>
      <c r="W17" s="2454">
        <v>44813</v>
      </c>
      <c r="X17" s="2454">
        <v>46974</v>
      </c>
      <c r="Y17" s="2450" t="s">
        <v>231</v>
      </c>
      <c r="Z17" s="2459">
        <v>26561932</v>
      </c>
      <c r="AA17" s="2459">
        <v>35650000</v>
      </c>
      <c r="AB17" s="2459">
        <v>37319.51</v>
      </c>
      <c r="AC17" s="2450" t="s">
        <v>18</v>
      </c>
      <c r="AD17" s="2450" t="s">
        <v>713</v>
      </c>
      <c r="AE17" s="2450" t="s">
        <v>685</v>
      </c>
      <c r="AF17" s="2450">
        <v>1</v>
      </c>
      <c r="AG17" s="2450"/>
      <c r="AH17" s="2450" t="s">
        <v>719</v>
      </c>
      <c r="AI17" s="2458"/>
      <c r="AJ17" s="2458"/>
      <c r="AK17" s="2458"/>
      <c r="AL17" s="2458"/>
      <c r="AM17" s="2458"/>
      <c r="AN17" s="2459"/>
      <c r="AO17" s="2459"/>
      <c r="AP17" s="2450"/>
      <c r="AQ17" s="2450"/>
      <c r="AR17" s="2450"/>
      <c r="AS17" s="2454"/>
      <c r="AT17" s="2450"/>
      <c r="AU17" s="2450"/>
      <c r="AV17" s="2450"/>
      <c r="AW17" s="2459"/>
      <c r="AX17" s="2450">
        <v>1.686E-2</v>
      </c>
      <c r="AY17" s="2450"/>
      <c r="AZ17" s="2450"/>
      <c r="BA17" s="2450"/>
      <c r="BB17" s="2450"/>
      <c r="BC17" s="2450"/>
      <c r="BD17" s="2450"/>
      <c r="BE17" s="2450"/>
      <c r="BF17" s="2450"/>
      <c r="BG17" s="2450"/>
      <c r="BH17" s="2450"/>
      <c r="BI17" s="2450"/>
      <c r="BJ17" s="2450"/>
      <c r="BK17" s="2453"/>
      <c r="BL17" s="2450" t="s">
        <v>754</v>
      </c>
      <c r="BM17" s="2450">
        <v>3</v>
      </c>
      <c r="BN17" s="2450">
        <v>260</v>
      </c>
      <c r="BO17" s="2450">
        <v>1</v>
      </c>
      <c r="BP17" s="2450">
        <v>0</v>
      </c>
      <c r="BQ17" s="2450">
        <v>1</v>
      </c>
      <c r="BR17" s="2459">
        <v>9088068</v>
      </c>
      <c r="BS17" s="2459">
        <v>35650000</v>
      </c>
      <c r="BU17" s="2450" t="s">
        <v>754</v>
      </c>
      <c r="BV17" s="2454">
        <v>44753</v>
      </c>
      <c r="BW17" s="2450">
        <v>154</v>
      </c>
      <c r="BX17" s="2463">
        <v>2.5000000000000001E-3</v>
      </c>
      <c r="BY17" s="2450">
        <v>178</v>
      </c>
      <c r="BZ17" s="2450"/>
      <c r="CA17" s="2450"/>
      <c r="CB17" s="2450"/>
      <c r="CD17" s="2450" t="s">
        <v>754</v>
      </c>
      <c r="CE17" s="2450" t="s">
        <v>2909</v>
      </c>
      <c r="CF17" s="2454">
        <v>44753</v>
      </c>
      <c r="CG17" s="2454"/>
      <c r="CH17" s="2450">
        <v>4</v>
      </c>
      <c r="CI17" s="2463">
        <v>0.01</v>
      </c>
      <c r="CJ17" s="2459"/>
      <c r="CK17" s="2459">
        <v>35650000</v>
      </c>
      <c r="CL17" s="2450"/>
      <c r="CM17" s="2463">
        <v>1</v>
      </c>
      <c r="CN17" s="2463"/>
      <c r="CO17" s="2463"/>
    </row>
    <row r="18" spans="1:93">
      <c r="A18" s="2450" t="s">
        <v>4185</v>
      </c>
      <c r="B18" s="2450" t="s">
        <v>829</v>
      </c>
      <c r="C18" s="2454">
        <v>44753</v>
      </c>
      <c r="D18" s="2454">
        <v>44814</v>
      </c>
      <c r="E18" s="2450">
        <v>1</v>
      </c>
      <c r="F18" s="2454">
        <v>45848</v>
      </c>
      <c r="G18" s="2454">
        <v>46975</v>
      </c>
      <c r="H18" s="2454"/>
      <c r="I18" s="2454">
        <v>46244</v>
      </c>
      <c r="J18" s="2454">
        <v>46609</v>
      </c>
      <c r="K18" s="2454">
        <v>46975</v>
      </c>
      <c r="L18" s="2454"/>
      <c r="M18" s="2454"/>
      <c r="N18" s="2454"/>
      <c r="O18" s="2454"/>
      <c r="P18" s="2454"/>
      <c r="Q18" s="2454"/>
      <c r="R18" s="2454"/>
      <c r="S18" s="2458">
        <v>72</v>
      </c>
      <c r="T18" s="2458">
        <v>360</v>
      </c>
      <c r="U18" s="2450" t="s">
        <v>2664</v>
      </c>
      <c r="V18" s="2450" t="s">
        <v>3171</v>
      </c>
      <c r="W18" s="2454">
        <v>44813</v>
      </c>
      <c r="X18" s="2454">
        <v>46974</v>
      </c>
      <c r="Y18" s="2450" t="s">
        <v>231</v>
      </c>
      <c r="Z18" s="2459">
        <v>6561529</v>
      </c>
      <c r="AA18" s="2459">
        <v>9200000</v>
      </c>
      <c r="AB18" s="2459">
        <v>9218.9500000000007</v>
      </c>
      <c r="AC18" s="2450" t="s">
        <v>18</v>
      </c>
      <c r="AD18" s="2450" t="s">
        <v>713</v>
      </c>
      <c r="AE18" s="2450" t="s">
        <v>685</v>
      </c>
      <c r="AF18" s="2450">
        <v>2</v>
      </c>
      <c r="AG18" s="2450"/>
      <c r="AH18" s="2450" t="s">
        <v>719</v>
      </c>
      <c r="AI18" s="2458"/>
      <c r="AJ18" s="2458"/>
      <c r="AK18" s="2458"/>
      <c r="AL18" s="2458"/>
      <c r="AM18" s="2458"/>
      <c r="AN18" s="2459"/>
      <c r="AO18" s="2459"/>
      <c r="AP18" s="2450"/>
      <c r="AQ18" s="2450"/>
      <c r="AR18" s="2450"/>
      <c r="AS18" s="2454"/>
      <c r="AT18" s="2450"/>
      <c r="AU18" s="2450"/>
      <c r="AV18" s="2450"/>
      <c r="AW18" s="2459"/>
      <c r="AX18" s="2450">
        <v>1.686E-2</v>
      </c>
      <c r="AY18" s="2450"/>
      <c r="AZ18" s="2450"/>
      <c r="BA18" s="2450"/>
      <c r="BB18" s="2450"/>
      <c r="BC18" s="2450"/>
      <c r="BD18" s="2450"/>
      <c r="BE18" s="2450"/>
      <c r="BF18" s="2450"/>
      <c r="BG18" s="2450"/>
      <c r="BH18" s="2450"/>
      <c r="BI18" s="2450"/>
      <c r="BJ18" s="2450"/>
      <c r="BK18" s="2453"/>
      <c r="BL18" s="2450" t="s">
        <v>829</v>
      </c>
      <c r="BM18" s="2450">
        <v>3</v>
      </c>
      <c r="BN18" s="2450">
        <v>260</v>
      </c>
      <c r="BO18" s="2450">
        <v>1</v>
      </c>
      <c r="BP18" s="2450">
        <v>0</v>
      </c>
      <c r="BQ18" s="2450">
        <v>1</v>
      </c>
      <c r="BR18" s="2459">
        <v>2638471</v>
      </c>
      <c r="BS18" s="2459">
        <v>9200000</v>
      </c>
      <c r="BU18" s="2450" t="s">
        <v>829</v>
      </c>
      <c r="BV18" s="2454">
        <v>44753</v>
      </c>
      <c r="BW18" s="2450">
        <v>154</v>
      </c>
      <c r="BX18" s="2463">
        <v>2.5000000000000001E-3</v>
      </c>
      <c r="BY18" s="2450">
        <v>178</v>
      </c>
      <c r="BZ18" s="2450"/>
      <c r="CA18" s="2450"/>
      <c r="CB18" s="2450"/>
      <c r="CD18" s="2450" t="s">
        <v>829</v>
      </c>
      <c r="CE18" s="2450" t="s">
        <v>2909</v>
      </c>
      <c r="CF18" s="2454">
        <v>44753</v>
      </c>
      <c r="CG18" s="2454"/>
      <c r="CH18" s="2450">
        <v>4</v>
      </c>
      <c r="CI18" s="2463">
        <v>0.01</v>
      </c>
      <c r="CJ18" s="2459"/>
      <c r="CK18" s="2459">
        <v>9200000</v>
      </c>
      <c r="CL18" s="2450"/>
      <c r="CM18" s="2463">
        <v>1</v>
      </c>
      <c r="CN18" s="2463"/>
      <c r="CO18" s="2463"/>
    </row>
    <row r="19" spans="1:93">
      <c r="A19" s="2450" t="s">
        <v>4186</v>
      </c>
      <c r="B19" s="2450" t="s">
        <v>1290</v>
      </c>
      <c r="C19" s="2454">
        <v>44753</v>
      </c>
      <c r="D19" s="2454">
        <v>44814</v>
      </c>
      <c r="E19" s="2450">
        <v>1</v>
      </c>
      <c r="F19" s="2454">
        <v>45848</v>
      </c>
      <c r="G19" s="2454">
        <v>46975</v>
      </c>
      <c r="H19" s="2454"/>
      <c r="I19" s="2454">
        <v>46244</v>
      </c>
      <c r="J19" s="2454">
        <v>46609</v>
      </c>
      <c r="K19" s="2454">
        <v>46975</v>
      </c>
      <c r="L19" s="2454"/>
      <c r="M19" s="2454"/>
      <c r="N19" s="2454"/>
      <c r="O19" s="2454"/>
      <c r="P19" s="2454"/>
      <c r="Q19" s="2454"/>
      <c r="R19" s="2454"/>
      <c r="S19" s="2458">
        <v>72</v>
      </c>
      <c r="T19" s="2458">
        <v>360</v>
      </c>
      <c r="U19" s="2450" t="s">
        <v>2664</v>
      </c>
      <c r="V19" s="2450" t="s">
        <v>3171</v>
      </c>
      <c r="W19" s="2454">
        <v>44813</v>
      </c>
      <c r="X19" s="2454">
        <v>46974</v>
      </c>
      <c r="Y19" s="2450" t="s">
        <v>233</v>
      </c>
      <c r="Z19" s="2459">
        <v>1150000</v>
      </c>
      <c r="AA19" s="2459">
        <v>1150000</v>
      </c>
      <c r="AB19" s="2459">
        <v>1615.75</v>
      </c>
      <c r="AC19" s="2450" t="s">
        <v>18</v>
      </c>
      <c r="AD19" s="2450" t="s">
        <v>713</v>
      </c>
      <c r="AE19" s="2450" t="s">
        <v>233</v>
      </c>
      <c r="AF19" s="2450">
        <v>3</v>
      </c>
      <c r="AG19" s="2450"/>
      <c r="AH19" s="2450" t="s">
        <v>719</v>
      </c>
      <c r="AI19" s="2458"/>
      <c r="AJ19" s="2458"/>
      <c r="AK19" s="2458"/>
      <c r="AL19" s="2458"/>
      <c r="AM19" s="2458"/>
      <c r="AN19" s="2459"/>
      <c r="AO19" s="2459"/>
      <c r="AP19" s="2450"/>
      <c r="AQ19" s="2450"/>
      <c r="AR19" s="2450"/>
      <c r="AS19" s="2454"/>
      <c r="AT19" s="2450"/>
      <c r="AU19" s="2450"/>
      <c r="AV19" s="2450"/>
      <c r="AW19" s="2459"/>
      <c r="AX19" s="2450">
        <v>1.686E-2</v>
      </c>
      <c r="AY19" s="2450"/>
      <c r="AZ19" s="2450"/>
      <c r="BA19" s="2450"/>
      <c r="BB19" s="2450"/>
      <c r="BC19" s="2450"/>
      <c r="BD19" s="2450"/>
      <c r="BE19" s="2450"/>
      <c r="BF19" s="2450"/>
      <c r="BG19" s="2450"/>
      <c r="BH19" s="2450"/>
      <c r="BI19" s="2450"/>
      <c r="BJ19" s="2450"/>
      <c r="BK19" s="2453"/>
      <c r="BL19" s="2450" t="s">
        <v>1290</v>
      </c>
      <c r="BM19" s="2450">
        <v>3</v>
      </c>
      <c r="BN19" s="2450">
        <v>260</v>
      </c>
      <c r="BO19" s="2450">
        <v>1</v>
      </c>
      <c r="BP19" s="2450">
        <v>0</v>
      </c>
      <c r="BQ19" s="2450">
        <v>1</v>
      </c>
      <c r="BR19" s="2459"/>
      <c r="BS19" s="2459">
        <v>1150000</v>
      </c>
      <c r="BU19" s="2450" t="s">
        <v>1290</v>
      </c>
      <c r="BV19" s="2454">
        <v>44753</v>
      </c>
      <c r="BW19" s="2450">
        <v>154</v>
      </c>
      <c r="BX19" s="2463">
        <v>2.5000000000000001E-3</v>
      </c>
      <c r="BY19" s="2450">
        <v>178</v>
      </c>
      <c r="BZ19" s="2450"/>
      <c r="CA19" s="2450"/>
      <c r="CB19" s="2450"/>
      <c r="CD19" s="2450" t="s">
        <v>1290</v>
      </c>
      <c r="CE19" s="2450" t="s">
        <v>2909</v>
      </c>
      <c r="CF19" s="2454">
        <v>44753</v>
      </c>
      <c r="CG19" s="2454"/>
      <c r="CH19" s="2450">
        <v>4</v>
      </c>
      <c r="CI19" s="2463">
        <v>0.01</v>
      </c>
      <c r="CJ19" s="2459"/>
      <c r="CK19" s="2459">
        <v>1150000</v>
      </c>
      <c r="CL19" s="2450"/>
      <c r="CM19" s="2463">
        <v>1</v>
      </c>
      <c r="CN19" s="2463"/>
      <c r="CO19" s="2463"/>
    </row>
    <row r="20" spans="1:93">
      <c r="A20" s="2450" t="s">
        <v>4187</v>
      </c>
      <c r="B20" s="2450" t="s">
        <v>2477</v>
      </c>
      <c r="C20" s="2454">
        <v>44753</v>
      </c>
      <c r="D20" s="2454">
        <v>44814</v>
      </c>
      <c r="E20" s="2450">
        <v>1</v>
      </c>
      <c r="F20" s="2454">
        <v>45848</v>
      </c>
      <c r="G20" s="2454">
        <v>46975</v>
      </c>
      <c r="H20" s="2454"/>
      <c r="I20" s="2454">
        <v>46244</v>
      </c>
      <c r="J20" s="2454">
        <v>46609</v>
      </c>
      <c r="K20" s="2454">
        <v>46975</v>
      </c>
      <c r="L20" s="2454"/>
      <c r="M20" s="2454"/>
      <c r="N20" s="2454"/>
      <c r="O20" s="2454"/>
      <c r="P20" s="2454"/>
      <c r="Q20" s="2454"/>
      <c r="R20" s="2454"/>
      <c r="S20" s="2458">
        <v>72</v>
      </c>
      <c r="T20" s="2458">
        <v>360</v>
      </c>
      <c r="U20" s="2450" t="s">
        <v>2664</v>
      </c>
      <c r="V20" s="2450" t="s">
        <v>3171</v>
      </c>
      <c r="W20" s="2454">
        <v>44813</v>
      </c>
      <c r="X20" s="2454">
        <v>46974</v>
      </c>
      <c r="Y20" s="2450" t="s">
        <v>231</v>
      </c>
      <c r="Z20" s="2459">
        <v>8661500</v>
      </c>
      <c r="AA20" s="2459">
        <v>11625000</v>
      </c>
      <c r="AB20" s="2459">
        <v>12169.41</v>
      </c>
      <c r="AC20" s="2450" t="s">
        <v>20</v>
      </c>
      <c r="AD20" s="2450" t="s">
        <v>20</v>
      </c>
      <c r="AE20" s="2450" t="s">
        <v>685</v>
      </c>
      <c r="AF20" s="2450">
        <v>1</v>
      </c>
      <c r="AG20" s="2450"/>
      <c r="AH20" s="2450" t="s">
        <v>719</v>
      </c>
      <c r="AI20" s="2458"/>
      <c r="AJ20" s="2458"/>
      <c r="AK20" s="2458"/>
      <c r="AL20" s="2458"/>
      <c r="AM20" s="2458"/>
      <c r="AN20" s="2459"/>
      <c r="AO20" s="2459"/>
      <c r="AP20" s="2450"/>
      <c r="AQ20" s="2450"/>
      <c r="AR20" s="2450"/>
      <c r="AS20" s="2454"/>
      <c r="AT20" s="2450"/>
      <c r="AU20" s="2450"/>
      <c r="AV20" s="2450"/>
      <c r="AW20" s="2459"/>
      <c r="AX20" s="2450">
        <v>1.686E-2</v>
      </c>
      <c r="AY20" s="2450"/>
      <c r="AZ20" s="2450"/>
      <c r="BA20" s="2450"/>
      <c r="BB20" s="2450"/>
      <c r="BC20" s="2450"/>
      <c r="BD20" s="2450"/>
      <c r="BE20" s="2450"/>
      <c r="BF20" s="2450"/>
      <c r="BG20" s="2450"/>
      <c r="BH20" s="2450"/>
      <c r="BI20" s="2450"/>
      <c r="BJ20" s="2450"/>
      <c r="BK20" s="2453"/>
      <c r="BL20" s="2450" t="s">
        <v>2477</v>
      </c>
      <c r="BM20" s="2450">
        <v>3</v>
      </c>
      <c r="BN20" s="2450">
        <v>260</v>
      </c>
      <c r="BO20" s="2450">
        <v>1</v>
      </c>
      <c r="BP20" s="2450">
        <v>0</v>
      </c>
      <c r="BQ20" s="2450">
        <v>1</v>
      </c>
      <c r="BR20" s="2459">
        <v>2963500</v>
      </c>
      <c r="BS20" s="2459">
        <v>11625000</v>
      </c>
      <c r="BU20" s="2450" t="s">
        <v>2477</v>
      </c>
      <c r="BV20" s="2454">
        <v>44753</v>
      </c>
      <c r="BW20" s="2450">
        <v>154</v>
      </c>
      <c r="BX20" s="2463">
        <v>2.5000000000000001E-3</v>
      </c>
      <c r="BY20" s="2450">
        <v>178</v>
      </c>
      <c r="BZ20" s="2450"/>
      <c r="CA20" s="2450"/>
      <c r="CB20" s="2450"/>
      <c r="CD20" s="2450" t="s">
        <v>2477</v>
      </c>
      <c r="CE20" s="2450" t="s">
        <v>2909</v>
      </c>
      <c r="CF20" s="2454">
        <v>44753</v>
      </c>
      <c r="CG20" s="2454"/>
      <c r="CH20" s="2450">
        <v>4</v>
      </c>
      <c r="CI20" s="2463">
        <v>0.01</v>
      </c>
      <c r="CJ20" s="2459"/>
      <c r="CK20" s="2459">
        <v>11625000</v>
      </c>
      <c r="CL20" s="2450"/>
      <c r="CM20" s="2463">
        <v>1</v>
      </c>
      <c r="CN20" s="2463"/>
      <c r="CO20" s="2463"/>
    </row>
    <row r="21" spans="1:93">
      <c r="A21" s="2450" t="s">
        <v>4188</v>
      </c>
      <c r="B21" s="2450" t="s">
        <v>2478</v>
      </c>
      <c r="C21" s="2454">
        <v>44753</v>
      </c>
      <c r="D21" s="2454">
        <v>44814</v>
      </c>
      <c r="E21" s="2450">
        <v>1</v>
      </c>
      <c r="F21" s="2454">
        <v>45848</v>
      </c>
      <c r="G21" s="2454">
        <v>46975</v>
      </c>
      <c r="H21" s="2454"/>
      <c r="I21" s="2454">
        <v>46244</v>
      </c>
      <c r="J21" s="2454">
        <v>46609</v>
      </c>
      <c r="K21" s="2454">
        <v>46975</v>
      </c>
      <c r="L21" s="2454"/>
      <c r="M21" s="2454"/>
      <c r="N21" s="2454"/>
      <c r="O21" s="2454"/>
      <c r="P21" s="2454"/>
      <c r="Q21" s="2454"/>
      <c r="R21" s="2454"/>
      <c r="S21" s="2458">
        <v>72</v>
      </c>
      <c r="T21" s="2458">
        <v>360</v>
      </c>
      <c r="U21" s="2450" t="s">
        <v>2664</v>
      </c>
      <c r="V21" s="2450" t="s">
        <v>3171</v>
      </c>
      <c r="W21" s="2454">
        <v>44813</v>
      </c>
      <c r="X21" s="2454">
        <v>46974</v>
      </c>
      <c r="Y21" s="2450" t="s">
        <v>231</v>
      </c>
      <c r="Z21" s="2459">
        <v>2139629</v>
      </c>
      <c r="AA21" s="2459">
        <v>3000000</v>
      </c>
      <c r="AB21" s="2459">
        <v>3006.18</v>
      </c>
      <c r="AC21" s="2450" t="s">
        <v>20</v>
      </c>
      <c r="AD21" s="2450" t="s">
        <v>20</v>
      </c>
      <c r="AE21" s="2450" t="s">
        <v>685</v>
      </c>
      <c r="AF21" s="2450">
        <v>2</v>
      </c>
      <c r="AG21" s="2450"/>
      <c r="AH21" s="2450" t="s">
        <v>719</v>
      </c>
      <c r="AI21" s="2458"/>
      <c r="AJ21" s="2458"/>
      <c r="AK21" s="2458"/>
      <c r="AL21" s="2458"/>
      <c r="AM21" s="2458"/>
      <c r="AN21" s="2459"/>
      <c r="AO21" s="2459"/>
      <c r="AP21" s="2450"/>
      <c r="AQ21" s="2450"/>
      <c r="AR21" s="2450"/>
      <c r="AS21" s="2454"/>
      <c r="AT21" s="2450"/>
      <c r="AU21" s="2450"/>
      <c r="AV21" s="2450"/>
      <c r="AW21" s="2459"/>
      <c r="AX21" s="2450">
        <v>1.686E-2</v>
      </c>
      <c r="AY21" s="2450"/>
      <c r="AZ21" s="2450"/>
      <c r="BA21" s="2450"/>
      <c r="BB21" s="2450"/>
      <c r="BC21" s="2450"/>
      <c r="BD21" s="2450"/>
      <c r="BE21" s="2450"/>
      <c r="BF21" s="2450"/>
      <c r="BG21" s="2450"/>
      <c r="BH21" s="2450"/>
      <c r="BI21" s="2450"/>
      <c r="BJ21" s="2450"/>
      <c r="BK21" s="2453"/>
      <c r="BL21" s="2450" t="s">
        <v>2478</v>
      </c>
      <c r="BM21" s="2450">
        <v>3</v>
      </c>
      <c r="BN21" s="2450">
        <v>260</v>
      </c>
      <c r="BO21" s="2450">
        <v>1</v>
      </c>
      <c r="BP21" s="2450">
        <v>0</v>
      </c>
      <c r="BQ21" s="2450">
        <v>1</v>
      </c>
      <c r="BR21" s="2459">
        <v>860371</v>
      </c>
      <c r="BS21" s="2459">
        <v>3000000</v>
      </c>
      <c r="BU21" s="2450" t="s">
        <v>2478</v>
      </c>
      <c r="BV21" s="2454">
        <v>44753</v>
      </c>
      <c r="BW21" s="2450">
        <v>154</v>
      </c>
      <c r="BX21" s="2463">
        <v>2.5000000000000001E-3</v>
      </c>
      <c r="BY21" s="2450">
        <v>178</v>
      </c>
      <c r="BZ21" s="2450"/>
      <c r="CA21" s="2450"/>
      <c r="CB21" s="2450"/>
      <c r="CD21" s="2450" t="s">
        <v>2478</v>
      </c>
      <c r="CE21" s="2450" t="s">
        <v>2909</v>
      </c>
      <c r="CF21" s="2454">
        <v>44753</v>
      </c>
      <c r="CG21" s="2454"/>
      <c r="CH21" s="2450">
        <v>4</v>
      </c>
      <c r="CI21" s="2463">
        <v>0.01</v>
      </c>
      <c r="CJ21" s="2459"/>
      <c r="CK21" s="2459">
        <v>3000000</v>
      </c>
      <c r="CL21" s="2450"/>
      <c r="CM21" s="2463">
        <v>1</v>
      </c>
      <c r="CN21" s="2463"/>
      <c r="CO21" s="2463"/>
    </row>
    <row r="22" spans="1:93">
      <c r="A22" s="2450" t="s">
        <v>4189</v>
      </c>
      <c r="B22" s="2450" t="s">
        <v>1292</v>
      </c>
      <c r="C22" s="2454">
        <v>44753</v>
      </c>
      <c r="D22" s="2454">
        <v>44814</v>
      </c>
      <c r="E22" s="2450">
        <v>1</v>
      </c>
      <c r="F22" s="2454">
        <v>45848</v>
      </c>
      <c r="G22" s="2454">
        <v>46975</v>
      </c>
      <c r="H22" s="2454"/>
      <c r="I22" s="2454">
        <v>46244</v>
      </c>
      <c r="J22" s="2454">
        <v>46609</v>
      </c>
      <c r="K22" s="2454">
        <v>46975</v>
      </c>
      <c r="L22" s="2454"/>
      <c r="M22" s="2454"/>
      <c r="N22" s="2454"/>
      <c r="O22" s="2454"/>
      <c r="P22" s="2454"/>
      <c r="Q22" s="2454"/>
      <c r="R22" s="2454"/>
      <c r="S22" s="2458">
        <v>72</v>
      </c>
      <c r="T22" s="2458">
        <v>360</v>
      </c>
      <c r="U22" s="2450" t="s">
        <v>2664</v>
      </c>
      <c r="V22" s="2450" t="s">
        <v>3171</v>
      </c>
      <c r="W22" s="2454">
        <v>44813</v>
      </c>
      <c r="X22" s="2454">
        <v>46974</v>
      </c>
      <c r="Y22" s="2450" t="s">
        <v>233</v>
      </c>
      <c r="Z22" s="2459">
        <v>375000</v>
      </c>
      <c r="AA22" s="2459">
        <v>375000</v>
      </c>
      <c r="AB22" s="2459">
        <v>526.88</v>
      </c>
      <c r="AC22" s="2450" t="s">
        <v>20</v>
      </c>
      <c r="AD22" s="2450" t="s">
        <v>20</v>
      </c>
      <c r="AE22" s="2450" t="s">
        <v>233</v>
      </c>
      <c r="AF22" s="2450">
        <v>3</v>
      </c>
      <c r="AG22" s="2450"/>
      <c r="AH22" s="2450" t="s">
        <v>719</v>
      </c>
      <c r="AI22" s="2458"/>
      <c r="AJ22" s="2458"/>
      <c r="AK22" s="2458"/>
      <c r="AL22" s="2458"/>
      <c r="AM22" s="2458"/>
      <c r="AN22" s="2459"/>
      <c r="AO22" s="2459"/>
      <c r="AP22" s="2450"/>
      <c r="AQ22" s="2450"/>
      <c r="AR22" s="2450"/>
      <c r="AS22" s="2454"/>
      <c r="AT22" s="2450"/>
      <c r="AU22" s="2450"/>
      <c r="AV22" s="2450"/>
      <c r="AW22" s="2459"/>
      <c r="AX22" s="2450">
        <v>1.686E-2</v>
      </c>
      <c r="AY22" s="2450"/>
      <c r="AZ22" s="2450"/>
      <c r="BA22" s="2450"/>
      <c r="BB22" s="2450"/>
      <c r="BC22" s="2450"/>
      <c r="BD22" s="2450"/>
      <c r="BE22" s="2450"/>
      <c r="BF22" s="2450"/>
      <c r="BG22" s="2450"/>
      <c r="BH22" s="2450"/>
      <c r="BI22" s="2450"/>
      <c r="BJ22" s="2450"/>
      <c r="BK22" s="2453"/>
      <c r="BL22" s="2450" t="s">
        <v>1292</v>
      </c>
      <c r="BM22" s="2450">
        <v>3</v>
      </c>
      <c r="BN22" s="2450">
        <v>260</v>
      </c>
      <c r="BO22" s="2450">
        <v>1</v>
      </c>
      <c r="BP22" s="2450">
        <v>0</v>
      </c>
      <c r="BQ22" s="2450">
        <v>1</v>
      </c>
      <c r="BR22" s="2459"/>
      <c r="BS22" s="2459">
        <v>375000</v>
      </c>
      <c r="BU22" s="2450" t="s">
        <v>1292</v>
      </c>
      <c r="BV22" s="2454">
        <v>44753</v>
      </c>
      <c r="BW22" s="2450">
        <v>154</v>
      </c>
      <c r="BX22" s="2463">
        <v>2.5000000000000001E-3</v>
      </c>
      <c r="BY22" s="2450">
        <v>178</v>
      </c>
      <c r="BZ22" s="2450"/>
      <c r="CA22" s="2450"/>
      <c r="CB22" s="2450"/>
      <c r="CD22" s="2450" t="s">
        <v>1292</v>
      </c>
      <c r="CE22" s="2450" t="s">
        <v>2909</v>
      </c>
      <c r="CF22" s="2454">
        <v>44753</v>
      </c>
      <c r="CG22" s="2454"/>
      <c r="CH22" s="2450">
        <v>4</v>
      </c>
      <c r="CI22" s="2463">
        <v>0.01</v>
      </c>
      <c r="CJ22" s="2459"/>
      <c r="CK22" s="2459">
        <v>375000</v>
      </c>
      <c r="CL22" s="2450"/>
      <c r="CM22" s="2463">
        <v>1</v>
      </c>
      <c r="CN22" s="2463"/>
      <c r="CO22" s="2463"/>
    </row>
    <row r="23" spans="1:93">
      <c r="A23" s="2450" t="s">
        <v>4191</v>
      </c>
      <c r="B23" s="2450" t="s">
        <v>869</v>
      </c>
      <c r="C23" s="2454">
        <v>44753</v>
      </c>
      <c r="D23" s="2454">
        <v>44814</v>
      </c>
      <c r="E23" s="2450">
        <v>1</v>
      </c>
      <c r="F23" s="2454">
        <v>45848</v>
      </c>
      <c r="G23" s="2454">
        <v>46975</v>
      </c>
      <c r="H23" s="2454"/>
      <c r="I23" s="2454">
        <v>46244</v>
      </c>
      <c r="J23" s="2454">
        <v>46609</v>
      </c>
      <c r="K23" s="2454">
        <v>46975</v>
      </c>
      <c r="L23" s="2454"/>
      <c r="M23" s="2454"/>
      <c r="N23" s="2454"/>
      <c r="O23" s="2454"/>
      <c r="P23" s="2454"/>
      <c r="Q23" s="2454"/>
      <c r="R23" s="2454"/>
      <c r="S23" s="2458">
        <v>72</v>
      </c>
      <c r="T23" s="2458">
        <v>360</v>
      </c>
      <c r="U23" s="2450" t="s">
        <v>2664</v>
      </c>
      <c r="V23" s="2450" t="s">
        <v>3171</v>
      </c>
      <c r="W23" s="2454">
        <v>44813</v>
      </c>
      <c r="X23" s="2454">
        <v>46974</v>
      </c>
      <c r="Y23" s="2450" t="s">
        <v>231</v>
      </c>
      <c r="Z23" s="2459">
        <v>64037354</v>
      </c>
      <c r="AA23" s="2459">
        <v>85947500</v>
      </c>
      <c r="AB23" s="2459">
        <v>89972.479999999996</v>
      </c>
      <c r="AC23" s="2450" t="s">
        <v>7</v>
      </c>
      <c r="AD23" s="2450" t="s">
        <v>489</v>
      </c>
      <c r="AE23" s="2450" t="s">
        <v>685</v>
      </c>
      <c r="AF23" s="2450">
        <v>1</v>
      </c>
      <c r="AG23" s="2450"/>
      <c r="AH23" s="2450" t="s">
        <v>719</v>
      </c>
      <c r="AI23" s="2458"/>
      <c r="AJ23" s="2458"/>
      <c r="AK23" s="2458"/>
      <c r="AL23" s="2458"/>
      <c r="AM23" s="2458"/>
      <c r="AN23" s="2459"/>
      <c r="AO23" s="2459"/>
      <c r="AP23" s="2450"/>
      <c r="AQ23" s="2450"/>
      <c r="AR23" s="2450"/>
      <c r="AS23" s="2454"/>
      <c r="AT23" s="2450"/>
      <c r="AU23" s="2450"/>
      <c r="AV23" s="2450"/>
      <c r="AW23" s="2459"/>
      <c r="AX23" s="2450">
        <v>1.686E-2</v>
      </c>
      <c r="AY23" s="2450"/>
      <c r="AZ23" s="2450"/>
      <c r="BA23" s="2450"/>
      <c r="BB23" s="2450"/>
      <c r="BC23" s="2450"/>
      <c r="BD23" s="2450"/>
      <c r="BE23" s="2450"/>
      <c r="BF23" s="2450"/>
      <c r="BG23" s="2450"/>
      <c r="BH23" s="2450"/>
      <c r="BI23" s="2450"/>
      <c r="BJ23" s="2450"/>
      <c r="BK23" s="2453"/>
      <c r="BL23" s="2450" t="s">
        <v>869</v>
      </c>
      <c r="BM23" s="2450">
        <v>3</v>
      </c>
      <c r="BN23" s="2450">
        <v>260</v>
      </c>
      <c r="BO23" s="2450">
        <v>1</v>
      </c>
      <c r="BP23" s="2450">
        <v>0</v>
      </c>
      <c r="BQ23" s="2450">
        <v>1</v>
      </c>
      <c r="BR23" s="2459">
        <v>21910146</v>
      </c>
      <c r="BS23" s="2459">
        <v>85947500</v>
      </c>
      <c r="BU23" s="2450" t="s">
        <v>869</v>
      </c>
      <c r="BV23" s="2454">
        <v>44753</v>
      </c>
      <c r="BW23" s="2450">
        <v>154</v>
      </c>
      <c r="BX23" s="2463">
        <v>2.5000000000000001E-3</v>
      </c>
      <c r="BY23" s="2450">
        <v>178</v>
      </c>
      <c r="BZ23" s="2450"/>
      <c r="CA23" s="2450"/>
      <c r="CB23" s="2450"/>
      <c r="CD23" s="2450" t="s">
        <v>869</v>
      </c>
      <c r="CE23" s="2450" t="s">
        <v>2909</v>
      </c>
      <c r="CF23" s="2454">
        <v>44753</v>
      </c>
      <c r="CG23" s="2454"/>
      <c r="CH23" s="2450">
        <v>4</v>
      </c>
      <c r="CI23" s="2463">
        <v>0.01</v>
      </c>
      <c r="CJ23" s="2459"/>
      <c r="CK23" s="2459">
        <v>85947500</v>
      </c>
      <c r="CL23" s="2450"/>
      <c r="CM23" s="2463">
        <v>1</v>
      </c>
      <c r="CN23" s="2463"/>
      <c r="CO23" s="2463"/>
    </row>
    <row r="24" spans="1:93">
      <c r="A24" s="2450" t="s">
        <v>4192</v>
      </c>
      <c r="B24" s="2450" t="s">
        <v>935</v>
      </c>
      <c r="C24" s="2454">
        <v>44753</v>
      </c>
      <c r="D24" s="2454">
        <v>44814</v>
      </c>
      <c r="E24" s="2450">
        <v>1</v>
      </c>
      <c r="F24" s="2454">
        <v>45848</v>
      </c>
      <c r="G24" s="2454">
        <v>46975</v>
      </c>
      <c r="H24" s="2454"/>
      <c r="I24" s="2454">
        <v>46244</v>
      </c>
      <c r="J24" s="2454">
        <v>46609</v>
      </c>
      <c r="K24" s="2454">
        <v>46975</v>
      </c>
      <c r="L24" s="2454"/>
      <c r="M24" s="2454"/>
      <c r="N24" s="2454"/>
      <c r="O24" s="2454"/>
      <c r="P24" s="2454"/>
      <c r="Q24" s="2454"/>
      <c r="R24" s="2454"/>
      <c r="S24" s="2458">
        <v>72</v>
      </c>
      <c r="T24" s="2458">
        <v>360</v>
      </c>
      <c r="U24" s="2450" t="s">
        <v>2664</v>
      </c>
      <c r="V24" s="2450" t="s">
        <v>3171</v>
      </c>
      <c r="W24" s="2454">
        <v>44813</v>
      </c>
      <c r="X24" s="2454">
        <v>46974</v>
      </c>
      <c r="Y24" s="2450" t="s">
        <v>231</v>
      </c>
      <c r="Z24" s="2459">
        <v>15818990</v>
      </c>
      <c r="AA24" s="2459">
        <v>22180000</v>
      </c>
      <c r="AB24" s="2459">
        <v>22225.68</v>
      </c>
      <c r="AC24" s="2450" t="s">
        <v>7</v>
      </c>
      <c r="AD24" s="2450" t="s">
        <v>487</v>
      </c>
      <c r="AE24" s="2450" t="s">
        <v>685</v>
      </c>
      <c r="AF24" s="2450">
        <v>2</v>
      </c>
      <c r="AG24" s="2450"/>
      <c r="AH24" s="2450" t="s">
        <v>719</v>
      </c>
      <c r="AI24" s="2458"/>
      <c r="AJ24" s="2458"/>
      <c r="AK24" s="2458"/>
      <c r="AL24" s="2458"/>
      <c r="AM24" s="2458"/>
      <c r="AN24" s="2459"/>
      <c r="AO24" s="2459"/>
      <c r="AP24" s="2450"/>
      <c r="AQ24" s="2450"/>
      <c r="AR24" s="2450"/>
      <c r="AS24" s="2454"/>
      <c r="AT24" s="2450"/>
      <c r="AU24" s="2450"/>
      <c r="AV24" s="2450"/>
      <c r="AW24" s="2459"/>
      <c r="AX24" s="2450">
        <v>1.686E-2</v>
      </c>
      <c r="AY24" s="2450"/>
      <c r="AZ24" s="2450"/>
      <c r="BA24" s="2450"/>
      <c r="BB24" s="2450"/>
      <c r="BC24" s="2450"/>
      <c r="BD24" s="2450"/>
      <c r="BE24" s="2450"/>
      <c r="BF24" s="2450"/>
      <c r="BG24" s="2450"/>
      <c r="BH24" s="2450"/>
      <c r="BI24" s="2450"/>
      <c r="BJ24" s="2450"/>
      <c r="BK24" s="2453"/>
      <c r="BL24" s="2450" t="s">
        <v>935</v>
      </c>
      <c r="BM24" s="2450">
        <v>3</v>
      </c>
      <c r="BN24" s="2450">
        <v>260</v>
      </c>
      <c r="BO24" s="2450">
        <v>1</v>
      </c>
      <c r="BP24" s="2450">
        <v>0</v>
      </c>
      <c r="BQ24" s="2450">
        <v>1</v>
      </c>
      <c r="BR24" s="2459">
        <v>6361010</v>
      </c>
      <c r="BS24" s="2459">
        <v>22180000</v>
      </c>
      <c r="BU24" s="2450" t="s">
        <v>935</v>
      </c>
      <c r="BV24" s="2454">
        <v>44753</v>
      </c>
      <c r="BW24" s="2450">
        <v>154</v>
      </c>
      <c r="BX24" s="2463">
        <v>2.5000000000000001E-3</v>
      </c>
      <c r="BY24" s="2450">
        <v>178</v>
      </c>
      <c r="BZ24" s="2450"/>
      <c r="CA24" s="2450"/>
      <c r="CB24" s="2450"/>
      <c r="CD24" s="2450" t="s">
        <v>935</v>
      </c>
      <c r="CE24" s="2450" t="s">
        <v>2909</v>
      </c>
      <c r="CF24" s="2454">
        <v>44753</v>
      </c>
      <c r="CG24" s="2454"/>
      <c r="CH24" s="2450">
        <v>4</v>
      </c>
      <c r="CI24" s="2463">
        <v>0.01</v>
      </c>
      <c r="CJ24" s="2459"/>
      <c r="CK24" s="2459">
        <v>22180000</v>
      </c>
      <c r="CL24" s="2450"/>
      <c r="CM24" s="2463">
        <v>1</v>
      </c>
      <c r="CN24" s="2463"/>
      <c r="CO24" s="2463"/>
    </row>
    <row r="25" spans="1:93">
      <c r="A25" s="2450" t="s">
        <v>4193</v>
      </c>
      <c r="B25" s="2450" t="s">
        <v>1296</v>
      </c>
      <c r="C25" s="2454">
        <v>44753</v>
      </c>
      <c r="D25" s="2454">
        <v>44814</v>
      </c>
      <c r="E25" s="2450">
        <v>1</v>
      </c>
      <c r="F25" s="2454">
        <v>45848</v>
      </c>
      <c r="G25" s="2454">
        <v>46975</v>
      </c>
      <c r="H25" s="2454"/>
      <c r="I25" s="2454">
        <v>46244</v>
      </c>
      <c r="J25" s="2454">
        <v>46609</v>
      </c>
      <c r="K25" s="2454">
        <v>46975</v>
      </c>
      <c r="L25" s="2454"/>
      <c r="M25" s="2454"/>
      <c r="N25" s="2454"/>
      <c r="O25" s="2454"/>
      <c r="P25" s="2454"/>
      <c r="Q25" s="2454"/>
      <c r="R25" s="2454"/>
      <c r="S25" s="2458">
        <v>72</v>
      </c>
      <c r="T25" s="2458">
        <v>360</v>
      </c>
      <c r="U25" s="2450" t="s">
        <v>2664</v>
      </c>
      <c r="V25" s="2450" t="s">
        <v>3171</v>
      </c>
      <c r="W25" s="2454">
        <v>44813</v>
      </c>
      <c r="X25" s="2454">
        <v>46974</v>
      </c>
      <c r="Y25" s="2450" t="s">
        <v>233</v>
      </c>
      <c r="Z25" s="2459">
        <v>2772500</v>
      </c>
      <c r="AA25" s="2459">
        <v>2772500</v>
      </c>
      <c r="AB25" s="2459">
        <v>3895.36</v>
      </c>
      <c r="AC25" s="2450" t="s">
        <v>7</v>
      </c>
      <c r="AD25" s="2450" t="s">
        <v>487</v>
      </c>
      <c r="AE25" s="2450" t="s">
        <v>233</v>
      </c>
      <c r="AF25" s="2450">
        <v>3</v>
      </c>
      <c r="AG25" s="2450"/>
      <c r="AH25" s="2450" t="s">
        <v>719</v>
      </c>
      <c r="AI25" s="2458"/>
      <c r="AJ25" s="2458"/>
      <c r="AK25" s="2458"/>
      <c r="AL25" s="2458"/>
      <c r="AM25" s="2458"/>
      <c r="AN25" s="2459"/>
      <c r="AO25" s="2459"/>
      <c r="AP25" s="2450"/>
      <c r="AQ25" s="2450"/>
      <c r="AR25" s="2450"/>
      <c r="AS25" s="2454"/>
      <c r="AT25" s="2450"/>
      <c r="AU25" s="2450"/>
      <c r="AV25" s="2450"/>
      <c r="AW25" s="2459"/>
      <c r="AX25" s="2450">
        <v>1.686E-2</v>
      </c>
      <c r="AY25" s="2450"/>
      <c r="AZ25" s="2450"/>
      <c r="BA25" s="2450"/>
      <c r="BB25" s="2450"/>
      <c r="BC25" s="2450"/>
      <c r="BD25" s="2450"/>
      <c r="BE25" s="2450"/>
      <c r="BF25" s="2450"/>
      <c r="BG25" s="2450"/>
      <c r="BH25" s="2450"/>
      <c r="BI25" s="2450"/>
      <c r="BJ25" s="2450"/>
      <c r="BK25" s="2453"/>
      <c r="BL25" s="2450" t="s">
        <v>1296</v>
      </c>
      <c r="BM25" s="2450">
        <v>3</v>
      </c>
      <c r="BN25" s="2450">
        <v>260</v>
      </c>
      <c r="BO25" s="2450">
        <v>1</v>
      </c>
      <c r="BP25" s="2450">
        <v>0</v>
      </c>
      <c r="BQ25" s="2450">
        <v>1</v>
      </c>
      <c r="BR25" s="2459"/>
      <c r="BS25" s="2459">
        <v>2772500</v>
      </c>
      <c r="BU25" s="2450" t="s">
        <v>1296</v>
      </c>
      <c r="BV25" s="2454">
        <v>44753</v>
      </c>
      <c r="BW25" s="2450">
        <v>154</v>
      </c>
      <c r="BX25" s="2463">
        <v>2.5000000000000001E-3</v>
      </c>
      <c r="BY25" s="2450">
        <v>178</v>
      </c>
      <c r="BZ25" s="2450"/>
      <c r="CA25" s="2450"/>
      <c r="CB25" s="2450"/>
      <c r="CD25" s="2450" t="s">
        <v>1296</v>
      </c>
      <c r="CE25" s="2450" t="s">
        <v>2909</v>
      </c>
      <c r="CF25" s="2454">
        <v>44753</v>
      </c>
      <c r="CG25" s="2454"/>
      <c r="CH25" s="2450">
        <v>4</v>
      </c>
      <c r="CI25" s="2463">
        <v>0.01</v>
      </c>
      <c r="CJ25" s="2459"/>
      <c r="CK25" s="2459">
        <v>2772500</v>
      </c>
      <c r="CL25" s="2450"/>
      <c r="CM25" s="2463">
        <v>1</v>
      </c>
      <c r="CN25" s="2463"/>
      <c r="CO25" s="2463"/>
    </row>
    <row r="26" spans="1:93">
      <c r="A26" s="2450"/>
      <c r="B26" s="2450"/>
      <c r="C26" s="2454"/>
      <c r="D26" s="2454"/>
      <c r="E26" s="2450"/>
      <c r="F26" s="2454"/>
      <c r="G26" s="2454"/>
      <c r="H26" s="2454"/>
      <c r="I26" s="2454"/>
      <c r="J26" s="2454"/>
      <c r="K26" s="2454"/>
      <c r="L26" s="2454"/>
      <c r="M26" s="2454"/>
      <c r="N26" s="2454"/>
      <c r="O26" s="2454"/>
      <c r="P26" s="2454"/>
      <c r="Q26" s="2454"/>
      <c r="R26" s="2454"/>
      <c r="S26" s="2458"/>
      <c r="T26" s="2458"/>
      <c r="U26" s="2450"/>
      <c r="V26" s="2450"/>
      <c r="W26" s="2454"/>
      <c r="X26" s="2454"/>
      <c r="Y26" s="2450"/>
      <c r="Z26" s="2459"/>
      <c r="AA26" s="2459"/>
      <c r="AB26" s="2459"/>
      <c r="AC26" s="2450"/>
      <c r="AD26" s="2450"/>
      <c r="AE26" s="2450"/>
      <c r="AF26" s="2450"/>
      <c r="AG26" s="2450"/>
      <c r="AH26" s="2450"/>
      <c r="AI26" s="2458"/>
      <c r="AJ26" s="2458"/>
      <c r="AK26" s="2458"/>
      <c r="AL26" s="2458"/>
      <c r="AM26" s="2458"/>
      <c r="AN26" s="2459"/>
      <c r="AO26" s="2459"/>
      <c r="AP26" s="2450"/>
      <c r="AQ26" s="2450"/>
      <c r="AR26" s="2450"/>
      <c r="AS26" s="2454"/>
      <c r="AT26" s="2450"/>
      <c r="AU26" s="2450"/>
      <c r="AV26" s="2450"/>
      <c r="AW26" s="2459"/>
      <c r="AX26" s="2450"/>
      <c r="AY26" s="2450"/>
      <c r="AZ26" s="2450"/>
      <c r="BA26" s="2450"/>
      <c r="BB26" s="2450"/>
      <c r="BC26" s="2450"/>
      <c r="BD26" s="2450"/>
      <c r="BE26" s="2450"/>
      <c r="BF26" s="2450"/>
      <c r="BG26" s="2450"/>
      <c r="BH26" s="2450"/>
      <c r="BI26" s="2450"/>
      <c r="BJ26" s="2450"/>
      <c r="BK26" s="2453"/>
      <c r="BL26" s="2450"/>
      <c r="BM26" s="2450"/>
      <c r="BN26" s="2450"/>
      <c r="BO26" s="2450"/>
      <c r="BP26" s="2450"/>
      <c r="BQ26" s="2450"/>
      <c r="BR26" s="2459"/>
      <c r="BS26" s="2459"/>
      <c r="BU26" s="2450"/>
      <c r="BV26" s="2454"/>
      <c r="BW26" s="2450"/>
      <c r="BX26" s="2463"/>
      <c r="BY26" s="2450"/>
      <c r="BZ26" s="2450"/>
      <c r="CA26" s="2450"/>
      <c r="CB26" s="2450"/>
      <c r="CD26" s="2450" t="s">
        <v>697</v>
      </c>
      <c r="CE26" s="2450" t="s">
        <v>2910</v>
      </c>
      <c r="CF26" s="2454">
        <v>44753</v>
      </c>
      <c r="CG26" s="2454"/>
      <c r="CH26" s="2450">
        <v>16</v>
      </c>
      <c r="CI26" s="2463">
        <v>-5.0000000000000001E-3</v>
      </c>
      <c r="CJ26" s="2459"/>
      <c r="CK26" s="2459"/>
      <c r="CL26" s="2450"/>
      <c r="CM26" s="2463"/>
      <c r="CN26" s="2463"/>
      <c r="CO26" s="2463"/>
    </row>
    <row r="27" spans="1:93">
      <c r="A27" s="2450"/>
      <c r="B27" s="2450"/>
      <c r="C27" s="2454"/>
      <c r="D27" s="2454"/>
      <c r="E27" s="2450"/>
      <c r="F27" s="2454"/>
      <c r="G27" s="2454"/>
      <c r="H27" s="2454"/>
      <c r="I27" s="2454"/>
      <c r="J27" s="2454"/>
      <c r="K27" s="2454"/>
      <c r="L27" s="2454"/>
      <c r="M27" s="2454"/>
      <c r="N27" s="2454"/>
      <c r="O27" s="2454"/>
      <c r="P27" s="2454"/>
      <c r="Q27" s="2454"/>
      <c r="R27" s="2454"/>
      <c r="S27" s="2458"/>
      <c r="T27" s="2458"/>
      <c r="U27" s="2450"/>
      <c r="V27" s="2450"/>
      <c r="W27" s="2454"/>
      <c r="X27" s="2454"/>
      <c r="Y27" s="2450"/>
      <c r="Z27" s="2459"/>
      <c r="AA27" s="2459"/>
      <c r="AB27" s="2459"/>
      <c r="AC27" s="2450"/>
      <c r="AD27" s="2450"/>
      <c r="AE27" s="2450"/>
      <c r="AF27" s="2450"/>
      <c r="AG27" s="2450"/>
      <c r="AH27" s="2450"/>
      <c r="AI27" s="2458"/>
      <c r="AJ27" s="2458"/>
      <c r="AK27" s="2458"/>
      <c r="AL27" s="2458"/>
      <c r="AM27" s="2458"/>
      <c r="AN27" s="2459"/>
      <c r="AO27" s="2459"/>
      <c r="AP27" s="2450"/>
      <c r="AQ27" s="2450"/>
      <c r="AR27" s="2450"/>
      <c r="AS27" s="2454"/>
      <c r="AT27" s="2450"/>
      <c r="AU27" s="2450"/>
      <c r="AV27" s="2450"/>
      <c r="AW27" s="2459"/>
      <c r="AX27" s="2450"/>
      <c r="AY27" s="2450"/>
      <c r="AZ27" s="2450"/>
      <c r="BA27" s="2450"/>
      <c r="BB27" s="2450"/>
      <c r="BC27" s="2450"/>
      <c r="BD27" s="2450"/>
      <c r="BE27" s="2450"/>
      <c r="BF27" s="2450"/>
      <c r="BG27" s="2450"/>
      <c r="BH27" s="2450"/>
      <c r="BI27" s="2450"/>
      <c r="BJ27" s="2450"/>
      <c r="BK27" s="2453"/>
      <c r="BL27" s="2450"/>
      <c r="BM27" s="2450"/>
      <c r="BN27" s="2450"/>
      <c r="BO27" s="2450"/>
      <c r="BP27" s="2450"/>
      <c r="BQ27" s="2450"/>
      <c r="BR27" s="2459"/>
      <c r="BS27" s="2459"/>
      <c r="BU27" s="2450"/>
      <c r="BV27" s="2454"/>
      <c r="BW27" s="2450"/>
      <c r="BX27" s="2463"/>
      <c r="BY27" s="2450"/>
      <c r="BZ27" s="2450"/>
      <c r="CA27" s="2450"/>
      <c r="CB27" s="2450"/>
      <c r="CD27" s="2450" t="s">
        <v>780</v>
      </c>
      <c r="CE27" s="2450" t="s">
        <v>2910</v>
      </c>
      <c r="CF27" s="2454">
        <v>44753</v>
      </c>
      <c r="CG27" s="2454"/>
      <c r="CH27" s="2450">
        <v>16</v>
      </c>
      <c r="CI27" s="2463">
        <v>-5.0000000000000001E-3</v>
      </c>
      <c r="CJ27" s="2459"/>
      <c r="CK27" s="2459"/>
      <c r="CL27" s="2450"/>
      <c r="CM27" s="2463"/>
      <c r="CN27" s="2463"/>
      <c r="CO27" s="2463"/>
    </row>
    <row r="28" spans="1:93">
      <c r="A28" s="2450"/>
      <c r="B28" s="2450"/>
      <c r="C28" s="2454"/>
      <c r="D28" s="2454"/>
      <c r="E28" s="2450"/>
      <c r="F28" s="2454"/>
      <c r="G28" s="2454"/>
      <c r="H28" s="2454"/>
      <c r="I28" s="2454"/>
      <c r="J28" s="2454"/>
      <c r="K28" s="2454"/>
      <c r="L28" s="2454"/>
      <c r="M28" s="2454"/>
      <c r="N28" s="2454"/>
      <c r="O28" s="2454"/>
      <c r="P28" s="2454"/>
      <c r="Q28" s="2454"/>
      <c r="R28" s="2454"/>
      <c r="S28" s="2458"/>
      <c r="T28" s="2458"/>
      <c r="U28" s="2450"/>
      <c r="V28" s="2450"/>
      <c r="W28" s="2454"/>
      <c r="X28" s="2454"/>
      <c r="Y28" s="2450"/>
      <c r="Z28" s="2459"/>
      <c r="AA28" s="2459"/>
      <c r="AB28" s="2459"/>
      <c r="AC28" s="2450"/>
      <c r="AD28" s="2450"/>
      <c r="AE28" s="2450"/>
      <c r="AF28" s="2450"/>
      <c r="AG28" s="2450"/>
      <c r="AH28" s="2450"/>
      <c r="AI28" s="2458"/>
      <c r="AJ28" s="2458"/>
      <c r="AK28" s="2458"/>
      <c r="AL28" s="2458"/>
      <c r="AM28" s="2458"/>
      <c r="AN28" s="2459"/>
      <c r="AO28" s="2459"/>
      <c r="AP28" s="2450"/>
      <c r="AQ28" s="2450"/>
      <c r="AR28" s="2450"/>
      <c r="AS28" s="2454"/>
      <c r="AT28" s="2450"/>
      <c r="AU28" s="2450"/>
      <c r="AV28" s="2450"/>
      <c r="AW28" s="2459"/>
      <c r="AX28" s="2450"/>
      <c r="AY28" s="2450"/>
      <c r="AZ28" s="2450"/>
      <c r="BA28" s="2450"/>
      <c r="BB28" s="2450"/>
      <c r="BC28" s="2450"/>
      <c r="BD28" s="2450"/>
      <c r="BE28" s="2450"/>
      <c r="BF28" s="2450"/>
      <c r="BG28" s="2450"/>
      <c r="BH28" s="2450"/>
      <c r="BI28" s="2450"/>
      <c r="BJ28" s="2450"/>
      <c r="BK28" s="2453"/>
      <c r="BL28" s="2450"/>
      <c r="BM28" s="2450"/>
      <c r="BN28" s="2450"/>
      <c r="BO28" s="2450"/>
      <c r="BP28" s="2450"/>
      <c r="BQ28" s="2450"/>
      <c r="BR28" s="2459"/>
      <c r="BS28" s="2459"/>
      <c r="BU28" s="2450"/>
      <c r="BV28" s="2454"/>
      <c r="BW28" s="2450"/>
      <c r="BX28" s="2463"/>
      <c r="BY28" s="2450"/>
      <c r="BZ28" s="2450"/>
      <c r="CA28" s="2450"/>
      <c r="CB28" s="2450"/>
      <c r="CD28" s="2450" t="s">
        <v>1287</v>
      </c>
      <c r="CE28" s="2450" t="s">
        <v>2910</v>
      </c>
      <c r="CF28" s="2454">
        <v>44753</v>
      </c>
      <c r="CG28" s="2454"/>
      <c r="CH28" s="2450">
        <v>16</v>
      </c>
      <c r="CI28" s="2463">
        <v>-5.0000000000000001E-3</v>
      </c>
      <c r="CJ28" s="2459"/>
      <c r="CK28" s="2459"/>
      <c r="CL28" s="2450"/>
      <c r="CM28" s="2463"/>
      <c r="CN28" s="2463"/>
      <c r="CO28" s="2463"/>
    </row>
    <row r="29" spans="1:93">
      <c r="A29" s="2450"/>
      <c r="B29" s="2450"/>
      <c r="C29" s="2454"/>
      <c r="D29" s="2454"/>
      <c r="E29" s="2450"/>
      <c r="F29" s="2454"/>
      <c r="G29" s="2454"/>
      <c r="H29" s="2454"/>
      <c r="I29" s="2454"/>
      <c r="J29" s="2454"/>
      <c r="K29" s="2454"/>
      <c r="L29" s="2454"/>
      <c r="M29" s="2454"/>
      <c r="N29" s="2454"/>
      <c r="O29" s="2454"/>
      <c r="P29" s="2454"/>
      <c r="Q29" s="2454"/>
      <c r="R29" s="2454"/>
      <c r="S29" s="2458"/>
      <c r="T29" s="2458"/>
      <c r="U29" s="2450"/>
      <c r="V29" s="2450"/>
      <c r="W29" s="2454"/>
      <c r="X29" s="2454"/>
      <c r="Y29" s="2450"/>
      <c r="Z29" s="2459"/>
      <c r="AA29" s="2459"/>
      <c r="AB29" s="2459"/>
      <c r="AC29" s="2450"/>
      <c r="AD29" s="2450"/>
      <c r="AE29" s="2450"/>
      <c r="AF29" s="2450"/>
      <c r="AG29" s="2450"/>
      <c r="AH29" s="2450"/>
      <c r="AI29" s="2458"/>
      <c r="AJ29" s="2458"/>
      <c r="AK29" s="2458"/>
      <c r="AL29" s="2458"/>
      <c r="AM29" s="2458"/>
      <c r="AN29" s="2459"/>
      <c r="AO29" s="2459"/>
      <c r="AP29" s="2450"/>
      <c r="AQ29" s="2450"/>
      <c r="AR29" s="2450"/>
      <c r="AS29" s="2454"/>
      <c r="AT29" s="2450"/>
      <c r="AU29" s="2450"/>
      <c r="AV29" s="2450"/>
      <c r="AW29" s="2459"/>
      <c r="AX29" s="2450"/>
      <c r="AY29" s="2450"/>
      <c r="AZ29" s="2450"/>
      <c r="BA29" s="2450"/>
      <c r="BB29" s="2450"/>
      <c r="BC29" s="2450"/>
      <c r="BD29" s="2450"/>
      <c r="BE29" s="2450"/>
      <c r="BF29" s="2450"/>
      <c r="BG29" s="2450"/>
      <c r="BH29" s="2450"/>
      <c r="BI29" s="2450"/>
      <c r="BJ29" s="2450"/>
      <c r="BK29" s="2453"/>
      <c r="BL29" s="2450"/>
      <c r="BM29" s="2450"/>
      <c r="BN29" s="2450"/>
      <c r="BO29" s="2450"/>
      <c r="BP29" s="2450"/>
      <c r="BQ29" s="2450"/>
      <c r="BR29" s="2459"/>
      <c r="BS29" s="2459"/>
      <c r="BU29" s="2450"/>
      <c r="BV29" s="2454"/>
      <c r="BW29" s="2450"/>
      <c r="BX29" s="2463"/>
      <c r="BY29" s="2450"/>
      <c r="BZ29" s="2450"/>
      <c r="CA29" s="2450"/>
      <c r="CB29" s="2450"/>
      <c r="CD29" s="2450" t="s">
        <v>727</v>
      </c>
      <c r="CE29" s="2450" t="s">
        <v>2910</v>
      </c>
      <c r="CF29" s="2454">
        <v>44753</v>
      </c>
      <c r="CG29" s="2454"/>
      <c r="CH29" s="2450">
        <v>16</v>
      </c>
      <c r="CI29" s="2463">
        <v>-5.0000000000000001E-3</v>
      </c>
      <c r="CJ29" s="2459"/>
      <c r="CK29" s="2459"/>
      <c r="CL29" s="2450"/>
      <c r="CM29" s="2463"/>
      <c r="CN29" s="2463"/>
      <c r="CO29" s="2463"/>
    </row>
    <row r="30" spans="1:93">
      <c r="A30" s="2450"/>
      <c r="B30" s="2450"/>
      <c r="C30" s="2454"/>
      <c r="D30" s="2454"/>
      <c r="E30" s="2450"/>
      <c r="F30" s="2454"/>
      <c r="G30" s="2454"/>
      <c r="H30" s="2454"/>
      <c r="I30" s="2454"/>
      <c r="J30" s="2454"/>
      <c r="K30" s="2454"/>
      <c r="L30" s="2454"/>
      <c r="M30" s="2454"/>
      <c r="N30" s="2454"/>
      <c r="O30" s="2454"/>
      <c r="P30" s="2454"/>
      <c r="Q30" s="2454"/>
      <c r="R30" s="2454"/>
      <c r="S30" s="2458"/>
      <c r="T30" s="2458"/>
      <c r="U30" s="2450"/>
      <c r="V30" s="2450"/>
      <c r="W30" s="2454"/>
      <c r="X30" s="2454"/>
      <c r="Y30" s="2450"/>
      <c r="Z30" s="2459"/>
      <c r="AA30" s="2459"/>
      <c r="AB30" s="2459"/>
      <c r="AC30" s="2450"/>
      <c r="AD30" s="2450"/>
      <c r="AE30" s="2450"/>
      <c r="AF30" s="2450"/>
      <c r="AG30" s="2450"/>
      <c r="AH30" s="2450"/>
      <c r="AI30" s="2458"/>
      <c r="AJ30" s="2458"/>
      <c r="AK30" s="2458"/>
      <c r="AL30" s="2458"/>
      <c r="AM30" s="2458"/>
      <c r="AN30" s="2459"/>
      <c r="AO30" s="2459"/>
      <c r="AP30" s="2450"/>
      <c r="AQ30" s="2450"/>
      <c r="AR30" s="2450"/>
      <c r="AS30" s="2454"/>
      <c r="AT30" s="2450"/>
      <c r="AU30" s="2450"/>
      <c r="AV30" s="2450"/>
      <c r="AW30" s="2459"/>
      <c r="AX30" s="2450"/>
      <c r="AY30" s="2450"/>
      <c r="AZ30" s="2450"/>
      <c r="BA30" s="2450"/>
      <c r="BB30" s="2450"/>
      <c r="BC30" s="2450"/>
      <c r="BD30" s="2450"/>
      <c r="BE30" s="2450"/>
      <c r="BF30" s="2450"/>
      <c r="BG30" s="2450"/>
      <c r="BH30" s="2450"/>
      <c r="BI30" s="2450"/>
      <c r="BJ30" s="2450"/>
      <c r="BK30" s="2453"/>
      <c r="BL30" s="2450"/>
      <c r="BM30" s="2450"/>
      <c r="BN30" s="2450"/>
      <c r="BO30" s="2450"/>
      <c r="BP30" s="2450"/>
      <c r="BQ30" s="2450"/>
      <c r="BR30" s="2459"/>
      <c r="BS30" s="2459"/>
      <c r="BU30" s="2450"/>
      <c r="BV30" s="2454"/>
      <c r="BW30" s="2450"/>
      <c r="BX30" s="2463"/>
      <c r="BY30" s="2450"/>
      <c r="BZ30" s="2450"/>
      <c r="CA30" s="2450"/>
      <c r="CB30" s="2450"/>
      <c r="CD30" s="2450" t="s">
        <v>803</v>
      </c>
      <c r="CE30" s="2450" t="s">
        <v>2910</v>
      </c>
      <c r="CF30" s="2454">
        <v>44753</v>
      </c>
      <c r="CG30" s="2454"/>
      <c r="CH30" s="2450">
        <v>16</v>
      </c>
      <c r="CI30" s="2463">
        <v>-5.0000000000000001E-3</v>
      </c>
      <c r="CJ30" s="2459"/>
      <c r="CK30" s="2459"/>
      <c r="CL30" s="2450"/>
      <c r="CM30" s="2463"/>
      <c r="CN30" s="2463"/>
      <c r="CO30" s="2463"/>
    </row>
    <row r="31" spans="1:93">
      <c r="A31" s="2450"/>
      <c r="B31" s="2450"/>
      <c r="C31" s="2454"/>
      <c r="D31" s="2454"/>
      <c r="E31" s="2450"/>
      <c r="F31" s="2454"/>
      <c r="G31" s="2454"/>
      <c r="H31" s="2454"/>
      <c r="I31" s="2454"/>
      <c r="J31" s="2454"/>
      <c r="K31" s="2454"/>
      <c r="L31" s="2454"/>
      <c r="M31" s="2454"/>
      <c r="N31" s="2454"/>
      <c r="O31" s="2454"/>
      <c r="P31" s="2454"/>
      <c r="Q31" s="2454"/>
      <c r="R31" s="2454"/>
      <c r="S31" s="2458"/>
      <c r="T31" s="2458"/>
      <c r="U31" s="2450"/>
      <c r="V31" s="2450"/>
      <c r="W31" s="2454"/>
      <c r="X31" s="2454"/>
      <c r="Y31" s="2450"/>
      <c r="Z31" s="2459"/>
      <c r="AA31" s="2459"/>
      <c r="AB31" s="2459"/>
      <c r="AC31" s="2450"/>
      <c r="AD31" s="2450"/>
      <c r="AE31" s="2450"/>
      <c r="AF31" s="2450"/>
      <c r="AG31" s="2450"/>
      <c r="AH31" s="2450"/>
      <c r="AI31" s="2458"/>
      <c r="AJ31" s="2458"/>
      <c r="AK31" s="2458"/>
      <c r="AL31" s="2458"/>
      <c r="AM31" s="2458"/>
      <c r="AN31" s="2459"/>
      <c r="AO31" s="2459"/>
      <c r="AP31" s="2450"/>
      <c r="AQ31" s="2450"/>
      <c r="AR31" s="2450"/>
      <c r="AS31" s="2454"/>
      <c r="AT31" s="2450"/>
      <c r="AU31" s="2450"/>
      <c r="AV31" s="2450"/>
      <c r="AW31" s="2459"/>
      <c r="AX31" s="2450"/>
      <c r="AY31" s="2450"/>
      <c r="AZ31" s="2450"/>
      <c r="BA31" s="2450"/>
      <c r="BB31" s="2450"/>
      <c r="BC31" s="2450"/>
      <c r="BD31" s="2450"/>
      <c r="BE31" s="2450"/>
      <c r="BF31" s="2450"/>
      <c r="BG31" s="2450"/>
      <c r="BH31" s="2450"/>
      <c r="BI31" s="2450"/>
      <c r="BJ31" s="2450"/>
      <c r="BK31" s="2453"/>
      <c r="BL31" s="2450"/>
      <c r="BM31" s="2450"/>
      <c r="BN31" s="2450"/>
      <c r="BO31" s="2450"/>
      <c r="BP31" s="2450"/>
      <c r="BQ31" s="2450"/>
      <c r="BR31" s="2459"/>
      <c r="BS31" s="2459"/>
      <c r="BU31" s="2450"/>
      <c r="BV31" s="2454"/>
      <c r="BW31" s="2450"/>
      <c r="BX31" s="2463"/>
      <c r="BY31" s="2450"/>
      <c r="BZ31" s="2450"/>
      <c r="CA31" s="2450"/>
      <c r="CB31" s="2450"/>
      <c r="CD31" s="2450" t="s">
        <v>1289</v>
      </c>
      <c r="CE31" s="2450" t="s">
        <v>2910</v>
      </c>
      <c r="CF31" s="2454">
        <v>44753</v>
      </c>
      <c r="CG31" s="2454"/>
      <c r="CH31" s="2450">
        <v>16</v>
      </c>
      <c r="CI31" s="2463">
        <v>-5.0000000000000001E-3</v>
      </c>
      <c r="CJ31" s="2459"/>
      <c r="CK31" s="2459"/>
      <c r="CL31" s="2450"/>
      <c r="CM31" s="2463"/>
      <c r="CN31" s="2463"/>
      <c r="CO31" s="2463"/>
    </row>
    <row r="32" spans="1:93">
      <c r="A32" s="2450"/>
      <c r="B32" s="2450"/>
      <c r="C32" s="2454"/>
      <c r="D32" s="2454"/>
      <c r="E32" s="2450"/>
      <c r="F32" s="2454"/>
      <c r="G32" s="2454"/>
      <c r="H32" s="2454"/>
      <c r="I32" s="2454"/>
      <c r="J32" s="2454"/>
      <c r="K32" s="2454"/>
      <c r="L32" s="2454"/>
      <c r="M32" s="2454"/>
      <c r="N32" s="2454"/>
      <c r="O32" s="2454"/>
      <c r="P32" s="2454"/>
      <c r="Q32" s="2454"/>
      <c r="R32" s="2454"/>
      <c r="S32" s="2458"/>
      <c r="T32" s="2458"/>
      <c r="U32" s="2450"/>
      <c r="V32" s="2450"/>
      <c r="W32" s="2454"/>
      <c r="X32" s="2454"/>
      <c r="Y32" s="2450"/>
      <c r="Z32" s="2459"/>
      <c r="AA32" s="2459"/>
      <c r="AB32" s="2459"/>
      <c r="AC32" s="2450"/>
      <c r="AD32" s="2450"/>
      <c r="AE32" s="2450"/>
      <c r="AF32" s="2450"/>
      <c r="AG32" s="2450"/>
      <c r="AH32" s="2450"/>
      <c r="AI32" s="2458"/>
      <c r="AJ32" s="2458"/>
      <c r="AK32" s="2458"/>
      <c r="AL32" s="2458"/>
      <c r="AM32" s="2458"/>
      <c r="AN32" s="2459"/>
      <c r="AO32" s="2459"/>
      <c r="AP32" s="2450"/>
      <c r="AQ32" s="2450"/>
      <c r="AR32" s="2450"/>
      <c r="AS32" s="2454"/>
      <c r="AT32" s="2450"/>
      <c r="AU32" s="2450"/>
      <c r="AV32" s="2450"/>
      <c r="AW32" s="2459"/>
      <c r="AX32" s="2450"/>
      <c r="AY32" s="2450"/>
      <c r="AZ32" s="2450"/>
      <c r="BA32" s="2450"/>
      <c r="BB32" s="2450"/>
      <c r="BC32" s="2450"/>
      <c r="BD32" s="2450"/>
      <c r="BE32" s="2450"/>
      <c r="BF32" s="2450"/>
      <c r="BG32" s="2450"/>
      <c r="BH32" s="2450"/>
      <c r="BI32" s="2450"/>
      <c r="BJ32" s="2450"/>
      <c r="BK32" s="2453"/>
      <c r="BL32" s="2450"/>
      <c r="BM32" s="2450"/>
      <c r="BN32" s="2450"/>
      <c r="BO32" s="2450"/>
      <c r="BP32" s="2450"/>
      <c r="BQ32" s="2450"/>
      <c r="BR32" s="2459"/>
      <c r="BS32" s="2459"/>
      <c r="BU32" s="2450"/>
      <c r="BV32" s="2454"/>
      <c r="BW32" s="2450"/>
      <c r="BX32" s="2463"/>
      <c r="BY32" s="2450"/>
      <c r="BZ32" s="2450"/>
      <c r="CA32" s="2450"/>
      <c r="CB32" s="2450"/>
      <c r="CD32" s="2450" t="s">
        <v>754</v>
      </c>
      <c r="CE32" s="2450" t="s">
        <v>2910</v>
      </c>
      <c r="CF32" s="2454">
        <v>44753</v>
      </c>
      <c r="CG32" s="2454"/>
      <c r="CH32" s="2450">
        <v>16</v>
      </c>
      <c r="CI32" s="2463">
        <v>0</v>
      </c>
      <c r="CJ32" s="2459"/>
      <c r="CK32" s="2459"/>
      <c r="CL32" s="2450"/>
      <c r="CM32" s="2463"/>
      <c r="CN32" s="2463"/>
      <c r="CO32" s="2463"/>
    </row>
    <row r="33" spans="1:93">
      <c r="A33" s="2450"/>
      <c r="B33" s="2450"/>
      <c r="C33" s="2454"/>
      <c r="D33" s="2454"/>
      <c r="E33" s="2450"/>
      <c r="F33" s="2454"/>
      <c r="G33" s="2454"/>
      <c r="H33" s="2454"/>
      <c r="I33" s="2454"/>
      <c r="J33" s="2454"/>
      <c r="K33" s="2454"/>
      <c r="L33" s="2454"/>
      <c r="M33" s="2454"/>
      <c r="N33" s="2454"/>
      <c r="O33" s="2454"/>
      <c r="P33" s="2454"/>
      <c r="Q33" s="2454"/>
      <c r="R33" s="2454"/>
      <c r="S33" s="2458"/>
      <c r="T33" s="2458"/>
      <c r="U33" s="2450"/>
      <c r="V33" s="2450"/>
      <c r="W33" s="2454"/>
      <c r="X33" s="2454"/>
      <c r="Y33" s="2450"/>
      <c r="Z33" s="2459"/>
      <c r="AA33" s="2459"/>
      <c r="AB33" s="2459"/>
      <c r="AC33" s="2450"/>
      <c r="AD33" s="2450"/>
      <c r="AE33" s="2450"/>
      <c r="AF33" s="2450"/>
      <c r="AG33" s="2450"/>
      <c r="AH33" s="2450"/>
      <c r="AI33" s="2458"/>
      <c r="AJ33" s="2458"/>
      <c r="AK33" s="2458"/>
      <c r="AL33" s="2458"/>
      <c r="AM33" s="2458"/>
      <c r="AN33" s="2459"/>
      <c r="AO33" s="2459"/>
      <c r="AP33" s="2450"/>
      <c r="AQ33" s="2450"/>
      <c r="AR33" s="2450"/>
      <c r="AS33" s="2454"/>
      <c r="AT33" s="2450"/>
      <c r="AU33" s="2450"/>
      <c r="AV33" s="2450"/>
      <c r="AW33" s="2459"/>
      <c r="AX33" s="2450"/>
      <c r="AY33" s="2450"/>
      <c r="AZ33" s="2450"/>
      <c r="BA33" s="2450"/>
      <c r="BB33" s="2450"/>
      <c r="BC33" s="2450"/>
      <c r="BD33" s="2450"/>
      <c r="BE33" s="2450"/>
      <c r="BF33" s="2450"/>
      <c r="BG33" s="2450"/>
      <c r="BH33" s="2450"/>
      <c r="BI33" s="2450"/>
      <c r="BJ33" s="2450"/>
      <c r="BK33" s="2453"/>
      <c r="BL33" s="2450"/>
      <c r="BM33" s="2450"/>
      <c r="BN33" s="2450"/>
      <c r="BO33" s="2450"/>
      <c r="BP33" s="2450"/>
      <c r="BQ33" s="2450"/>
      <c r="BR33" s="2459"/>
      <c r="BS33" s="2459"/>
      <c r="BU33" s="2450"/>
      <c r="BV33" s="2454"/>
      <c r="BW33" s="2450"/>
      <c r="BX33" s="2463"/>
      <c r="BY33" s="2450"/>
      <c r="BZ33" s="2450"/>
      <c r="CA33" s="2450"/>
      <c r="CB33" s="2450"/>
      <c r="CD33" s="2450" t="s">
        <v>829</v>
      </c>
      <c r="CE33" s="2450" t="s">
        <v>2910</v>
      </c>
      <c r="CF33" s="2454">
        <v>44753</v>
      </c>
      <c r="CG33" s="2454"/>
      <c r="CH33" s="2450">
        <v>16</v>
      </c>
      <c r="CI33" s="2463">
        <v>0</v>
      </c>
      <c r="CJ33" s="2459"/>
      <c r="CK33" s="2459"/>
      <c r="CL33" s="2450"/>
      <c r="CM33" s="2463"/>
      <c r="CN33" s="2463"/>
      <c r="CO33" s="2463"/>
    </row>
    <row r="34" spans="1:93">
      <c r="A34" s="2450"/>
      <c r="B34" s="2450"/>
      <c r="C34" s="2454"/>
      <c r="D34" s="2454"/>
      <c r="E34" s="2450"/>
      <c r="F34" s="2454"/>
      <c r="G34" s="2454"/>
      <c r="H34" s="2454"/>
      <c r="I34" s="2454"/>
      <c r="J34" s="2454"/>
      <c r="K34" s="2454"/>
      <c r="L34" s="2454"/>
      <c r="M34" s="2454"/>
      <c r="N34" s="2454"/>
      <c r="O34" s="2454"/>
      <c r="P34" s="2454"/>
      <c r="Q34" s="2454"/>
      <c r="R34" s="2454"/>
      <c r="S34" s="2458"/>
      <c r="T34" s="2458"/>
      <c r="U34" s="2450"/>
      <c r="V34" s="2450"/>
      <c r="W34" s="2454"/>
      <c r="X34" s="2454"/>
      <c r="Y34" s="2450"/>
      <c r="Z34" s="2459"/>
      <c r="AA34" s="2459"/>
      <c r="AB34" s="2459"/>
      <c r="AC34" s="2450"/>
      <c r="AD34" s="2450"/>
      <c r="AE34" s="2450"/>
      <c r="AF34" s="2450"/>
      <c r="AG34" s="2450"/>
      <c r="AH34" s="2450"/>
      <c r="AI34" s="2458"/>
      <c r="AJ34" s="2458"/>
      <c r="AK34" s="2458"/>
      <c r="AL34" s="2458"/>
      <c r="AM34" s="2458"/>
      <c r="AN34" s="2459"/>
      <c r="AO34" s="2459"/>
      <c r="AP34" s="2450"/>
      <c r="AQ34" s="2450"/>
      <c r="AR34" s="2450"/>
      <c r="AS34" s="2454"/>
      <c r="AT34" s="2450"/>
      <c r="AU34" s="2450"/>
      <c r="AV34" s="2450"/>
      <c r="AW34" s="2459"/>
      <c r="AX34" s="2450"/>
      <c r="AY34" s="2450"/>
      <c r="AZ34" s="2450"/>
      <c r="BA34" s="2450"/>
      <c r="BB34" s="2450"/>
      <c r="BC34" s="2450"/>
      <c r="BD34" s="2450"/>
      <c r="BE34" s="2450"/>
      <c r="BF34" s="2450"/>
      <c r="BG34" s="2450"/>
      <c r="BH34" s="2450"/>
      <c r="BI34" s="2450"/>
      <c r="BJ34" s="2450"/>
      <c r="BK34" s="2453"/>
      <c r="BL34" s="2450"/>
      <c r="BM34" s="2450"/>
      <c r="BN34" s="2450"/>
      <c r="BO34" s="2450"/>
      <c r="BP34" s="2450"/>
      <c r="BQ34" s="2450"/>
      <c r="BR34" s="2459"/>
      <c r="BS34" s="2459"/>
      <c r="BU34" s="2450"/>
      <c r="BV34" s="2454"/>
      <c r="BW34" s="2450"/>
      <c r="BX34" s="2463"/>
      <c r="BY34" s="2450"/>
      <c r="BZ34" s="2450"/>
      <c r="CA34" s="2450"/>
      <c r="CB34" s="2450"/>
      <c r="CD34" s="2450" t="s">
        <v>1290</v>
      </c>
      <c r="CE34" s="2450" t="s">
        <v>2910</v>
      </c>
      <c r="CF34" s="2454">
        <v>44753</v>
      </c>
      <c r="CG34" s="2454"/>
      <c r="CH34" s="2450">
        <v>16</v>
      </c>
      <c r="CI34" s="2463">
        <v>0</v>
      </c>
      <c r="CJ34" s="2459"/>
      <c r="CK34" s="2459"/>
      <c r="CL34" s="2450"/>
      <c r="CM34" s="2463"/>
      <c r="CN34" s="2463"/>
      <c r="CO34" s="2463"/>
    </row>
    <row r="35" spans="1:93">
      <c r="A35" s="2450"/>
      <c r="B35" s="2450"/>
      <c r="C35" s="2454"/>
      <c r="D35" s="2454"/>
      <c r="E35" s="2450"/>
      <c r="F35" s="2454"/>
      <c r="G35" s="2454"/>
      <c r="H35" s="2454"/>
      <c r="I35" s="2454"/>
      <c r="J35" s="2454"/>
      <c r="K35" s="2454"/>
      <c r="L35" s="2454"/>
      <c r="M35" s="2454"/>
      <c r="N35" s="2454"/>
      <c r="O35" s="2454"/>
      <c r="P35" s="2454"/>
      <c r="Q35" s="2454"/>
      <c r="R35" s="2454"/>
      <c r="S35" s="2458"/>
      <c r="T35" s="2458"/>
      <c r="U35" s="2450"/>
      <c r="V35" s="2450"/>
      <c r="W35" s="2454"/>
      <c r="X35" s="2454"/>
      <c r="Y35" s="2450"/>
      <c r="Z35" s="2459"/>
      <c r="AA35" s="2459"/>
      <c r="AB35" s="2459"/>
      <c r="AC35" s="2450"/>
      <c r="AD35" s="2450"/>
      <c r="AE35" s="2450"/>
      <c r="AF35" s="2450"/>
      <c r="AG35" s="2450"/>
      <c r="AH35" s="2450"/>
      <c r="AI35" s="2458"/>
      <c r="AJ35" s="2458"/>
      <c r="AK35" s="2458"/>
      <c r="AL35" s="2458"/>
      <c r="AM35" s="2458"/>
      <c r="AN35" s="2459"/>
      <c r="AO35" s="2459"/>
      <c r="AP35" s="2450"/>
      <c r="AQ35" s="2450"/>
      <c r="AR35" s="2450"/>
      <c r="AS35" s="2454"/>
      <c r="AT35" s="2450"/>
      <c r="AU35" s="2450"/>
      <c r="AV35" s="2450"/>
      <c r="AW35" s="2459"/>
      <c r="AX35" s="2450"/>
      <c r="AY35" s="2450"/>
      <c r="AZ35" s="2450"/>
      <c r="BA35" s="2450"/>
      <c r="BB35" s="2450"/>
      <c r="BC35" s="2450"/>
      <c r="BD35" s="2450"/>
      <c r="BE35" s="2450"/>
      <c r="BF35" s="2450"/>
      <c r="BG35" s="2450"/>
      <c r="BH35" s="2450"/>
      <c r="BI35" s="2450"/>
      <c r="BJ35" s="2450"/>
      <c r="BK35" s="2453"/>
      <c r="BL35" s="2450"/>
      <c r="BM35" s="2450"/>
      <c r="BN35" s="2450"/>
      <c r="BO35" s="2450"/>
      <c r="BP35" s="2450"/>
      <c r="BQ35" s="2450"/>
      <c r="BR35" s="2459"/>
      <c r="BS35" s="2459"/>
      <c r="BU35" s="2450"/>
      <c r="BV35" s="2454"/>
      <c r="BW35" s="2450"/>
      <c r="BX35" s="2463"/>
      <c r="BY35" s="2450"/>
      <c r="BZ35" s="2450"/>
      <c r="CA35" s="2450"/>
      <c r="CB35" s="2450"/>
      <c r="CD35" s="2450" t="s">
        <v>2477</v>
      </c>
      <c r="CE35" s="2450" t="s">
        <v>2910</v>
      </c>
      <c r="CF35" s="2454">
        <v>44753</v>
      </c>
      <c r="CG35" s="2454"/>
      <c r="CH35" s="2450">
        <v>16</v>
      </c>
      <c r="CI35" s="2463">
        <v>0</v>
      </c>
      <c r="CJ35" s="2459"/>
      <c r="CK35" s="2459"/>
      <c r="CL35" s="2450"/>
      <c r="CM35" s="2463"/>
      <c r="CN35" s="2463"/>
      <c r="CO35" s="2463"/>
    </row>
    <row r="36" spans="1:93">
      <c r="A36" s="2450"/>
      <c r="B36" s="2450"/>
      <c r="C36" s="2454"/>
      <c r="D36" s="2454"/>
      <c r="E36" s="2450"/>
      <c r="F36" s="2454"/>
      <c r="G36" s="2454"/>
      <c r="H36" s="2454"/>
      <c r="I36" s="2454"/>
      <c r="J36" s="2454"/>
      <c r="K36" s="2454"/>
      <c r="L36" s="2454"/>
      <c r="M36" s="2454"/>
      <c r="N36" s="2454"/>
      <c r="O36" s="2454"/>
      <c r="P36" s="2454"/>
      <c r="Q36" s="2454"/>
      <c r="R36" s="2454"/>
      <c r="S36" s="2458"/>
      <c r="T36" s="2458"/>
      <c r="U36" s="2450"/>
      <c r="V36" s="2450"/>
      <c r="W36" s="2454"/>
      <c r="X36" s="2454"/>
      <c r="Y36" s="2450"/>
      <c r="Z36" s="2459"/>
      <c r="AA36" s="2459"/>
      <c r="AB36" s="2459"/>
      <c r="AC36" s="2450"/>
      <c r="AD36" s="2450"/>
      <c r="AE36" s="2450"/>
      <c r="AF36" s="2450"/>
      <c r="AG36" s="2450"/>
      <c r="AH36" s="2450"/>
      <c r="AI36" s="2458"/>
      <c r="AJ36" s="2458"/>
      <c r="AK36" s="2458"/>
      <c r="AL36" s="2458"/>
      <c r="AM36" s="2458"/>
      <c r="AN36" s="2459"/>
      <c r="AO36" s="2459"/>
      <c r="AP36" s="2450"/>
      <c r="AQ36" s="2450"/>
      <c r="AR36" s="2450"/>
      <c r="AS36" s="2454"/>
      <c r="AT36" s="2450"/>
      <c r="AU36" s="2450"/>
      <c r="AV36" s="2450"/>
      <c r="AW36" s="2459"/>
      <c r="AX36" s="2450"/>
      <c r="AY36" s="2450"/>
      <c r="AZ36" s="2450"/>
      <c r="BA36" s="2450"/>
      <c r="BB36" s="2450"/>
      <c r="BC36" s="2450"/>
      <c r="BD36" s="2450"/>
      <c r="BE36" s="2450"/>
      <c r="BF36" s="2450"/>
      <c r="BG36" s="2450"/>
      <c r="BH36" s="2450"/>
      <c r="BI36" s="2450"/>
      <c r="BJ36" s="2450"/>
      <c r="BK36" s="2453"/>
      <c r="BL36" s="2450"/>
      <c r="BM36" s="2450"/>
      <c r="BN36" s="2450"/>
      <c r="BO36" s="2450"/>
      <c r="BP36" s="2450"/>
      <c r="BQ36" s="2450"/>
      <c r="BR36" s="2459"/>
      <c r="BS36" s="2459"/>
      <c r="BU36" s="2450"/>
      <c r="BV36" s="2454"/>
      <c r="BW36" s="2450"/>
      <c r="BX36" s="2463"/>
      <c r="BY36" s="2450"/>
      <c r="BZ36" s="2450"/>
      <c r="CA36" s="2450"/>
      <c r="CB36" s="2450"/>
      <c r="CD36" s="2450" t="s">
        <v>2478</v>
      </c>
      <c r="CE36" s="2450" t="s">
        <v>2910</v>
      </c>
      <c r="CF36" s="2454">
        <v>44753</v>
      </c>
      <c r="CG36" s="2454"/>
      <c r="CH36" s="2450">
        <v>16</v>
      </c>
      <c r="CI36" s="2463">
        <v>0</v>
      </c>
      <c r="CJ36" s="2459"/>
      <c r="CK36" s="2459"/>
      <c r="CL36" s="2450"/>
      <c r="CM36" s="2463"/>
      <c r="CN36" s="2463"/>
      <c r="CO36" s="2463"/>
    </row>
    <row r="37" spans="1:93">
      <c r="A37" s="2450"/>
      <c r="B37" s="2450"/>
      <c r="C37" s="2454"/>
      <c r="D37" s="2454"/>
      <c r="E37" s="2450"/>
      <c r="F37" s="2454"/>
      <c r="G37" s="2454"/>
      <c r="H37" s="2454"/>
      <c r="I37" s="2454"/>
      <c r="J37" s="2454"/>
      <c r="K37" s="2454"/>
      <c r="L37" s="2454"/>
      <c r="M37" s="2454"/>
      <c r="N37" s="2454"/>
      <c r="O37" s="2454"/>
      <c r="P37" s="2454"/>
      <c r="Q37" s="2454"/>
      <c r="R37" s="2454"/>
      <c r="S37" s="2458"/>
      <c r="T37" s="2458"/>
      <c r="U37" s="2450"/>
      <c r="V37" s="2450"/>
      <c r="W37" s="2454"/>
      <c r="X37" s="2454"/>
      <c r="Y37" s="2450"/>
      <c r="Z37" s="2459"/>
      <c r="AA37" s="2459"/>
      <c r="AB37" s="2459"/>
      <c r="AC37" s="2450"/>
      <c r="AD37" s="2450"/>
      <c r="AE37" s="2450"/>
      <c r="AF37" s="2450"/>
      <c r="AG37" s="2450"/>
      <c r="AH37" s="2450"/>
      <c r="AI37" s="2458"/>
      <c r="AJ37" s="2458"/>
      <c r="AK37" s="2458"/>
      <c r="AL37" s="2458"/>
      <c r="AM37" s="2458"/>
      <c r="AN37" s="2459"/>
      <c r="AO37" s="2459"/>
      <c r="AP37" s="2450"/>
      <c r="AQ37" s="2450"/>
      <c r="AR37" s="2450"/>
      <c r="AS37" s="2454"/>
      <c r="AT37" s="2450"/>
      <c r="AU37" s="2450"/>
      <c r="AV37" s="2450"/>
      <c r="AW37" s="2459"/>
      <c r="AX37" s="2450"/>
      <c r="AY37" s="2450"/>
      <c r="AZ37" s="2450"/>
      <c r="BA37" s="2450"/>
      <c r="BB37" s="2450"/>
      <c r="BC37" s="2450"/>
      <c r="BD37" s="2450"/>
      <c r="BE37" s="2450"/>
      <c r="BF37" s="2450"/>
      <c r="BG37" s="2450"/>
      <c r="BH37" s="2450"/>
      <c r="BI37" s="2450"/>
      <c r="BJ37" s="2450"/>
      <c r="BK37" s="2453"/>
      <c r="BL37" s="2450"/>
      <c r="BM37" s="2450"/>
      <c r="BN37" s="2450"/>
      <c r="BO37" s="2450"/>
      <c r="BP37" s="2450"/>
      <c r="BQ37" s="2450"/>
      <c r="BR37" s="2459"/>
      <c r="BS37" s="2459"/>
      <c r="BU37" s="2450"/>
      <c r="BV37" s="2454"/>
      <c r="BW37" s="2450"/>
      <c r="BX37" s="2463"/>
      <c r="BY37" s="2450"/>
      <c r="BZ37" s="2450"/>
      <c r="CA37" s="2450"/>
      <c r="CB37" s="2450"/>
      <c r="CD37" s="2450" t="s">
        <v>1292</v>
      </c>
      <c r="CE37" s="2450" t="s">
        <v>2910</v>
      </c>
      <c r="CF37" s="2454">
        <v>44753</v>
      </c>
      <c r="CG37" s="2454"/>
      <c r="CH37" s="2450">
        <v>16</v>
      </c>
      <c r="CI37" s="2463">
        <v>0</v>
      </c>
      <c r="CJ37" s="2459"/>
      <c r="CK37" s="2459"/>
      <c r="CL37" s="2450"/>
      <c r="CM37" s="2463"/>
      <c r="CN37" s="2463"/>
      <c r="CO37" s="2463"/>
    </row>
    <row r="38" spans="1:93">
      <c r="A38" s="2450"/>
      <c r="B38" s="2450"/>
      <c r="C38" s="2454"/>
      <c r="D38" s="2454"/>
      <c r="E38" s="2450"/>
      <c r="F38" s="2454"/>
      <c r="G38" s="2454"/>
      <c r="H38" s="2454"/>
      <c r="I38" s="2454"/>
      <c r="J38" s="2454"/>
      <c r="K38" s="2454"/>
      <c r="L38" s="2454"/>
      <c r="M38" s="2454"/>
      <c r="N38" s="2454"/>
      <c r="O38" s="2454"/>
      <c r="P38" s="2454"/>
      <c r="Q38" s="2454"/>
      <c r="R38" s="2454"/>
      <c r="S38" s="2458"/>
      <c r="T38" s="2458"/>
      <c r="U38" s="2450"/>
      <c r="V38" s="2450"/>
      <c r="W38" s="2454"/>
      <c r="X38" s="2454"/>
      <c r="Y38" s="2450"/>
      <c r="Z38" s="2459"/>
      <c r="AA38" s="2459"/>
      <c r="AB38" s="2459"/>
      <c r="AC38" s="2450"/>
      <c r="AD38" s="2450"/>
      <c r="AE38" s="2450"/>
      <c r="AF38" s="2450"/>
      <c r="AG38" s="2450"/>
      <c r="AH38" s="2450"/>
      <c r="AI38" s="2458"/>
      <c r="AJ38" s="2458"/>
      <c r="AK38" s="2458"/>
      <c r="AL38" s="2458"/>
      <c r="AM38" s="2458"/>
      <c r="AN38" s="2459"/>
      <c r="AO38" s="2459"/>
      <c r="AP38" s="2450"/>
      <c r="AQ38" s="2450"/>
      <c r="AR38" s="2450"/>
      <c r="AS38" s="2454"/>
      <c r="AT38" s="2450"/>
      <c r="AU38" s="2450"/>
      <c r="AV38" s="2450"/>
      <c r="AW38" s="2459"/>
      <c r="AX38" s="2450"/>
      <c r="AY38" s="2450"/>
      <c r="AZ38" s="2450"/>
      <c r="BA38" s="2450"/>
      <c r="BB38" s="2450"/>
      <c r="BC38" s="2450"/>
      <c r="BD38" s="2450"/>
      <c r="BE38" s="2450"/>
      <c r="BF38" s="2450"/>
      <c r="BG38" s="2450"/>
      <c r="BH38" s="2450"/>
      <c r="BI38" s="2450"/>
      <c r="BJ38" s="2450"/>
      <c r="BK38" s="2453"/>
      <c r="BL38" s="2450"/>
      <c r="BM38" s="2450"/>
      <c r="BN38" s="2450"/>
      <c r="BO38" s="2450"/>
      <c r="BP38" s="2450"/>
      <c r="BQ38" s="2450"/>
      <c r="BR38" s="2459"/>
      <c r="BS38" s="2459"/>
      <c r="BU38" s="2450"/>
      <c r="BV38" s="2454"/>
      <c r="BW38" s="2450"/>
      <c r="BX38" s="2463"/>
      <c r="BY38" s="2450"/>
      <c r="BZ38" s="2450"/>
      <c r="CA38" s="2450"/>
      <c r="CB38" s="2450"/>
      <c r="CD38" s="2450" t="s">
        <v>869</v>
      </c>
      <c r="CE38" s="2450" t="s">
        <v>2910</v>
      </c>
      <c r="CF38" s="2454">
        <v>44753</v>
      </c>
      <c r="CG38" s="2454"/>
      <c r="CH38" s="2450">
        <v>16</v>
      </c>
      <c r="CI38" s="2463">
        <v>-5.0000000000000001E-3</v>
      </c>
      <c r="CJ38" s="2459"/>
      <c r="CK38" s="2459"/>
      <c r="CL38" s="2450"/>
      <c r="CM38" s="2463"/>
      <c r="CN38" s="2463"/>
      <c r="CO38" s="2463"/>
    </row>
    <row r="39" spans="1:93">
      <c r="A39" s="2450"/>
      <c r="B39" s="2450"/>
      <c r="C39" s="2454"/>
      <c r="D39" s="2454"/>
      <c r="E39" s="2450"/>
      <c r="F39" s="2454"/>
      <c r="G39" s="2454"/>
      <c r="H39" s="2454"/>
      <c r="I39" s="2454"/>
      <c r="J39" s="2454"/>
      <c r="K39" s="2454"/>
      <c r="L39" s="2454"/>
      <c r="M39" s="2454"/>
      <c r="N39" s="2454"/>
      <c r="O39" s="2454"/>
      <c r="P39" s="2454"/>
      <c r="Q39" s="2454"/>
      <c r="R39" s="2454"/>
      <c r="S39" s="2458"/>
      <c r="T39" s="2458"/>
      <c r="U39" s="2450"/>
      <c r="V39" s="2450"/>
      <c r="W39" s="2454"/>
      <c r="X39" s="2454"/>
      <c r="Y39" s="2450"/>
      <c r="Z39" s="2459"/>
      <c r="AA39" s="2459"/>
      <c r="AB39" s="2459"/>
      <c r="AC39" s="2450"/>
      <c r="AD39" s="2450"/>
      <c r="AE39" s="2450"/>
      <c r="AF39" s="2450"/>
      <c r="AG39" s="2450"/>
      <c r="AH39" s="2450"/>
      <c r="AI39" s="2458"/>
      <c r="AJ39" s="2458"/>
      <c r="AK39" s="2458"/>
      <c r="AL39" s="2458"/>
      <c r="AM39" s="2458"/>
      <c r="AN39" s="2459"/>
      <c r="AO39" s="2459"/>
      <c r="AP39" s="2450"/>
      <c r="AQ39" s="2450"/>
      <c r="AR39" s="2450"/>
      <c r="AS39" s="2454"/>
      <c r="AT39" s="2450"/>
      <c r="AU39" s="2450"/>
      <c r="AV39" s="2450"/>
      <c r="AW39" s="2459"/>
      <c r="AX39" s="2450"/>
      <c r="AY39" s="2450"/>
      <c r="AZ39" s="2450"/>
      <c r="BA39" s="2450"/>
      <c r="BB39" s="2450"/>
      <c r="BC39" s="2450"/>
      <c r="BD39" s="2450"/>
      <c r="BE39" s="2450"/>
      <c r="BF39" s="2450"/>
      <c r="BG39" s="2450"/>
      <c r="BH39" s="2450"/>
      <c r="BI39" s="2450"/>
      <c r="BJ39" s="2450"/>
      <c r="BK39" s="2453"/>
      <c r="BL39" s="2450"/>
      <c r="BM39" s="2450"/>
      <c r="BN39" s="2450"/>
      <c r="BO39" s="2450"/>
      <c r="BP39" s="2450"/>
      <c r="BQ39" s="2450"/>
      <c r="BR39" s="2459"/>
      <c r="BS39" s="2459"/>
      <c r="BU39" s="2450"/>
      <c r="BV39" s="2454"/>
      <c r="BW39" s="2450"/>
      <c r="BX39" s="2463"/>
      <c r="BY39" s="2450"/>
      <c r="BZ39" s="2450"/>
      <c r="CA39" s="2450"/>
      <c r="CB39" s="2450"/>
      <c r="CD39" s="2450" t="s">
        <v>935</v>
      </c>
      <c r="CE39" s="2450" t="s">
        <v>2910</v>
      </c>
      <c r="CF39" s="2454">
        <v>44753</v>
      </c>
      <c r="CG39" s="2454"/>
      <c r="CH39" s="2450">
        <v>16</v>
      </c>
      <c r="CI39" s="2463">
        <v>-5.0000000000000001E-3</v>
      </c>
      <c r="CJ39" s="2459"/>
      <c r="CK39" s="2459"/>
      <c r="CL39" s="2450"/>
      <c r="CM39" s="2463"/>
      <c r="CN39" s="2463"/>
      <c r="CO39" s="2463"/>
    </row>
    <row r="40" spans="1:93">
      <c r="A40" s="2450"/>
      <c r="B40" s="2450"/>
      <c r="C40" s="2454"/>
      <c r="D40" s="2454"/>
      <c r="E40" s="2450"/>
      <c r="F40" s="2454"/>
      <c r="G40" s="2454"/>
      <c r="H40" s="2454"/>
      <c r="I40" s="2454"/>
      <c r="J40" s="2454"/>
      <c r="K40" s="2454"/>
      <c r="L40" s="2454"/>
      <c r="M40" s="2454"/>
      <c r="N40" s="2454"/>
      <c r="O40" s="2454"/>
      <c r="P40" s="2454"/>
      <c r="Q40" s="2454"/>
      <c r="R40" s="2454"/>
      <c r="S40" s="2458"/>
      <c r="T40" s="2458"/>
      <c r="U40" s="2450"/>
      <c r="V40" s="2450"/>
      <c r="W40" s="2454"/>
      <c r="X40" s="2454"/>
      <c r="Y40" s="2450"/>
      <c r="Z40" s="2459"/>
      <c r="AA40" s="2459"/>
      <c r="AB40" s="2459"/>
      <c r="AC40" s="2450"/>
      <c r="AD40" s="2450"/>
      <c r="AE40" s="2450"/>
      <c r="AF40" s="2450"/>
      <c r="AG40" s="2450"/>
      <c r="AH40" s="2450"/>
      <c r="AI40" s="2458"/>
      <c r="AJ40" s="2458"/>
      <c r="AK40" s="2458"/>
      <c r="AL40" s="2458"/>
      <c r="AM40" s="2458"/>
      <c r="AN40" s="2459"/>
      <c r="AO40" s="2459"/>
      <c r="AP40" s="2450"/>
      <c r="AQ40" s="2450"/>
      <c r="AR40" s="2450"/>
      <c r="AS40" s="2454"/>
      <c r="AT40" s="2450"/>
      <c r="AU40" s="2450"/>
      <c r="AV40" s="2450"/>
      <c r="AW40" s="2459"/>
      <c r="AX40" s="2450"/>
      <c r="AY40" s="2450"/>
      <c r="AZ40" s="2450"/>
      <c r="BA40" s="2450"/>
      <c r="BB40" s="2450"/>
      <c r="BC40" s="2450"/>
      <c r="BD40" s="2450"/>
      <c r="BE40" s="2450"/>
      <c r="BF40" s="2450"/>
      <c r="BG40" s="2450"/>
      <c r="BH40" s="2450"/>
      <c r="BI40" s="2450"/>
      <c r="BJ40" s="2450"/>
      <c r="BK40" s="2453"/>
      <c r="BL40" s="2450"/>
      <c r="BM40" s="2450"/>
      <c r="BN40" s="2450"/>
      <c r="BO40" s="2450"/>
      <c r="BP40" s="2450"/>
      <c r="BQ40" s="2450"/>
      <c r="BR40" s="2459"/>
      <c r="BS40" s="2459"/>
      <c r="BU40" s="2450"/>
      <c r="BV40" s="2454"/>
      <c r="BW40" s="2450"/>
      <c r="BX40" s="2463"/>
      <c r="BY40" s="2450"/>
      <c r="BZ40" s="2450"/>
      <c r="CA40" s="2450"/>
      <c r="CB40" s="2450"/>
      <c r="CD40" s="2450" t="s">
        <v>1296</v>
      </c>
      <c r="CE40" s="2450" t="s">
        <v>2910</v>
      </c>
      <c r="CF40" s="2454">
        <v>44753</v>
      </c>
      <c r="CG40" s="2454"/>
      <c r="CH40" s="2450">
        <v>16</v>
      </c>
      <c r="CI40" s="2463">
        <v>-5.0000000000000001E-3</v>
      </c>
      <c r="CJ40" s="2459"/>
      <c r="CK40" s="2459"/>
      <c r="CL40" s="2450"/>
      <c r="CM40" s="2463"/>
      <c r="CN40" s="2463"/>
      <c r="CO40" s="2463"/>
    </row>
    <row r="41" spans="1:93">
      <c r="A41" s="2450"/>
      <c r="B41" s="2450"/>
      <c r="C41" s="2454"/>
      <c r="D41" s="2454"/>
      <c r="E41" s="2450"/>
      <c r="F41" s="2454"/>
      <c r="G41" s="2454"/>
      <c r="H41" s="2454"/>
      <c r="I41" s="2454"/>
      <c r="J41" s="2454"/>
      <c r="K41" s="2454"/>
      <c r="L41" s="2454"/>
      <c r="M41" s="2454"/>
      <c r="N41" s="2454"/>
      <c r="O41" s="2454"/>
      <c r="P41" s="2454"/>
      <c r="Q41" s="2454"/>
      <c r="R41" s="2454"/>
      <c r="S41" s="2458"/>
      <c r="T41" s="2458"/>
      <c r="U41" s="2450"/>
      <c r="V41" s="2450"/>
      <c r="W41" s="2454"/>
      <c r="X41" s="2454"/>
      <c r="Y41" s="2450"/>
      <c r="Z41" s="2459"/>
      <c r="AA41" s="2459"/>
      <c r="AB41" s="2459"/>
      <c r="AC41" s="2450"/>
      <c r="AD41" s="2450"/>
      <c r="AE41" s="2450"/>
      <c r="AF41" s="2450"/>
      <c r="AG41" s="2450"/>
      <c r="AH41" s="2450"/>
      <c r="AI41" s="2458"/>
      <c r="AJ41" s="2458"/>
      <c r="AK41" s="2458"/>
      <c r="AL41" s="2458"/>
      <c r="AM41" s="2458"/>
      <c r="AN41" s="2459"/>
      <c r="AO41" s="2459"/>
      <c r="AP41" s="2450"/>
      <c r="AQ41" s="2450"/>
      <c r="AR41" s="2450"/>
      <c r="AS41" s="2454"/>
      <c r="AT41" s="2450"/>
      <c r="AU41" s="2450"/>
      <c r="AV41" s="2450"/>
      <c r="AW41" s="2459"/>
      <c r="AX41" s="2450"/>
      <c r="AY41" s="2450"/>
      <c r="AZ41" s="2450"/>
      <c r="BA41" s="2450"/>
      <c r="BB41" s="2450"/>
      <c r="BC41" s="2450"/>
      <c r="BD41" s="2450"/>
      <c r="BE41" s="2450"/>
      <c r="BF41" s="2450"/>
      <c r="BG41" s="2450"/>
      <c r="BH41" s="2450"/>
      <c r="BI41" s="2450"/>
      <c r="BJ41" s="2450"/>
      <c r="BK41" s="2453"/>
      <c r="BL41" s="2450"/>
      <c r="BM41" s="2450"/>
      <c r="BN41" s="2450"/>
      <c r="BO41" s="2450"/>
      <c r="BP41" s="2450"/>
      <c r="BQ41" s="2450"/>
      <c r="BR41" s="2459"/>
      <c r="BS41" s="2459"/>
      <c r="BU41" s="2450"/>
      <c r="BV41" s="2454"/>
      <c r="BW41" s="2450"/>
      <c r="BX41" s="2463"/>
      <c r="BY41" s="2450"/>
      <c r="BZ41" s="2450"/>
      <c r="CA41" s="2450"/>
      <c r="CB41" s="2450"/>
      <c r="CD41" s="2450"/>
      <c r="CE41" s="2450"/>
      <c r="CF41" s="2454"/>
      <c r="CG41" s="2454"/>
      <c r="CH41" s="2450"/>
      <c r="CI41" s="2463"/>
      <c r="CJ41" s="2459"/>
      <c r="CK41" s="2459"/>
      <c r="CL41" s="2450"/>
      <c r="CM41" s="2463"/>
      <c r="CN41" s="2463"/>
      <c r="CO41" s="2463"/>
    </row>
    <row r="42" spans="1:93">
      <c r="A42" s="2450"/>
      <c r="B42" s="2450"/>
      <c r="C42" s="2454"/>
      <c r="D42" s="2454"/>
      <c r="E42" s="2450"/>
      <c r="F42" s="2454"/>
      <c r="G42" s="2454"/>
      <c r="H42" s="2454"/>
      <c r="I42" s="2454"/>
      <c r="J42" s="2454"/>
      <c r="K42" s="2454"/>
      <c r="L42" s="2454"/>
      <c r="M42" s="2454"/>
      <c r="N42" s="2454"/>
      <c r="O42" s="2454"/>
      <c r="P42" s="2454"/>
      <c r="Q42" s="2454"/>
      <c r="R42" s="2454"/>
      <c r="S42" s="2458"/>
      <c r="T42" s="2458"/>
      <c r="U42" s="2450"/>
      <c r="V42" s="2450"/>
      <c r="W42" s="2454"/>
      <c r="X42" s="2454"/>
      <c r="Y42" s="2450"/>
      <c r="Z42" s="2459"/>
      <c r="AA42" s="2459"/>
      <c r="AB42" s="2459"/>
      <c r="AC42" s="2450"/>
      <c r="AD42" s="2450"/>
      <c r="AE42" s="2450"/>
      <c r="AF42" s="2450"/>
      <c r="AG42" s="2450"/>
      <c r="AH42" s="2450"/>
      <c r="AI42" s="2458"/>
      <c r="AJ42" s="2458"/>
      <c r="AK42" s="2458"/>
      <c r="AL42" s="2458"/>
      <c r="AM42" s="2458"/>
      <c r="AN42" s="2459"/>
      <c r="AO42" s="2459"/>
      <c r="AP42" s="2450"/>
      <c r="AQ42" s="2450"/>
      <c r="AR42" s="2450"/>
      <c r="AS42" s="2454"/>
      <c r="AT42" s="2450"/>
      <c r="AU42" s="2450"/>
      <c r="AV42" s="2450"/>
      <c r="AW42" s="2459"/>
      <c r="AX42" s="2450"/>
      <c r="AY42" s="2450"/>
      <c r="AZ42" s="2450"/>
      <c r="BA42" s="2450"/>
      <c r="BB42" s="2450"/>
      <c r="BC42" s="2450"/>
      <c r="BD42" s="2450"/>
      <c r="BE42" s="2450"/>
      <c r="BF42" s="2450"/>
      <c r="BG42" s="2450"/>
      <c r="BH42" s="2450"/>
      <c r="BI42" s="2450"/>
      <c r="BJ42" s="2450"/>
      <c r="BK42" s="2453"/>
      <c r="BL42" s="2450"/>
      <c r="BM42" s="2450"/>
      <c r="BN42" s="2450"/>
      <c r="BO42" s="2450"/>
      <c r="BP42" s="2450"/>
      <c r="BQ42" s="2450"/>
      <c r="BR42" s="2459"/>
      <c r="BS42" s="2459"/>
      <c r="BU42" s="2450"/>
      <c r="BV42" s="2454"/>
      <c r="BW42" s="2450"/>
      <c r="BX42" s="2463"/>
      <c r="BY42" s="2450"/>
      <c r="BZ42" s="2450"/>
      <c r="CA42" s="2450"/>
      <c r="CB42" s="2450"/>
      <c r="CD42" s="2450"/>
      <c r="CE42" s="2450"/>
      <c r="CF42" s="2454"/>
      <c r="CG42" s="2454"/>
      <c r="CH42" s="2450"/>
      <c r="CI42" s="2463"/>
      <c r="CJ42" s="2459"/>
      <c r="CK42" s="2459"/>
      <c r="CL42" s="2450"/>
      <c r="CM42" s="2463"/>
      <c r="CN42" s="2463"/>
      <c r="CO42" s="2463"/>
    </row>
    <row r="43" spans="1:93">
      <c r="A43" s="2450"/>
      <c r="B43" s="2450"/>
      <c r="C43" s="2454"/>
      <c r="D43" s="2454"/>
      <c r="E43" s="2450"/>
      <c r="F43" s="2454"/>
      <c r="G43" s="2454"/>
      <c r="H43" s="2454"/>
      <c r="I43" s="2454"/>
      <c r="J43" s="2454"/>
      <c r="K43" s="2454"/>
      <c r="L43" s="2454"/>
      <c r="M43" s="2454"/>
      <c r="N43" s="2454"/>
      <c r="O43" s="2454"/>
      <c r="P43" s="2454"/>
      <c r="Q43" s="2454"/>
      <c r="R43" s="2454"/>
      <c r="S43" s="2458"/>
      <c r="T43" s="2458"/>
      <c r="U43" s="2450"/>
      <c r="V43" s="2450"/>
      <c r="W43" s="2454"/>
      <c r="X43" s="2454"/>
      <c r="Y43" s="2450"/>
      <c r="Z43" s="2459"/>
      <c r="AA43" s="2459"/>
      <c r="AB43" s="2459"/>
      <c r="AC43" s="2450"/>
      <c r="AD43" s="2450"/>
      <c r="AE43" s="2450"/>
      <c r="AF43" s="2450"/>
      <c r="AG43" s="2450"/>
      <c r="AH43" s="2450"/>
      <c r="AI43" s="2458"/>
      <c r="AJ43" s="2458"/>
      <c r="AK43" s="2458"/>
      <c r="AL43" s="2458"/>
      <c r="AM43" s="2458"/>
      <c r="AN43" s="2459"/>
      <c r="AO43" s="2459"/>
      <c r="AP43" s="2450"/>
      <c r="AQ43" s="2450"/>
      <c r="AR43" s="2450"/>
      <c r="AS43" s="2454"/>
      <c r="AT43" s="2450"/>
      <c r="AU43" s="2450"/>
      <c r="AV43" s="2450"/>
      <c r="AW43" s="2459"/>
      <c r="AX43" s="2450"/>
      <c r="AY43" s="2450"/>
      <c r="AZ43" s="2450"/>
      <c r="BA43" s="2450"/>
      <c r="BB43" s="2450"/>
      <c r="BC43" s="2450"/>
      <c r="BD43" s="2450"/>
      <c r="BE43" s="2450"/>
      <c r="BF43" s="2450"/>
      <c r="BG43" s="2450"/>
      <c r="BH43" s="2450"/>
      <c r="BI43" s="2450"/>
      <c r="BJ43" s="2450"/>
      <c r="BK43" s="2453"/>
      <c r="BL43" s="2450"/>
      <c r="BM43" s="2450"/>
      <c r="BN43" s="2450"/>
      <c r="BO43" s="2450"/>
      <c r="BP43" s="2450"/>
      <c r="BQ43" s="2450"/>
      <c r="BR43" s="2459"/>
      <c r="BS43" s="2459"/>
      <c r="BU43" s="2450"/>
      <c r="BV43" s="2454"/>
      <c r="BW43" s="2450"/>
      <c r="BX43" s="2463"/>
      <c r="BY43" s="2450"/>
      <c r="BZ43" s="2450"/>
      <c r="CA43" s="2450"/>
      <c r="CB43" s="2450"/>
      <c r="CD43" s="2450"/>
      <c r="CE43" s="2450"/>
      <c r="CF43" s="2454"/>
      <c r="CG43" s="2454"/>
      <c r="CH43" s="2450"/>
      <c r="CI43" s="2463"/>
      <c r="CJ43" s="2459"/>
      <c r="CK43" s="2459"/>
      <c r="CL43" s="2450"/>
      <c r="CM43" s="2463"/>
      <c r="CN43" s="2463"/>
      <c r="CO43" s="2463"/>
    </row>
    <row r="44" spans="1:93">
      <c r="A44" s="2450"/>
      <c r="B44" s="2450"/>
      <c r="C44" s="2454"/>
      <c r="D44" s="2454"/>
      <c r="E44" s="2450"/>
      <c r="F44" s="2454"/>
      <c r="G44" s="2454"/>
      <c r="H44" s="2454"/>
      <c r="I44" s="2454"/>
      <c r="J44" s="2454"/>
      <c r="K44" s="2454"/>
      <c r="L44" s="2454"/>
      <c r="M44" s="2454"/>
      <c r="N44" s="2454"/>
      <c r="O44" s="2454"/>
      <c r="P44" s="2454"/>
      <c r="Q44" s="2454"/>
      <c r="R44" s="2454"/>
      <c r="S44" s="2458"/>
      <c r="T44" s="2458"/>
      <c r="U44" s="2450"/>
      <c r="V44" s="2450"/>
      <c r="W44" s="2454"/>
      <c r="X44" s="2454"/>
      <c r="Y44" s="2450"/>
      <c r="Z44" s="2459"/>
      <c r="AA44" s="2459"/>
      <c r="AB44" s="2459"/>
      <c r="AC44" s="2450"/>
      <c r="AD44" s="2450"/>
      <c r="AE44" s="2450"/>
      <c r="AF44" s="2450"/>
      <c r="AG44" s="2450"/>
      <c r="AH44" s="2450"/>
      <c r="AI44" s="2458"/>
      <c r="AJ44" s="2458"/>
      <c r="AK44" s="2458"/>
      <c r="AL44" s="2458"/>
      <c r="AM44" s="2458"/>
      <c r="AN44" s="2459"/>
      <c r="AO44" s="2459"/>
      <c r="AP44" s="2450"/>
      <c r="AQ44" s="2450"/>
      <c r="AR44" s="2450"/>
      <c r="AS44" s="2454"/>
      <c r="AT44" s="2450"/>
      <c r="AU44" s="2450"/>
      <c r="AV44" s="2450"/>
      <c r="AW44" s="2459"/>
      <c r="AX44" s="2450"/>
      <c r="AY44" s="2450"/>
      <c r="AZ44" s="2450"/>
      <c r="BA44" s="2450"/>
      <c r="BB44" s="2450"/>
      <c r="BC44" s="2450"/>
      <c r="BD44" s="2450"/>
      <c r="BE44" s="2450"/>
      <c r="BF44" s="2450"/>
      <c r="BG44" s="2450"/>
      <c r="BH44" s="2450"/>
      <c r="BI44" s="2450"/>
      <c r="BJ44" s="2450"/>
      <c r="BK44" s="2453"/>
      <c r="BL44" s="2450"/>
      <c r="BM44" s="2450"/>
      <c r="BN44" s="2450"/>
      <c r="BO44" s="2450"/>
      <c r="BP44" s="2450"/>
      <c r="BQ44" s="2450"/>
      <c r="BR44" s="2459"/>
      <c r="BS44" s="2459"/>
      <c r="BU44" s="2450"/>
      <c r="BV44" s="2454"/>
      <c r="BW44" s="2450"/>
      <c r="BX44" s="2463"/>
      <c r="BY44" s="2450"/>
      <c r="BZ44" s="2450"/>
      <c r="CA44" s="2450"/>
      <c r="CB44" s="2450"/>
      <c r="CD44" s="2450"/>
      <c r="CE44" s="2450"/>
      <c r="CF44" s="2454"/>
      <c r="CG44" s="2454"/>
      <c r="CH44" s="2450"/>
      <c r="CI44" s="2463"/>
      <c r="CJ44" s="2459"/>
      <c r="CK44" s="2459"/>
      <c r="CL44" s="2450"/>
      <c r="CM44" s="2463"/>
      <c r="CN44" s="2463"/>
      <c r="CO44" s="2463"/>
    </row>
    <row r="45" spans="1:93">
      <c r="A45" s="2450"/>
      <c r="B45" s="2450"/>
      <c r="C45" s="2454"/>
      <c r="D45" s="2454"/>
      <c r="E45" s="2450"/>
      <c r="F45" s="2454"/>
      <c r="G45" s="2454"/>
      <c r="H45" s="2454"/>
      <c r="I45" s="2454"/>
      <c r="J45" s="2454"/>
      <c r="K45" s="2454"/>
      <c r="L45" s="2454"/>
      <c r="M45" s="2454"/>
      <c r="N45" s="2454"/>
      <c r="O45" s="2454"/>
      <c r="P45" s="2454"/>
      <c r="Q45" s="2454"/>
      <c r="R45" s="2454"/>
      <c r="S45" s="2458"/>
      <c r="T45" s="2458"/>
      <c r="U45" s="2450"/>
      <c r="V45" s="2450"/>
      <c r="W45" s="2454"/>
      <c r="X45" s="2454"/>
      <c r="Y45" s="2450"/>
      <c r="Z45" s="2459"/>
      <c r="AA45" s="2459"/>
      <c r="AB45" s="2459"/>
      <c r="AC45" s="2450"/>
      <c r="AD45" s="2450"/>
      <c r="AE45" s="2450"/>
      <c r="AF45" s="2450"/>
      <c r="AG45" s="2450"/>
      <c r="AH45" s="2450"/>
      <c r="AI45" s="2458"/>
      <c r="AJ45" s="2458"/>
      <c r="AK45" s="2458"/>
      <c r="AL45" s="2458"/>
      <c r="AM45" s="2458"/>
      <c r="AN45" s="2459"/>
      <c r="AO45" s="2459"/>
      <c r="AP45" s="2450"/>
      <c r="AQ45" s="2450"/>
      <c r="AR45" s="2450"/>
      <c r="AS45" s="2454"/>
      <c r="AT45" s="2450"/>
      <c r="AU45" s="2450"/>
      <c r="AV45" s="2450"/>
      <c r="AW45" s="2459"/>
      <c r="AX45" s="2450"/>
      <c r="AY45" s="2450"/>
      <c r="AZ45" s="2450"/>
      <c r="BA45" s="2450"/>
      <c r="BB45" s="2450"/>
      <c r="BC45" s="2450"/>
      <c r="BD45" s="2450"/>
      <c r="BE45" s="2450"/>
      <c r="BF45" s="2450"/>
      <c r="BG45" s="2450"/>
      <c r="BH45" s="2450"/>
      <c r="BI45" s="2450"/>
      <c r="BJ45" s="2450"/>
      <c r="BK45" s="2453"/>
      <c r="BL45" s="2450"/>
      <c r="BM45" s="2450"/>
      <c r="BN45" s="2450"/>
      <c r="BO45" s="2450"/>
      <c r="BP45" s="2450"/>
      <c r="BQ45" s="2450"/>
      <c r="BR45" s="2459"/>
      <c r="BS45" s="2459"/>
      <c r="BU45" s="2450"/>
      <c r="BV45" s="2454"/>
      <c r="BW45" s="2450"/>
      <c r="BX45" s="2463"/>
      <c r="BY45" s="2450"/>
      <c r="BZ45" s="2450"/>
      <c r="CA45" s="2450"/>
      <c r="CB45" s="2450"/>
      <c r="CD45" s="2450"/>
      <c r="CE45" s="2450"/>
      <c r="CF45" s="2454"/>
      <c r="CG45" s="2454"/>
      <c r="CH45" s="2450"/>
      <c r="CI45" s="2463"/>
      <c r="CJ45" s="2459"/>
      <c r="CK45" s="2459"/>
      <c r="CL45" s="2450"/>
      <c r="CM45" s="2463"/>
      <c r="CN45" s="2463"/>
      <c r="CO45" s="2463"/>
    </row>
    <row r="46" spans="1:93">
      <c r="A46" s="2450"/>
      <c r="B46" s="2450"/>
      <c r="C46" s="2454"/>
      <c r="D46" s="2454"/>
      <c r="E46" s="2450"/>
      <c r="F46" s="2454"/>
      <c r="G46" s="2454"/>
      <c r="H46" s="2454"/>
      <c r="I46" s="2454"/>
      <c r="J46" s="2454"/>
      <c r="K46" s="2454"/>
      <c r="L46" s="2454"/>
      <c r="M46" s="2454"/>
      <c r="N46" s="2454"/>
      <c r="O46" s="2454"/>
      <c r="P46" s="2454"/>
      <c r="Q46" s="2454"/>
      <c r="R46" s="2454"/>
      <c r="S46" s="2458"/>
      <c r="T46" s="2458"/>
      <c r="U46" s="2450"/>
      <c r="V46" s="2450"/>
      <c r="W46" s="2454"/>
      <c r="X46" s="2454"/>
      <c r="Y46" s="2450"/>
      <c r="Z46" s="2459"/>
      <c r="AA46" s="2459"/>
      <c r="AB46" s="2459"/>
      <c r="AC46" s="2450"/>
      <c r="AD46" s="2450"/>
      <c r="AE46" s="2450"/>
      <c r="AF46" s="2450"/>
      <c r="AG46" s="2450"/>
      <c r="AH46" s="2450"/>
      <c r="AI46" s="2458"/>
      <c r="AJ46" s="2458"/>
      <c r="AK46" s="2458"/>
      <c r="AL46" s="2458"/>
      <c r="AM46" s="2458"/>
      <c r="AN46" s="2459"/>
      <c r="AO46" s="2459"/>
      <c r="AP46" s="2450"/>
      <c r="AQ46" s="2450"/>
      <c r="AR46" s="2450"/>
      <c r="AS46" s="2454"/>
      <c r="AT46" s="2450"/>
      <c r="AU46" s="2450"/>
      <c r="AV46" s="2450"/>
      <c r="AW46" s="2459"/>
      <c r="AX46" s="2450"/>
      <c r="AY46" s="2450"/>
      <c r="AZ46" s="2450"/>
      <c r="BA46" s="2450"/>
      <c r="BB46" s="2450"/>
      <c r="BC46" s="2450"/>
      <c r="BD46" s="2450"/>
      <c r="BE46" s="2450"/>
      <c r="BF46" s="2450"/>
      <c r="BG46" s="2450"/>
      <c r="BH46" s="2450"/>
      <c r="BI46" s="2450"/>
      <c r="BJ46" s="2450"/>
      <c r="BK46" s="2453"/>
      <c r="BL46" s="2450"/>
      <c r="BM46" s="2450"/>
      <c r="BN46" s="2450"/>
      <c r="BO46" s="2450"/>
      <c r="BP46" s="2450"/>
      <c r="BQ46" s="2450"/>
      <c r="BR46" s="2459"/>
      <c r="BS46" s="2459"/>
      <c r="BU46" s="2450"/>
      <c r="BV46" s="2454"/>
      <c r="BW46" s="2450"/>
      <c r="BX46" s="2463"/>
      <c r="BY46" s="2450"/>
      <c r="BZ46" s="2450"/>
      <c r="CA46" s="2450"/>
      <c r="CB46" s="2450"/>
      <c r="CD46" s="2450"/>
      <c r="CE46" s="2450"/>
      <c r="CF46" s="2454"/>
      <c r="CG46" s="2454"/>
      <c r="CH46" s="2450"/>
      <c r="CI46" s="2463"/>
      <c r="CJ46" s="2459"/>
      <c r="CK46" s="2459"/>
      <c r="CL46" s="2450"/>
      <c r="CM46" s="2463"/>
      <c r="CN46" s="2463"/>
      <c r="CO46" s="2463"/>
    </row>
    <row r="47" spans="1:93">
      <c r="A47" s="2450"/>
      <c r="B47" s="2450"/>
      <c r="C47" s="2454"/>
      <c r="D47" s="2454"/>
      <c r="E47" s="2450"/>
      <c r="F47" s="2454"/>
      <c r="G47" s="2454"/>
      <c r="H47" s="2454"/>
      <c r="I47" s="2454"/>
      <c r="J47" s="2454"/>
      <c r="K47" s="2454"/>
      <c r="L47" s="2454"/>
      <c r="M47" s="2454"/>
      <c r="N47" s="2454"/>
      <c r="O47" s="2454"/>
      <c r="P47" s="2454"/>
      <c r="Q47" s="2454"/>
      <c r="R47" s="2454"/>
      <c r="S47" s="2458"/>
      <c r="T47" s="2458"/>
      <c r="U47" s="2450"/>
      <c r="V47" s="2450"/>
      <c r="W47" s="2454"/>
      <c r="X47" s="2454"/>
      <c r="Y47" s="2450"/>
      <c r="Z47" s="2459"/>
      <c r="AA47" s="2459"/>
      <c r="AB47" s="2459"/>
      <c r="AC47" s="2450"/>
      <c r="AD47" s="2450"/>
      <c r="AE47" s="2450"/>
      <c r="AF47" s="2450"/>
      <c r="AG47" s="2450"/>
      <c r="AH47" s="2450"/>
      <c r="AI47" s="2458"/>
      <c r="AJ47" s="2458"/>
      <c r="AK47" s="2458"/>
      <c r="AL47" s="2458"/>
      <c r="AM47" s="2458"/>
      <c r="AN47" s="2459"/>
      <c r="AO47" s="2459"/>
      <c r="AP47" s="2450"/>
      <c r="AQ47" s="2450"/>
      <c r="AR47" s="2450"/>
      <c r="AS47" s="2454"/>
      <c r="AT47" s="2450"/>
      <c r="AU47" s="2450"/>
      <c r="AV47" s="2450"/>
      <c r="AW47" s="2459"/>
      <c r="AX47" s="2450"/>
      <c r="AY47" s="2450"/>
      <c r="AZ47" s="2450"/>
      <c r="BA47" s="2450"/>
      <c r="BB47" s="2450"/>
      <c r="BC47" s="2450"/>
      <c r="BD47" s="2450"/>
      <c r="BE47" s="2450"/>
      <c r="BF47" s="2450"/>
      <c r="BG47" s="2450"/>
      <c r="BH47" s="2450"/>
      <c r="BI47" s="2450"/>
      <c r="BJ47" s="2450"/>
      <c r="BK47" s="2453"/>
      <c r="BL47" s="2450"/>
      <c r="BM47" s="2450"/>
      <c r="BN47" s="2450"/>
      <c r="BO47" s="2450"/>
      <c r="BP47" s="2450"/>
      <c r="BQ47" s="2450"/>
      <c r="BR47" s="2459"/>
      <c r="BS47" s="2459"/>
      <c r="BU47" s="2450"/>
      <c r="BV47" s="2454"/>
      <c r="BW47" s="2450"/>
      <c r="BX47" s="2463"/>
      <c r="BY47" s="2450"/>
      <c r="BZ47" s="2450"/>
      <c r="CA47" s="2450"/>
      <c r="CB47" s="2450"/>
      <c r="CD47" s="2450"/>
      <c r="CE47" s="2450"/>
      <c r="CF47" s="2454"/>
      <c r="CG47" s="2454"/>
      <c r="CH47" s="2450"/>
      <c r="CI47" s="2463"/>
      <c r="CJ47" s="2459"/>
      <c r="CK47" s="2459"/>
      <c r="CL47" s="2450"/>
      <c r="CM47" s="2463"/>
      <c r="CN47" s="2463"/>
      <c r="CO47" s="2463"/>
    </row>
    <row r="48" spans="1:93">
      <c r="A48" s="2450"/>
      <c r="B48" s="2450"/>
      <c r="C48" s="2454"/>
      <c r="D48" s="2454"/>
      <c r="E48" s="2450"/>
      <c r="F48" s="2454"/>
      <c r="G48" s="2454"/>
      <c r="H48" s="2454"/>
      <c r="I48" s="2454"/>
      <c r="J48" s="2454"/>
      <c r="K48" s="2454"/>
      <c r="L48" s="2454"/>
      <c r="M48" s="2454"/>
      <c r="N48" s="2454"/>
      <c r="O48" s="2454"/>
      <c r="P48" s="2454"/>
      <c r="Q48" s="2454"/>
      <c r="R48" s="2454"/>
      <c r="S48" s="2458"/>
      <c r="T48" s="2458"/>
      <c r="U48" s="2450"/>
      <c r="V48" s="2450"/>
      <c r="W48" s="2454"/>
      <c r="X48" s="2454"/>
      <c r="Y48" s="2450"/>
      <c r="Z48" s="2459"/>
      <c r="AA48" s="2459"/>
      <c r="AB48" s="2459"/>
      <c r="AC48" s="2450"/>
      <c r="AD48" s="2450"/>
      <c r="AE48" s="2450"/>
      <c r="AF48" s="2450"/>
      <c r="AG48" s="2450"/>
      <c r="AH48" s="2450"/>
      <c r="AI48" s="2458"/>
      <c r="AJ48" s="2458"/>
      <c r="AK48" s="2458"/>
      <c r="AL48" s="2458"/>
      <c r="AM48" s="2458"/>
      <c r="AN48" s="2459"/>
      <c r="AO48" s="2459"/>
      <c r="AP48" s="2450"/>
      <c r="AQ48" s="2450"/>
      <c r="AR48" s="2450"/>
      <c r="AS48" s="2454"/>
      <c r="AT48" s="2450"/>
      <c r="AU48" s="2450"/>
      <c r="AV48" s="2450"/>
      <c r="AW48" s="2459"/>
      <c r="AX48" s="2450"/>
      <c r="AY48" s="2450"/>
      <c r="AZ48" s="2450"/>
      <c r="BA48" s="2450"/>
      <c r="BB48" s="2450"/>
      <c r="BC48" s="2450"/>
      <c r="BD48" s="2450"/>
      <c r="BE48" s="2450"/>
      <c r="BF48" s="2450"/>
      <c r="BG48" s="2450"/>
      <c r="BH48" s="2450"/>
      <c r="BI48" s="2450"/>
      <c r="BJ48" s="2450"/>
      <c r="BK48" s="2453"/>
      <c r="BL48" s="2450"/>
      <c r="BM48" s="2450"/>
      <c r="BN48" s="2450"/>
      <c r="BO48" s="2450"/>
      <c r="BP48" s="2450"/>
      <c r="BQ48" s="2450"/>
      <c r="BR48" s="2459"/>
      <c r="BS48" s="2459"/>
      <c r="BU48" s="2450"/>
      <c r="BV48" s="2454"/>
      <c r="BW48" s="2450"/>
      <c r="BX48" s="2463"/>
      <c r="BY48" s="2450"/>
      <c r="BZ48" s="2450"/>
      <c r="CA48" s="2450"/>
      <c r="CB48" s="2450"/>
      <c r="CD48" s="2450"/>
      <c r="CE48" s="2450"/>
      <c r="CF48" s="2454"/>
      <c r="CG48" s="2454"/>
      <c r="CH48" s="2450"/>
      <c r="CI48" s="2463"/>
      <c r="CJ48" s="2459"/>
      <c r="CK48" s="2459"/>
      <c r="CL48" s="2450"/>
      <c r="CM48" s="2463"/>
      <c r="CN48" s="2463"/>
      <c r="CO48" s="2463"/>
    </row>
    <row r="49" spans="1:93">
      <c r="A49" s="2450"/>
      <c r="B49" s="2450"/>
      <c r="C49" s="2454"/>
      <c r="D49" s="2454"/>
      <c r="E49" s="2450"/>
      <c r="F49" s="2454"/>
      <c r="G49" s="2454"/>
      <c r="H49" s="2454"/>
      <c r="I49" s="2454"/>
      <c r="J49" s="2454"/>
      <c r="K49" s="2454"/>
      <c r="L49" s="2454"/>
      <c r="M49" s="2454"/>
      <c r="N49" s="2454"/>
      <c r="O49" s="2454"/>
      <c r="P49" s="2454"/>
      <c r="Q49" s="2454"/>
      <c r="R49" s="2454"/>
      <c r="S49" s="2458"/>
      <c r="T49" s="2458"/>
      <c r="U49" s="2450"/>
      <c r="V49" s="2450"/>
      <c r="W49" s="2454"/>
      <c r="X49" s="2454"/>
      <c r="Y49" s="2450"/>
      <c r="Z49" s="2459"/>
      <c r="AA49" s="2459"/>
      <c r="AB49" s="2459"/>
      <c r="AC49" s="2450"/>
      <c r="AD49" s="2450"/>
      <c r="AE49" s="2450"/>
      <c r="AF49" s="2450"/>
      <c r="AG49" s="2450"/>
      <c r="AH49" s="2450"/>
      <c r="AI49" s="2458"/>
      <c r="AJ49" s="2458"/>
      <c r="AK49" s="2458"/>
      <c r="AL49" s="2458"/>
      <c r="AM49" s="2458"/>
      <c r="AN49" s="2459"/>
      <c r="AO49" s="2459"/>
      <c r="AP49" s="2450"/>
      <c r="AQ49" s="2450"/>
      <c r="AR49" s="2450"/>
      <c r="AS49" s="2454"/>
      <c r="AT49" s="2450"/>
      <c r="AU49" s="2450"/>
      <c r="AV49" s="2450"/>
      <c r="AW49" s="2459"/>
      <c r="AX49" s="2450"/>
      <c r="AY49" s="2450"/>
      <c r="AZ49" s="2450"/>
      <c r="BA49" s="2450"/>
      <c r="BB49" s="2450"/>
      <c r="BC49" s="2450"/>
      <c r="BD49" s="2450"/>
      <c r="BE49" s="2450"/>
      <c r="BF49" s="2450"/>
      <c r="BG49" s="2450"/>
      <c r="BH49" s="2450"/>
      <c r="BI49" s="2450"/>
      <c r="BJ49" s="2450"/>
      <c r="BK49" s="2453"/>
      <c r="BL49" s="2450"/>
      <c r="BM49" s="2450"/>
      <c r="BN49" s="2450"/>
      <c r="BO49" s="2450"/>
      <c r="BP49" s="2450"/>
      <c r="BQ49" s="2450"/>
      <c r="BR49" s="2459"/>
      <c r="BS49" s="2459"/>
      <c r="BU49" s="2450"/>
      <c r="BV49" s="2454"/>
      <c r="BW49" s="2450"/>
      <c r="BX49" s="2463"/>
      <c r="BY49" s="2450"/>
      <c r="BZ49" s="2450"/>
      <c r="CA49" s="2450"/>
      <c r="CB49" s="2450"/>
      <c r="CD49" s="2450"/>
      <c r="CE49" s="2450"/>
      <c r="CF49" s="2454"/>
      <c r="CG49" s="2454"/>
      <c r="CH49" s="2450"/>
      <c r="CI49" s="2463"/>
      <c r="CJ49" s="2459"/>
      <c r="CK49" s="2459"/>
      <c r="CL49" s="2450"/>
      <c r="CM49" s="2463"/>
      <c r="CN49" s="2463"/>
      <c r="CO49" s="2463"/>
    </row>
    <row r="50" spans="1:93">
      <c r="A50" s="2450"/>
      <c r="B50" s="2450"/>
      <c r="C50" s="2454"/>
      <c r="D50" s="2454"/>
      <c r="E50" s="2450"/>
      <c r="F50" s="2454"/>
      <c r="G50" s="2454"/>
      <c r="H50" s="2454"/>
      <c r="I50" s="2454"/>
      <c r="J50" s="2454"/>
      <c r="K50" s="2454"/>
      <c r="L50" s="2454"/>
      <c r="M50" s="2454"/>
      <c r="N50" s="2454"/>
      <c r="O50" s="2454"/>
      <c r="P50" s="2454"/>
      <c r="Q50" s="2454"/>
      <c r="R50" s="2454"/>
      <c r="S50" s="2458"/>
      <c r="T50" s="2458"/>
      <c r="U50" s="2450"/>
      <c r="V50" s="2450"/>
      <c r="W50" s="2454"/>
      <c r="X50" s="2454"/>
      <c r="Y50" s="2450"/>
      <c r="Z50" s="2459"/>
      <c r="AA50" s="2459"/>
      <c r="AB50" s="2459"/>
      <c r="AC50" s="2450"/>
      <c r="AD50" s="2450"/>
      <c r="AE50" s="2450"/>
      <c r="AF50" s="2450"/>
      <c r="AG50" s="2450"/>
      <c r="AH50" s="2450"/>
      <c r="AI50" s="2458"/>
      <c r="AJ50" s="2458"/>
      <c r="AK50" s="2458"/>
      <c r="AL50" s="2458"/>
      <c r="AM50" s="2458"/>
      <c r="AN50" s="2459"/>
      <c r="AO50" s="2459"/>
      <c r="AP50" s="2450"/>
      <c r="AQ50" s="2450"/>
      <c r="AR50" s="2450"/>
      <c r="AS50" s="2454"/>
      <c r="AT50" s="2450"/>
      <c r="AU50" s="2450"/>
      <c r="AV50" s="2450"/>
      <c r="AW50" s="2459"/>
      <c r="AX50" s="2450"/>
      <c r="AY50" s="2450"/>
      <c r="AZ50" s="2450"/>
      <c r="BA50" s="2450"/>
      <c r="BB50" s="2450"/>
      <c r="BC50" s="2450"/>
      <c r="BD50" s="2450"/>
      <c r="BE50" s="2450"/>
      <c r="BF50" s="2450"/>
      <c r="BG50" s="2450"/>
      <c r="BH50" s="2450"/>
      <c r="BI50" s="2450"/>
      <c r="BJ50" s="2450"/>
      <c r="BK50" s="2453"/>
      <c r="BL50" s="2450"/>
      <c r="BM50" s="2450"/>
      <c r="BN50" s="2450"/>
      <c r="BO50" s="2450"/>
      <c r="BP50" s="2450"/>
      <c r="BQ50" s="2450"/>
      <c r="BR50" s="2459"/>
      <c r="BS50" s="2459"/>
      <c r="BU50" s="2450"/>
      <c r="BV50" s="2454"/>
      <c r="BW50" s="2450"/>
      <c r="BX50" s="2463"/>
      <c r="BY50" s="2450"/>
      <c r="BZ50" s="2450"/>
      <c r="CA50" s="2450"/>
      <c r="CB50" s="2450"/>
      <c r="CD50" s="2450"/>
      <c r="CE50" s="2450"/>
      <c r="CF50" s="2454"/>
      <c r="CG50" s="2454"/>
      <c r="CH50" s="2450"/>
      <c r="CI50" s="2463"/>
      <c r="CJ50" s="2459"/>
      <c r="CK50" s="2459"/>
      <c r="CL50" s="2450"/>
      <c r="CM50" s="2463"/>
      <c r="CN50" s="2463"/>
      <c r="CO50" s="2463"/>
    </row>
    <row r="51" spans="1:93">
      <c r="A51" s="2450"/>
      <c r="B51" s="2450"/>
      <c r="C51" s="2454"/>
      <c r="D51" s="2454"/>
      <c r="E51" s="2450"/>
      <c r="F51" s="2454"/>
      <c r="G51" s="2454"/>
      <c r="H51" s="2454"/>
      <c r="I51" s="2454"/>
      <c r="J51" s="2454"/>
      <c r="K51" s="2454"/>
      <c r="L51" s="2454"/>
      <c r="M51" s="2454"/>
      <c r="N51" s="2454"/>
      <c r="O51" s="2454"/>
      <c r="P51" s="2454"/>
      <c r="Q51" s="2454"/>
      <c r="R51" s="2454"/>
      <c r="S51" s="2458"/>
      <c r="T51" s="2458"/>
      <c r="U51" s="2450"/>
      <c r="V51" s="2450"/>
      <c r="W51" s="2454"/>
      <c r="X51" s="2454"/>
      <c r="Y51" s="2450"/>
      <c r="Z51" s="2459"/>
      <c r="AA51" s="2459"/>
      <c r="AB51" s="2459"/>
      <c r="AC51" s="2450"/>
      <c r="AD51" s="2450"/>
      <c r="AE51" s="2450"/>
      <c r="AF51" s="2450"/>
      <c r="AG51" s="2450"/>
      <c r="AH51" s="2450"/>
      <c r="AI51" s="2458"/>
      <c r="AJ51" s="2458"/>
      <c r="AK51" s="2458"/>
      <c r="AL51" s="2458"/>
      <c r="AM51" s="2458"/>
      <c r="AN51" s="2459"/>
      <c r="AO51" s="2459"/>
      <c r="AP51" s="2450"/>
      <c r="AQ51" s="2450"/>
      <c r="AR51" s="2450"/>
      <c r="AS51" s="2454"/>
      <c r="AT51" s="2450"/>
      <c r="AU51" s="2450"/>
      <c r="AV51" s="2450"/>
      <c r="AW51" s="2459"/>
      <c r="AX51" s="2450"/>
      <c r="AY51" s="2450"/>
      <c r="AZ51" s="2450"/>
      <c r="BA51" s="2450"/>
      <c r="BB51" s="2450"/>
      <c r="BC51" s="2450"/>
      <c r="BD51" s="2450"/>
      <c r="BE51" s="2450"/>
      <c r="BF51" s="2450"/>
      <c r="BG51" s="2450"/>
      <c r="BH51" s="2450"/>
      <c r="BI51" s="2450"/>
      <c r="BJ51" s="2450"/>
      <c r="BK51" s="2453"/>
      <c r="BL51" s="2450"/>
      <c r="BM51" s="2450"/>
      <c r="BN51" s="2450"/>
      <c r="BO51" s="2450"/>
      <c r="BP51" s="2450"/>
      <c r="BQ51" s="2450"/>
      <c r="BR51" s="2459"/>
      <c r="BS51" s="2459"/>
      <c r="BU51" s="2450"/>
      <c r="BV51" s="2454"/>
      <c r="BW51" s="2450"/>
      <c r="BX51" s="2463"/>
      <c r="BY51" s="2450"/>
      <c r="BZ51" s="2450"/>
      <c r="CA51" s="2450"/>
      <c r="CB51" s="2450"/>
      <c r="CD51" s="2450"/>
      <c r="CE51" s="2450"/>
      <c r="CF51" s="2454"/>
      <c r="CG51" s="2454"/>
      <c r="CH51" s="2450"/>
      <c r="CI51" s="2463"/>
      <c r="CJ51" s="2459"/>
      <c r="CK51" s="2459"/>
      <c r="CL51" s="2450"/>
      <c r="CM51" s="2463"/>
      <c r="CN51" s="2463"/>
      <c r="CO51" s="2463"/>
    </row>
    <row r="52" spans="1:93">
      <c r="A52" s="2450"/>
      <c r="B52" s="2450"/>
      <c r="C52" s="2454"/>
      <c r="D52" s="2454"/>
      <c r="E52" s="2450"/>
      <c r="F52" s="2454"/>
      <c r="G52" s="2454"/>
      <c r="H52" s="2454"/>
      <c r="I52" s="2454"/>
      <c r="J52" s="2454"/>
      <c r="K52" s="2454"/>
      <c r="L52" s="2454"/>
      <c r="M52" s="2454"/>
      <c r="N52" s="2454"/>
      <c r="O52" s="2454"/>
      <c r="P52" s="2454"/>
      <c r="Q52" s="2454"/>
      <c r="R52" s="2454"/>
      <c r="S52" s="2458"/>
      <c r="T52" s="2458"/>
      <c r="U52" s="2450"/>
      <c r="V52" s="2450"/>
      <c r="W52" s="2454"/>
      <c r="X52" s="2454"/>
      <c r="Y52" s="2450"/>
      <c r="Z52" s="2459"/>
      <c r="AA52" s="2459"/>
      <c r="AB52" s="2459"/>
      <c r="AC52" s="2450"/>
      <c r="AD52" s="2450"/>
      <c r="AE52" s="2450"/>
      <c r="AF52" s="2450"/>
      <c r="AG52" s="2450"/>
      <c r="AH52" s="2450"/>
      <c r="AI52" s="2458"/>
      <c r="AJ52" s="2458"/>
      <c r="AK52" s="2458"/>
      <c r="AL52" s="2458"/>
      <c r="AM52" s="2458"/>
      <c r="AN52" s="2459"/>
      <c r="AO52" s="2459"/>
      <c r="AP52" s="2450"/>
      <c r="AQ52" s="2450"/>
      <c r="AR52" s="2450"/>
      <c r="AS52" s="2454"/>
      <c r="AT52" s="2450"/>
      <c r="AU52" s="2450"/>
      <c r="AV52" s="2450"/>
      <c r="AW52" s="2459"/>
      <c r="AX52" s="2450"/>
      <c r="AY52" s="2450"/>
      <c r="AZ52" s="2450"/>
      <c r="BA52" s="2450"/>
      <c r="BB52" s="2450"/>
      <c r="BC52" s="2450"/>
      <c r="BD52" s="2450"/>
      <c r="BE52" s="2450"/>
      <c r="BF52" s="2450"/>
      <c r="BG52" s="2450"/>
      <c r="BH52" s="2450"/>
      <c r="BI52" s="2450"/>
      <c r="BJ52" s="2450"/>
      <c r="BK52" s="2453"/>
      <c r="BL52" s="2450"/>
      <c r="BM52" s="2450"/>
      <c r="BN52" s="2450"/>
      <c r="BO52" s="2450"/>
      <c r="BP52" s="2450"/>
      <c r="BQ52" s="2450"/>
      <c r="BR52" s="2459"/>
      <c r="BS52" s="2459"/>
      <c r="BU52" s="2450"/>
      <c r="BV52" s="2454"/>
      <c r="BW52" s="2450"/>
      <c r="BX52" s="2463"/>
      <c r="BY52" s="2450"/>
      <c r="BZ52" s="2450"/>
      <c r="CA52" s="2450"/>
      <c r="CB52" s="2450"/>
      <c r="CD52" s="2450"/>
      <c r="CE52" s="2450"/>
      <c r="CF52" s="2454"/>
      <c r="CG52" s="2454"/>
      <c r="CH52" s="2450"/>
      <c r="CI52" s="2463"/>
      <c r="CJ52" s="2459"/>
      <c r="CK52" s="2459"/>
      <c r="CL52" s="2450"/>
      <c r="CM52" s="2463"/>
      <c r="CN52" s="2463"/>
      <c r="CO52" s="2463"/>
    </row>
    <row r="53" spans="1:93">
      <c r="A53" s="2450"/>
      <c r="B53" s="2450"/>
      <c r="C53" s="2454"/>
      <c r="D53" s="2454"/>
      <c r="E53" s="2450"/>
      <c r="F53" s="2454"/>
      <c r="G53" s="2454"/>
      <c r="H53" s="2454"/>
      <c r="I53" s="2454"/>
      <c r="J53" s="2454"/>
      <c r="K53" s="2454"/>
      <c r="L53" s="2454"/>
      <c r="M53" s="2454"/>
      <c r="N53" s="2454"/>
      <c r="O53" s="2454"/>
      <c r="P53" s="2454"/>
      <c r="Q53" s="2454"/>
      <c r="R53" s="2454"/>
      <c r="S53" s="2458"/>
      <c r="T53" s="2458"/>
      <c r="U53" s="2450"/>
      <c r="V53" s="2450"/>
      <c r="W53" s="2454"/>
      <c r="X53" s="2454"/>
      <c r="Y53" s="2450"/>
      <c r="Z53" s="2459"/>
      <c r="AA53" s="2459"/>
      <c r="AB53" s="2459"/>
      <c r="AC53" s="2450"/>
      <c r="AD53" s="2450"/>
      <c r="AE53" s="2450"/>
      <c r="AF53" s="2450"/>
      <c r="AG53" s="2450"/>
      <c r="AH53" s="2450"/>
      <c r="AI53" s="2458"/>
      <c r="AJ53" s="2458"/>
      <c r="AK53" s="2458"/>
      <c r="AL53" s="2458"/>
      <c r="AM53" s="2458"/>
      <c r="AN53" s="2459"/>
      <c r="AO53" s="2459"/>
      <c r="AP53" s="2450"/>
      <c r="AQ53" s="2450"/>
      <c r="AR53" s="2450"/>
      <c r="AS53" s="2454"/>
      <c r="AT53" s="2450"/>
      <c r="AU53" s="2450"/>
      <c r="AV53" s="2450"/>
      <c r="AW53" s="2459"/>
      <c r="AX53" s="2450"/>
      <c r="AY53" s="2450"/>
      <c r="AZ53" s="2450"/>
      <c r="BA53" s="2450"/>
      <c r="BB53" s="2450"/>
      <c r="BC53" s="2450"/>
      <c r="BD53" s="2450"/>
      <c r="BE53" s="2450"/>
      <c r="BF53" s="2450"/>
      <c r="BG53" s="2450"/>
      <c r="BH53" s="2450"/>
      <c r="BI53" s="2450"/>
      <c r="BJ53" s="2450"/>
      <c r="BK53" s="2453"/>
      <c r="BL53" s="2450"/>
      <c r="BM53" s="2450"/>
      <c r="BN53" s="2450"/>
      <c r="BO53" s="2450"/>
      <c r="BP53" s="2450"/>
      <c r="BQ53" s="2450"/>
      <c r="BR53" s="2459"/>
      <c r="BS53" s="2459"/>
      <c r="BU53" s="2450"/>
      <c r="BV53" s="2454"/>
      <c r="BW53" s="2450"/>
      <c r="BX53" s="2463"/>
      <c r="BY53" s="2450"/>
      <c r="BZ53" s="2450"/>
      <c r="CA53" s="2450"/>
      <c r="CB53" s="2450"/>
      <c r="CD53" s="2450"/>
      <c r="CE53" s="2450"/>
      <c r="CF53" s="2454"/>
      <c r="CG53" s="2454"/>
      <c r="CH53" s="2450"/>
      <c r="CI53" s="2463"/>
      <c r="CJ53" s="2459"/>
      <c r="CK53" s="2459"/>
      <c r="CL53" s="2450"/>
      <c r="CM53" s="2463"/>
      <c r="CN53" s="2463"/>
      <c r="CO53" s="2463"/>
    </row>
    <row r="54" spans="1:93">
      <c r="A54" s="2450"/>
      <c r="B54" s="2450"/>
      <c r="C54" s="2454"/>
      <c r="D54" s="2454"/>
      <c r="E54" s="2450"/>
      <c r="F54" s="2454"/>
      <c r="G54" s="2454"/>
      <c r="H54" s="2454"/>
      <c r="I54" s="2454"/>
      <c r="J54" s="2454"/>
      <c r="K54" s="2454"/>
      <c r="L54" s="2454"/>
      <c r="M54" s="2454"/>
      <c r="N54" s="2454"/>
      <c r="O54" s="2454"/>
      <c r="P54" s="2454"/>
      <c r="Q54" s="2454"/>
      <c r="R54" s="2454"/>
      <c r="S54" s="2458"/>
      <c r="T54" s="2458"/>
      <c r="U54" s="2450"/>
      <c r="V54" s="2450"/>
      <c r="W54" s="2454"/>
      <c r="X54" s="2454"/>
      <c r="Y54" s="2450"/>
      <c r="Z54" s="2459"/>
      <c r="AA54" s="2459"/>
      <c r="AB54" s="2459"/>
      <c r="AC54" s="2450"/>
      <c r="AD54" s="2450"/>
      <c r="AE54" s="2450"/>
      <c r="AF54" s="2450"/>
      <c r="AG54" s="2450"/>
      <c r="AH54" s="2450"/>
      <c r="AI54" s="2458"/>
      <c r="AJ54" s="2458"/>
      <c r="AK54" s="2458"/>
      <c r="AL54" s="2458"/>
      <c r="AM54" s="2458"/>
      <c r="AN54" s="2459"/>
      <c r="AO54" s="2459"/>
      <c r="AP54" s="2450"/>
      <c r="AQ54" s="2450"/>
      <c r="AR54" s="2450"/>
      <c r="AS54" s="2454"/>
      <c r="AT54" s="2450"/>
      <c r="AU54" s="2450"/>
      <c r="AV54" s="2450"/>
      <c r="AW54" s="2459"/>
      <c r="AX54" s="2450"/>
      <c r="AY54" s="2450"/>
      <c r="AZ54" s="2450"/>
      <c r="BA54" s="2450"/>
      <c r="BB54" s="2450"/>
      <c r="BC54" s="2450"/>
      <c r="BD54" s="2450"/>
      <c r="BE54" s="2450"/>
      <c r="BF54" s="2450"/>
      <c r="BG54" s="2450"/>
      <c r="BH54" s="2450"/>
      <c r="BI54" s="2450"/>
      <c r="BJ54" s="2450"/>
      <c r="BK54" s="2453"/>
      <c r="BL54" s="2450"/>
      <c r="BM54" s="2450"/>
      <c r="BN54" s="2450"/>
      <c r="BO54" s="2450"/>
      <c r="BP54" s="2450"/>
      <c r="BQ54" s="2450"/>
      <c r="BR54" s="2459"/>
      <c r="BS54" s="2459"/>
      <c r="BU54" s="2450"/>
      <c r="BV54" s="2454"/>
      <c r="BW54" s="2450"/>
      <c r="BX54" s="2463"/>
      <c r="BY54" s="2450"/>
      <c r="BZ54" s="2450"/>
      <c r="CA54" s="2450"/>
      <c r="CB54" s="2450"/>
      <c r="CD54" s="2450"/>
      <c r="CE54" s="2450"/>
      <c r="CF54" s="2454"/>
      <c r="CG54" s="2454"/>
      <c r="CH54" s="2450"/>
      <c r="CI54" s="2463"/>
      <c r="CJ54" s="2459"/>
      <c r="CK54" s="2459"/>
      <c r="CL54" s="2450"/>
      <c r="CM54" s="2463"/>
      <c r="CN54" s="2463"/>
      <c r="CO54" s="2463"/>
    </row>
    <row r="55" spans="1:93">
      <c r="A55" s="2450"/>
      <c r="B55" s="2450"/>
      <c r="C55" s="2454"/>
      <c r="D55" s="2454"/>
      <c r="E55" s="2450"/>
      <c r="F55" s="2454"/>
      <c r="G55" s="2454"/>
      <c r="H55" s="2454"/>
      <c r="I55" s="2454"/>
      <c r="J55" s="2454"/>
      <c r="K55" s="2454"/>
      <c r="L55" s="2454"/>
      <c r="M55" s="2454"/>
      <c r="N55" s="2454"/>
      <c r="O55" s="2454"/>
      <c r="P55" s="2454"/>
      <c r="Q55" s="2454"/>
      <c r="R55" s="2454"/>
      <c r="S55" s="2458"/>
      <c r="T55" s="2458"/>
      <c r="U55" s="2450"/>
      <c r="V55" s="2450"/>
      <c r="W55" s="2454"/>
      <c r="X55" s="2454"/>
      <c r="Y55" s="2450"/>
      <c r="Z55" s="2459"/>
      <c r="AA55" s="2459"/>
      <c r="AB55" s="2459"/>
      <c r="AC55" s="2450"/>
      <c r="AD55" s="2450"/>
      <c r="AE55" s="2450"/>
      <c r="AF55" s="2450"/>
      <c r="AG55" s="2450"/>
      <c r="AH55" s="2450"/>
      <c r="AI55" s="2458"/>
      <c r="AJ55" s="2458"/>
      <c r="AK55" s="2458"/>
      <c r="AL55" s="2458"/>
      <c r="AM55" s="2458"/>
      <c r="AN55" s="2459"/>
      <c r="AO55" s="2459"/>
      <c r="AP55" s="2450"/>
      <c r="AQ55" s="2450"/>
      <c r="AR55" s="2450"/>
      <c r="AS55" s="2454"/>
      <c r="AT55" s="2450"/>
      <c r="AU55" s="2450"/>
      <c r="AV55" s="2450"/>
      <c r="AW55" s="2459"/>
      <c r="AX55" s="2450"/>
      <c r="AY55" s="2450"/>
      <c r="AZ55" s="2450"/>
      <c r="BA55" s="2450"/>
      <c r="BB55" s="2450"/>
      <c r="BC55" s="2450"/>
      <c r="BD55" s="2450"/>
      <c r="BE55" s="2450"/>
      <c r="BF55" s="2450"/>
      <c r="BG55" s="2450"/>
      <c r="BH55" s="2450"/>
      <c r="BI55" s="2450"/>
      <c r="BJ55" s="2450"/>
      <c r="BK55" s="2453"/>
      <c r="BL55" s="2450"/>
      <c r="BM55" s="2450"/>
      <c r="BN55" s="2450"/>
      <c r="BO55" s="2450"/>
      <c r="BP55" s="2450"/>
      <c r="BQ55" s="2450"/>
      <c r="BR55" s="2459"/>
      <c r="BS55" s="2459"/>
      <c r="BU55" s="2450"/>
      <c r="BV55" s="2454"/>
      <c r="BW55" s="2450"/>
      <c r="BX55" s="2463"/>
      <c r="BY55" s="2450"/>
      <c r="BZ55" s="2450"/>
      <c r="CA55" s="2450"/>
      <c r="CB55" s="2450"/>
      <c r="CD55" s="2450"/>
      <c r="CE55" s="2450"/>
      <c r="CF55" s="2454"/>
      <c r="CG55" s="2454"/>
      <c r="CH55" s="2450"/>
      <c r="CI55" s="2463"/>
      <c r="CJ55" s="2459"/>
      <c r="CK55" s="2459"/>
      <c r="CL55" s="2450"/>
      <c r="CM55" s="2463"/>
      <c r="CN55" s="2463"/>
      <c r="CO55" s="2463"/>
    </row>
    <row r="56" spans="1:93">
      <c r="A56" s="2450"/>
      <c r="B56" s="2450"/>
      <c r="C56" s="2454"/>
      <c r="D56" s="2454"/>
      <c r="E56" s="2450"/>
      <c r="F56" s="2454"/>
      <c r="G56" s="2454"/>
      <c r="H56" s="2454"/>
      <c r="I56" s="2454"/>
      <c r="J56" s="2454"/>
      <c r="K56" s="2454"/>
      <c r="L56" s="2454"/>
      <c r="M56" s="2454"/>
      <c r="N56" s="2454"/>
      <c r="O56" s="2454"/>
      <c r="P56" s="2454"/>
      <c r="Q56" s="2454"/>
      <c r="R56" s="2454"/>
      <c r="S56" s="2458"/>
      <c r="T56" s="2458"/>
      <c r="U56" s="2450"/>
      <c r="V56" s="2450"/>
      <c r="W56" s="2454"/>
      <c r="X56" s="2454"/>
      <c r="Y56" s="2450"/>
      <c r="Z56" s="2459"/>
      <c r="AA56" s="2459"/>
      <c r="AB56" s="2459"/>
      <c r="AC56" s="2450"/>
      <c r="AD56" s="2450"/>
      <c r="AE56" s="2450"/>
      <c r="AF56" s="2450"/>
      <c r="AG56" s="2450"/>
      <c r="AH56" s="2450"/>
      <c r="AI56" s="2458"/>
      <c r="AJ56" s="2458"/>
      <c r="AK56" s="2458"/>
      <c r="AL56" s="2458"/>
      <c r="AM56" s="2458"/>
      <c r="AN56" s="2459"/>
      <c r="AO56" s="2459"/>
      <c r="AP56" s="2450"/>
      <c r="AQ56" s="2450"/>
      <c r="AR56" s="2450"/>
      <c r="AS56" s="2454"/>
      <c r="AT56" s="2450"/>
      <c r="AU56" s="2450"/>
      <c r="AV56" s="2450"/>
      <c r="AW56" s="2459"/>
      <c r="AX56" s="2450"/>
      <c r="AY56" s="2450"/>
      <c r="AZ56" s="2450"/>
      <c r="BA56" s="2450"/>
      <c r="BB56" s="2450"/>
      <c r="BC56" s="2450"/>
      <c r="BD56" s="2450"/>
      <c r="BE56" s="2450"/>
      <c r="BF56" s="2450"/>
      <c r="BG56" s="2450"/>
      <c r="BH56" s="2450"/>
      <c r="BI56" s="2450"/>
      <c r="BJ56" s="2450"/>
      <c r="BK56" s="2453"/>
      <c r="BL56" s="2450"/>
      <c r="BM56" s="2450"/>
      <c r="BN56" s="2450"/>
      <c r="BO56" s="2450"/>
      <c r="BP56" s="2450"/>
      <c r="BQ56" s="2450"/>
      <c r="BR56" s="2459"/>
      <c r="BS56" s="2459"/>
      <c r="BU56" s="2450"/>
      <c r="BV56" s="2454"/>
      <c r="BW56" s="2450"/>
      <c r="BX56" s="2463"/>
      <c r="BY56" s="2450"/>
      <c r="BZ56" s="2450"/>
      <c r="CA56" s="2450"/>
      <c r="CB56" s="2450"/>
      <c r="CD56" s="2450"/>
      <c r="CE56" s="2450"/>
      <c r="CF56" s="2454"/>
      <c r="CG56" s="2454"/>
      <c r="CH56" s="2450"/>
      <c r="CI56" s="2463"/>
      <c r="CJ56" s="2459"/>
      <c r="CK56" s="2459"/>
      <c r="CL56" s="2450"/>
      <c r="CM56" s="2463"/>
      <c r="CN56" s="2463"/>
      <c r="CO56" s="2463"/>
    </row>
    <row r="57" spans="1:93">
      <c r="A57" s="2450"/>
      <c r="B57" s="2450"/>
      <c r="C57" s="2454"/>
      <c r="D57" s="2454"/>
      <c r="E57" s="2450"/>
      <c r="F57" s="2454"/>
      <c r="G57" s="2454"/>
      <c r="H57" s="2454"/>
      <c r="I57" s="2454"/>
      <c r="J57" s="2454"/>
      <c r="K57" s="2454"/>
      <c r="L57" s="2454"/>
      <c r="M57" s="2454"/>
      <c r="N57" s="2454"/>
      <c r="O57" s="2454"/>
      <c r="P57" s="2454"/>
      <c r="Q57" s="2454"/>
      <c r="R57" s="2454"/>
      <c r="S57" s="2458"/>
      <c r="T57" s="2458"/>
      <c r="U57" s="2450"/>
      <c r="V57" s="2450"/>
      <c r="W57" s="2454"/>
      <c r="X57" s="2454"/>
      <c r="Y57" s="2450"/>
      <c r="Z57" s="2459"/>
      <c r="AA57" s="2459"/>
      <c r="AB57" s="2459"/>
      <c r="AC57" s="2450"/>
      <c r="AD57" s="2450"/>
      <c r="AE57" s="2450"/>
      <c r="AF57" s="2450"/>
      <c r="AG57" s="2450"/>
      <c r="AH57" s="2450"/>
      <c r="AI57" s="2458"/>
      <c r="AJ57" s="2458"/>
      <c r="AK57" s="2458"/>
      <c r="AL57" s="2458"/>
      <c r="AM57" s="2458"/>
      <c r="AN57" s="2459"/>
      <c r="AO57" s="2459"/>
      <c r="AP57" s="2450"/>
      <c r="AQ57" s="2450"/>
      <c r="AR57" s="2450"/>
      <c r="AS57" s="2454"/>
      <c r="AT57" s="2450"/>
      <c r="AU57" s="2450"/>
      <c r="AV57" s="2450"/>
      <c r="AW57" s="2459"/>
      <c r="AX57" s="2450"/>
      <c r="AY57" s="2450"/>
      <c r="AZ57" s="2450"/>
      <c r="BA57" s="2450"/>
      <c r="BB57" s="2450"/>
      <c r="BC57" s="2450"/>
      <c r="BD57" s="2450"/>
      <c r="BE57" s="2450"/>
      <c r="BF57" s="2450"/>
      <c r="BG57" s="2450"/>
      <c r="BH57" s="2450"/>
      <c r="BI57" s="2450"/>
      <c r="BJ57" s="2450"/>
      <c r="BK57" s="2453"/>
      <c r="BL57" s="2450"/>
      <c r="BM57" s="2450"/>
      <c r="BN57" s="2450"/>
      <c r="BO57" s="2450"/>
      <c r="BP57" s="2450"/>
      <c r="BQ57" s="2450"/>
      <c r="BR57" s="2459"/>
      <c r="BS57" s="2459"/>
      <c r="BU57" s="2450"/>
      <c r="BV57" s="2454"/>
      <c r="BW57" s="2450"/>
      <c r="BX57" s="2463"/>
      <c r="BY57" s="2450"/>
      <c r="BZ57" s="2450"/>
      <c r="CA57" s="2450"/>
      <c r="CB57" s="2450"/>
      <c r="CD57" s="2450"/>
      <c r="CE57" s="2450"/>
      <c r="CF57" s="2454"/>
      <c r="CG57" s="2454"/>
      <c r="CH57" s="2450"/>
      <c r="CI57" s="2463"/>
      <c r="CJ57" s="2459"/>
      <c r="CK57" s="2459"/>
      <c r="CL57" s="2450"/>
      <c r="CM57" s="2463"/>
      <c r="CN57" s="2463"/>
      <c r="CO57" s="2463"/>
    </row>
    <row r="58" spans="1:93">
      <c r="A58" s="2450"/>
      <c r="B58" s="2450"/>
      <c r="C58" s="2454"/>
      <c r="D58" s="2454"/>
      <c r="E58" s="2450"/>
      <c r="F58" s="2454"/>
      <c r="G58" s="2454"/>
      <c r="H58" s="2454"/>
      <c r="I58" s="2454"/>
      <c r="J58" s="2454"/>
      <c r="K58" s="2454"/>
      <c r="L58" s="2454"/>
      <c r="M58" s="2454"/>
      <c r="N58" s="2454"/>
      <c r="O58" s="2454"/>
      <c r="P58" s="2454"/>
      <c r="Q58" s="2454"/>
      <c r="R58" s="2454"/>
      <c r="S58" s="2458"/>
      <c r="T58" s="2458"/>
      <c r="U58" s="2450"/>
      <c r="V58" s="2450"/>
      <c r="W58" s="2454"/>
      <c r="X58" s="2454"/>
      <c r="Y58" s="2450"/>
      <c r="Z58" s="2459"/>
      <c r="AA58" s="2459"/>
      <c r="AB58" s="2459"/>
      <c r="AC58" s="2450"/>
      <c r="AD58" s="2450"/>
      <c r="AE58" s="2450"/>
      <c r="AF58" s="2450"/>
      <c r="AG58" s="2450"/>
      <c r="AH58" s="2450"/>
      <c r="AI58" s="2458"/>
      <c r="AJ58" s="2458"/>
      <c r="AK58" s="2458"/>
      <c r="AL58" s="2458"/>
      <c r="AM58" s="2458"/>
      <c r="AN58" s="2459"/>
      <c r="AO58" s="2459"/>
      <c r="AP58" s="2450"/>
      <c r="AQ58" s="2450"/>
      <c r="AR58" s="2450"/>
      <c r="AS58" s="2454"/>
      <c r="AT58" s="2450"/>
      <c r="AU58" s="2450"/>
      <c r="AV58" s="2450"/>
      <c r="AW58" s="2459"/>
      <c r="AX58" s="2450"/>
      <c r="AY58" s="2450"/>
      <c r="AZ58" s="2450"/>
      <c r="BA58" s="2450"/>
      <c r="BB58" s="2450"/>
      <c r="BC58" s="2450"/>
      <c r="BD58" s="2450"/>
      <c r="BE58" s="2450"/>
      <c r="BF58" s="2450"/>
      <c r="BG58" s="2450"/>
      <c r="BH58" s="2450"/>
      <c r="BI58" s="2450"/>
      <c r="BJ58" s="2450"/>
      <c r="BK58" s="2453"/>
      <c r="BL58" s="2450"/>
      <c r="BM58" s="2450"/>
      <c r="BN58" s="2450"/>
      <c r="BO58" s="2450"/>
      <c r="BP58" s="2450"/>
      <c r="BQ58" s="2450"/>
      <c r="BR58" s="2459"/>
      <c r="BS58" s="2459"/>
      <c r="BU58" s="2450"/>
      <c r="BV58" s="2454"/>
      <c r="BW58" s="2450"/>
      <c r="BX58" s="2463"/>
      <c r="BY58" s="2450"/>
      <c r="BZ58" s="2450"/>
      <c r="CA58" s="2450"/>
      <c r="CB58" s="2450"/>
      <c r="CD58" s="2450"/>
      <c r="CE58" s="2450"/>
      <c r="CF58" s="2454"/>
      <c r="CG58" s="2454"/>
      <c r="CH58" s="2450"/>
      <c r="CI58" s="2463"/>
      <c r="CJ58" s="2459"/>
      <c r="CK58" s="2459"/>
      <c r="CL58" s="2450"/>
      <c r="CM58" s="2463"/>
      <c r="CN58" s="2463"/>
      <c r="CO58" s="2463"/>
    </row>
    <row r="59" spans="1:93">
      <c r="A59" s="2450"/>
      <c r="B59" s="2450"/>
      <c r="C59" s="2454"/>
      <c r="D59" s="2454"/>
      <c r="E59" s="2450"/>
      <c r="F59" s="2454"/>
      <c r="G59" s="2454"/>
      <c r="H59" s="2454"/>
      <c r="I59" s="2454"/>
      <c r="J59" s="2454"/>
      <c r="K59" s="2454"/>
      <c r="L59" s="2454"/>
      <c r="M59" s="2454"/>
      <c r="N59" s="2454"/>
      <c r="O59" s="2454"/>
      <c r="P59" s="2454"/>
      <c r="Q59" s="2454"/>
      <c r="R59" s="2454"/>
      <c r="S59" s="2458"/>
      <c r="T59" s="2458"/>
      <c r="U59" s="2450"/>
      <c r="V59" s="2450"/>
      <c r="W59" s="2454"/>
      <c r="X59" s="2454"/>
      <c r="Y59" s="2450"/>
      <c r="Z59" s="2459"/>
      <c r="AA59" s="2459"/>
      <c r="AB59" s="2459"/>
      <c r="AC59" s="2450"/>
      <c r="AD59" s="2450"/>
      <c r="AE59" s="2450"/>
      <c r="AF59" s="2450"/>
      <c r="AG59" s="2450"/>
      <c r="AH59" s="2450"/>
      <c r="AI59" s="2458"/>
      <c r="AJ59" s="2458"/>
      <c r="AK59" s="2458"/>
      <c r="AL59" s="2458"/>
      <c r="AM59" s="2458"/>
      <c r="AN59" s="2459"/>
      <c r="AO59" s="2459"/>
      <c r="AP59" s="2450"/>
      <c r="AQ59" s="2450"/>
      <c r="AR59" s="2450"/>
      <c r="AS59" s="2454"/>
      <c r="AT59" s="2450"/>
      <c r="AU59" s="2450"/>
      <c r="AV59" s="2450"/>
      <c r="AW59" s="2459"/>
      <c r="AX59" s="2450"/>
      <c r="AY59" s="2450"/>
      <c r="AZ59" s="2450"/>
      <c r="BA59" s="2450"/>
      <c r="BB59" s="2450"/>
      <c r="BC59" s="2450"/>
      <c r="BD59" s="2450"/>
      <c r="BE59" s="2450"/>
      <c r="BF59" s="2450"/>
      <c r="BG59" s="2450"/>
      <c r="BH59" s="2450"/>
      <c r="BI59" s="2450"/>
      <c r="BJ59" s="2450"/>
      <c r="BK59" s="2453"/>
      <c r="BL59" s="2450"/>
      <c r="BM59" s="2450"/>
      <c r="BN59" s="2450"/>
      <c r="BO59" s="2450"/>
      <c r="BP59" s="2450"/>
      <c r="BQ59" s="2450"/>
      <c r="BR59" s="2459"/>
      <c r="BS59" s="2459"/>
      <c r="BU59" s="2450"/>
      <c r="BV59" s="2454"/>
      <c r="BW59" s="2450"/>
      <c r="BX59" s="2463"/>
      <c r="BY59" s="2450"/>
      <c r="BZ59" s="2450"/>
      <c r="CA59" s="2450"/>
      <c r="CB59" s="2450"/>
      <c r="CD59" s="2450"/>
      <c r="CE59" s="2450"/>
      <c r="CF59" s="2454"/>
      <c r="CG59" s="2454"/>
      <c r="CH59" s="2450"/>
      <c r="CI59" s="2463"/>
      <c r="CJ59" s="2459"/>
      <c r="CK59" s="2459"/>
      <c r="CL59" s="2450"/>
      <c r="CM59" s="2463"/>
      <c r="CN59" s="2463"/>
      <c r="CO59" s="2463"/>
    </row>
    <row r="60" spans="1:93">
      <c r="A60" s="2450"/>
      <c r="B60" s="2450"/>
      <c r="C60" s="2454"/>
      <c r="D60" s="2454"/>
      <c r="E60" s="2450"/>
      <c r="F60" s="2454"/>
      <c r="G60" s="2454"/>
      <c r="H60" s="2454"/>
      <c r="I60" s="2454"/>
      <c r="J60" s="2454"/>
      <c r="K60" s="2454"/>
      <c r="L60" s="2454"/>
      <c r="M60" s="2454"/>
      <c r="N60" s="2454"/>
      <c r="O60" s="2454"/>
      <c r="P60" s="2454"/>
      <c r="Q60" s="2454"/>
      <c r="R60" s="2454"/>
      <c r="S60" s="2458"/>
      <c r="T60" s="2458"/>
      <c r="U60" s="2450"/>
      <c r="V60" s="2450"/>
      <c r="W60" s="2454"/>
      <c r="X60" s="2454"/>
      <c r="Y60" s="2450"/>
      <c r="Z60" s="2459"/>
      <c r="AA60" s="2459"/>
      <c r="AB60" s="2459"/>
      <c r="AC60" s="2450"/>
      <c r="AD60" s="2450"/>
      <c r="AE60" s="2450"/>
      <c r="AF60" s="2450"/>
      <c r="AG60" s="2450"/>
      <c r="AH60" s="2450"/>
      <c r="AI60" s="2458"/>
      <c r="AJ60" s="2458"/>
      <c r="AK60" s="2458"/>
      <c r="AL60" s="2458"/>
      <c r="AM60" s="2458"/>
      <c r="AN60" s="2459"/>
      <c r="AO60" s="2459"/>
      <c r="AP60" s="2450"/>
      <c r="AQ60" s="2450"/>
      <c r="AR60" s="2450"/>
      <c r="AS60" s="2454"/>
      <c r="AT60" s="2450"/>
      <c r="AU60" s="2450"/>
      <c r="AV60" s="2450"/>
      <c r="AW60" s="2459"/>
      <c r="AX60" s="2450"/>
      <c r="AY60" s="2450"/>
      <c r="AZ60" s="2450"/>
      <c r="BA60" s="2450"/>
      <c r="BB60" s="2450"/>
      <c r="BC60" s="2450"/>
      <c r="BD60" s="2450"/>
      <c r="BE60" s="2450"/>
      <c r="BF60" s="2450"/>
      <c r="BG60" s="2450"/>
      <c r="BH60" s="2450"/>
      <c r="BI60" s="2450"/>
      <c r="BJ60" s="2450"/>
      <c r="BK60" s="2453"/>
      <c r="BL60" s="2450"/>
      <c r="BM60" s="2450"/>
      <c r="BN60" s="2450"/>
      <c r="BO60" s="2450"/>
      <c r="BP60" s="2450"/>
      <c r="BQ60" s="2450"/>
      <c r="BR60" s="2459"/>
      <c r="BS60" s="2459"/>
      <c r="BU60" s="2450"/>
      <c r="BV60" s="2454"/>
      <c r="BW60" s="2450"/>
      <c r="BX60" s="2463"/>
      <c r="BY60" s="2450"/>
      <c r="BZ60" s="2450"/>
      <c r="CA60" s="2450"/>
      <c r="CB60" s="2450"/>
      <c r="CD60" s="2450"/>
      <c r="CE60" s="2450"/>
      <c r="CF60" s="2454"/>
      <c r="CG60" s="2454"/>
      <c r="CH60" s="2450"/>
      <c r="CI60" s="2463"/>
      <c r="CJ60" s="2459"/>
      <c r="CK60" s="2459"/>
      <c r="CL60" s="2450"/>
      <c r="CM60" s="2463"/>
      <c r="CN60" s="2463"/>
      <c r="CO60" s="2463"/>
    </row>
    <row r="61" spans="1:93">
      <c r="A61" s="2450"/>
      <c r="B61" s="2450"/>
      <c r="C61" s="2454"/>
      <c r="D61" s="2454"/>
      <c r="E61" s="2450"/>
      <c r="F61" s="2454"/>
      <c r="G61" s="2454"/>
      <c r="H61" s="2454"/>
      <c r="I61" s="2454"/>
      <c r="J61" s="2454"/>
      <c r="K61" s="2454"/>
      <c r="L61" s="2454"/>
      <c r="M61" s="2454"/>
      <c r="N61" s="2454"/>
      <c r="O61" s="2454"/>
      <c r="P61" s="2454"/>
      <c r="Q61" s="2454"/>
      <c r="R61" s="2454"/>
      <c r="S61" s="2458"/>
      <c r="T61" s="2458"/>
      <c r="U61" s="2450"/>
      <c r="V61" s="2450"/>
      <c r="W61" s="2454"/>
      <c r="X61" s="2454"/>
      <c r="Y61" s="2450"/>
      <c r="Z61" s="2459"/>
      <c r="AA61" s="2459"/>
      <c r="AB61" s="2459"/>
      <c r="AC61" s="2450"/>
      <c r="AD61" s="2450"/>
      <c r="AE61" s="2450"/>
      <c r="AF61" s="2450"/>
      <c r="AG61" s="2450"/>
      <c r="AH61" s="2450"/>
      <c r="AI61" s="2458"/>
      <c r="AJ61" s="2458"/>
      <c r="AK61" s="2458"/>
      <c r="AL61" s="2458"/>
      <c r="AM61" s="2458"/>
      <c r="AN61" s="2459"/>
      <c r="AO61" s="2459"/>
      <c r="AP61" s="2450"/>
      <c r="AQ61" s="2450"/>
      <c r="AR61" s="2450"/>
      <c r="AS61" s="2454"/>
      <c r="AT61" s="2450"/>
      <c r="AU61" s="2450"/>
      <c r="AV61" s="2450"/>
      <c r="AW61" s="2459"/>
      <c r="AX61" s="2450"/>
      <c r="AY61" s="2450"/>
      <c r="AZ61" s="2450"/>
      <c r="BA61" s="2450"/>
      <c r="BB61" s="2450"/>
      <c r="BC61" s="2450"/>
      <c r="BD61" s="2450"/>
      <c r="BE61" s="2450"/>
      <c r="BF61" s="2450"/>
      <c r="BG61" s="2450"/>
      <c r="BH61" s="2450"/>
      <c r="BI61" s="2450"/>
      <c r="BJ61" s="2450"/>
      <c r="BK61" s="2453"/>
      <c r="BL61" s="2450"/>
      <c r="BM61" s="2450"/>
      <c r="BN61" s="2450"/>
      <c r="BO61" s="2450"/>
      <c r="BP61" s="2450"/>
      <c r="BQ61" s="2450"/>
      <c r="BR61" s="2459"/>
      <c r="BS61" s="2459"/>
      <c r="BU61" s="2450"/>
      <c r="BV61" s="2454"/>
      <c r="BW61" s="2450"/>
      <c r="BX61" s="2463"/>
      <c r="BY61" s="2450"/>
      <c r="BZ61" s="2450"/>
      <c r="CA61" s="2450"/>
      <c r="CB61" s="2450"/>
      <c r="CD61" s="2450"/>
      <c r="CE61" s="2450"/>
      <c r="CF61" s="2454"/>
      <c r="CG61" s="2454"/>
      <c r="CH61" s="2450"/>
      <c r="CI61" s="2463"/>
      <c r="CJ61" s="2459"/>
      <c r="CK61" s="2459"/>
      <c r="CL61" s="2450"/>
      <c r="CM61" s="2463"/>
      <c r="CN61" s="2463"/>
      <c r="CO61" s="2463"/>
    </row>
    <row r="62" spans="1:93">
      <c r="A62" s="2450"/>
      <c r="B62" s="2450"/>
      <c r="C62" s="2454"/>
      <c r="D62" s="2454"/>
      <c r="E62" s="2450"/>
      <c r="F62" s="2454"/>
      <c r="G62" s="2454"/>
      <c r="H62" s="2454"/>
      <c r="I62" s="2454"/>
      <c r="J62" s="2454"/>
      <c r="K62" s="2454"/>
      <c r="L62" s="2454"/>
      <c r="M62" s="2454"/>
      <c r="N62" s="2454"/>
      <c r="O62" s="2454"/>
      <c r="P62" s="2454"/>
      <c r="Q62" s="2454"/>
      <c r="R62" s="2454"/>
      <c r="S62" s="2458"/>
      <c r="T62" s="2458"/>
      <c r="U62" s="2450"/>
      <c r="V62" s="2450"/>
      <c r="W62" s="2454"/>
      <c r="X62" s="2454"/>
      <c r="Y62" s="2450"/>
      <c r="Z62" s="2459"/>
      <c r="AA62" s="2459"/>
      <c r="AB62" s="2459"/>
      <c r="AC62" s="2450"/>
      <c r="AD62" s="2450"/>
      <c r="AE62" s="2450"/>
      <c r="AF62" s="2450"/>
      <c r="AG62" s="2450"/>
      <c r="AH62" s="2450"/>
      <c r="AI62" s="2458"/>
      <c r="AJ62" s="2458"/>
      <c r="AK62" s="2458"/>
      <c r="AL62" s="2458"/>
      <c r="AM62" s="2458"/>
      <c r="AN62" s="2459"/>
      <c r="AO62" s="2459"/>
      <c r="AP62" s="2450"/>
      <c r="AQ62" s="2450"/>
      <c r="AR62" s="2450"/>
      <c r="AS62" s="2454"/>
      <c r="AT62" s="2450"/>
      <c r="AU62" s="2450"/>
      <c r="AV62" s="2450"/>
      <c r="AW62" s="2459"/>
      <c r="AX62" s="2450"/>
      <c r="AY62" s="2450"/>
      <c r="AZ62" s="2450"/>
      <c r="BA62" s="2450"/>
      <c r="BB62" s="2450"/>
      <c r="BC62" s="2450"/>
      <c r="BD62" s="2450"/>
      <c r="BE62" s="2450"/>
      <c r="BF62" s="2450"/>
      <c r="BG62" s="2450"/>
      <c r="BH62" s="2450"/>
      <c r="BI62" s="2450"/>
      <c r="BJ62" s="2450"/>
      <c r="BK62" s="2453"/>
      <c r="BL62" s="2450"/>
      <c r="BM62" s="2450"/>
      <c r="BN62" s="2450"/>
      <c r="BO62" s="2450"/>
      <c r="BP62" s="2450"/>
      <c r="BQ62" s="2450"/>
      <c r="BR62" s="2459"/>
      <c r="BS62" s="2459"/>
      <c r="BU62" s="2450"/>
      <c r="BV62" s="2454"/>
      <c r="BW62" s="2450"/>
      <c r="BX62" s="2463"/>
      <c r="BY62" s="2450"/>
      <c r="BZ62" s="2450"/>
      <c r="CA62" s="2450"/>
      <c r="CB62" s="2450"/>
      <c r="CD62" s="2450"/>
      <c r="CE62" s="2450"/>
      <c r="CF62" s="2454"/>
      <c r="CG62" s="2454"/>
      <c r="CH62" s="2450"/>
      <c r="CI62" s="2463"/>
      <c r="CJ62" s="2459"/>
      <c r="CK62" s="2459"/>
      <c r="CL62" s="2450"/>
      <c r="CM62" s="2463"/>
      <c r="CN62" s="2463"/>
      <c r="CO62" s="2463"/>
    </row>
    <row r="63" spans="1:93">
      <c r="A63" s="2450"/>
      <c r="B63" s="2450"/>
      <c r="C63" s="2454"/>
      <c r="D63" s="2454"/>
      <c r="E63" s="2450"/>
      <c r="F63" s="2454"/>
      <c r="G63" s="2454"/>
      <c r="H63" s="2454"/>
      <c r="I63" s="2454"/>
      <c r="J63" s="2454"/>
      <c r="K63" s="2454"/>
      <c r="L63" s="2454"/>
      <c r="M63" s="2454"/>
      <c r="N63" s="2454"/>
      <c r="O63" s="2454"/>
      <c r="P63" s="2454"/>
      <c r="Q63" s="2454"/>
      <c r="R63" s="2454"/>
      <c r="S63" s="2458"/>
      <c r="T63" s="2458"/>
      <c r="U63" s="2450"/>
      <c r="V63" s="2450"/>
      <c r="W63" s="2454"/>
      <c r="X63" s="2454"/>
      <c r="Y63" s="2450"/>
      <c r="Z63" s="2459"/>
      <c r="AA63" s="2459"/>
      <c r="AB63" s="2459"/>
      <c r="AC63" s="2450"/>
      <c r="AD63" s="2450"/>
      <c r="AE63" s="2450"/>
      <c r="AF63" s="2450"/>
      <c r="AG63" s="2450"/>
      <c r="AH63" s="2450"/>
      <c r="AI63" s="2458"/>
      <c r="AJ63" s="2458"/>
      <c r="AK63" s="2458"/>
      <c r="AL63" s="2458"/>
      <c r="AM63" s="2458"/>
      <c r="AN63" s="2459"/>
      <c r="AO63" s="2459"/>
      <c r="AP63" s="2450"/>
      <c r="AQ63" s="2450"/>
      <c r="AR63" s="2450"/>
      <c r="AS63" s="2454"/>
      <c r="AT63" s="2450"/>
      <c r="AU63" s="2450"/>
      <c r="AV63" s="2450"/>
      <c r="AW63" s="2459"/>
      <c r="AX63" s="2450"/>
      <c r="AY63" s="2450"/>
      <c r="AZ63" s="2450"/>
      <c r="BA63" s="2450"/>
      <c r="BB63" s="2450"/>
      <c r="BC63" s="2450"/>
      <c r="BD63" s="2450"/>
      <c r="BE63" s="2450"/>
      <c r="BF63" s="2450"/>
      <c r="BG63" s="2450"/>
      <c r="BH63" s="2450"/>
      <c r="BI63" s="2450"/>
      <c r="BJ63" s="2450"/>
      <c r="BK63" s="2453"/>
      <c r="BL63" s="2450"/>
      <c r="BM63" s="2450"/>
      <c r="BN63" s="2450"/>
      <c r="BO63" s="2450"/>
      <c r="BP63" s="2450"/>
      <c r="BQ63" s="2450"/>
      <c r="BR63" s="2459"/>
      <c r="BS63" s="2459"/>
      <c r="BU63" s="2450"/>
      <c r="BV63" s="2454"/>
      <c r="BW63" s="2450"/>
      <c r="BX63" s="2463"/>
      <c r="BY63" s="2450"/>
      <c r="BZ63" s="2450"/>
      <c r="CA63" s="2450"/>
      <c r="CB63" s="2450"/>
      <c r="CD63" s="2450"/>
      <c r="CE63" s="2450"/>
      <c r="CF63" s="2454"/>
      <c r="CG63" s="2454"/>
      <c r="CH63" s="2450"/>
      <c r="CI63" s="2463"/>
      <c r="CJ63" s="2459"/>
      <c r="CK63" s="2459"/>
      <c r="CL63" s="2450"/>
      <c r="CM63" s="2463"/>
      <c r="CN63" s="2463"/>
      <c r="CO63" s="2463"/>
    </row>
    <row r="64" spans="1:93">
      <c r="A64" s="2450"/>
      <c r="B64" s="2450"/>
      <c r="C64" s="2454"/>
      <c r="D64" s="2454"/>
      <c r="E64" s="2450"/>
      <c r="F64" s="2454"/>
      <c r="G64" s="2454"/>
      <c r="H64" s="2454"/>
      <c r="I64" s="2454"/>
      <c r="J64" s="2454"/>
      <c r="K64" s="2454"/>
      <c r="L64" s="2454"/>
      <c r="M64" s="2454"/>
      <c r="N64" s="2454"/>
      <c r="O64" s="2454"/>
      <c r="P64" s="2454"/>
      <c r="Q64" s="2454"/>
      <c r="R64" s="2454"/>
      <c r="S64" s="2458"/>
      <c r="T64" s="2458"/>
      <c r="U64" s="2450"/>
      <c r="V64" s="2450"/>
      <c r="W64" s="2454"/>
      <c r="X64" s="2454"/>
      <c r="Y64" s="2450"/>
      <c r="Z64" s="2459"/>
      <c r="AA64" s="2459"/>
      <c r="AB64" s="2459"/>
      <c r="AC64" s="2450"/>
      <c r="AD64" s="2450"/>
      <c r="AE64" s="2450"/>
      <c r="AF64" s="2450"/>
      <c r="AG64" s="2450"/>
      <c r="AH64" s="2450"/>
      <c r="AI64" s="2458"/>
      <c r="AJ64" s="2458"/>
      <c r="AK64" s="2458"/>
      <c r="AL64" s="2458"/>
      <c r="AM64" s="2458"/>
      <c r="AN64" s="2459"/>
      <c r="AO64" s="2459"/>
      <c r="AP64" s="2450"/>
      <c r="AQ64" s="2450"/>
      <c r="AR64" s="2450"/>
      <c r="AS64" s="2454"/>
      <c r="AT64" s="2450"/>
      <c r="AU64" s="2450"/>
      <c r="AV64" s="2450"/>
      <c r="AW64" s="2459"/>
      <c r="AX64" s="2450"/>
      <c r="AY64" s="2450"/>
      <c r="AZ64" s="2450"/>
      <c r="BA64" s="2450"/>
      <c r="BB64" s="2450"/>
      <c r="BC64" s="2450"/>
      <c r="BD64" s="2450"/>
      <c r="BE64" s="2450"/>
      <c r="BF64" s="2450"/>
      <c r="BG64" s="2450"/>
      <c r="BH64" s="2450"/>
      <c r="BI64" s="2450"/>
      <c r="BJ64" s="2450"/>
      <c r="BK64" s="2453"/>
      <c r="BL64" s="2450"/>
      <c r="BM64" s="2450"/>
      <c r="BN64" s="2450"/>
      <c r="BO64" s="2450"/>
      <c r="BP64" s="2450"/>
      <c r="BQ64" s="2450"/>
      <c r="BR64" s="2459"/>
      <c r="BS64" s="2459"/>
      <c r="BU64" s="2450"/>
      <c r="BV64" s="2454"/>
      <c r="BW64" s="2450"/>
      <c r="BX64" s="2463"/>
      <c r="BY64" s="2450"/>
      <c r="BZ64" s="2450"/>
      <c r="CA64" s="2450"/>
      <c r="CB64" s="2450"/>
      <c r="CD64" s="2450"/>
      <c r="CE64" s="2450"/>
      <c r="CF64" s="2454"/>
      <c r="CG64" s="2454"/>
      <c r="CH64" s="2450"/>
      <c r="CI64" s="2463"/>
      <c r="CJ64" s="2459"/>
      <c r="CK64" s="2459"/>
      <c r="CL64" s="2450"/>
      <c r="CM64" s="2463"/>
      <c r="CN64" s="2463"/>
      <c r="CO64" s="2463"/>
    </row>
    <row r="65" spans="1:93">
      <c r="A65" s="2450"/>
      <c r="B65" s="2450"/>
      <c r="C65" s="2454"/>
      <c r="D65" s="2454"/>
      <c r="E65" s="2450"/>
      <c r="F65" s="2454"/>
      <c r="G65" s="2454"/>
      <c r="H65" s="2454"/>
      <c r="I65" s="2454"/>
      <c r="J65" s="2454"/>
      <c r="K65" s="2454"/>
      <c r="L65" s="2454"/>
      <c r="M65" s="2454"/>
      <c r="N65" s="2454"/>
      <c r="O65" s="2454"/>
      <c r="P65" s="2454"/>
      <c r="Q65" s="2454"/>
      <c r="R65" s="2454"/>
      <c r="S65" s="2458"/>
      <c r="T65" s="2458"/>
      <c r="U65" s="2450"/>
      <c r="V65" s="2450"/>
      <c r="W65" s="2454"/>
      <c r="X65" s="2454"/>
      <c r="Y65" s="2450"/>
      <c r="Z65" s="2459"/>
      <c r="AA65" s="2459"/>
      <c r="AB65" s="2459"/>
      <c r="AC65" s="2450"/>
      <c r="AD65" s="2450"/>
      <c r="AE65" s="2450"/>
      <c r="AF65" s="2450"/>
      <c r="AG65" s="2450"/>
      <c r="AH65" s="2450"/>
      <c r="AI65" s="2458"/>
      <c r="AJ65" s="2458"/>
      <c r="AK65" s="2458"/>
      <c r="AL65" s="2458"/>
      <c r="AM65" s="2458"/>
      <c r="AN65" s="2459"/>
      <c r="AO65" s="2459"/>
      <c r="AP65" s="2450"/>
      <c r="AQ65" s="2450"/>
      <c r="AR65" s="2450"/>
      <c r="AS65" s="2454"/>
      <c r="AT65" s="2450"/>
      <c r="AU65" s="2450"/>
      <c r="AV65" s="2450"/>
      <c r="AW65" s="2459"/>
      <c r="AX65" s="2450"/>
      <c r="AY65" s="2450"/>
      <c r="AZ65" s="2450"/>
      <c r="BA65" s="2450"/>
      <c r="BB65" s="2450"/>
      <c r="BC65" s="2450"/>
      <c r="BD65" s="2450"/>
      <c r="BE65" s="2450"/>
      <c r="BF65" s="2450"/>
      <c r="BG65" s="2450"/>
      <c r="BH65" s="2450"/>
      <c r="BI65" s="2450"/>
      <c r="BJ65" s="2450"/>
      <c r="BK65" s="2453"/>
      <c r="BL65" s="2450"/>
      <c r="BM65" s="2450"/>
      <c r="BN65" s="2450"/>
      <c r="BO65" s="2450"/>
      <c r="BP65" s="2450"/>
      <c r="BQ65" s="2450"/>
      <c r="BR65" s="2459"/>
      <c r="BS65" s="2459"/>
      <c r="BU65" s="2450"/>
      <c r="BV65" s="2454"/>
      <c r="BW65" s="2450"/>
      <c r="BX65" s="2463"/>
      <c r="BY65" s="2450"/>
      <c r="BZ65" s="2450"/>
      <c r="CA65" s="2450"/>
      <c r="CB65" s="2450"/>
      <c r="CD65" s="2450"/>
      <c r="CE65" s="2450"/>
      <c r="CF65" s="2454"/>
      <c r="CG65" s="2454"/>
      <c r="CH65" s="2450"/>
      <c r="CI65" s="2463"/>
      <c r="CJ65" s="2459"/>
      <c r="CK65" s="2459"/>
      <c r="CL65" s="2450"/>
      <c r="CM65" s="2463"/>
      <c r="CN65" s="2463"/>
      <c r="CO65" s="2463"/>
    </row>
    <row r="66" spans="1:93">
      <c r="A66" s="2450"/>
      <c r="B66" s="2450"/>
      <c r="C66" s="2454"/>
      <c r="D66" s="2454"/>
      <c r="E66" s="2450"/>
      <c r="F66" s="2454"/>
      <c r="G66" s="2454"/>
      <c r="H66" s="2454"/>
      <c r="I66" s="2454"/>
      <c r="J66" s="2454"/>
      <c r="K66" s="2454"/>
      <c r="L66" s="2454"/>
      <c r="M66" s="2454"/>
      <c r="N66" s="2454"/>
      <c r="O66" s="2454"/>
      <c r="P66" s="2454"/>
      <c r="Q66" s="2454"/>
      <c r="R66" s="2454"/>
      <c r="S66" s="2458"/>
      <c r="T66" s="2458"/>
      <c r="U66" s="2450"/>
      <c r="V66" s="2450"/>
      <c r="W66" s="2454"/>
      <c r="X66" s="2454"/>
      <c r="Y66" s="2450"/>
      <c r="Z66" s="2459"/>
      <c r="AA66" s="2459"/>
      <c r="AB66" s="2459"/>
      <c r="AC66" s="2450"/>
      <c r="AD66" s="2450"/>
      <c r="AE66" s="2450"/>
      <c r="AF66" s="2450"/>
      <c r="AG66" s="2450"/>
      <c r="AH66" s="2450"/>
      <c r="AI66" s="2458"/>
      <c r="AJ66" s="2458"/>
      <c r="AK66" s="2458"/>
      <c r="AL66" s="2458"/>
      <c r="AM66" s="2458"/>
      <c r="AN66" s="2459"/>
      <c r="AO66" s="2459"/>
      <c r="AP66" s="2450"/>
      <c r="AQ66" s="2450"/>
      <c r="AR66" s="2450"/>
      <c r="AS66" s="2454"/>
      <c r="AT66" s="2450"/>
      <c r="AU66" s="2450"/>
      <c r="AV66" s="2450"/>
      <c r="AW66" s="2459"/>
      <c r="AX66" s="2450"/>
      <c r="AY66" s="2450"/>
      <c r="AZ66" s="2450"/>
      <c r="BA66" s="2450"/>
      <c r="BB66" s="2450"/>
      <c r="BC66" s="2450"/>
      <c r="BD66" s="2450"/>
      <c r="BE66" s="2450"/>
      <c r="BF66" s="2450"/>
      <c r="BG66" s="2450"/>
      <c r="BH66" s="2450"/>
      <c r="BI66" s="2450"/>
      <c r="BJ66" s="2450"/>
      <c r="BK66" s="2453"/>
      <c r="BL66" s="2450"/>
      <c r="BM66" s="2450"/>
      <c r="BN66" s="2450"/>
      <c r="BO66" s="2450"/>
      <c r="BP66" s="2450"/>
      <c r="BQ66" s="2450"/>
      <c r="BR66" s="2459"/>
      <c r="BS66" s="2459"/>
      <c r="BU66" s="2450"/>
      <c r="BV66" s="2454"/>
      <c r="BW66" s="2450"/>
      <c r="BX66" s="2463"/>
      <c r="BY66" s="2450"/>
      <c r="BZ66" s="2450"/>
      <c r="CA66" s="2450"/>
      <c r="CB66" s="2450"/>
      <c r="CD66" s="2450"/>
      <c r="CE66" s="2450"/>
      <c r="CF66" s="2454"/>
      <c r="CG66" s="2454"/>
      <c r="CH66" s="2450"/>
      <c r="CI66" s="2463"/>
      <c r="CJ66" s="2459"/>
      <c r="CK66" s="2459"/>
      <c r="CL66" s="2450"/>
      <c r="CM66" s="2463"/>
      <c r="CN66" s="2463"/>
      <c r="CO66" s="2463"/>
    </row>
    <row r="67" spans="1:93">
      <c r="A67" s="2450"/>
      <c r="B67" s="2450"/>
      <c r="C67" s="2454"/>
      <c r="D67" s="2454"/>
      <c r="E67" s="2450"/>
      <c r="F67" s="2454"/>
      <c r="G67" s="2454"/>
      <c r="H67" s="2454"/>
      <c r="I67" s="2454"/>
      <c r="J67" s="2454"/>
      <c r="K67" s="2454"/>
      <c r="L67" s="2454"/>
      <c r="M67" s="2454"/>
      <c r="N67" s="2454"/>
      <c r="O67" s="2454"/>
      <c r="P67" s="2454"/>
      <c r="Q67" s="2454"/>
      <c r="R67" s="2454"/>
      <c r="S67" s="2458"/>
      <c r="T67" s="2458"/>
      <c r="U67" s="2450"/>
      <c r="V67" s="2450"/>
      <c r="W67" s="2454"/>
      <c r="X67" s="2454"/>
      <c r="Y67" s="2450"/>
      <c r="Z67" s="2459"/>
      <c r="AA67" s="2459"/>
      <c r="AB67" s="2459"/>
      <c r="AC67" s="2450"/>
      <c r="AD67" s="2450"/>
      <c r="AE67" s="2450"/>
      <c r="AF67" s="2450"/>
      <c r="AG67" s="2450"/>
      <c r="AH67" s="2450"/>
      <c r="AI67" s="2458"/>
      <c r="AJ67" s="2458"/>
      <c r="AK67" s="2458"/>
      <c r="AL67" s="2458"/>
      <c r="AM67" s="2458"/>
      <c r="AN67" s="2459"/>
      <c r="AO67" s="2459"/>
      <c r="AP67" s="2450"/>
      <c r="AQ67" s="2450"/>
      <c r="AR67" s="2450"/>
      <c r="AS67" s="2454"/>
      <c r="AT67" s="2450"/>
      <c r="AU67" s="2450"/>
      <c r="AV67" s="2450"/>
      <c r="AW67" s="2459"/>
      <c r="AX67" s="2450"/>
      <c r="AY67" s="2450"/>
      <c r="AZ67" s="2450"/>
      <c r="BA67" s="2450"/>
      <c r="BB67" s="2450"/>
      <c r="BC67" s="2450"/>
      <c r="BD67" s="2450"/>
      <c r="BE67" s="2450"/>
      <c r="BF67" s="2450"/>
      <c r="BG67" s="2450"/>
      <c r="BH67" s="2450"/>
      <c r="BI67" s="2450"/>
      <c r="BJ67" s="2450"/>
      <c r="BK67" s="2453"/>
      <c r="BL67" s="2450"/>
      <c r="BM67" s="2450"/>
      <c r="BN67" s="2450"/>
      <c r="BO67" s="2450"/>
      <c r="BP67" s="2450"/>
      <c r="BQ67" s="2450"/>
      <c r="BR67" s="2459"/>
      <c r="BS67" s="2459"/>
      <c r="BU67" s="2450"/>
      <c r="BV67" s="2454"/>
      <c r="BW67" s="2450"/>
      <c r="BX67" s="2463"/>
      <c r="BY67" s="2450"/>
      <c r="BZ67" s="2450"/>
      <c r="CA67" s="2450"/>
      <c r="CB67" s="2450"/>
      <c r="CD67" s="2450"/>
      <c r="CE67" s="2450"/>
      <c r="CF67" s="2454"/>
      <c r="CG67" s="2454"/>
      <c r="CH67" s="2450"/>
      <c r="CI67" s="2463"/>
      <c r="CJ67" s="2459"/>
      <c r="CK67" s="2459"/>
      <c r="CL67" s="2450"/>
      <c r="CM67" s="2463"/>
      <c r="CN67" s="2463"/>
      <c r="CO67" s="2463"/>
    </row>
    <row r="68" spans="1:93">
      <c r="A68" s="2450"/>
      <c r="B68" s="2450"/>
      <c r="C68" s="2454"/>
      <c r="D68" s="2454"/>
      <c r="E68" s="2450"/>
      <c r="F68" s="2454"/>
      <c r="G68" s="2454"/>
      <c r="H68" s="2454"/>
      <c r="I68" s="2454"/>
      <c r="J68" s="2454"/>
      <c r="K68" s="2454"/>
      <c r="L68" s="2454"/>
      <c r="M68" s="2454"/>
      <c r="N68" s="2454"/>
      <c r="O68" s="2454"/>
      <c r="P68" s="2454"/>
      <c r="Q68" s="2454"/>
      <c r="R68" s="2454"/>
      <c r="S68" s="2458"/>
      <c r="T68" s="2458"/>
      <c r="U68" s="2450"/>
      <c r="V68" s="2450"/>
      <c r="W68" s="2454"/>
      <c r="X68" s="2454"/>
      <c r="Y68" s="2450"/>
      <c r="Z68" s="2459"/>
      <c r="AA68" s="2459"/>
      <c r="AB68" s="2459"/>
      <c r="AC68" s="2450"/>
      <c r="AD68" s="2450"/>
      <c r="AE68" s="2450"/>
      <c r="AF68" s="2450"/>
      <c r="AG68" s="2450"/>
      <c r="AH68" s="2450"/>
      <c r="AI68" s="2458"/>
      <c r="AJ68" s="2458"/>
      <c r="AK68" s="2458"/>
      <c r="AL68" s="2458"/>
      <c r="AM68" s="2458"/>
      <c r="AN68" s="2459"/>
      <c r="AO68" s="2459"/>
      <c r="AP68" s="2450"/>
      <c r="AQ68" s="2450"/>
      <c r="AR68" s="2450"/>
      <c r="AS68" s="2454"/>
      <c r="AT68" s="2450"/>
      <c r="AU68" s="2450"/>
      <c r="AV68" s="2450"/>
      <c r="AW68" s="2459"/>
      <c r="AX68" s="2450"/>
      <c r="AY68" s="2450"/>
      <c r="AZ68" s="2450"/>
      <c r="BA68" s="2450"/>
      <c r="BB68" s="2450"/>
      <c r="BC68" s="2450"/>
      <c r="BD68" s="2450"/>
      <c r="BE68" s="2450"/>
      <c r="BF68" s="2450"/>
      <c r="BG68" s="2450"/>
      <c r="BH68" s="2450"/>
      <c r="BI68" s="2450"/>
      <c r="BJ68" s="2450"/>
      <c r="BK68" s="2453"/>
      <c r="BL68" s="2450"/>
      <c r="BM68" s="2450"/>
      <c r="BN68" s="2450"/>
      <c r="BO68" s="2450"/>
      <c r="BP68" s="2450"/>
      <c r="BQ68" s="2450"/>
      <c r="BR68" s="2459"/>
      <c r="BS68" s="2459"/>
      <c r="BU68" s="2450"/>
      <c r="BV68" s="2454"/>
      <c r="BW68" s="2450"/>
      <c r="BX68" s="2463"/>
      <c r="BY68" s="2450"/>
      <c r="BZ68" s="2450"/>
      <c r="CA68" s="2450"/>
      <c r="CB68" s="2450"/>
      <c r="CD68" s="2450"/>
      <c r="CE68" s="2450"/>
      <c r="CF68" s="2454"/>
      <c r="CG68" s="2454"/>
      <c r="CH68" s="2450"/>
      <c r="CI68" s="2463"/>
      <c r="CJ68" s="2459"/>
      <c r="CK68" s="2459"/>
      <c r="CL68" s="2450"/>
      <c r="CM68" s="2463"/>
      <c r="CN68" s="2463"/>
      <c r="CO68" s="2463"/>
    </row>
  </sheetData>
  <autoFilter ref="BU10:CB34" xr:uid="{12B04692-DC9C-4718-8372-579B8EA9AB2D}"/>
  <mergeCells count="5">
    <mergeCell ref="A9:AG9"/>
    <mergeCell ref="AI9:BJ9"/>
    <mergeCell ref="AH1:AH2"/>
    <mergeCell ref="J2:R2"/>
    <mergeCell ref="G1:J1"/>
  </mergeCells>
  <phoneticPr fontId="102" type="noConversion"/>
  <conditionalFormatting sqref="G1">
    <cfRule type="containsText" dxfId="8" priority="4" operator="containsText" text="Acore">
      <formula>NOT(ISERROR(SEARCH("Acore",G1)))</formula>
    </cfRule>
    <cfRule type="containsText" dxfId="7" priority="5" operator="containsText" text="Staging">
      <formula>NOT(ISERROR(SEARCH("Staging",G1)))</formula>
    </cfRule>
    <cfRule type="containsText" dxfId="6" priority="6" operator="containsText" text="QA">
      <formula>NOT(ISERROR(SEARCH("QA",G1)))</formula>
    </cfRule>
    <cfRule type="containsText" dxfId="5" priority="7" operator="containsText" text="Dev">
      <formula>NOT(ISERROR(SEARCH("Dev",G1)))</formula>
    </cfRule>
  </conditionalFormatting>
  <conditionalFormatting sqref="G1">
    <cfRule type="containsText" dxfId="4" priority="3" operator="containsText" text="Integration">
      <formula>NOT(ISERROR(SEARCH("Integration",G1)))</formula>
    </cfRule>
  </conditionalFormatting>
  <conditionalFormatting sqref="A11:A68">
    <cfRule type="duplicateValues" dxfId="3" priority="2"/>
  </conditionalFormatting>
  <conditionalFormatting sqref="B11:B68">
    <cfRule type="duplicateValues" dxfId="2" priority="1"/>
  </conditionalFormatting>
  <dataValidations count="16">
    <dataValidation type="list" allowBlank="1" showInputMessage="1" showErrorMessage="1" sqref="C4" xr:uid="{76435A4B-2072-44E6-845F-A64B682C412E}">
      <formula1>LDealStatus</formula1>
    </dataValidation>
    <dataValidation type="list" allowBlank="1" showInputMessage="1" showErrorMessage="1" sqref="H4 AP11:AQ68 AT11:AT68 AV11:AV68 AY11:AY68 BB11:BB68 BI11:BI68 BM11:BM68" xr:uid="{30F02FDB-8B2B-4D3F-AC55-DA713126DDED}">
      <formula1>LYesOrNO</formula1>
    </dataValidation>
    <dataValidation type="list" allowBlank="1" showInputMessage="1" showErrorMessage="1" sqref="Y11:Y68" xr:uid="{CF8EB851-1B62-4079-9BB0-5C8DD33177C1}">
      <formula1>LClassification</formula1>
    </dataValidation>
    <dataValidation type="list" allowBlank="1" showInputMessage="1" showErrorMessage="1" sqref="CA11:CA68 V11:V68" xr:uid="{9AA564E2-BE5E-4C81-8C14-1D18BB2AFD51}">
      <formula1>LindexName</formula1>
    </dataValidation>
    <dataValidation type="list" allowBlank="1" showInputMessage="1" showErrorMessage="1" sqref="BA11:BA68" xr:uid="{2DCB81B8-3B88-43F1-B3A3-1D861A40F190}">
      <formula1>LRoundingRule</formula1>
    </dataValidation>
    <dataValidation type="list" allowBlank="1" showInputMessage="1" showErrorMessage="1" sqref="BF11:BG68" xr:uid="{47D6AB66-6957-4488-8923-E7C2C2E72405}">
      <formula1>LPaydownScenarios</formula1>
    </dataValidation>
    <dataValidation type="list" allowBlank="1" showInputMessage="1" showErrorMessage="1" sqref="BH11:BH68" xr:uid="{6E5FF4ED-7FA8-41B9-8A03-D0A1757058EE}">
      <formula1>LdebtType</formula1>
    </dataValidation>
    <dataValidation type="list" allowBlank="1" showInputMessage="1" showErrorMessage="1" sqref="U11:U68" xr:uid="{1D5192A2-7481-4E37-AEE2-32BF54653824}">
      <formula1>LRateType</formula1>
    </dataValidation>
    <dataValidation type="list" allowBlank="1" showInputMessage="1" showErrorMessage="1" sqref="BN11:BN68" xr:uid="{4CECDC7C-A37B-4F1C-A15E-DB21E5526E20}">
      <formula1>LNoteFundingRule</formula1>
    </dataValidation>
    <dataValidation type="list" allowBlank="1" showInputMessage="1" showErrorMessage="1" sqref="BW11:BW68" xr:uid="{0F817DED-C0E9-4C8D-B2EC-9AAF9D5A7DE7}">
      <formula1>Lratespreadratetype</formula1>
    </dataValidation>
    <dataValidation type="list" allowBlank="1" showInputMessage="1" showErrorMessage="1" sqref="BY11:BY68" xr:uid="{CB42D37C-0899-477D-9F73-803DE084EB5B}">
      <formula1>LratespreadCalcType</formula1>
    </dataValidation>
    <dataValidation type="list" allowBlank="1" showInputMessage="1" showErrorMessage="1" sqref="CB11:CB68" xr:uid="{BBEA4B56-15B8-4E85-8697-2DAA13465311}">
      <formula1>LHolidayList</formula1>
    </dataValidation>
    <dataValidation type="list" allowBlank="1" showInputMessage="1" showErrorMessage="1" sqref="CH11:CH68" xr:uid="{4C9AC947-8643-4AB3-B7C0-671FD10EF51E}">
      <formula1>LFeeNameType</formula1>
    </dataValidation>
    <dataValidation type="list" allowBlank="1" showInputMessage="1" showErrorMessage="1" sqref="CL11:CL68" xr:uid="{28A04E7F-FFA0-4259-A1B0-35AE69BA1347}">
      <formula1>LApplyTrueUp</formula1>
    </dataValidation>
    <dataValidation type="list" allowBlank="1" showInputMessage="1" showErrorMessage="1" sqref="J4:J7" xr:uid="{610B56BE-D838-472F-8E6E-7EA917E93B7F}">
      <formula1>LPurposeType</formula1>
    </dataValidation>
    <dataValidation type="list" allowBlank="1" showInputMessage="1" showErrorMessage="1" sqref="P4:P7" xr:uid="{96A9F299-3C05-467D-93B9-82954945C0A3}">
      <formula1>Ldistributionmethod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3" r:id="rId4" name="Button 5">
              <controlPr defaultSize="0" print="0" autoFill="0" autoPict="0" macro="[0]!SaveLenderSettlementStatementData">
                <anchor moveWithCells="1" sizeWithCells="1">
                  <from>
                    <xdr:col>0</xdr:col>
                    <xdr:colOff>0</xdr:colOff>
                    <xdr:row>0</xdr:row>
                    <xdr:rowOff>57150</xdr:rowOff>
                  </from>
                  <to>
                    <xdr:col>1</xdr:col>
                    <xdr:colOff>38100</xdr:colOff>
                    <xdr:row>0</xdr:row>
                    <xdr:rowOff>333375</xdr:rowOff>
                  </to>
                </anchor>
              </controlPr>
            </control>
          </mc:Choice>
        </mc:AlternateContent>
        <mc:AlternateContent xmlns:mc="http://schemas.openxmlformats.org/markup-compatibility/2006">
          <mc:Choice Requires="x14">
            <control shapeId="94214" r:id="rId5" name="Button 6">
              <controlPr defaultSize="0" print="0" autoFill="0" autoPict="0" macro="[0]!CaptureDataFromInputtab">
                <anchor moveWithCells="1" sizeWithCells="1">
                  <from>
                    <xdr:col>1</xdr:col>
                    <xdr:colOff>180975</xdr:colOff>
                    <xdr:row>0</xdr:row>
                    <xdr:rowOff>57150</xdr:rowOff>
                  </from>
                  <to>
                    <xdr:col>1</xdr:col>
                    <xdr:colOff>1495425</xdr:colOff>
                    <xdr:row>0</xdr:row>
                    <xdr:rowOff>333375</xdr:rowOff>
                  </to>
                </anchor>
              </controlPr>
            </control>
          </mc:Choice>
        </mc:AlternateContent>
        <mc:AlternateContent xmlns:mc="http://schemas.openxmlformats.org/markup-compatibility/2006">
          <mc:Choice Requires="x14">
            <control shapeId="94215" r:id="rId6" name="Button 7">
              <controlPr defaultSize="0" print="0" autoFill="0" autoPict="0" macro="[0]!ResetData">
                <anchor moveWithCells="1" sizeWithCells="1">
                  <from>
                    <xdr:col>1</xdr:col>
                    <xdr:colOff>1638300</xdr:colOff>
                    <xdr:row>0</xdr:row>
                    <xdr:rowOff>57150</xdr:rowOff>
                  </from>
                  <to>
                    <xdr:col>2</xdr:col>
                    <xdr:colOff>819150</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78537-127B-453F-9D7B-4593919AC659}">
  <sheetPr codeName="Log">
    <tabColor rgb="FFFF0000"/>
  </sheetPr>
  <dimension ref="A1:B85"/>
  <sheetViews>
    <sheetView workbookViewId="0">
      <selection activeCell="H8" sqref="H8"/>
    </sheetView>
  </sheetViews>
  <sheetFormatPr defaultRowHeight="15"/>
  <cols>
    <col min="1" max="1" width="18.42578125" customWidth="1"/>
    <col min="2" max="2" width="16.85546875" customWidth="1"/>
  </cols>
  <sheetData>
    <row r="1" spans="1:2">
      <c r="A1" t="s">
        <v>1843</v>
      </c>
      <c r="B1" t="s">
        <v>4175</v>
      </c>
    </row>
    <row r="2" spans="1:2">
      <c r="A2" s="2464">
        <v>45148.33798611111</v>
      </c>
      <c r="B2" t="s">
        <v>4174</v>
      </c>
    </row>
    <row r="3" spans="1:2">
      <c r="A3" s="2464">
        <v>45148.337141203701</v>
      </c>
      <c r="B3" t="s">
        <v>4174</v>
      </c>
    </row>
    <row r="4" spans="1:2">
      <c r="A4" s="2464">
        <v>45148.337060185186</v>
      </c>
      <c r="B4" t="s">
        <v>4174</v>
      </c>
    </row>
    <row r="5" spans="1:2">
      <c r="A5" s="2464">
        <v>45141.213692129626</v>
      </c>
      <c r="B5" t="s">
        <v>4174</v>
      </c>
    </row>
    <row r="6" spans="1:2">
      <c r="A6" s="2464">
        <v>45141.213599537034</v>
      </c>
      <c r="B6" t="s">
        <v>4174</v>
      </c>
    </row>
    <row r="7" spans="1:2">
      <c r="A7" s="2464">
        <v>45141.212870370371</v>
      </c>
      <c r="B7" t="s">
        <v>4174</v>
      </c>
    </row>
    <row r="8" spans="1:2">
      <c r="A8" s="2464">
        <v>45141.212777777779</v>
      </c>
      <c r="B8" t="s">
        <v>4174</v>
      </c>
    </row>
    <row r="9" spans="1:2">
      <c r="A9" s="2464">
        <v>45141.212650462963</v>
      </c>
      <c r="B9" t="s">
        <v>4174</v>
      </c>
    </row>
    <row r="10" spans="1:2">
      <c r="A10" s="2464">
        <v>45141.211898148147</v>
      </c>
      <c r="B10" t="s">
        <v>4174</v>
      </c>
    </row>
    <row r="11" spans="1:2">
      <c r="A11" s="2464">
        <v>45128.245694444442</v>
      </c>
      <c r="B11" t="s">
        <v>4174</v>
      </c>
    </row>
    <row r="12" spans="1:2">
      <c r="A12" s="2464">
        <v>45128.244131944448</v>
      </c>
      <c r="B12" t="s">
        <v>4174</v>
      </c>
    </row>
    <row r="13" spans="1:2">
      <c r="A13" s="2464">
        <v>45128.243993055556</v>
      </c>
      <c r="B13" t="s">
        <v>4174</v>
      </c>
    </row>
    <row r="14" spans="1:2">
      <c r="A14" s="2464">
        <v>45128.243368055555</v>
      </c>
      <c r="B14" t="s">
        <v>4174</v>
      </c>
    </row>
    <row r="15" spans="1:2">
      <c r="A15" s="2464">
        <v>45128.243310185186</v>
      </c>
      <c r="B15" t="s">
        <v>4174</v>
      </c>
    </row>
    <row r="16" spans="1:2">
      <c r="A16" s="2464">
        <v>45128.243252314816</v>
      </c>
      <c r="B16" t="s">
        <v>4174</v>
      </c>
    </row>
    <row r="17" spans="1:2">
      <c r="A17" s="2464">
        <v>45128.229988425926</v>
      </c>
      <c r="B17" t="s">
        <v>4174</v>
      </c>
    </row>
    <row r="18" spans="1:2">
      <c r="A18" s="2464">
        <v>45128.224791666667</v>
      </c>
      <c r="B18" t="s">
        <v>4174</v>
      </c>
    </row>
    <row r="19" spans="1:2">
      <c r="A19" s="2464">
        <v>45128.214502314811</v>
      </c>
      <c r="B19" t="s">
        <v>4174</v>
      </c>
    </row>
    <row r="20" spans="1:2">
      <c r="A20" s="2464">
        <v>45128.188518518517</v>
      </c>
      <c r="B20" t="s">
        <v>4174</v>
      </c>
    </row>
    <row r="21" spans="1:2">
      <c r="A21" s="2464">
        <v>45124.241539351853</v>
      </c>
      <c r="B21" t="s">
        <v>4174</v>
      </c>
    </row>
    <row r="22" spans="1:2">
      <c r="A22" s="2464">
        <v>45124.241319444445</v>
      </c>
      <c r="B22" t="s">
        <v>4174</v>
      </c>
    </row>
    <row r="23" spans="1:2">
      <c r="A23" s="2464">
        <v>45124.240856481483</v>
      </c>
      <c r="B23" t="s">
        <v>4174</v>
      </c>
    </row>
    <row r="24" spans="1:2">
      <c r="A24" s="2464">
        <v>45124.239872685182</v>
      </c>
      <c r="B24" t="s">
        <v>4174</v>
      </c>
    </row>
    <row r="25" spans="1:2">
      <c r="A25" s="2464">
        <v>45124.239652777775</v>
      </c>
      <c r="B25" t="s">
        <v>4174</v>
      </c>
    </row>
    <row r="26" spans="1:2">
      <c r="A26" s="2464">
        <v>45124.239594907405</v>
      </c>
      <c r="B26" t="s">
        <v>4174</v>
      </c>
    </row>
    <row r="27" spans="1:2">
      <c r="A27" s="2464">
        <v>45124.238969907405</v>
      </c>
      <c r="B27" t="s">
        <v>4174</v>
      </c>
    </row>
    <row r="28" spans="1:2">
      <c r="A28" s="2464">
        <v>45124.238854166666</v>
      </c>
      <c r="B28" t="s">
        <v>4174</v>
      </c>
    </row>
    <row r="29" spans="1:2">
      <c r="A29" s="2464">
        <v>45124.238356481481</v>
      </c>
      <c r="B29" t="s">
        <v>4174</v>
      </c>
    </row>
    <row r="30" spans="1:2">
      <c r="A30" s="2464">
        <v>45124.233912037038</v>
      </c>
      <c r="B30" t="s">
        <v>4174</v>
      </c>
    </row>
    <row r="31" spans="1:2">
      <c r="A31" s="2464">
        <v>45119.987175925926</v>
      </c>
      <c r="B31" t="s">
        <v>4194</v>
      </c>
    </row>
    <row r="32" spans="1:2">
      <c r="A32" s="2464">
        <v>45117.464212962965</v>
      </c>
      <c r="B32" t="s">
        <v>4174</v>
      </c>
    </row>
    <row r="33" spans="1:2">
      <c r="A33" s="2464">
        <v>45117.459247685183</v>
      </c>
      <c r="B33" t="s">
        <v>4174</v>
      </c>
    </row>
    <row r="34" spans="1:2">
      <c r="A34" s="2464">
        <v>45117.456828703704</v>
      </c>
      <c r="B34" t="s">
        <v>4174</v>
      </c>
    </row>
    <row r="35" spans="1:2">
      <c r="A35" s="2464">
        <v>45117.450092592589</v>
      </c>
      <c r="B35" t="s">
        <v>4174</v>
      </c>
    </row>
    <row r="36" spans="1:2">
      <c r="A36" s="2464">
        <v>45117.410046296296</v>
      </c>
      <c r="B36" t="s">
        <v>4174</v>
      </c>
    </row>
    <row r="37" spans="1:2">
      <c r="A37" s="2464">
        <v>45117.387673611112</v>
      </c>
      <c r="B37" t="s">
        <v>4174</v>
      </c>
    </row>
    <row r="38" spans="1:2">
      <c r="A38" s="2464">
        <v>45117.339629629627</v>
      </c>
      <c r="B38" t="s">
        <v>4174</v>
      </c>
    </row>
    <row r="39" spans="1:2">
      <c r="A39" s="2464">
        <v>45117.339560185188</v>
      </c>
      <c r="B39" t="s">
        <v>4174</v>
      </c>
    </row>
    <row r="40" spans="1:2">
      <c r="A40" s="2464">
        <v>45117.303217592591</v>
      </c>
      <c r="B40" t="s">
        <v>4174</v>
      </c>
    </row>
    <row r="41" spans="1:2">
      <c r="A41" s="2464">
        <v>45117.288437499999</v>
      </c>
      <c r="B41" t="s">
        <v>4174</v>
      </c>
    </row>
    <row r="42" spans="1:2">
      <c r="A42" s="2464">
        <v>45117.274525462963</v>
      </c>
      <c r="B42" t="s">
        <v>4174</v>
      </c>
    </row>
    <row r="43" spans="1:2">
      <c r="A43" s="2464">
        <v>45117.226064814815</v>
      </c>
      <c r="B43" t="s">
        <v>4174</v>
      </c>
    </row>
    <row r="44" spans="1:2">
      <c r="A44" s="2464">
        <v>45114.970046296294</v>
      </c>
      <c r="B44" t="s">
        <v>4194</v>
      </c>
    </row>
    <row r="45" spans="1:2">
      <c r="A45" s="2464">
        <v>45114.968495370369</v>
      </c>
      <c r="B45" t="s">
        <v>4194</v>
      </c>
    </row>
    <row r="46" spans="1:2">
      <c r="A46" s="2464">
        <v>45114.963946759257</v>
      </c>
      <c r="B46" t="s">
        <v>4194</v>
      </c>
    </row>
    <row r="47" spans="1:2">
      <c r="A47" s="2464">
        <v>45114.962025462963</v>
      </c>
      <c r="B47" t="s">
        <v>4194</v>
      </c>
    </row>
    <row r="48" spans="1:2">
      <c r="A48" s="2464">
        <v>45114.916516203702</v>
      </c>
      <c r="B48" t="s">
        <v>4194</v>
      </c>
    </row>
    <row r="49" spans="1:2">
      <c r="A49" s="2464">
        <v>45114.903692129628</v>
      </c>
      <c r="B49" t="s">
        <v>4194</v>
      </c>
    </row>
    <row r="50" spans="1:2">
      <c r="A50" s="2464">
        <v>45100.571956018517</v>
      </c>
      <c r="B50" t="s">
        <v>4190</v>
      </c>
    </row>
    <row r="51" spans="1:2">
      <c r="A51" s="2464">
        <v>45100.530844907407</v>
      </c>
      <c r="B51" t="s">
        <v>4174</v>
      </c>
    </row>
    <row r="52" spans="1:2">
      <c r="A52" s="2464">
        <v>45100.456134259257</v>
      </c>
      <c r="B52" t="s">
        <v>4174</v>
      </c>
    </row>
    <row r="53" spans="1:2">
      <c r="A53" s="2464">
        <v>45100.454907407409</v>
      </c>
      <c r="B53" t="s">
        <v>4174</v>
      </c>
    </row>
    <row r="54" spans="1:2">
      <c r="A54" s="2464">
        <v>45100.342013888891</v>
      </c>
      <c r="B54" t="s">
        <v>4174</v>
      </c>
    </row>
    <row r="55" spans="1:2">
      <c r="A55" s="2464">
        <v>45100.340868055559</v>
      </c>
      <c r="B55" t="s">
        <v>4174</v>
      </c>
    </row>
    <row r="56" spans="1:2">
      <c r="A56" s="2464">
        <v>45100.340277777781</v>
      </c>
      <c r="B56" t="s">
        <v>4174</v>
      </c>
    </row>
    <row r="57" spans="1:2">
      <c r="A57" s="2464">
        <v>45100.339953703704</v>
      </c>
      <c r="B57" t="s">
        <v>4174</v>
      </c>
    </row>
    <row r="58" spans="1:2">
      <c r="A58" s="2464">
        <v>45100.243530092594</v>
      </c>
      <c r="B58" t="s">
        <v>4174</v>
      </c>
    </row>
    <row r="59" spans="1:2">
      <c r="A59" s="2464">
        <v>45100.242442129631</v>
      </c>
      <c r="B59" t="s">
        <v>4174</v>
      </c>
    </row>
    <row r="60" spans="1:2">
      <c r="A60" s="2464">
        <v>45099.546134259261</v>
      </c>
      <c r="B60" t="s">
        <v>4174</v>
      </c>
    </row>
    <row r="61" spans="1:2">
      <c r="A61" s="2464">
        <v>45099.54</v>
      </c>
      <c r="B61" t="s">
        <v>4174</v>
      </c>
    </row>
    <row r="62" spans="1:2">
      <c r="A62" s="2464">
        <v>45099.539247685185</v>
      </c>
      <c r="B62" t="s">
        <v>4174</v>
      </c>
    </row>
    <row r="63" spans="1:2">
      <c r="A63" s="2464">
        <v>45099.539178240739</v>
      </c>
      <c r="B63" t="s">
        <v>4174</v>
      </c>
    </row>
    <row r="64" spans="1:2">
      <c r="A64" s="2464">
        <v>45099.147673611114</v>
      </c>
      <c r="B64" t="s">
        <v>4174</v>
      </c>
    </row>
    <row r="65" spans="1:2">
      <c r="A65" s="2464">
        <v>45099.147534722222</v>
      </c>
      <c r="B65" t="s">
        <v>4174</v>
      </c>
    </row>
    <row r="66" spans="1:2">
      <c r="A66" s="2464">
        <v>45098.571342592593</v>
      </c>
      <c r="B66" t="s">
        <v>4174</v>
      </c>
    </row>
    <row r="67" spans="1:2">
      <c r="A67" s="2464">
        <v>45098.553495370368</v>
      </c>
      <c r="B67" t="s">
        <v>4174</v>
      </c>
    </row>
    <row r="68" spans="1:2">
      <c r="A68" s="2464">
        <v>45098.550081018519</v>
      </c>
      <c r="B68" t="s">
        <v>4174</v>
      </c>
    </row>
    <row r="69" spans="1:2">
      <c r="A69" s="2464">
        <v>45098.545335648145</v>
      </c>
      <c r="B69" t="s">
        <v>4174</v>
      </c>
    </row>
    <row r="70" spans="1:2">
      <c r="A70" s="2464">
        <v>45098.544236111113</v>
      </c>
      <c r="B70" t="s">
        <v>4174</v>
      </c>
    </row>
    <row r="71" spans="1:2">
      <c r="A71" s="2464">
        <v>45098.543946759259</v>
      </c>
      <c r="B71" t="s">
        <v>4174</v>
      </c>
    </row>
    <row r="72" spans="1:2">
      <c r="A72" s="2464">
        <v>45098.542222222219</v>
      </c>
      <c r="B72" t="s">
        <v>4174</v>
      </c>
    </row>
    <row r="73" spans="1:2">
      <c r="A73" s="2464">
        <v>45098.534594907411</v>
      </c>
      <c r="B73" t="s">
        <v>4174</v>
      </c>
    </row>
    <row r="74" spans="1:2">
      <c r="A74" s="2464">
        <v>45098.506099537037</v>
      </c>
      <c r="B74" t="s">
        <v>4174</v>
      </c>
    </row>
    <row r="75" spans="1:2">
      <c r="A75" s="2464">
        <v>45098.306226851855</v>
      </c>
      <c r="B75" t="s">
        <v>4174</v>
      </c>
    </row>
    <row r="76" spans="1:2">
      <c r="A76" s="2464">
        <v>45097.509953703702</v>
      </c>
      <c r="B76" t="s">
        <v>4174</v>
      </c>
    </row>
    <row r="77" spans="1:2">
      <c r="A77" s="2464">
        <v>45097.454548611109</v>
      </c>
      <c r="B77" t="s">
        <v>4174</v>
      </c>
    </row>
    <row r="78" spans="1:2">
      <c r="A78" s="2464">
        <v>45097.286145833335</v>
      </c>
      <c r="B78" t="s">
        <v>4174</v>
      </c>
    </row>
    <row r="79" spans="1:2">
      <c r="A79" s="2464">
        <v>45097.283229166664</v>
      </c>
      <c r="B79" t="s">
        <v>4174</v>
      </c>
    </row>
    <row r="80" spans="1:2">
      <c r="A80" s="2464">
        <v>45097.26835648148</v>
      </c>
      <c r="B80" t="s">
        <v>4174</v>
      </c>
    </row>
    <row r="81" spans="1:2">
      <c r="A81" s="2464">
        <v>45097.267071759263</v>
      </c>
      <c r="B81" t="s">
        <v>4174</v>
      </c>
    </row>
    <row r="82" spans="1:2">
      <c r="A82" s="2464">
        <v>45097.266979166663</v>
      </c>
      <c r="B82" t="s">
        <v>4174</v>
      </c>
    </row>
    <row r="83" spans="1:2">
      <c r="A83" s="2464">
        <v>45097.263368055559</v>
      </c>
      <c r="B83" t="s">
        <v>4174</v>
      </c>
    </row>
    <row r="84" spans="1:2">
      <c r="A84" s="2464">
        <v>45097.259872685187</v>
      </c>
      <c r="B84" t="s">
        <v>4174</v>
      </c>
    </row>
    <row r="85" spans="1:2">
      <c r="A85" s="2464">
        <v>45097.259467592594</v>
      </c>
      <c r="B85" t="s">
        <v>4174</v>
      </c>
    </row>
  </sheetData>
  <sheetProtection algorithmName="SHA-512" hashValue="TQ/LhoSaXbK62qnP52axs+K0CeVZgr66QyllYsRukCexPrqV/4gvTsVua/u8zs2q7EzsePDtcxqYxsiBJjgPrA==" saltValue="9uIVoCef+bxtkQf0Ffip3g=="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A7CDD-C187-4850-A25E-13E9DAA7841C}">
  <sheetPr codeName="Sheet9"/>
  <dimension ref="A1:N103"/>
  <sheetViews>
    <sheetView workbookViewId="0">
      <selection activeCell="C2" sqref="C2"/>
    </sheetView>
  </sheetViews>
  <sheetFormatPr defaultColWidth="8.5703125" defaultRowHeight="15" outlineLevelRow="1"/>
  <cols>
    <col min="1" max="1" width="32" customWidth="1"/>
    <col min="2" max="2" width="20.5703125" customWidth="1"/>
    <col min="3" max="3" width="13.5703125" style="1082" customWidth="1"/>
    <col min="4" max="4" width="22.5703125" style="1082" customWidth="1"/>
    <col min="5" max="8" width="12.42578125" customWidth="1"/>
    <col min="9" max="9" width="14" customWidth="1"/>
    <col min="10" max="10" width="14.42578125" customWidth="1"/>
    <col min="11" max="11" width="17.5703125" customWidth="1"/>
    <col min="12" max="13" width="16.42578125" customWidth="1"/>
    <col min="14" max="14" width="17.5703125" customWidth="1"/>
  </cols>
  <sheetData>
    <row r="1" spans="2:14" ht="48" customHeight="1" thickBot="1">
      <c r="C1" s="709" t="str">
        <f>+[9]INPUT!AC179</f>
        <v>RSLIC</v>
      </c>
      <c r="D1" s="709" t="str">
        <f>+[9]INPUT!AD179</f>
        <v>SNCC</v>
      </c>
      <c r="E1" s="709" t="str">
        <f>+[9]INPUT!AE179</f>
        <v>PIIC</v>
      </c>
      <c r="F1" s="709" t="str">
        <f>+[9]INPUT!AF179</f>
        <v>TMR</v>
      </c>
      <c r="G1" s="709" t="str">
        <f>+[9]INPUT!AG179</f>
        <v>HCC</v>
      </c>
      <c r="H1" s="709" t="str">
        <f>+[9]INPUT!AH179</f>
        <v>USSIC</v>
      </c>
      <c r="I1" s="709" t="str">
        <f>+[9]INPUT!AI179</f>
        <v>TMD-DL</v>
      </c>
      <c r="J1" s="709" t="str">
        <f>+[9]INPUT!AJ179</f>
        <v>HAIH</v>
      </c>
      <c r="K1" s="709" t="str">
        <f>+[9]INPUT!AK179</f>
        <v>OTHER 1 (Define)</v>
      </c>
      <c r="L1" s="709" t="str">
        <f>+[9]INPUT!AL179</f>
        <v>OTHER 2 (Define)</v>
      </c>
      <c r="M1" s="709" t="str">
        <f>+[9]INPUT!AM179</f>
        <v>Totals</v>
      </c>
    </row>
    <row r="2" spans="2:14" s="418" customFormat="1" ht="35.85" customHeight="1" thickBot="1">
      <c r="C2" s="1578">
        <f>+INPUT!AE185</f>
        <v>0</v>
      </c>
      <c r="D2" s="1578">
        <f>+INPUT!AF185</f>
        <v>0</v>
      </c>
      <c r="E2" s="1578">
        <f>+INPUT!AG185</f>
        <v>0</v>
      </c>
      <c r="F2" s="1578">
        <f>+INPUT!AH185</f>
        <v>0</v>
      </c>
      <c r="G2" s="1578">
        <f>+INPUT!AI185</f>
        <v>0</v>
      </c>
      <c r="H2" s="1578">
        <f>+INPUT!AJ185</f>
        <v>0</v>
      </c>
      <c r="I2" s="1578">
        <f>+INPUT!AK185</f>
        <v>0</v>
      </c>
      <c r="J2" s="1578">
        <f>+INPUT!AL185</f>
        <v>0</v>
      </c>
      <c r="K2" s="1578">
        <f>+INPUT!AM185</f>
        <v>0</v>
      </c>
      <c r="L2" s="1578">
        <f>+INPUT!AN185</f>
        <v>0</v>
      </c>
      <c r="M2" s="1579">
        <f>SUM(C2:L2)</f>
        <v>0</v>
      </c>
      <c r="N2" s="2185" t="str">
        <f>+[9]INPUT!AN180</f>
        <v>&lt;&lt; Balances to 100%</v>
      </c>
    </row>
    <row r="3" spans="2:14" ht="15.75" thickBot="1">
      <c r="B3" t="str">
        <f>+INPUT!D186</f>
        <v>Note A1</v>
      </c>
      <c r="C3" s="1468">
        <f>INPUT!AE186</f>
        <v>0</v>
      </c>
      <c r="D3" s="1468">
        <f>+INPUT!AF186</f>
        <v>0</v>
      </c>
      <c r="E3" s="1468">
        <f>+INPUT!AG186</f>
        <v>0</v>
      </c>
      <c r="F3" s="1468">
        <f>+INPUT!AH186</f>
        <v>0</v>
      </c>
      <c r="G3" s="1468">
        <f>+INPUT!AI186</f>
        <v>0</v>
      </c>
      <c r="H3" s="1468">
        <f>+INPUT!AJ186</f>
        <v>0</v>
      </c>
      <c r="I3" s="1468">
        <f>+INPUT!AK186</f>
        <v>0</v>
      </c>
      <c r="J3" s="1468">
        <f>+INPUT!AL186</f>
        <v>0</v>
      </c>
      <c r="K3" s="1468">
        <f>+INPUT!AM186</f>
        <v>0</v>
      </c>
      <c r="L3" s="1468">
        <f>+INPUT!AN186</f>
        <v>0</v>
      </c>
      <c r="M3" s="1468">
        <f>SUM(C3:L3)</f>
        <v>0</v>
      </c>
    </row>
    <row r="4" spans="2:14" ht="15.75" thickBot="1">
      <c r="B4" t="str">
        <f>+INPUT!D187</f>
        <v>Note B1</v>
      </c>
      <c r="C4" s="1468">
        <f>INPUT!AE187</f>
        <v>0</v>
      </c>
      <c r="D4" s="1468">
        <f>+INPUT!AF187</f>
        <v>0</v>
      </c>
      <c r="E4" s="1468">
        <f>+INPUT!AG187</f>
        <v>0</v>
      </c>
      <c r="F4" s="1468">
        <f>+INPUT!AH187</f>
        <v>0</v>
      </c>
      <c r="G4" s="1468">
        <f>+INPUT!AI187</f>
        <v>0</v>
      </c>
      <c r="H4" s="1468">
        <f>+INPUT!AJ187</f>
        <v>0</v>
      </c>
      <c r="I4" s="1468">
        <f>+INPUT!AK187</f>
        <v>0</v>
      </c>
      <c r="J4" s="1468">
        <f>+INPUT!AL187</f>
        <v>0</v>
      </c>
      <c r="K4" s="1468">
        <f>+INPUT!AM187</f>
        <v>0</v>
      </c>
      <c r="L4" s="1468">
        <f>+INPUT!AN187</f>
        <v>0</v>
      </c>
      <c r="M4" s="1468">
        <f t="shared" ref="M4:M32" si="0">SUM(C4:L4)</f>
        <v>0</v>
      </c>
    </row>
    <row r="5" spans="2:14" ht="15.75" thickBot="1">
      <c r="B5" t="str">
        <f>+INPUT!D188</f>
        <v>Mezz 1</v>
      </c>
      <c r="C5" s="1468">
        <f>INPUT!AE188</f>
        <v>0</v>
      </c>
      <c r="D5" s="1468">
        <f>+INPUT!AF188</f>
        <v>0</v>
      </c>
      <c r="E5" s="1468">
        <f>+INPUT!AG188</f>
        <v>0</v>
      </c>
      <c r="F5" s="1468">
        <f>+INPUT!AH188</f>
        <v>0</v>
      </c>
      <c r="G5" s="1468">
        <f>+INPUT!AI188</f>
        <v>0</v>
      </c>
      <c r="H5" s="1468">
        <f>+INPUT!AJ188</f>
        <v>0</v>
      </c>
      <c r="I5" s="1468">
        <f>+INPUT!AK188</f>
        <v>0</v>
      </c>
      <c r="J5" s="1468">
        <f>+INPUT!AL188</f>
        <v>0</v>
      </c>
      <c r="K5" s="1468">
        <f>+INPUT!AM188</f>
        <v>0</v>
      </c>
      <c r="L5" s="1468">
        <f>+INPUT!AN188</f>
        <v>0</v>
      </c>
      <c r="M5" s="1468">
        <f t="shared" si="0"/>
        <v>0</v>
      </c>
    </row>
    <row r="6" spans="2:14" ht="15.75" thickBot="1">
      <c r="B6" t="str">
        <f>+INPUT!D189</f>
        <v>Note A2</v>
      </c>
      <c r="C6" s="1468">
        <f>INPUT!AE189</f>
        <v>0</v>
      </c>
      <c r="D6" s="1468">
        <f>+INPUT!AF189</f>
        <v>0</v>
      </c>
      <c r="E6" s="1468">
        <f>+INPUT!AG189</f>
        <v>0</v>
      </c>
      <c r="F6" s="1468">
        <f>+INPUT!AH189</f>
        <v>0</v>
      </c>
      <c r="G6" s="1468">
        <f>+INPUT!AI189</f>
        <v>0</v>
      </c>
      <c r="H6" s="1468">
        <f>+INPUT!AJ189</f>
        <v>0</v>
      </c>
      <c r="I6" s="1468">
        <f>+INPUT!AK189</f>
        <v>0</v>
      </c>
      <c r="J6" s="1468">
        <f>+INPUT!AL189</f>
        <v>0</v>
      </c>
      <c r="K6" s="1468">
        <f>+INPUT!AM189</f>
        <v>0</v>
      </c>
      <c r="L6" s="1468">
        <f>+INPUT!AN189</f>
        <v>0</v>
      </c>
      <c r="M6" s="1468">
        <f t="shared" si="0"/>
        <v>0</v>
      </c>
    </row>
    <row r="7" spans="2:14" ht="15.75" thickBot="1">
      <c r="B7" t="str">
        <f>+INPUT!D190</f>
        <v>Note B2</v>
      </c>
      <c r="C7" s="1468">
        <f>INPUT!AE190</f>
        <v>0</v>
      </c>
      <c r="D7" s="1468">
        <f>+INPUT!AF190</f>
        <v>0</v>
      </c>
      <c r="E7" s="1468">
        <f>+INPUT!AG190</f>
        <v>0</v>
      </c>
      <c r="F7" s="1468">
        <f>+INPUT!AH190</f>
        <v>0</v>
      </c>
      <c r="G7" s="1468">
        <f>+INPUT!AI190</f>
        <v>0</v>
      </c>
      <c r="H7" s="1468">
        <f>+INPUT!AJ190</f>
        <v>0</v>
      </c>
      <c r="I7" s="1468">
        <f>+INPUT!AK190</f>
        <v>0</v>
      </c>
      <c r="J7" s="1468">
        <f>+INPUT!AL190</f>
        <v>0</v>
      </c>
      <c r="K7" s="1468">
        <f>+INPUT!AM190</f>
        <v>0</v>
      </c>
      <c r="L7" s="1468">
        <f>+INPUT!AN190</f>
        <v>0</v>
      </c>
      <c r="M7" s="1468">
        <f t="shared" si="0"/>
        <v>0</v>
      </c>
    </row>
    <row r="8" spans="2:14" ht="15.75" thickBot="1">
      <c r="B8" t="str">
        <f>+INPUT!D191</f>
        <v>Mezz 2</v>
      </c>
      <c r="C8" s="1468">
        <f>INPUT!AE191</f>
        <v>0</v>
      </c>
      <c r="D8" s="1468">
        <f>+INPUT!AF191</f>
        <v>0</v>
      </c>
      <c r="E8" s="1468">
        <f>+INPUT!AG191</f>
        <v>0</v>
      </c>
      <c r="F8" s="1468">
        <f>+INPUT!AH191</f>
        <v>0</v>
      </c>
      <c r="G8" s="1468">
        <f>+INPUT!AI191</f>
        <v>0</v>
      </c>
      <c r="H8" s="1468">
        <f>+INPUT!AJ191</f>
        <v>0</v>
      </c>
      <c r="I8" s="1468">
        <f>+INPUT!AK191</f>
        <v>0</v>
      </c>
      <c r="J8" s="1468">
        <f>+INPUT!AL191</f>
        <v>0</v>
      </c>
      <c r="K8" s="1468">
        <f>+INPUT!AM191</f>
        <v>0</v>
      </c>
      <c r="L8" s="1468">
        <f>+INPUT!AN191</f>
        <v>0</v>
      </c>
      <c r="M8" s="1468">
        <f t="shared" si="0"/>
        <v>0</v>
      </c>
    </row>
    <row r="9" spans="2:14" ht="15.75" thickBot="1">
      <c r="B9" t="str">
        <f>+INPUT!D192</f>
        <v>Note A3</v>
      </c>
      <c r="C9" s="1468">
        <f>INPUT!AE192</f>
        <v>0</v>
      </c>
      <c r="D9" s="1468">
        <f>+INPUT!AF192</f>
        <v>0</v>
      </c>
      <c r="E9" s="1468">
        <f>+INPUT!AG192</f>
        <v>0</v>
      </c>
      <c r="F9" s="1468">
        <f>+INPUT!AH192</f>
        <v>0</v>
      </c>
      <c r="G9" s="1468">
        <f>+INPUT!AI192</f>
        <v>0</v>
      </c>
      <c r="H9" s="1468">
        <f>+INPUT!AJ192</f>
        <v>0</v>
      </c>
      <c r="I9" s="1468">
        <f>+INPUT!AK192</f>
        <v>0</v>
      </c>
      <c r="J9" s="1468">
        <f>+INPUT!AL192</f>
        <v>0</v>
      </c>
      <c r="K9" s="1468">
        <f>+INPUT!AM192</f>
        <v>0</v>
      </c>
      <c r="L9" s="1468">
        <f>+INPUT!AN192</f>
        <v>0</v>
      </c>
      <c r="M9" s="1468">
        <f t="shared" si="0"/>
        <v>0</v>
      </c>
    </row>
    <row r="10" spans="2:14" ht="15.75" thickBot="1">
      <c r="B10" t="str">
        <f>+INPUT!D193</f>
        <v>Note B3</v>
      </c>
      <c r="C10" s="1468">
        <f>INPUT!AE193</f>
        <v>0</v>
      </c>
      <c r="D10" s="1468">
        <f>+INPUT!AF193</f>
        <v>0</v>
      </c>
      <c r="E10" s="1468">
        <f>+INPUT!AG193</f>
        <v>0</v>
      </c>
      <c r="F10" s="1468">
        <f>+INPUT!AH193</f>
        <v>0</v>
      </c>
      <c r="G10" s="1468">
        <f>+INPUT!AI193</f>
        <v>0</v>
      </c>
      <c r="H10" s="1468">
        <f>+INPUT!AJ193</f>
        <v>0</v>
      </c>
      <c r="I10" s="1468">
        <f>+INPUT!AK193</f>
        <v>0</v>
      </c>
      <c r="J10" s="1468">
        <f>+INPUT!AL193</f>
        <v>0</v>
      </c>
      <c r="K10" s="1468">
        <f>+INPUT!AM193</f>
        <v>0</v>
      </c>
      <c r="L10" s="1468">
        <f>+INPUT!AN193</f>
        <v>0</v>
      </c>
      <c r="M10" s="1468">
        <f t="shared" si="0"/>
        <v>0</v>
      </c>
    </row>
    <row r="11" spans="2:14" ht="15.75" thickBot="1">
      <c r="B11" t="str">
        <f>+INPUT!D194</f>
        <v>Mezz 3</v>
      </c>
      <c r="C11" s="1468">
        <f>INPUT!AE194</f>
        <v>0</v>
      </c>
      <c r="D11" s="1468">
        <f>+INPUT!AF194</f>
        <v>0</v>
      </c>
      <c r="E11" s="1468">
        <f>+INPUT!AG194</f>
        <v>0</v>
      </c>
      <c r="F11" s="1468">
        <f>+INPUT!AH194</f>
        <v>0</v>
      </c>
      <c r="G11" s="1468">
        <f>+INPUT!AI194</f>
        <v>0</v>
      </c>
      <c r="H11" s="1468">
        <f>+INPUT!AJ194</f>
        <v>0</v>
      </c>
      <c r="I11" s="1468">
        <f>+INPUT!AK194</f>
        <v>0</v>
      </c>
      <c r="J11" s="1468">
        <f>+INPUT!AL194</f>
        <v>0</v>
      </c>
      <c r="K11" s="1468">
        <f>+INPUT!AM194</f>
        <v>0</v>
      </c>
      <c r="L11" s="1468">
        <f>+INPUT!AN194</f>
        <v>0</v>
      </c>
      <c r="M11" s="1468">
        <f t="shared" si="0"/>
        <v>0</v>
      </c>
    </row>
    <row r="12" spans="2:14" ht="15.75" hidden="1" outlineLevel="1" thickBot="1">
      <c r="B12" t="str">
        <f>+INPUT!D195</f>
        <v>Note A4</v>
      </c>
      <c r="C12" s="1468">
        <f>INPUT!AE195</f>
        <v>0</v>
      </c>
      <c r="D12" s="1468">
        <f>+INPUT!AF195</f>
        <v>0</v>
      </c>
      <c r="E12" s="1468">
        <f>+INPUT!AG195</f>
        <v>0</v>
      </c>
      <c r="F12" s="1468">
        <f>+INPUT!AH195</f>
        <v>0</v>
      </c>
      <c r="G12" s="1468">
        <f>+INPUT!AI195</f>
        <v>0</v>
      </c>
      <c r="H12" s="1468">
        <f>+INPUT!AJ195</f>
        <v>0</v>
      </c>
      <c r="I12" s="1468">
        <f>+INPUT!AK195</f>
        <v>0</v>
      </c>
      <c r="J12" s="1468">
        <f>+INPUT!AL195</f>
        <v>0</v>
      </c>
      <c r="K12" s="1468">
        <f>+INPUT!AM195</f>
        <v>0</v>
      </c>
      <c r="L12" s="1468">
        <f>+INPUT!AN195</f>
        <v>0</v>
      </c>
      <c r="M12" s="1468">
        <f t="shared" si="0"/>
        <v>0</v>
      </c>
    </row>
    <row r="13" spans="2:14" ht="15.75" hidden="1" outlineLevel="1" thickBot="1">
      <c r="B13" t="str">
        <f>+INPUT!D196</f>
        <v>Note B4</v>
      </c>
      <c r="C13" s="1468">
        <f>INPUT!AE196</f>
        <v>0</v>
      </c>
      <c r="D13" s="1468">
        <f>+INPUT!AF196</f>
        <v>0</v>
      </c>
      <c r="E13" s="1468">
        <f>+INPUT!AG196</f>
        <v>0</v>
      </c>
      <c r="F13" s="1468">
        <f>+INPUT!AH196</f>
        <v>0</v>
      </c>
      <c r="G13" s="1468">
        <f>+INPUT!AI196</f>
        <v>0</v>
      </c>
      <c r="H13" s="1468">
        <f>+INPUT!AJ196</f>
        <v>0</v>
      </c>
      <c r="I13" s="1468">
        <f>+INPUT!AK196</f>
        <v>0</v>
      </c>
      <c r="J13" s="1468">
        <f>+INPUT!AL196</f>
        <v>0</v>
      </c>
      <c r="K13" s="1468">
        <f>+INPUT!AM196</f>
        <v>0</v>
      </c>
      <c r="L13" s="1468">
        <f>+INPUT!AN196</f>
        <v>0</v>
      </c>
      <c r="M13" s="1468">
        <f t="shared" si="0"/>
        <v>0</v>
      </c>
    </row>
    <row r="14" spans="2:14" ht="15.75" hidden="1" outlineLevel="1" thickBot="1">
      <c r="B14" t="str">
        <f>+INPUT!D197</f>
        <v>Mezz 4</v>
      </c>
      <c r="C14" s="1468">
        <f>INPUT!AE197</f>
        <v>0</v>
      </c>
      <c r="D14" s="1468">
        <f>+INPUT!AF197</f>
        <v>0</v>
      </c>
      <c r="E14" s="1468">
        <f>+INPUT!AG197</f>
        <v>0</v>
      </c>
      <c r="F14" s="1468">
        <f>+INPUT!AH197</f>
        <v>0</v>
      </c>
      <c r="G14" s="1468">
        <f>+INPUT!AI197</f>
        <v>0</v>
      </c>
      <c r="H14" s="1468">
        <f>+INPUT!AJ197</f>
        <v>0</v>
      </c>
      <c r="I14" s="1468">
        <f>+INPUT!AK197</f>
        <v>0</v>
      </c>
      <c r="J14" s="1468">
        <f>+INPUT!AL197</f>
        <v>0</v>
      </c>
      <c r="K14" s="1468">
        <f>+INPUT!AM197</f>
        <v>0</v>
      </c>
      <c r="L14" s="1468">
        <f>+INPUT!AN197</f>
        <v>0</v>
      </c>
      <c r="M14" s="1468">
        <f t="shared" si="0"/>
        <v>0</v>
      </c>
    </row>
    <row r="15" spans="2:14" ht="15.75" hidden="1" outlineLevel="1" thickBot="1">
      <c r="B15" t="str">
        <f>+INPUT!D198</f>
        <v>Note A1-2</v>
      </c>
      <c r="C15" s="1468">
        <f>INPUT!AE198</f>
        <v>0</v>
      </c>
      <c r="D15" s="1468">
        <f>+INPUT!AF198</f>
        <v>0</v>
      </c>
      <c r="E15" s="1468">
        <f>+INPUT!AG198</f>
        <v>0</v>
      </c>
      <c r="F15" s="1468">
        <f>+INPUT!AH198</f>
        <v>0</v>
      </c>
      <c r="G15" s="1468">
        <f>+INPUT!AI198</f>
        <v>0</v>
      </c>
      <c r="H15" s="1468">
        <f>+INPUT!AJ198</f>
        <v>0</v>
      </c>
      <c r="I15" s="1468">
        <f>+INPUT!AK198</f>
        <v>0</v>
      </c>
      <c r="J15" s="1468">
        <f>+INPUT!AL198</f>
        <v>0</v>
      </c>
      <c r="K15" s="1468">
        <f>+INPUT!AM198</f>
        <v>0</v>
      </c>
      <c r="L15" s="1468">
        <f>+INPUT!AN198</f>
        <v>0</v>
      </c>
      <c r="M15" s="1468">
        <f t="shared" si="0"/>
        <v>0</v>
      </c>
    </row>
    <row r="16" spans="2:14" ht="15.75" hidden="1" outlineLevel="1" thickBot="1">
      <c r="B16" t="str">
        <f>+INPUT!D199</f>
        <v>Note B1-2</v>
      </c>
      <c r="C16" s="1468">
        <f>INPUT!AE199</f>
        <v>0</v>
      </c>
      <c r="D16" s="1468">
        <f>+INPUT!AF199</f>
        <v>0</v>
      </c>
      <c r="E16" s="1468">
        <f>+INPUT!AG199</f>
        <v>0</v>
      </c>
      <c r="F16" s="1468">
        <f>+INPUT!AH199</f>
        <v>0</v>
      </c>
      <c r="G16" s="1468">
        <f>+INPUT!AI199</f>
        <v>0</v>
      </c>
      <c r="H16" s="1468">
        <f>+INPUT!AJ199</f>
        <v>0</v>
      </c>
      <c r="I16" s="1468">
        <f>+INPUT!AK199</f>
        <v>0</v>
      </c>
      <c r="J16" s="1468">
        <f>+INPUT!AL199</f>
        <v>0</v>
      </c>
      <c r="K16" s="1468">
        <f>+INPUT!AM199</f>
        <v>0</v>
      </c>
      <c r="L16" s="1468">
        <f>+INPUT!AN199</f>
        <v>0</v>
      </c>
      <c r="M16" s="1468">
        <f t="shared" si="0"/>
        <v>0</v>
      </c>
    </row>
    <row r="17" spans="2:13" ht="15.75" hidden="1" outlineLevel="1" thickBot="1">
      <c r="B17" t="str">
        <f>+INPUT!D200</f>
        <v>Mezz 1-2</v>
      </c>
      <c r="C17" s="1468">
        <f>INPUT!AE200</f>
        <v>0</v>
      </c>
      <c r="D17" s="1468">
        <f>+INPUT!AF200</f>
        <v>0</v>
      </c>
      <c r="E17" s="1468">
        <f>+INPUT!AG200</f>
        <v>0</v>
      </c>
      <c r="F17" s="1468">
        <f>+INPUT!AH200</f>
        <v>0</v>
      </c>
      <c r="G17" s="1468">
        <f>+INPUT!AI200</f>
        <v>0</v>
      </c>
      <c r="H17" s="1468">
        <f>+INPUT!AJ200</f>
        <v>0</v>
      </c>
      <c r="I17" s="1468">
        <f>+INPUT!AK200</f>
        <v>0</v>
      </c>
      <c r="J17" s="1468">
        <f>+INPUT!AL200</f>
        <v>0</v>
      </c>
      <c r="K17" s="1468">
        <f>+INPUT!AM200</f>
        <v>0</v>
      </c>
      <c r="L17" s="1468">
        <f>+INPUT!AN200</f>
        <v>0</v>
      </c>
      <c r="M17" s="1468">
        <f t="shared" si="0"/>
        <v>0</v>
      </c>
    </row>
    <row r="18" spans="2:13" ht="15.75" hidden="1" outlineLevel="1" thickBot="1">
      <c r="B18">
        <f>+INPUT!D201</f>
        <v>0</v>
      </c>
      <c r="C18" s="1468">
        <f>INPUT!AE201</f>
        <v>0</v>
      </c>
      <c r="D18" s="1468">
        <f>+INPUT!AF201</f>
        <v>0</v>
      </c>
      <c r="E18" s="1468">
        <f>+INPUT!AG201</f>
        <v>0</v>
      </c>
      <c r="F18" s="1468">
        <f>+INPUT!AH201</f>
        <v>0</v>
      </c>
      <c r="G18" s="1468">
        <f>+INPUT!AI201</f>
        <v>0</v>
      </c>
      <c r="H18" s="1468">
        <f>+INPUT!AJ201</f>
        <v>0</v>
      </c>
      <c r="I18" s="1468">
        <f>+INPUT!AK201</f>
        <v>0</v>
      </c>
      <c r="J18" s="1468">
        <f>+INPUT!AL201</f>
        <v>0</v>
      </c>
      <c r="K18" s="1468">
        <f>+INPUT!AM201</f>
        <v>0</v>
      </c>
      <c r="L18" s="1468">
        <f>+INPUT!AN201</f>
        <v>0</v>
      </c>
      <c r="M18" s="1468">
        <f t="shared" si="0"/>
        <v>0</v>
      </c>
    </row>
    <row r="19" spans="2:13" ht="15.75" hidden="1" outlineLevel="1" thickBot="1">
      <c r="B19">
        <f>+INPUT!D202</f>
        <v>0</v>
      </c>
      <c r="C19" s="1468">
        <f>INPUT!AE202</f>
        <v>0</v>
      </c>
      <c r="D19" s="1468">
        <f>+INPUT!AF202</f>
        <v>0</v>
      </c>
      <c r="E19" s="1468">
        <f>+INPUT!AG202</f>
        <v>0</v>
      </c>
      <c r="F19" s="1468">
        <f>+INPUT!AH202</f>
        <v>0</v>
      </c>
      <c r="G19" s="1468">
        <f>+INPUT!AI202</f>
        <v>0</v>
      </c>
      <c r="H19" s="1468">
        <f>+INPUT!AJ202</f>
        <v>0</v>
      </c>
      <c r="I19" s="1468">
        <f>+INPUT!AK202</f>
        <v>0</v>
      </c>
      <c r="J19" s="1468">
        <f>+INPUT!AL202</f>
        <v>0</v>
      </c>
      <c r="K19" s="1468">
        <f>+INPUT!AM202</f>
        <v>0</v>
      </c>
      <c r="L19" s="1468">
        <f>+INPUT!AN202</f>
        <v>0</v>
      </c>
      <c r="M19" s="1468">
        <f t="shared" si="0"/>
        <v>0</v>
      </c>
    </row>
    <row r="20" spans="2:13" ht="15.75" hidden="1" outlineLevel="1" thickBot="1">
      <c r="B20">
        <f>+INPUT!D203</f>
        <v>0</v>
      </c>
      <c r="C20" s="1468">
        <f>INPUT!AE203</f>
        <v>0</v>
      </c>
      <c r="D20" s="1468">
        <f>+INPUT!AF203</f>
        <v>0</v>
      </c>
      <c r="E20" s="1468">
        <f>+INPUT!AG203</f>
        <v>0</v>
      </c>
      <c r="F20" s="1468">
        <f>+INPUT!AH203</f>
        <v>0</v>
      </c>
      <c r="G20" s="1468">
        <f>+INPUT!AI203</f>
        <v>0</v>
      </c>
      <c r="H20" s="1468">
        <f>+INPUT!AJ203</f>
        <v>0</v>
      </c>
      <c r="I20" s="1468">
        <f>+INPUT!AK203</f>
        <v>0</v>
      </c>
      <c r="J20" s="1468">
        <f>+INPUT!AL203</f>
        <v>0</v>
      </c>
      <c r="K20" s="1468">
        <f>+INPUT!AM203</f>
        <v>0</v>
      </c>
      <c r="L20" s="1468">
        <f>+INPUT!AN203</f>
        <v>0</v>
      </c>
      <c r="M20" s="1468">
        <f t="shared" si="0"/>
        <v>0</v>
      </c>
    </row>
    <row r="21" spans="2:13" ht="15.75" hidden="1" outlineLevel="1" thickBot="1">
      <c r="B21">
        <f>+INPUT!D204</f>
        <v>0</v>
      </c>
      <c r="C21" s="1468">
        <f>INPUT!AE204</f>
        <v>0</v>
      </c>
      <c r="D21" s="1468">
        <f>+INPUT!AF204</f>
        <v>0</v>
      </c>
      <c r="E21" s="1468">
        <f>+INPUT!AG204</f>
        <v>0</v>
      </c>
      <c r="F21" s="1468">
        <f>+INPUT!AH204</f>
        <v>0</v>
      </c>
      <c r="G21" s="1468">
        <f>+INPUT!AI204</f>
        <v>0</v>
      </c>
      <c r="H21" s="1468">
        <f>+INPUT!AJ204</f>
        <v>0</v>
      </c>
      <c r="I21" s="1468">
        <f>+INPUT!AK204</f>
        <v>0</v>
      </c>
      <c r="J21" s="1468">
        <f>+INPUT!AL204</f>
        <v>0</v>
      </c>
      <c r="K21" s="1468">
        <f>+INPUT!AM204</f>
        <v>0</v>
      </c>
      <c r="L21" s="1468">
        <f>+INPUT!AN204</f>
        <v>0</v>
      </c>
      <c r="M21" s="1468">
        <f t="shared" si="0"/>
        <v>0</v>
      </c>
    </row>
    <row r="22" spans="2:13" ht="15.75" hidden="1" outlineLevel="1" thickBot="1">
      <c r="B22">
        <f>+INPUT!D205</f>
        <v>0</v>
      </c>
      <c r="C22" s="1468">
        <f>INPUT!AE205</f>
        <v>0</v>
      </c>
      <c r="D22" s="1468">
        <f>+INPUT!AF205</f>
        <v>0</v>
      </c>
      <c r="E22" s="1468">
        <f>+INPUT!AG205</f>
        <v>0</v>
      </c>
      <c r="F22" s="1468">
        <f>+INPUT!AH205</f>
        <v>0</v>
      </c>
      <c r="G22" s="1468">
        <f>+INPUT!AI205</f>
        <v>0</v>
      </c>
      <c r="H22" s="1468">
        <f>+INPUT!AJ205</f>
        <v>0</v>
      </c>
      <c r="I22" s="1468">
        <f>+INPUT!AK205</f>
        <v>0</v>
      </c>
      <c r="J22" s="1468">
        <f>+INPUT!AL205</f>
        <v>0</v>
      </c>
      <c r="K22" s="1468">
        <f>+INPUT!AM205</f>
        <v>0</v>
      </c>
      <c r="L22" s="1468">
        <f>+INPUT!AN205</f>
        <v>0</v>
      </c>
      <c r="M22" s="1468">
        <f t="shared" si="0"/>
        <v>0</v>
      </c>
    </row>
    <row r="23" spans="2:13" ht="15.75" hidden="1" outlineLevel="1" thickBot="1">
      <c r="B23">
        <f>+INPUT!D206</f>
        <v>0</v>
      </c>
      <c r="C23" s="1468">
        <f>INPUT!AE206</f>
        <v>0</v>
      </c>
      <c r="D23" s="1468">
        <f>+INPUT!AF206</f>
        <v>0</v>
      </c>
      <c r="E23" s="1468">
        <f>+INPUT!AG206</f>
        <v>0</v>
      </c>
      <c r="F23" s="1468">
        <f>+INPUT!AH206</f>
        <v>0</v>
      </c>
      <c r="G23" s="1468">
        <f>+INPUT!AI206</f>
        <v>0</v>
      </c>
      <c r="H23" s="1468">
        <f>+INPUT!AJ206</f>
        <v>0</v>
      </c>
      <c r="I23" s="1468">
        <f>+INPUT!AK206</f>
        <v>0</v>
      </c>
      <c r="J23" s="1468">
        <f>+INPUT!AL206</f>
        <v>0</v>
      </c>
      <c r="K23" s="1468">
        <f>+INPUT!AM206</f>
        <v>0</v>
      </c>
      <c r="L23" s="1468">
        <f>+INPUT!AN206</f>
        <v>0</v>
      </c>
      <c r="M23" s="1468">
        <f t="shared" si="0"/>
        <v>0</v>
      </c>
    </row>
    <row r="24" spans="2:13" ht="15.75" hidden="1" outlineLevel="1" thickBot="1">
      <c r="B24">
        <f>+INPUT!D207</f>
        <v>0</v>
      </c>
      <c r="C24" s="1468">
        <f>INPUT!AE207</f>
        <v>0</v>
      </c>
      <c r="D24" s="1468">
        <f>+INPUT!AF207</f>
        <v>0</v>
      </c>
      <c r="E24" s="1468">
        <f>+INPUT!AG207</f>
        <v>0</v>
      </c>
      <c r="F24" s="1468">
        <f>+INPUT!AH207</f>
        <v>0</v>
      </c>
      <c r="G24" s="1468">
        <f>+INPUT!AI207</f>
        <v>0</v>
      </c>
      <c r="H24" s="1468">
        <f>+INPUT!AJ207</f>
        <v>0</v>
      </c>
      <c r="I24" s="1468">
        <f>+INPUT!AK207</f>
        <v>0</v>
      </c>
      <c r="J24" s="1468">
        <f>+INPUT!AL207</f>
        <v>0</v>
      </c>
      <c r="K24" s="1468">
        <f>+INPUT!AM207</f>
        <v>0</v>
      </c>
      <c r="L24" s="1468">
        <f>+INPUT!AN207</f>
        <v>0</v>
      </c>
      <c r="M24" s="1468">
        <f t="shared" si="0"/>
        <v>0</v>
      </c>
    </row>
    <row r="25" spans="2:13" ht="15.75" hidden="1" outlineLevel="1" thickBot="1">
      <c r="B25">
        <f>+INPUT!D208</f>
        <v>0</v>
      </c>
      <c r="C25" s="1468">
        <f>INPUT!AE208</f>
        <v>0</v>
      </c>
      <c r="D25" s="1468">
        <f>+INPUT!AF208</f>
        <v>0</v>
      </c>
      <c r="E25" s="1468">
        <f>+INPUT!AG208</f>
        <v>0</v>
      </c>
      <c r="F25" s="1468">
        <f>+INPUT!AH208</f>
        <v>0</v>
      </c>
      <c r="G25" s="1468">
        <f>+INPUT!AI208</f>
        <v>0</v>
      </c>
      <c r="H25" s="1468">
        <f>+INPUT!AJ208</f>
        <v>0</v>
      </c>
      <c r="I25" s="1468">
        <f>+INPUT!AK208</f>
        <v>0</v>
      </c>
      <c r="J25" s="1468">
        <f>+INPUT!AL208</f>
        <v>0</v>
      </c>
      <c r="K25" s="1468">
        <f>+INPUT!AM208</f>
        <v>0</v>
      </c>
      <c r="L25" s="1468">
        <f>+INPUT!AN208</f>
        <v>0</v>
      </c>
      <c r="M25" s="1468">
        <f t="shared" si="0"/>
        <v>0</v>
      </c>
    </row>
    <row r="26" spans="2:13" ht="15.75" hidden="1" outlineLevel="1" thickBot="1">
      <c r="B26">
        <f>+INPUT!D209</f>
        <v>0</v>
      </c>
      <c r="C26" s="1468">
        <f>INPUT!AE209</f>
        <v>0</v>
      </c>
      <c r="D26" s="1468">
        <f>+INPUT!AF209</f>
        <v>0</v>
      </c>
      <c r="E26" s="1468">
        <f>+INPUT!AG209</f>
        <v>0</v>
      </c>
      <c r="F26" s="1468">
        <f>+INPUT!AH209</f>
        <v>0</v>
      </c>
      <c r="G26" s="1468">
        <f>+INPUT!AI209</f>
        <v>0</v>
      </c>
      <c r="H26" s="1468">
        <f>+INPUT!AJ209</f>
        <v>0</v>
      </c>
      <c r="I26" s="1468">
        <f>+INPUT!AK209</f>
        <v>0</v>
      </c>
      <c r="J26" s="1468">
        <f>+INPUT!AL209</f>
        <v>0</v>
      </c>
      <c r="K26" s="1468">
        <f>+INPUT!AM209</f>
        <v>0</v>
      </c>
      <c r="L26" s="1468">
        <f>+INPUT!AN209</f>
        <v>0</v>
      </c>
      <c r="M26" s="1468">
        <f t="shared" si="0"/>
        <v>0</v>
      </c>
    </row>
    <row r="27" spans="2:13" ht="15.75" hidden="1" outlineLevel="1" thickBot="1">
      <c r="B27">
        <f>+INPUT!D210</f>
        <v>0</v>
      </c>
      <c r="C27" s="1468">
        <f>INPUT!AE210</f>
        <v>0</v>
      </c>
      <c r="D27" s="1468">
        <f>+INPUT!AF210</f>
        <v>0</v>
      </c>
      <c r="E27" s="1468">
        <f>+INPUT!AG210</f>
        <v>0</v>
      </c>
      <c r="F27" s="1468">
        <f>+INPUT!AH210</f>
        <v>0</v>
      </c>
      <c r="G27" s="1468">
        <f>+INPUT!AI210</f>
        <v>0</v>
      </c>
      <c r="H27" s="1468">
        <f>+INPUT!AJ210</f>
        <v>0</v>
      </c>
      <c r="I27" s="1468">
        <f>+INPUT!AK210</f>
        <v>0</v>
      </c>
      <c r="J27" s="1468">
        <f>+INPUT!AL210</f>
        <v>0</v>
      </c>
      <c r="K27" s="1468">
        <f>+INPUT!AM210</f>
        <v>0</v>
      </c>
      <c r="L27" s="1468">
        <f>+INPUT!AN210</f>
        <v>0</v>
      </c>
      <c r="M27" s="1468">
        <f t="shared" si="0"/>
        <v>0</v>
      </c>
    </row>
    <row r="28" spans="2:13" ht="15.75" hidden="1" outlineLevel="1" thickBot="1">
      <c r="B28">
        <f>+INPUT!D211</f>
        <v>0</v>
      </c>
      <c r="C28" s="1468">
        <f>INPUT!AE211</f>
        <v>0</v>
      </c>
      <c r="D28" s="1468">
        <f>+INPUT!AF211</f>
        <v>0</v>
      </c>
      <c r="E28" s="1468">
        <f>+INPUT!AG211</f>
        <v>0</v>
      </c>
      <c r="F28" s="1468">
        <f>+INPUT!AH211</f>
        <v>0</v>
      </c>
      <c r="G28" s="1468">
        <f>+INPUT!AI211</f>
        <v>0</v>
      </c>
      <c r="H28" s="1468">
        <f>+INPUT!AJ211</f>
        <v>0</v>
      </c>
      <c r="I28" s="1468">
        <f>+INPUT!AK211</f>
        <v>0</v>
      </c>
      <c r="J28" s="1468">
        <f>+INPUT!AL211</f>
        <v>0</v>
      </c>
      <c r="K28" s="1468">
        <f>+INPUT!AM211</f>
        <v>0</v>
      </c>
      <c r="L28" s="1468">
        <f>+INPUT!AN211</f>
        <v>0</v>
      </c>
      <c r="M28" s="1468">
        <f t="shared" si="0"/>
        <v>0</v>
      </c>
    </row>
    <row r="29" spans="2:13" ht="15.75" hidden="1" outlineLevel="1" thickBot="1">
      <c r="B29">
        <f>+INPUT!D212</f>
        <v>0</v>
      </c>
      <c r="C29" s="1468">
        <f>INPUT!AE212</f>
        <v>0</v>
      </c>
      <c r="D29" s="1468">
        <f>+INPUT!AF212</f>
        <v>0</v>
      </c>
      <c r="E29" s="1468">
        <f>+INPUT!AG212</f>
        <v>0</v>
      </c>
      <c r="F29" s="1468">
        <f>+INPUT!AH212</f>
        <v>0</v>
      </c>
      <c r="G29" s="1468">
        <f>+INPUT!AI212</f>
        <v>0</v>
      </c>
      <c r="H29" s="1468">
        <f>+INPUT!AJ212</f>
        <v>0</v>
      </c>
      <c r="I29" s="1468">
        <f>+INPUT!AK212</f>
        <v>0</v>
      </c>
      <c r="J29" s="1468">
        <f>+INPUT!AL212</f>
        <v>0</v>
      </c>
      <c r="K29" s="1468">
        <f>+INPUT!AM212</f>
        <v>0</v>
      </c>
      <c r="L29" s="1468">
        <f>+INPUT!AN212</f>
        <v>0</v>
      </c>
      <c r="M29" s="1468">
        <f t="shared" si="0"/>
        <v>0</v>
      </c>
    </row>
    <row r="30" spans="2:13" ht="15.75" hidden="1" outlineLevel="1" thickBot="1">
      <c r="B30">
        <f>+INPUT!D213</f>
        <v>0</v>
      </c>
      <c r="C30" s="1468">
        <f>INPUT!AE213</f>
        <v>0</v>
      </c>
      <c r="D30" s="1468">
        <f>+INPUT!AF213</f>
        <v>0</v>
      </c>
      <c r="E30" s="1468">
        <f>+INPUT!AG213</f>
        <v>0</v>
      </c>
      <c r="F30" s="1468">
        <f>+INPUT!AH213</f>
        <v>0</v>
      </c>
      <c r="G30" s="1468">
        <f>+INPUT!AI213</f>
        <v>0</v>
      </c>
      <c r="H30" s="1468">
        <f>+INPUT!AJ213</f>
        <v>0</v>
      </c>
      <c r="I30" s="1468">
        <f>+INPUT!AK213</f>
        <v>0</v>
      </c>
      <c r="J30" s="1468">
        <f>+INPUT!AL213</f>
        <v>0</v>
      </c>
      <c r="K30" s="1468">
        <f>+INPUT!AM213</f>
        <v>0</v>
      </c>
      <c r="L30" s="1468">
        <f>+INPUT!AN213</f>
        <v>0</v>
      </c>
      <c r="M30" s="1468">
        <f t="shared" si="0"/>
        <v>0</v>
      </c>
    </row>
    <row r="31" spans="2:13" ht="15.75" hidden="1" outlineLevel="1" thickBot="1">
      <c r="B31">
        <f>+INPUT!D214</f>
        <v>0</v>
      </c>
      <c r="C31" s="1468">
        <f>INPUT!AE214</f>
        <v>0</v>
      </c>
      <c r="D31" s="1468">
        <f>+INPUT!AF214</f>
        <v>0</v>
      </c>
      <c r="E31" s="1468">
        <f>+INPUT!AG214</f>
        <v>0</v>
      </c>
      <c r="F31" s="1468">
        <f>+INPUT!AH214</f>
        <v>0</v>
      </c>
      <c r="G31" s="1468">
        <f>+INPUT!AI214</f>
        <v>0</v>
      </c>
      <c r="H31" s="1468">
        <f>+INPUT!AJ214</f>
        <v>0</v>
      </c>
      <c r="I31" s="1468">
        <f>+INPUT!AK214</f>
        <v>0</v>
      </c>
      <c r="J31" s="1468">
        <f>+INPUT!AL214</f>
        <v>0</v>
      </c>
      <c r="K31" s="1468">
        <f>+INPUT!AM214</f>
        <v>0</v>
      </c>
      <c r="L31" s="1468">
        <f>+INPUT!AN214</f>
        <v>0</v>
      </c>
      <c r="M31" s="1468">
        <f t="shared" si="0"/>
        <v>0</v>
      </c>
    </row>
    <row r="32" spans="2:13" ht="15.75" hidden="1" outlineLevel="1" thickBot="1">
      <c r="B32">
        <f>+INPUT!D215</f>
        <v>0</v>
      </c>
      <c r="C32" s="1468">
        <f>+[9]INPUT!AC210</f>
        <v>0</v>
      </c>
      <c r="D32" s="1468">
        <f>+INPUT!AF215</f>
        <v>0</v>
      </c>
      <c r="E32" s="1468">
        <f>+INPUT!AG215</f>
        <v>0</v>
      </c>
      <c r="F32" s="1468">
        <f>+INPUT!AH215</f>
        <v>0</v>
      </c>
      <c r="G32" s="1468">
        <f>+INPUT!AI215</f>
        <v>0</v>
      </c>
      <c r="H32" s="1468">
        <f>+INPUT!AJ215</f>
        <v>0</v>
      </c>
      <c r="I32" s="1468">
        <f>+INPUT!AK215</f>
        <v>0</v>
      </c>
      <c r="J32" s="1468">
        <f>+INPUT!AL215</f>
        <v>0</v>
      </c>
      <c r="K32" s="1468">
        <f>+INPUT!AM215</f>
        <v>0</v>
      </c>
      <c r="L32" s="1468">
        <f>+INPUT!AN215</f>
        <v>0</v>
      </c>
      <c r="M32" s="1468">
        <f t="shared" si="0"/>
        <v>0</v>
      </c>
    </row>
    <row r="33" spans="1:13" ht="15.75" collapsed="1" thickBot="1">
      <c r="C33" s="721">
        <f t="shared" ref="C33:L33" si="1">SUM(C3:C32)-(SUMIF($E$181:$E$210,"I.O. Strip",C3:C32))</f>
        <v>0</v>
      </c>
      <c r="D33" s="722">
        <f t="shared" si="1"/>
        <v>0</v>
      </c>
      <c r="E33" s="722">
        <f t="shared" si="1"/>
        <v>0</v>
      </c>
      <c r="F33" s="722">
        <f t="shared" si="1"/>
        <v>0</v>
      </c>
      <c r="G33" s="722">
        <f t="shared" si="1"/>
        <v>0</v>
      </c>
      <c r="H33" s="722">
        <f t="shared" si="1"/>
        <v>0</v>
      </c>
      <c r="I33" s="722">
        <f t="shared" si="1"/>
        <v>0</v>
      </c>
      <c r="J33" s="722">
        <f t="shared" si="1"/>
        <v>0</v>
      </c>
      <c r="K33" s="722">
        <f t="shared" si="1"/>
        <v>0</v>
      </c>
      <c r="L33" s="722">
        <f t="shared" si="1"/>
        <v>0</v>
      </c>
      <c r="M33" s="723">
        <f>SUM(C33:L33)</f>
        <v>0</v>
      </c>
    </row>
    <row r="36" spans="1:13" ht="15.75" thickBot="1"/>
    <row r="37" spans="1:13" ht="15.75" thickBot="1">
      <c r="A37" t="s">
        <v>545</v>
      </c>
      <c r="B37" t="str">
        <f>+B3</f>
        <v>Note A1</v>
      </c>
      <c r="C37" s="1468">
        <f>IF(INPUT!$B186="delphi",+INPUT!$F186*'Participation Splits'!C$2,0)</f>
        <v>0</v>
      </c>
      <c r="D37" s="1468">
        <f>IF(INPUT!$B186="delphi",+INPUT!$F186*'Participation Splits'!D$2,0)</f>
        <v>0</v>
      </c>
      <c r="E37" s="1468">
        <f>IF(INPUT!$B186="delphi",+INPUT!$F186*'Participation Splits'!E$2,0)</f>
        <v>0</v>
      </c>
      <c r="F37" s="1468">
        <f>IF(INPUT!$B186="delphi",+INPUT!$F186*'Participation Splits'!F$2,0)</f>
        <v>0</v>
      </c>
      <c r="G37" s="1468">
        <f>IF(INPUT!$B186="delphi",+INPUT!$F186*'Participation Splits'!G$2,0)</f>
        <v>0</v>
      </c>
      <c r="H37" s="1468">
        <f>IF(INPUT!$B186="delphi",+INPUT!$F186*'Participation Splits'!H$2,0)</f>
        <v>0</v>
      </c>
      <c r="I37" s="1468">
        <f>IF(INPUT!$B186="delphi",+INPUT!$F186*'Participation Splits'!I$2,0)</f>
        <v>0</v>
      </c>
      <c r="J37" s="1468">
        <f>IF(INPUT!$B186="delphi",+INPUT!$F186*'Participation Splits'!J$2,0)</f>
        <v>0</v>
      </c>
      <c r="K37" s="1468">
        <f>IF(INPUT!$B186="delphi",+INPUT!$F186*'Participation Splits'!K$2,0)</f>
        <v>0</v>
      </c>
      <c r="L37" s="1468">
        <f>IF(INPUT!$B186="delphi",+INPUT!$F186*'Participation Splits'!L$2,0)</f>
        <v>0</v>
      </c>
      <c r="M37" s="1468">
        <f>SUM(C37:L37)</f>
        <v>0</v>
      </c>
    </row>
    <row r="38" spans="1:13" ht="15.75" thickBot="1">
      <c r="B38" t="str">
        <f t="shared" ref="B38:B66" si="2">+B4</f>
        <v>Note B1</v>
      </c>
      <c r="C38" s="1468">
        <f>IF(INPUT!$B187="delphi",+INPUT!$F187*'Participation Splits'!C$2,0)</f>
        <v>0</v>
      </c>
      <c r="D38" s="1468">
        <f>IF(INPUT!$B187="delphi",+INPUT!$F187*'Participation Splits'!D$2,0)</f>
        <v>0</v>
      </c>
      <c r="E38" s="1468">
        <f>IF(INPUT!$B187="delphi",+INPUT!$F187*'Participation Splits'!E$2,0)</f>
        <v>0</v>
      </c>
      <c r="F38" s="1468">
        <f>IF(INPUT!$B187="delphi",+INPUT!$F187*'Participation Splits'!F$2,0)</f>
        <v>0</v>
      </c>
      <c r="G38" s="1468">
        <f>IF(INPUT!$B187="delphi",+INPUT!$F187*'Participation Splits'!G$2,0)</f>
        <v>0</v>
      </c>
      <c r="H38" s="1468">
        <f>IF(INPUT!$B187="delphi",+INPUT!$F187*'Participation Splits'!H$2,0)</f>
        <v>0</v>
      </c>
      <c r="I38" s="1468">
        <f>IF(INPUT!$B187="delphi",+INPUT!$F187*'Participation Splits'!I$2,0)</f>
        <v>0</v>
      </c>
      <c r="J38" s="1468">
        <f>IF(INPUT!$B187="delphi",+INPUT!$F187*'Participation Splits'!J$2,0)</f>
        <v>0</v>
      </c>
      <c r="K38" s="1468">
        <f>IF(INPUT!$B187="delphi",+INPUT!$F187*'Participation Splits'!K$2,0)</f>
        <v>0</v>
      </c>
      <c r="L38" s="1468">
        <f>IF(INPUT!$B187="delphi",+INPUT!$F187*'Participation Splits'!L$2,0)</f>
        <v>0</v>
      </c>
      <c r="M38" s="1468">
        <f t="shared" ref="M38:M66" si="3">SUM(C38:L38)</f>
        <v>0</v>
      </c>
    </row>
    <row r="39" spans="1:13" ht="15.75" thickBot="1">
      <c r="B39" t="str">
        <f t="shared" si="2"/>
        <v>Mezz 1</v>
      </c>
      <c r="C39" s="1468">
        <f>IF(INPUT!$B188="delphi",+INPUT!$F188*'Participation Splits'!C$2,0)</f>
        <v>0</v>
      </c>
      <c r="D39" s="1468">
        <f>IF(INPUT!$B188="delphi",+INPUT!$F188*'Participation Splits'!D$2,0)</f>
        <v>0</v>
      </c>
      <c r="E39" s="1468">
        <f>IF(INPUT!$B188="delphi",+INPUT!$F188*'Participation Splits'!E$2,0)</f>
        <v>0</v>
      </c>
      <c r="F39" s="1468">
        <f>IF(INPUT!$B188="delphi",+INPUT!$F188*'Participation Splits'!F$2,0)</f>
        <v>0</v>
      </c>
      <c r="G39" s="1468">
        <f>IF(INPUT!$B188="delphi",+INPUT!$F188*'Participation Splits'!G$2,0)</f>
        <v>0</v>
      </c>
      <c r="H39" s="1468">
        <f>IF(INPUT!$B188="delphi",+INPUT!$F188*'Participation Splits'!H$2,0)</f>
        <v>0</v>
      </c>
      <c r="I39" s="1468">
        <f>IF(INPUT!$B188="delphi",+INPUT!$F188*'Participation Splits'!I$2,0)</f>
        <v>0</v>
      </c>
      <c r="J39" s="1468">
        <f>IF(INPUT!$B188="delphi",+INPUT!$F188*'Participation Splits'!J$2,0)</f>
        <v>0</v>
      </c>
      <c r="K39" s="1468">
        <f>IF(INPUT!$B188="delphi",+INPUT!$F188*'Participation Splits'!K$2,0)</f>
        <v>0</v>
      </c>
      <c r="L39" s="1468">
        <f>IF(INPUT!$B188="delphi",+INPUT!$F188*'Participation Splits'!L$2,0)</f>
        <v>0</v>
      </c>
      <c r="M39" s="1468">
        <f t="shared" si="3"/>
        <v>0</v>
      </c>
    </row>
    <row r="40" spans="1:13" ht="15.75" thickBot="1">
      <c r="B40" t="str">
        <f t="shared" si="2"/>
        <v>Note A2</v>
      </c>
      <c r="C40" s="1468">
        <f>IF(INPUT!$B189="delphi",+INPUT!$F189*'Participation Splits'!C$2,0)</f>
        <v>0</v>
      </c>
      <c r="D40" s="1468">
        <f>IF(INPUT!$B189="delphi",+INPUT!$F189*'Participation Splits'!D$2,0)</f>
        <v>0</v>
      </c>
      <c r="E40" s="1468">
        <f>IF(INPUT!$B189="delphi",+INPUT!$F189*'Participation Splits'!E$2,0)</f>
        <v>0</v>
      </c>
      <c r="F40" s="1468">
        <f>IF(INPUT!$B189="delphi",+INPUT!$F189*'Participation Splits'!F$2,0)</f>
        <v>0</v>
      </c>
      <c r="G40" s="1468">
        <f>IF(INPUT!$B189="delphi",+INPUT!$F189*'Participation Splits'!G$2,0)</f>
        <v>0</v>
      </c>
      <c r="H40" s="1468">
        <f>IF(INPUT!$B189="delphi",+INPUT!$F189*'Participation Splits'!H$2,0)</f>
        <v>0</v>
      </c>
      <c r="I40" s="1468">
        <f>IF(INPUT!$B189="delphi",+INPUT!$F189*'Participation Splits'!I$2,0)</f>
        <v>0</v>
      </c>
      <c r="J40" s="1468">
        <f>IF(INPUT!$B189="delphi",+INPUT!$F189*'Participation Splits'!J$2,0)</f>
        <v>0</v>
      </c>
      <c r="K40" s="1468">
        <f>IF(INPUT!$B189="delphi",+INPUT!$F189*'Participation Splits'!K$2,0)</f>
        <v>0</v>
      </c>
      <c r="L40" s="1468">
        <f>IF(INPUT!$B189="delphi",+INPUT!$F189*'Participation Splits'!L$2,0)</f>
        <v>0</v>
      </c>
      <c r="M40" s="1468">
        <f t="shared" si="3"/>
        <v>0</v>
      </c>
    </row>
    <row r="41" spans="1:13" ht="15.75" thickBot="1">
      <c r="B41" t="str">
        <f t="shared" si="2"/>
        <v>Note B2</v>
      </c>
      <c r="C41" s="1468">
        <f>IF(INPUT!$B190="delphi",+INPUT!$F190*'Participation Splits'!C$2,0)</f>
        <v>0</v>
      </c>
      <c r="D41" s="1468">
        <f>IF(INPUT!$B190="delphi",+INPUT!$F190*'Participation Splits'!D$2,0)</f>
        <v>0</v>
      </c>
      <c r="E41" s="1468">
        <f>IF(INPUT!$B190="delphi",+INPUT!$F190*'Participation Splits'!E$2,0)</f>
        <v>0</v>
      </c>
      <c r="F41" s="1468">
        <f>IF(INPUT!$B190="delphi",+INPUT!$F190*'Participation Splits'!F$2,0)</f>
        <v>0</v>
      </c>
      <c r="G41" s="1468">
        <f>IF(INPUT!$B190="delphi",+INPUT!$F190*'Participation Splits'!G$2,0)</f>
        <v>0</v>
      </c>
      <c r="H41" s="1468">
        <f>IF(INPUT!$B190="delphi",+INPUT!$F190*'Participation Splits'!H$2,0)</f>
        <v>0</v>
      </c>
      <c r="I41" s="1468">
        <f>IF(INPUT!$B190="delphi",+INPUT!$F190*'Participation Splits'!I$2,0)</f>
        <v>0</v>
      </c>
      <c r="J41" s="1468">
        <f>IF(INPUT!$B190="delphi",+INPUT!$F190*'Participation Splits'!J$2,0)</f>
        <v>0</v>
      </c>
      <c r="K41" s="1468">
        <f>IF(INPUT!$B190="delphi",+INPUT!$F190*'Participation Splits'!K$2,0)</f>
        <v>0</v>
      </c>
      <c r="L41" s="1468">
        <f>IF(INPUT!$B190="delphi",+INPUT!$F190*'Participation Splits'!L$2,0)</f>
        <v>0</v>
      </c>
      <c r="M41" s="1468">
        <f t="shared" si="3"/>
        <v>0</v>
      </c>
    </row>
    <row r="42" spans="1:13" ht="15.75" thickBot="1">
      <c r="B42" t="str">
        <f t="shared" si="2"/>
        <v>Mezz 2</v>
      </c>
      <c r="C42" s="1468">
        <f>IF(INPUT!$B191="delphi",+INPUT!$F191*'Participation Splits'!C$2,0)</f>
        <v>0</v>
      </c>
      <c r="D42" s="1468">
        <f>IF(INPUT!$B191="delphi",+INPUT!$F191*'Participation Splits'!D$2,0)</f>
        <v>0</v>
      </c>
      <c r="E42" s="1468">
        <f>IF(INPUT!$B191="delphi",+INPUT!$F191*'Participation Splits'!E$2,0)</f>
        <v>0</v>
      </c>
      <c r="F42" s="1468">
        <f>IF(INPUT!$B191="delphi",+INPUT!$F191*'Participation Splits'!F$2,0)</f>
        <v>0</v>
      </c>
      <c r="G42" s="1468">
        <f>IF(INPUT!$B191="delphi",+INPUT!$F191*'Participation Splits'!G$2,0)</f>
        <v>0</v>
      </c>
      <c r="H42" s="1468">
        <f>IF(INPUT!$B191="delphi",+INPUT!$F191*'Participation Splits'!H$2,0)</f>
        <v>0</v>
      </c>
      <c r="I42" s="1468">
        <f>IF(INPUT!$B191="delphi",+INPUT!$F191*'Participation Splits'!I$2,0)</f>
        <v>0</v>
      </c>
      <c r="J42" s="1468">
        <f>IF(INPUT!$B191="delphi",+INPUT!$F191*'Participation Splits'!J$2,0)</f>
        <v>0</v>
      </c>
      <c r="K42" s="1468">
        <f>IF(INPUT!$B191="delphi",+INPUT!$F191*'Participation Splits'!K$2,0)</f>
        <v>0</v>
      </c>
      <c r="L42" s="1468">
        <f>IF(INPUT!$B191="delphi",+INPUT!$F191*'Participation Splits'!L$2,0)</f>
        <v>0</v>
      </c>
      <c r="M42" s="1468">
        <f t="shared" si="3"/>
        <v>0</v>
      </c>
    </row>
    <row r="43" spans="1:13" ht="15.75" thickBot="1">
      <c r="B43" t="str">
        <f t="shared" si="2"/>
        <v>Note A3</v>
      </c>
      <c r="C43" s="1468">
        <f>IF(INPUT!$B192="delphi",+INPUT!$F192*'Participation Splits'!C$2,0)</f>
        <v>0</v>
      </c>
      <c r="D43" s="1468">
        <f>IF(INPUT!$B192="delphi",+INPUT!$F192*'Participation Splits'!D$2,0)</f>
        <v>0</v>
      </c>
      <c r="E43" s="1468">
        <f>IF(INPUT!$B192="delphi",+INPUT!$F192*'Participation Splits'!E$2,0)</f>
        <v>0</v>
      </c>
      <c r="F43" s="1468">
        <f>IF(INPUT!$B192="delphi",+INPUT!$F192*'Participation Splits'!F$2,0)</f>
        <v>0</v>
      </c>
      <c r="G43" s="1468">
        <f>IF(INPUT!$B192="delphi",+INPUT!$F192*'Participation Splits'!G$2,0)</f>
        <v>0</v>
      </c>
      <c r="H43" s="1468">
        <f>IF(INPUT!$B192="delphi",+INPUT!$F192*'Participation Splits'!H$2,0)</f>
        <v>0</v>
      </c>
      <c r="I43" s="1468">
        <f>IF(INPUT!$B192="delphi",+INPUT!$F192*'Participation Splits'!I$2,0)</f>
        <v>0</v>
      </c>
      <c r="J43" s="1468">
        <f>IF(INPUT!$B192="delphi",+INPUT!$F192*'Participation Splits'!J$2,0)</f>
        <v>0</v>
      </c>
      <c r="K43" s="1468">
        <f>IF(INPUT!$B192="delphi",+INPUT!$F192*'Participation Splits'!K$2,0)</f>
        <v>0</v>
      </c>
      <c r="L43" s="1468">
        <f>IF(INPUT!$B192="delphi",+INPUT!$F192*'Participation Splits'!L$2,0)</f>
        <v>0</v>
      </c>
      <c r="M43" s="1468">
        <f t="shared" si="3"/>
        <v>0</v>
      </c>
    </row>
    <row r="44" spans="1:13" ht="15.75" thickBot="1">
      <c r="B44" t="str">
        <f t="shared" si="2"/>
        <v>Note B3</v>
      </c>
      <c r="C44" s="1468">
        <f>IF(INPUT!$B193="delphi",+INPUT!$F193*'Participation Splits'!C$2,0)</f>
        <v>0</v>
      </c>
      <c r="D44" s="1468">
        <f>IF(INPUT!$B193="delphi",+INPUT!$F193*'Participation Splits'!D$2,0)</f>
        <v>0</v>
      </c>
      <c r="E44" s="1468">
        <f>IF(INPUT!$B193="delphi",+INPUT!$F193*'Participation Splits'!E$2,0)</f>
        <v>0</v>
      </c>
      <c r="F44" s="1468">
        <f>IF(INPUT!$B193="delphi",+INPUT!$F193*'Participation Splits'!F$2,0)</f>
        <v>0</v>
      </c>
      <c r="G44" s="1468">
        <f>IF(INPUT!$B193="delphi",+INPUT!$F193*'Participation Splits'!G$2,0)</f>
        <v>0</v>
      </c>
      <c r="H44" s="1468">
        <f>IF(INPUT!$B193="delphi",+INPUT!$F193*'Participation Splits'!H$2,0)</f>
        <v>0</v>
      </c>
      <c r="I44" s="1468">
        <f>IF(INPUT!$B193="delphi",+INPUT!$F193*'Participation Splits'!I$2,0)</f>
        <v>0</v>
      </c>
      <c r="J44" s="1468">
        <f>IF(INPUT!$B193="delphi",+INPUT!$F193*'Participation Splits'!J$2,0)</f>
        <v>0</v>
      </c>
      <c r="K44" s="1468">
        <f>IF(INPUT!$B193="delphi",+INPUT!$F193*'Participation Splits'!K$2,0)</f>
        <v>0</v>
      </c>
      <c r="L44" s="1468">
        <f>IF(INPUT!$B193="delphi",+INPUT!$F193*'Participation Splits'!L$2,0)</f>
        <v>0</v>
      </c>
      <c r="M44" s="1468">
        <f t="shared" si="3"/>
        <v>0</v>
      </c>
    </row>
    <row r="45" spans="1:13" ht="15.75" thickBot="1">
      <c r="B45" t="str">
        <f t="shared" si="2"/>
        <v>Mezz 3</v>
      </c>
      <c r="C45" s="1468">
        <f>IF(INPUT!$B194="delphi",+INPUT!$F194*'Participation Splits'!C$2,0)</f>
        <v>0</v>
      </c>
      <c r="D45" s="1468">
        <f>IF(INPUT!$B194="delphi",+INPUT!$F194*'Participation Splits'!D$2,0)</f>
        <v>0</v>
      </c>
      <c r="E45" s="1468">
        <f>IF(INPUT!$B194="delphi",+INPUT!$F194*'Participation Splits'!E$2,0)</f>
        <v>0</v>
      </c>
      <c r="F45" s="1468">
        <f>IF(INPUT!$B194="delphi",+INPUT!$F194*'Participation Splits'!F$2,0)</f>
        <v>0</v>
      </c>
      <c r="G45" s="1468">
        <f>IF(INPUT!$B194="delphi",+INPUT!$F194*'Participation Splits'!G$2,0)</f>
        <v>0</v>
      </c>
      <c r="H45" s="1468">
        <f>IF(INPUT!$B194="delphi",+INPUT!$F194*'Participation Splits'!H$2,0)</f>
        <v>0</v>
      </c>
      <c r="I45" s="1468">
        <f>IF(INPUT!$B194="delphi",+INPUT!$F194*'Participation Splits'!I$2,0)</f>
        <v>0</v>
      </c>
      <c r="J45" s="1468">
        <f>IF(INPUT!$B194="delphi",+INPUT!$F194*'Participation Splits'!J$2,0)</f>
        <v>0</v>
      </c>
      <c r="K45" s="1468">
        <f>IF(INPUT!$B194="delphi",+INPUT!$F194*'Participation Splits'!K$2,0)</f>
        <v>0</v>
      </c>
      <c r="L45" s="1468">
        <f>IF(INPUT!$B194="delphi",+INPUT!$F194*'Participation Splits'!L$2,0)</f>
        <v>0</v>
      </c>
      <c r="M45" s="1468">
        <f t="shared" si="3"/>
        <v>0</v>
      </c>
    </row>
    <row r="46" spans="1:13" ht="15.75" hidden="1" outlineLevel="1" thickBot="1">
      <c r="B46" t="str">
        <f t="shared" si="2"/>
        <v>Note A4</v>
      </c>
      <c r="C46" s="1468">
        <f>IF(INPUT!B195="delphi",+INPUT!$F195*'Participation Splits'!C$2,0)</f>
        <v>0</v>
      </c>
      <c r="D46" s="1468">
        <f>IF(INPUT!C195="delphi",+INPUT!$F195*'Participation Splits'!D$2,0)</f>
        <v>0</v>
      </c>
      <c r="E46" s="1468">
        <f>IF(INPUT!D195="delphi",+INPUT!$F195*'Participation Splits'!E$2,0)</f>
        <v>0</v>
      </c>
      <c r="F46" s="1468">
        <f>IF(INPUT!E195="delphi",+INPUT!$F195*'Participation Splits'!F$2,0)</f>
        <v>0</v>
      </c>
      <c r="G46" s="1468">
        <f>IF(INPUT!F195="delphi",+INPUT!$F195*'Participation Splits'!G$2,0)</f>
        <v>0</v>
      </c>
      <c r="H46" s="1468">
        <f>IF(INPUT!G195="delphi",+INPUT!$F195*'Participation Splits'!H$2,0)</f>
        <v>0</v>
      </c>
      <c r="I46" s="1468">
        <f>IF(INPUT!H195="delphi",+INPUT!$F195*'Participation Splits'!I$2,0)</f>
        <v>0</v>
      </c>
      <c r="J46" s="1468">
        <f>IF(INPUT!I195="delphi",+INPUT!$F195*'Participation Splits'!J$2,0)</f>
        <v>0</v>
      </c>
      <c r="K46" s="1468">
        <f>IF(INPUT!J195="delphi",+INPUT!$F195*'Participation Splits'!K$2,0)</f>
        <v>0</v>
      </c>
      <c r="L46" s="1468">
        <f>IF(INPUT!K195="delphi",+INPUT!$F195*'Participation Splits'!L$2,0)</f>
        <v>0</v>
      </c>
      <c r="M46" s="1468">
        <f t="shared" si="3"/>
        <v>0</v>
      </c>
    </row>
    <row r="47" spans="1:13" ht="15.75" hidden="1" outlineLevel="1" thickBot="1">
      <c r="B47" t="str">
        <f t="shared" si="2"/>
        <v>Note B4</v>
      </c>
      <c r="C47" s="1468">
        <f>IF(INPUT!B196="delphi",+INPUT!$F196*'Participation Splits'!C$2,0)</f>
        <v>0</v>
      </c>
      <c r="D47" s="1468">
        <f>IF(INPUT!C196="delphi",+INPUT!$F196*'Participation Splits'!D$2,0)</f>
        <v>0</v>
      </c>
      <c r="E47" s="1468">
        <f>IF(INPUT!D196="delphi",+INPUT!$F196*'Participation Splits'!E$2,0)</f>
        <v>0</v>
      </c>
      <c r="F47" s="1468">
        <f>IF(INPUT!E196="delphi",+INPUT!$F196*'Participation Splits'!F$2,0)</f>
        <v>0</v>
      </c>
      <c r="G47" s="1468">
        <f>IF(INPUT!F196="delphi",+INPUT!$F196*'Participation Splits'!G$2,0)</f>
        <v>0</v>
      </c>
      <c r="H47" s="1468">
        <f>IF(INPUT!G196="delphi",+INPUT!$F196*'Participation Splits'!H$2,0)</f>
        <v>0</v>
      </c>
      <c r="I47" s="1468">
        <f>IF(INPUT!H196="delphi",+INPUT!$F196*'Participation Splits'!I$2,0)</f>
        <v>0</v>
      </c>
      <c r="J47" s="1468">
        <f>IF(INPUT!I196="delphi",+INPUT!$F196*'Participation Splits'!J$2,0)</f>
        <v>0</v>
      </c>
      <c r="K47" s="1468">
        <f>IF(INPUT!J196="delphi",+INPUT!$F196*'Participation Splits'!K$2,0)</f>
        <v>0</v>
      </c>
      <c r="L47" s="1468">
        <f>IF(INPUT!K196="delphi",+INPUT!$F196*'Participation Splits'!L$2,0)</f>
        <v>0</v>
      </c>
      <c r="M47" s="1468">
        <f t="shared" si="3"/>
        <v>0</v>
      </c>
    </row>
    <row r="48" spans="1:13" ht="15.75" hidden="1" outlineLevel="1" thickBot="1">
      <c r="B48" t="str">
        <f t="shared" si="2"/>
        <v>Mezz 4</v>
      </c>
      <c r="C48" s="1468">
        <f>IF(INPUT!B197="delphi",+INPUT!$F197*'Participation Splits'!C$2,0)</f>
        <v>0</v>
      </c>
      <c r="D48" s="1468">
        <f>IF(INPUT!C197="delphi",+INPUT!$F197*'Participation Splits'!D$2,0)</f>
        <v>0</v>
      </c>
      <c r="E48" s="1468">
        <f>IF(INPUT!D197="delphi",+INPUT!$F197*'Participation Splits'!E$2,0)</f>
        <v>0</v>
      </c>
      <c r="F48" s="1468">
        <f>IF(INPUT!E197="delphi",+INPUT!$F197*'Participation Splits'!F$2,0)</f>
        <v>0</v>
      </c>
      <c r="G48" s="1468">
        <f>IF(INPUT!F197="delphi",+INPUT!$F197*'Participation Splits'!G$2,0)</f>
        <v>0</v>
      </c>
      <c r="H48" s="1468">
        <f>IF(INPUT!G197="delphi",+INPUT!$F197*'Participation Splits'!H$2,0)</f>
        <v>0</v>
      </c>
      <c r="I48" s="1468">
        <f>IF(INPUT!H197="delphi",+INPUT!$F197*'Participation Splits'!I$2,0)</f>
        <v>0</v>
      </c>
      <c r="J48" s="1468">
        <f>IF(INPUT!I197="delphi",+INPUT!$F197*'Participation Splits'!J$2,0)</f>
        <v>0</v>
      </c>
      <c r="K48" s="1468">
        <f>IF(INPUT!J197="delphi",+INPUT!$F197*'Participation Splits'!K$2,0)</f>
        <v>0</v>
      </c>
      <c r="L48" s="1468">
        <f>IF(INPUT!K197="delphi",+INPUT!$F197*'Participation Splits'!L$2,0)</f>
        <v>0</v>
      </c>
      <c r="M48" s="1468">
        <f t="shared" si="3"/>
        <v>0</v>
      </c>
    </row>
    <row r="49" spans="2:13" ht="15.75" hidden="1" outlineLevel="1" thickBot="1">
      <c r="B49" t="str">
        <f t="shared" si="2"/>
        <v>Note A1-2</v>
      </c>
      <c r="C49" s="1468">
        <f>IF(INPUT!B198="delphi",+INPUT!$F198*'Participation Splits'!C$2,0)</f>
        <v>0</v>
      </c>
      <c r="D49" s="1468">
        <f>IF(INPUT!C198="delphi",+INPUT!$F198*'Participation Splits'!D$2,0)</f>
        <v>0</v>
      </c>
      <c r="E49" s="1468">
        <f>IF(INPUT!D198="delphi",+INPUT!$F198*'Participation Splits'!E$2,0)</f>
        <v>0</v>
      </c>
      <c r="F49" s="1468">
        <f>IF(INPUT!E198="delphi",+INPUT!$F198*'Participation Splits'!F$2,0)</f>
        <v>0</v>
      </c>
      <c r="G49" s="1468">
        <f>IF(INPUT!F198="delphi",+INPUT!$F198*'Participation Splits'!G$2,0)</f>
        <v>0</v>
      </c>
      <c r="H49" s="1468">
        <f>IF(INPUT!G198="delphi",+INPUT!$F198*'Participation Splits'!H$2,0)</f>
        <v>0</v>
      </c>
      <c r="I49" s="1468">
        <f>IF(INPUT!H198="delphi",+INPUT!$F198*'Participation Splits'!I$2,0)</f>
        <v>0</v>
      </c>
      <c r="J49" s="1468">
        <f>IF(INPUT!I198="delphi",+INPUT!$F198*'Participation Splits'!J$2,0)</f>
        <v>0</v>
      </c>
      <c r="K49" s="1468">
        <f>IF(INPUT!J198="delphi",+INPUT!$F198*'Participation Splits'!K$2,0)</f>
        <v>0</v>
      </c>
      <c r="L49" s="1468">
        <f>IF(INPUT!K198="delphi",+INPUT!$F198*'Participation Splits'!L$2,0)</f>
        <v>0</v>
      </c>
      <c r="M49" s="1468">
        <f t="shared" si="3"/>
        <v>0</v>
      </c>
    </row>
    <row r="50" spans="2:13" ht="15.75" hidden="1" outlineLevel="1" thickBot="1">
      <c r="B50" t="str">
        <f t="shared" si="2"/>
        <v>Note B1-2</v>
      </c>
      <c r="C50" s="1468">
        <f>IF(INPUT!B199="delphi",+INPUT!$F199*'Participation Splits'!C$2,0)</f>
        <v>0</v>
      </c>
      <c r="D50" s="1468">
        <f>IF(INPUT!C199="delphi",+INPUT!$F199*'Participation Splits'!D$2,0)</f>
        <v>0</v>
      </c>
      <c r="E50" s="1468">
        <f>IF(INPUT!D199="delphi",+INPUT!$F199*'Participation Splits'!E$2,0)</f>
        <v>0</v>
      </c>
      <c r="F50" s="1468">
        <f>IF(INPUT!E199="delphi",+INPUT!$F199*'Participation Splits'!F$2,0)</f>
        <v>0</v>
      </c>
      <c r="G50" s="1468">
        <f>IF(INPUT!F199="delphi",+INPUT!$F199*'Participation Splits'!G$2,0)</f>
        <v>0</v>
      </c>
      <c r="H50" s="1468">
        <f>IF(INPUT!G199="delphi",+INPUT!$F199*'Participation Splits'!H$2,0)</f>
        <v>0</v>
      </c>
      <c r="I50" s="1468">
        <f>IF(INPUT!H199="delphi",+INPUT!$F199*'Participation Splits'!I$2,0)</f>
        <v>0</v>
      </c>
      <c r="J50" s="1468">
        <f>IF(INPUT!I199="delphi",+INPUT!$F199*'Participation Splits'!J$2,0)</f>
        <v>0</v>
      </c>
      <c r="K50" s="1468">
        <f>IF(INPUT!J199="delphi",+INPUT!$F199*'Participation Splits'!K$2,0)</f>
        <v>0</v>
      </c>
      <c r="L50" s="1468">
        <f>IF(INPUT!K199="delphi",+INPUT!$F199*'Participation Splits'!L$2,0)</f>
        <v>0</v>
      </c>
      <c r="M50" s="1468">
        <f t="shared" si="3"/>
        <v>0</v>
      </c>
    </row>
    <row r="51" spans="2:13" ht="15.75" hidden="1" outlineLevel="1" thickBot="1">
      <c r="B51" t="str">
        <f t="shared" si="2"/>
        <v>Mezz 1-2</v>
      </c>
      <c r="C51" s="1468">
        <f>IF(INPUT!B200="delphi",+INPUT!$F200*'Participation Splits'!C$2,0)</f>
        <v>0</v>
      </c>
      <c r="D51" s="1468">
        <f>IF(INPUT!C200="delphi",+INPUT!$F200*'Participation Splits'!D$2,0)</f>
        <v>0</v>
      </c>
      <c r="E51" s="1468">
        <f>IF(INPUT!D200="delphi",+INPUT!$F200*'Participation Splits'!E$2,0)</f>
        <v>0</v>
      </c>
      <c r="F51" s="1468">
        <f>IF(INPUT!E200="delphi",+INPUT!$F200*'Participation Splits'!F$2,0)</f>
        <v>0</v>
      </c>
      <c r="G51" s="1468">
        <f>IF(INPUT!F200="delphi",+INPUT!$F200*'Participation Splits'!G$2,0)</f>
        <v>0</v>
      </c>
      <c r="H51" s="1468">
        <f>IF(INPUT!G200="delphi",+INPUT!$F200*'Participation Splits'!H$2,0)</f>
        <v>0</v>
      </c>
      <c r="I51" s="1468">
        <f>IF(INPUT!H200="delphi",+INPUT!$F200*'Participation Splits'!I$2,0)</f>
        <v>0</v>
      </c>
      <c r="J51" s="1468">
        <f>IF(INPUT!I200="delphi",+INPUT!$F200*'Participation Splits'!J$2,0)</f>
        <v>0</v>
      </c>
      <c r="K51" s="1468">
        <f>IF(INPUT!J200="delphi",+INPUT!$F200*'Participation Splits'!K$2,0)</f>
        <v>0</v>
      </c>
      <c r="L51" s="1468">
        <f>IF(INPUT!K200="delphi",+INPUT!$F200*'Participation Splits'!L$2,0)</f>
        <v>0</v>
      </c>
      <c r="M51" s="1468">
        <f t="shared" si="3"/>
        <v>0</v>
      </c>
    </row>
    <row r="52" spans="2:13" ht="15.75" hidden="1" outlineLevel="1" thickBot="1">
      <c r="B52">
        <f t="shared" si="2"/>
        <v>0</v>
      </c>
      <c r="C52" s="1468">
        <f>IF(INPUT!B201="delphi",+INPUT!$F201*'Participation Splits'!C$2,0)</f>
        <v>0</v>
      </c>
      <c r="D52" s="1468">
        <f>IF(INPUT!C201="delphi",+INPUT!$F201*'Participation Splits'!D$2,0)</f>
        <v>0</v>
      </c>
      <c r="E52" s="1468">
        <f>IF(INPUT!D201="delphi",+INPUT!$F201*'Participation Splits'!E$2,0)</f>
        <v>0</v>
      </c>
      <c r="F52" s="1468">
        <f>IF(INPUT!E201="delphi",+INPUT!$F201*'Participation Splits'!F$2,0)</f>
        <v>0</v>
      </c>
      <c r="G52" s="1468">
        <f>IF(INPUT!F201="delphi",+INPUT!$F201*'Participation Splits'!G$2,0)</f>
        <v>0</v>
      </c>
      <c r="H52" s="1468">
        <f>IF(INPUT!G201="delphi",+INPUT!$F201*'Participation Splits'!H$2,0)</f>
        <v>0</v>
      </c>
      <c r="I52" s="1468">
        <f>IF(INPUT!H201="delphi",+INPUT!$F201*'Participation Splits'!I$2,0)</f>
        <v>0</v>
      </c>
      <c r="J52" s="1468">
        <f>IF(INPUT!I201="delphi",+INPUT!$F201*'Participation Splits'!J$2,0)</f>
        <v>0</v>
      </c>
      <c r="K52" s="1468">
        <f>IF(INPUT!J201="delphi",+INPUT!$F201*'Participation Splits'!K$2,0)</f>
        <v>0</v>
      </c>
      <c r="L52" s="1468">
        <f>IF(INPUT!K201="delphi",+INPUT!$F201*'Participation Splits'!L$2,0)</f>
        <v>0</v>
      </c>
      <c r="M52" s="1468">
        <f t="shared" si="3"/>
        <v>0</v>
      </c>
    </row>
    <row r="53" spans="2:13" ht="15.75" hidden="1" outlineLevel="1" thickBot="1">
      <c r="B53">
        <f t="shared" si="2"/>
        <v>0</v>
      </c>
      <c r="C53" s="1468">
        <f>IF(INPUT!B202="delphi",+INPUT!$F202*'Participation Splits'!C$2,0)</f>
        <v>0</v>
      </c>
      <c r="D53" s="1468">
        <f>IF(INPUT!C202="delphi",+INPUT!$F202*'Participation Splits'!D$2,0)</f>
        <v>0</v>
      </c>
      <c r="E53" s="1468">
        <f>IF(INPUT!D202="delphi",+INPUT!$F202*'Participation Splits'!E$2,0)</f>
        <v>0</v>
      </c>
      <c r="F53" s="1468">
        <f>IF(INPUT!E202="delphi",+INPUT!$F202*'Participation Splits'!F$2,0)</f>
        <v>0</v>
      </c>
      <c r="G53" s="1468">
        <f>IF(INPUT!F202="delphi",+INPUT!$F202*'Participation Splits'!G$2,0)</f>
        <v>0</v>
      </c>
      <c r="H53" s="1468">
        <f>IF(INPUT!G202="delphi",+INPUT!$F202*'Participation Splits'!H$2,0)</f>
        <v>0</v>
      </c>
      <c r="I53" s="1468">
        <f>IF(INPUT!H202="delphi",+INPUT!$F202*'Participation Splits'!I$2,0)</f>
        <v>0</v>
      </c>
      <c r="J53" s="1468">
        <f>IF(INPUT!I202="delphi",+INPUT!$F202*'Participation Splits'!J$2,0)</f>
        <v>0</v>
      </c>
      <c r="K53" s="1468">
        <f>IF(INPUT!J202="delphi",+INPUT!$F202*'Participation Splits'!K$2,0)</f>
        <v>0</v>
      </c>
      <c r="L53" s="1468">
        <f>IF(INPUT!K202="delphi",+INPUT!$F202*'Participation Splits'!L$2,0)</f>
        <v>0</v>
      </c>
      <c r="M53" s="1468">
        <f t="shared" si="3"/>
        <v>0</v>
      </c>
    </row>
    <row r="54" spans="2:13" ht="15.75" hidden="1" outlineLevel="1" thickBot="1">
      <c r="B54">
        <f t="shared" si="2"/>
        <v>0</v>
      </c>
      <c r="C54" s="1468">
        <f>IF(INPUT!B203="delphi",+INPUT!$F203*'Participation Splits'!C$2,0)</f>
        <v>0</v>
      </c>
      <c r="D54" s="1468">
        <f>IF(INPUT!C203="delphi",+INPUT!$F203*'Participation Splits'!D$2,0)</f>
        <v>0</v>
      </c>
      <c r="E54" s="1468">
        <f>IF(INPUT!D203="delphi",+INPUT!$F203*'Participation Splits'!E$2,0)</f>
        <v>0</v>
      </c>
      <c r="F54" s="1468">
        <f>IF(INPUT!E203="delphi",+INPUT!$F203*'Participation Splits'!F$2,0)</f>
        <v>0</v>
      </c>
      <c r="G54" s="1468">
        <f>IF(INPUT!F203="delphi",+INPUT!$F203*'Participation Splits'!G$2,0)</f>
        <v>0</v>
      </c>
      <c r="H54" s="1468">
        <f>IF(INPUT!G203="delphi",+INPUT!$F203*'Participation Splits'!H$2,0)</f>
        <v>0</v>
      </c>
      <c r="I54" s="1468">
        <f>IF(INPUT!H203="delphi",+INPUT!$F203*'Participation Splits'!I$2,0)</f>
        <v>0</v>
      </c>
      <c r="J54" s="1468">
        <f>IF(INPUT!I203="delphi",+INPUT!$F203*'Participation Splits'!J$2,0)</f>
        <v>0</v>
      </c>
      <c r="K54" s="1468">
        <f>IF(INPUT!J203="delphi",+INPUT!$F203*'Participation Splits'!K$2,0)</f>
        <v>0</v>
      </c>
      <c r="L54" s="1468">
        <f>IF(INPUT!K203="delphi",+INPUT!$F203*'Participation Splits'!L$2,0)</f>
        <v>0</v>
      </c>
      <c r="M54" s="1468">
        <f t="shared" si="3"/>
        <v>0</v>
      </c>
    </row>
    <row r="55" spans="2:13" ht="15.75" hidden="1" outlineLevel="1" thickBot="1">
      <c r="B55">
        <f t="shared" si="2"/>
        <v>0</v>
      </c>
      <c r="C55" s="1468">
        <f>IF(INPUT!B204="delphi",+INPUT!$F204*'Participation Splits'!C$2,0)</f>
        <v>0</v>
      </c>
      <c r="D55" s="1468">
        <f>IF(INPUT!C204="delphi",+INPUT!$F204*'Participation Splits'!D$2,0)</f>
        <v>0</v>
      </c>
      <c r="E55" s="1468">
        <f>IF(INPUT!D204="delphi",+INPUT!$F204*'Participation Splits'!E$2,0)</f>
        <v>0</v>
      </c>
      <c r="F55" s="1468">
        <f>IF(INPUT!E204="delphi",+INPUT!$F204*'Participation Splits'!F$2,0)</f>
        <v>0</v>
      </c>
      <c r="G55" s="1468">
        <f>IF(INPUT!F204="delphi",+INPUT!$F204*'Participation Splits'!G$2,0)</f>
        <v>0</v>
      </c>
      <c r="H55" s="1468">
        <f>IF(INPUT!G204="delphi",+INPUT!$F204*'Participation Splits'!H$2,0)</f>
        <v>0</v>
      </c>
      <c r="I55" s="1468">
        <f>IF(INPUT!H204="delphi",+INPUT!$F204*'Participation Splits'!I$2,0)</f>
        <v>0</v>
      </c>
      <c r="J55" s="1468">
        <f>IF(INPUT!I204="delphi",+INPUT!$F204*'Participation Splits'!J$2,0)</f>
        <v>0</v>
      </c>
      <c r="K55" s="1468">
        <f>IF(INPUT!J204="delphi",+INPUT!$F204*'Participation Splits'!K$2,0)</f>
        <v>0</v>
      </c>
      <c r="L55" s="1468">
        <f>IF(INPUT!K204="delphi",+INPUT!$F204*'Participation Splits'!L$2,0)</f>
        <v>0</v>
      </c>
      <c r="M55" s="1468">
        <f t="shared" si="3"/>
        <v>0</v>
      </c>
    </row>
    <row r="56" spans="2:13" ht="15.75" hidden="1" outlineLevel="1" thickBot="1">
      <c r="B56">
        <f t="shared" si="2"/>
        <v>0</v>
      </c>
      <c r="C56" s="1468">
        <f>IF(INPUT!B205="delphi",+INPUT!$F205*'Participation Splits'!C$2,0)</f>
        <v>0</v>
      </c>
      <c r="D56" s="1468">
        <f>IF(INPUT!C205="delphi",+INPUT!$F205*'Participation Splits'!D$2,0)</f>
        <v>0</v>
      </c>
      <c r="E56" s="1468">
        <f>IF(INPUT!D205="delphi",+INPUT!$F205*'Participation Splits'!E$2,0)</f>
        <v>0</v>
      </c>
      <c r="F56" s="1468">
        <f>IF(INPUT!E205="delphi",+INPUT!$F205*'Participation Splits'!F$2,0)</f>
        <v>0</v>
      </c>
      <c r="G56" s="1468">
        <f>IF(INPUT!F205="delphi",+INPUT!$F205*'Participation Splits'!G$2,0)</f>
        <v>0</v>
      </c>
      <c r="H56" s="1468">
        <f>IF(INPUT!G205="delphi",+INPUT!$F205*'Participation Splits'!H$2,0)</f>
        <v>0</v>
      </c>
      <c r="I56" s="1468">
        <f>IF(INPUT!H205="delphi",+INPUT!$F205*'Participation Splits'!I$2,0)</f>
        <v>0</v>
      </c>
      <c r="J56" s="1468">
        <f>IF(INPUT!I205="delphi",+INPUT!$F205*'Participation Splits'!J$2,0)</f>
        <v>0</v>
      </c>
      <c r="K56" s="1468">
        <f>IF(INPUT!J205="delphi",+INPUT!$F205*'Participation Splits'!K$2,0)</f>
        <v>0</v>
      </c>
      <c r="L56" s="1468">
        <f>IF(INPUT!K205="delphi",+INPUT!$F205*'Participation Splits'!L$2,0)</f>
        <v>0</v>
      </c>
      <c r="M56" s="1468">
        <f t="shared" si="3"/>
        <v>0</v>
      </c>
    </row>
    <row r="57" spans="2:13" ht="15.75" hidden="1" outlineLevel="1" thickBot="1">
      <c r="B57">
        <f t="shared" si="2"/>
        <v>0</v>
      </c>
      <c r="C57" s="1468">
        <f>IF(INPUT!B206="delphi",+INPUT!$F206*'Participation Splits'!C$2,0)</f>
        <v>0</v>
      </c>
      <c r="D57" s="1468">
        <f>IF(INPUT!C206="delphi",+INPUT!$F206*'Participation Splits'!D$2,0)</f>
        <v>0</v>
      </c>
      <c r="E57" s="1468">
        <f>IF(INPUT!D206="delphi",+INPUT!$F206*'Participation Splits'!E$2,0)</f>
        <v>0</v>
      </c>
      <c r="F57" s="1468">
        <f>IF(INPUT!E206="delphi",+INPUT!$F206*'Participation Splits'!F$2,0)</f>
        <v>0</v>
      </c>
      <c r="G57" s="1468">
        <f>IF(INPUT!F206="delphi",+INPUT!$F206*'Participation Splits'!G$2,0)</f>
        <v>0</v>
      </c>
      <c r="H57" s="1468">
        <f>IF(INPUT!G206="delphi",+INPUT!$F206*'Participation Splits'!H$2,0)</f>
        <v>0</v>
      </c>
      <c r="I57" s="1468">
        <f>IF(INPUT!H206="delphi",+INPUT!$F206*'Participation Splits'!I$2,0)</f>
        <v>0</v>
      </c>
      <c r="J57" s="1468">
        <f>IF(INPUT!I206="delphi",+INPUT!$F206*'Participation Splits'!J$2,0)</f>
        <v>0</v>
      </c>
      <c r="K57" s="1468">
        <f>IF(INPUT!J206="delphi",+INPUT!$F206*'Participation Splits'!K$2,0)</f>
        <v>0</v>
      </c>
      <c r="L57" s="1468">
        <f>IF(INPUT!K206="delphi",+INPUT!$F206*'Participation Splits'!L$2,0)</f>
        <v>0</v>
      </c>
      <c r="M57" s="1468">
        <f t="shared" si="3"/>
        <v>0</v>
      </c>
    </row>
    <row r="58" spans="2:13" ht="15.75" hidden="1" outlineLevel="1" thickBot="1">
      <c r="B58">
        <f t="shared" si="2"/>
        <v>0</v>
      </c>
      <c r="C58" s="1468">
        <f>IF(INPUT!B207="delphi",+INPUT!$F207*'Participation Splits'!C$2,0)</f>
        <v>0</v>
      </c>
      <c r="D58" s="1468">
        <f>IF(INPUT!C207="delphi",+INPUT!$F207*'Participation Splits'!D$2,0)</f>
        <v>0</v>
      </c>
      <c r="E58" s="1468">
        <f>IF(INPUT!D207="delphi",+INPUT!$F207*'Participation Splits'!E$2,0)</f>
        <v>0</v>
      </c>
      <c r="F58" s="1468">
        <f>IF(INPUT!E207="delphi",+INPUT!$F207*'Participation Splits'!F$2,0)</f>
        <v>0</v>
      </c>
      <c r="G58" s="1468">
        <f>IF(INPUT!F207="delphi",+INPUT!$F207*'Participation Splits'!G$2,0)</f>
        <v>0</v>
      </c>
      <c r="H58" s="1468">
        <f>IF(INPUT!G207="delphi",+INPUT!$F207*'Participation Splits'!H$2,0)</f>
        <v>0</v>
      </c>
      <c r="I58" s="1468">
        <f>IF(INPUT!H207="delphi",+INPUT!$F207*'Participation Splits'!I$2,0)</f>
        <v>0</v>
      </c>
      <c r="J58" s="1468">
        <f>IF(INPUT!I207="delphi",+INPUT!$F207*'Participation Splits'!J$2,0)</f>
        <v>0</v>
      </c>
      <c r="K58" s="1468">
        <f>IF(INPUT!J207="delphi",+INPUT!$F207*'Participation Splits'!K$2,0)</f>
        <v>0</v>
      </c>
      <c r="L58" s="1468">
        <f>IF(INPUT!K207="delphi",+INPUT!$F207*'Participation Splits'!L$2,0)</f>
        <v>0</v>
      </c>
      <c r="M58" s="1468">
        <f t="shared" si="3"/>
        <v>0</v>
      </c>
    </row>
    <row r="59" spans="2:13" ht="15.75" hidden="1" outlineLevel="1" thickBot="1">
      <c r="B59">
        <f t="shared" si="2"/>
        <v>0</v>
      </c>
      <c r="C59" s="1468">
        <f>IF(INPUT!B208="delphi",+INPUT!$F208*'Participation Splits'!C$2,0)</f>
        <v>0</v>
      </c>
      <c r="D59" s="1468">
        <f>IF(INPUT!C208="delphi",+INPUT!$F208*'Participation Splits'!D$2,0)</f>
        <v>0</v>
      </c>
      <c r="E59" s="1468">
        <f>IF(INPUT!D208="delphi",+INPUT!$F208*'Participation Splits'!E$2,0)</f>
        <v>0</v>
      </c>
      <c r="F59" s="1468">
        <f>IF(INPUT!E208="delphi",+INPUT!$F208*'Participation Splits'!F$2,0)</f>
        <v>0</v>
      </c>
      <c r="G59" s="1468">
        <f>IF(INPUT!F208="delphi",+INPUT!$F208*'Participation Splits'!G$2,0)</f>
        <v>0</v>
      </c>
      <c r="H59" s="1468">
        <f>IF(INPUT!G208="delphi",+INPUT!$F208*'Participation Splits'!H$2,0)</f>
        <v>0</v>
      </c>
      <c r="I59" s="1468">
        <f>IF(INPUT!H208="delphi",+INPUT!$F208*'Participation Splits'!I$2,0)</f>
        <v>0</v>
      </c>
      <c r="J59" s="1468">
        <f>IF(INPUT!I208="delphi",+INPUT!$F208*'Participation Splits'!J$2,0)</f>
        <v>0</v>
      </c>
      <c r="K59" s="1468">
        <f>IF(INPUT!J208="delphi",+INPUT!$F208*'Participation Splits'!K$2,0)</f>
        <v>0</v>
      </c>
      <c r="L59" s="1468">
        <f>IF(INPUT!K208="delphi",+INPUT!$F208*'Participation Splits'!L$2,0)</f>
        <v>0</v>
      </c>
      <c r="M59" s="1468">
        <f t="shared" si="3"/>
        <v>0</v>
      </c>
    </row>
    <row r="60" spans="2:13" ht="15.75" hidden="1" outlineLevel="1" thickBot="1">
      <c r="B60">
        <f t="shared" si="2"/>
        <v>0</v>
      </c>
      <c r="C60" s="1468">
        <f>IF(INPUT!B209="delphi",+INPUT!$F209*'Participation Splits'!C$2,0)</f>
        <v>0</v>
      </c>
      <c r="D60" s="1468">
        <f>IF(INPUT!C209="delphi",+INPUT!$F209*'Participation Splits'!D$2,0)</f>
        <v>0</v>
      </c>
      <c r="E60" s="1468">
        <f>IF(INPUT!D209="delphi",+INPUT!$F209*'Participation Splits'!E$2,0)</f>
        <v>0</v>
      </c>
      <c r="F60" s="1468">
        <f>IF(INPUT!E209="delphi",+INPUT!$F209*'Participation Splits'!F$2,0)</f>
        <v>0</v>
      </c>
      <c r="G60" s="1468">
        <f>IF(INPUT!F209="delphi",+INPUT!$F209*'Participation Splits'!G$2,0)</f>
        <v>0</v>
      </c>
      <c r="H60" s="1468">
        <f>IF(INPUT!G209="delphi",+INPUT!$F209*'Participation Splits'!H$2,0)</f>
        <v>0</v>
      </c>
      <c r="I60" s="1468">
        <f>IF(INPUT!H209="delphi",+INPUT!$F209*'Participation Splits'!I$2,0)</f>
        <v>0</v>
      </c>
      <c r="J60" s="1468">
        <f>IF(INPUT!I209="delphi",+INPUT!$F209*'Participation Splits'!J$2,0)</f>
        <v>0</v>
      </c>
      <c r="K60" s="1468">
        <f>IF(INPUT!J209="delphi",+INPUT!$F209*'Participation Splits'!K$2,0)</f>
        <v>0</v>
      </c>
      <c r="L60" s="1468">
        <f>IF(INPUT!K209="delphi",+INPUT!$F209*'Participation Splits'!L$2,0)</f>
        <v>0</v>
      </c>
      <c r="M60" s="1468">
        <f t="shared" si="3"/>
        <v>0</v>
      </c>
    </row>
    <row r="61" spans="2:13" ht="15.75" hidden="1" outlineLevel="1" thickBot="1">
      <c r="B61">
        <f t="shared" si="2"/>
        <v>0</v>
      </c>
      <c r="C61" s="1468">
        <f>IF(INPUT!B210="delphi",+INPUT!$F210*'Participation Splits'!C$2,0)</f>
        <v>0</v>
      </c>
      <c r="D61" s="1468">
        <f>IF(INPUT!C210="delphi",+INPUT!$F210*'Participation Splits'!D$2,0)</f>
        <v>0</v>
      </c>
      <c r="E61" s="1468">
        <f>IF(INPUT!D210="delphi",+INPUT!$F210*'Participation Splits'!E$2,0)</f>
        <v>0</v>
      </c>
      <c r="F61" s="1468">
        <f>IF(INPUT!E210="delphi",+INPUT!$F210*'Participation Splits'!F$2,0)</f>
        <v>0</v>
      </c>
      <c r="G61" s="1468">
        <f>IF(INPUT!F210="delphi",+INPUT!$F210*'Participation Splits'!G$2,0)</f>
        <v>0</v>
      </c>
      <c r="H61" s="1468">
        <f>IF(INPUT!G210="delphi",+INPUT!$F210*'Participation Splits'!H$2,0)</f>
        <v>0</v>
      </c>
      <c r="I61" s="1468">
        <f>IF(INPUT!H210="delphi",+INPUT!$F210*'Participation Splits'!I$2,0)</f>
        <v>0</v>
      </c>
      <c r="J61" s="1468">
        <f>IF(INPUT!I210="delphi",+INPUT!$F210*'Participation Splits'!J$2,0)</f>
        <v>0</v>
      </c>
      <c r="K61" s="1468">
        <f>IF(INPUT!J210="delphi",+INPUT!$F210*'Participation Splits'!K$2,0)</f>
        <v>0</v>
      </c>
      <c r="L61" s="1468">
        <f>IF(INPUT!K210="delphi",+INPUT!$F210*'Participation Splits'!L$2,0)</f>
        <v>0</v>
      </c>
      <c r="M61" s="1468">
        <f t="shared" si="3"/>
        <v>0</v>
      </c>
    </row>
    <row r="62" spans="2:13" ht="15.75" hidden="1" outlineLevel="1" thickBot="1">
      <c r="B62">
        <f t="shared" si="2"/>
        <v>0</v>
      </c>
      <c r="C62" s="1468">
        <f>IF(INPUT!B211="delphi",+INPUT!$F211*'Participation Splits'!C$2,0)</f>
        <v>0</v>
      </c>
      <c r="D62" s="1468">
        <f>IF(INPUT!C211="delphi",+INPUT!$F211*'Participation Splits'!D$2,0)</f>
        <v>0</v>
      </c>
      <c r="E62" s="1468">
        <f>IF(INPUT!D211="delphi",+INPUT!$F211*'Participation Splits'!E$2,0)</f>
        <v>0</v>
      </c>
      <c r="F62" s="1468">
        <f>IF(INPUT!E211="delphi",+INPUT!$F211*'Participation Splits'!F$2,0)</f>
        <v>0</v>
      </c>
      <c r="G62" s="1468">
        <f>IF(INPUT!F211="delphi",+INPUT!$F211*'Participation Splits'!G$2,0)</f>
        <v>0</v>
      </c>
      <c r="H62" s="1468">
        <f>IF(INPUT!G211="delphi",+INPUT!$F211*'Participation Splits'!H$2,0)</f>
        <v>0</v>
      </c>
      <c r="I62" s="1468">
        <f>IF(INPUT!H211="delphi",+INPUT!$F211*'Participation Splits'!I$2,0)</f>
        <v>0</v>
      </c>
      <c r="J62" s="1468">
        <f>IF(INPUT!I211="delphi",+INPUT!$F211*'Participation Splits'!J$2,0)</f>
        <v>0</v>
      </c>
      <c r="K62" s="1468">
        <f>IF(INPUT!J211="delphi",+INPUT!$F211*'Participation Splits'!K$2,0)</f>
        <v>0</v>
      </c>
      <c r="L62" s="1468">
        <f>IF(INPUT!K211="delphi",+INPUT!$F211*'Participation Splits'!L$2,0)</f>
        <v>0</v>
      </c>
      <c r="M62" s="1468">
        <f t="shared" si="3"/>
        <v>0</v>
      </c>
    </row>
    <row r="63" spans="2:13" ht="15.75" hidden="1" outlineLevel="1" thickBot="1">
      <c r="B63">
        <f t="shared" si="2"/>
        <v>0</v>
      </c>
      <c r="C63" s="1468">
        <f>IF(INPUT!B212="delphi",+INPUT!$F212*'Participation Splits'!C$2,0)</f>
        <v>0</v>
      </c>
      <c r="D63" s="1468">
        <f>IF(INPUT!C212="delphi",+INPUT!$F212*'Participation Splits'!D$2,0)</f>
        <v>0</v>
      </c>
      <c r="E63" s="1468">
        <f>IF(INPUT!D212="delphi",+INPUT!$F212*'Participation Splits'!E$2,0)</f>
        <v>0</v>
      </c>
      <c r="F63" s="1468">
        <f>IF(INPUT!E212="delphi",+INPUT!$F212*'Participation Splits'!F$2,0)</f>
        <v>0</v>
      </c>
      <c r="G63" s="1468">
        <f>IF(INPUT!F212="delphi",+INPUT!$F212*'Participation Splits'!G$2,0)</f>
        <v>0</v>
      </c>
      <c r="H63" s="1468">
        <f>IF(INPUT!G212="delphi",+INPUT!$F212*'Participation Splits'!H$2,0)</f>
        <v>0</v>
      </c>
      <c r="I63" s="1468">
        <f>IF(INPUT!H212="delphi",+INPUT!$F212*'Participation Splits'!I$2,0)</f>
        <v>0</v>
      </c>
      <c r="J63" s="1468">
        <f>IF(INPUT!I212="delphi",+INPUT!$F212*'Participation Splits'!J$2,0)</f>
        <v>0</v>
      </c>
      <c r="K63" s="1468">
        <f>IF(INPUT!J212="delphi",+INPUT!$F212*'Participation Splits'!K$2,0)</f>
        <v>0</v>
      </c>
      <c r="L63" s="1468">
        <f>IF(INPUT!K212="delphi",+INPUT!$F212*'Participation Splits'!L$2,0)</f>
        <v>0</v>
      </c>
      <c r="M63" s="1468">
        <f t="shared" si="3"/>
        <v>0</v>
      </c>
    </row>
    <row r="64" spans="2:13" ht="15.75" hidden="1" outlineLevel="1" thickBot="1">
      <c r="B64">
        <f t="shared" si="2"/>
        <v>0</v>
      </c>
      <c r="C64" s="1468">
        <f>IF(INPUT!B213="delphi",+INPUT!$F213*'Participation Splits'!C$2,0)</f>
        <v>0</v>
      </c>
      <c r="D64" s="1468">
        <f>IF(INPUT!C213="delphi",+INPUT!$F213*'Participation Splits'!D$2,0)</f>
        <v>0</v>
      </c>
      <c r="E64" s="1468">
        <f>IF(INPUT!D213="delphi",+INPUT!$F213*'Participation Splits'!E$2,0)</f>
        <v>0</v>
      </c>
      <c r="F64" s="1468">
        <f>IF(INPUT!E213="delphi",+INPUT!$F213*'Participation Splits'!F$2,0)</f>
        <v>0</v>
      </c>
      <c r="G64" s="1468">
        <f>IF(INPUT!F213="delphi",+INPUT!$F213*'Participation Splits'!G$2,0)</f>
        <v>0</v>
      </c>
      <c r="H64" s="1468">
        <f>IF(INPUT!G213="delphi",+INPUT!$F213*'Participation Splits'!H$2,0)</f>
        <v>0</v>
      </c>
      <c r="I64" s="1468">
        <f>IF(INPUT!H213="delphi",+INPUT!$F213*'Participation Splits'!I$2,0)</f>
        <v>0</v>
      </c>
      <c r="J64" s="1468">
        <f>IF(INPUT!I213="delphi",+INPUT!$F213*'Participation Splits'!J$2,0)</f>
        <v>0</v>
      </c>
      <c r="K64" s="1468">
        <f>IF(INPUT!J213="delphi",+INPUT!$F213*'Participation Splits'!K$2,0)</f>
        <v>0</v>
      </c>
      <c r="L64" s="1468">
        <f>IF(INPUT!K213="delphi",+INPUT!$F213*'Participation Splits'!L$2,0)</f>
        <v>0</v>
      </c>
      <c r="M64" s="1468">
        <f t="shared" si="3"/>
        <v>0</v>
      </c>
    </row>
    <row r="65" spans="1:13" ht="15.75" hidden="1" outlineLevel="1" thickBot="1">
      <c r="B65">
        <f t="shared" si="2"/>
        <v>0</v>
      </c>
      <c r="C65" s="1468">
        <f>IF(INPUT!B214="delphi",+INPUT!$F214*'Participation Splits'!C$2,0)</f>
        <v>0</v>
      </c>
      <c r="D65" s="1468">
        <f>IF(INPUT!C214="delphi",+INPUT!$F214*'Participation Splits'!D$2,0)</f>
        <v>0</v>
      </c>
      <c r="E65" s="1468">
        <f>IF(INPUT!D214="delphi",+INPUT!$F214*'Participation Splits'!E$2,0)</f>
        <v>0</v>
      </c>
      <c r="F65" s="1468">
        <f>IF(INPUT!E214="delphi",+INPUT!$F214*'Participation Splits'!F$2,0)</f>
        <v>0</v>
      </c>
      <c r="G65" s="1468">
        <f>IF(INPUT!F214="delphi",+INPUT!$F214*'Participation Splits'!G$2,0)</f>
        <v>0</v>
      </c>
      <c r="H65" s="1468">
        <f>IF(INPUT!G214="delphi",+INPUT!$F214*'Participation Splits'!H$2,0)</f>
        <v>0</v>
      </c>
      <c r="I65" s="1468">
        <f>IF(INPUT!H214="delphi",+INPUT!$F214*'Participation Splits'!I$2,0)</f>
        <v>0</v>
      </c>
      <c r="J65" s="1468">
        <f>IF(INPUT!I214="delphi",+INPUT!$F214*'Participation Splits'!J$2,0)</f>
        <v>0</v>
      </c>
      <c r="K65" s="1468">
        <f>IF(INPUT!J214="delphi",+INPUT!$F214*'Participation Splits'!K$2,0)</f>
        <v>0</v>
      </c>
      <c r="L65" s="1468">
        <f>IF(INPUT!K214="delphi",+INPUT!$F214*'Participation Splits'!L$2,0)</f>
        <v>0</v>
      </c>
      <c r="M65" s="1468">
        <f t="shared" si="3"/>
        <v>0</v>
      </c>
    </row>
    <row r="66" spans="1:13" ht="15.75" hidden="1" outlineLevel="1" thickBot="1">
      <c r="B66">
        <f t="shared" si="2"/>
        <v>0</v>
      </c>
      <c r="C66" s="1468">
        <f>IF(INPUT!B215="delphi",+INPUT!$F215*'Participation Splits'!C$2,0)</f>
        <v>0</v>
      </c>
      <c r="D66" s="1468">
        <f>IF(INPUT!C215="delphi",+INPUT!$F215*'Participation Splits'!D$2,0)</f>
        <v>0</v>
      </c>
      <c r="E66" s="1468">
        <f>IF(INPUT!D215="delphi",+INPUT!$F215*'Participation Splits'!E$2,0)</f>
        <v>0</v>
      </c>
      <c r="F66" s="1468">
        <f>IF(INPUT!E215="delphi",+INPUT!$F215*'Participation Splits'!F$2,0)</f>
        <v>0</v>
      </c>
      <c r="G66" s="1468">
        <f>IF(INPUT!F215="delphi",+INPUT!$F215*'Participation Splits'!G$2,0)</f>
        <v>0</v>
      </c>
      <c r="H66" s="1468">
        <f>IF(INPUT!G215="delphi",+INPUT!$F215*'Participation Splits'!H$2,0)</f>
        <v>0</v>
      </c>
      <c r="I66" s="1468">
        <f>IF(INPUT!H215="delphi",+INPUT!$F215*'Participation Splits'!I$2,0)</f>
        <v>0</v>
      </c>
      <c r="J66" s="1468">
        <f>IF(INPUT!I215="delphi",+INPUT!$F215*'Participation Splits'!J$2,0)</f>
        <v>0</v>
      </c>
      <c r="K66" s="1468">
        <f>IF(INPUT!J215="delphi",+INPUT!$F215*'Participation Splits'!K$2,0)</f>
        <v>0</v>
      </c>
      <c r="L66" s="1468">
        <f>IF(INPUT!K215="delphi",+INPUT!$F215*'Participation Splits'!L$2,0)</f>
        <v>0</v>
      </c>
      <c r="M66" s="1468">
        <f t="shared" si="3"/>
        <v>0</v>
      </c>
    </row>
    <row r="67" spans="1:13" ht="15.75" collapsed="1" thickBot="1">
      <c r="C67" s="721">
        <f t="shared" ref="C67:L67" si="4">SUM(C37:C66)-(SUMIF($E$181:$E$210,"I.O. Strip",C37:C66))</f>
        <v>0</v>
      </c>
      <c r="D67" s="722">
        <f t="shared" si="4"/>
        <v>0</v>
      </c>
      <c r="E67" s="722">
        <f t="shared" si="4"/>
        <v>0</v>
      </c>
      <c r="F67" s="722">
        <f t="shared" si="4"/>
        <v>0</v>
      </c>
      <c r="G67" s="722">
        <f t="shared" si="4"/>
        <v>0</v>
      </c>
      <c r="H67" s="722">
        <f t="shared" si="4"/>
        <v>0</v>
      </c>
      <c r="I67" s="722">
        <f t="shared" si="4"/>
        <v>0</v>
      </c>
      <c r="J67" s="722">
        <f t="shared" si="4"/>
        <v>0</v>
      </c>
      <c r="K67" s="722">
        <f t="shared" si="4"/>
        <v>0</v>
      </c>
      <c r="L67" s="722">
        <f t="shared" si="4"/>
        <v>0</v>
      </c>
      <c r="M67" s="723">
        <f>SUM(C67:L67)</f>
        <v>0</v>
      </c>
    </row>
    <row r="69" spans="1:13" ht="15.75" thickBot="1"/>
    <row r="70" spans="1:13" ht="15.75" thickBot="1">
      <c r="A70" t="s">
        <v>546</v>
      </c>
      <c r="B70" t="str">
        <f>+B3</f>
        <v>Note A1</v>
      </c>
      <c r="C70" s="1468">
        <f>IF(INPUT!$B186="delphi",+INPUT!$H186*'Participation Splits'!C$2,0)</f>
        <v>0</v>
      </c>
      <c r="D70" s="1468">
        <f>IF(INPUT!$B186="delphi",+INPUT!$H186*'Participation Splits'!D$2,0)</f>
        <v>0</v>
      </c>
      <c r="E70" s="1468">
        <f>IF(INPUT!$B186="delphi",+INPUT!$H186*'Participation Splits'!E$2,0)</f>
        <v>0</v>
      </c>
      <c r="F70" s="1468">
        <f>IF(INPUT!$B186="delphi",+INPUT!$H186*'Participation Splits'!F$2,0)</f>
        <v>0</v>
      </c>
      <c r="G70" s="1468">
        <f>IF(INPUT!$B186="delphi",+INPUT!$H186*'Participation Splits'!G$2,0)</f>
        <v>0</v>
      </c>
      <c r="H70" s="1468">
        <f>IF(INPUT!$B186="delphi",+INPUT!$H186*'Participation Splits'!H$2,0)</f>
        <v>0</v>
      </c>
      <c r="I70" s="1468">
        <f>IF(INPUT!$B186="delphi",+INPUT!$H186*'Participation Splits'!I$2,0)</f>
        <v>0</v>
      </c>
      <c r="J70" s="1468">
        <f>IF(INPUT!$B186="delphi",+INPUT!$H186*'Participation Splits'!J$2,0)</f>
        <v>0</v>
      </c>
      <c r="K70" s="1468">
        <f>IF(INPUT!$B186="delphi",+INPUT!$H186*'Participation Splits'!K$2,0)</f>
        <v>0</v>
      </c>
      <c r="L70" s="1468">
        <f>IF(INPUT!$B186="delphi",+INPUT!$H186*'Participation Splits'!L$2,0)</f>
        <v>0</v>
      </c>
      <c r="M70" s="1468">
        <f>SUM(C70:L70)</f>
        <v>0</v>
      </c>
    </row>
    <row r="71" spans="1:13" ht="15.75" thickBot="1">
      <c r="B71" t="str">
        <f t="shared" ref="B71:B99" si="5">+B4</f>
        <v>Note B1</v>
      </c>
      <c r="C71" s="1468">
        <f>IF(INPUT!$B187="delphi",+INPUT!$H187*'Participation Splits'!C$2,0)</f>
        <v>0</v>
      </c>
      <c r="D71" s="1468">
        <f>IF(INPUT!$B187="delphi",+INPUT!$H187*'Participation Splits'!D$2,0)</f>
        <v>0</v>
      </c>
      <c r="E71" s="1468">
        <f>IF(INPUT!$B187="delphi",+INPUT!$H187*'Participation Splits'!E$2,0)</f>
        <v>0</v>
      </c>
      <c r="F71" s="1468">
        <f>IF(INPUT!$B187="delphi",+INPUT!$H187*'Participation Splits'!F$2,0)</f>
        <v>0</v>
      </c>
      <c r="G71" s="1468">
        <f>IF(INPUT!$B187="delphi",+INPUT!$H187*'Participation Splits'!G$2,0)</f>
        <v>0</v>
      </c>
      <c r="H71" s="1468">
        <f>IF(INPUT!$B187="delphi",+INPUT!$H187*'Participation Splits'!H$2,0)</f>
        <v>0</v>
      </c>
      <c r="I71" s="1468">
        <f>IF(INPUT!$B187="delphi",+INPUT!$H187*'Participation Splits'!I$2,0)</f>
        <v>0</v>
      </c>
      <c r="J71" s="1468">
        <f>IF(INPUT!$B187="delphi",+INPUT!$H187*'Participation Splits'!J$2,0)</f>
        <v>0</v>
      </c>
      <c r="K71" s="1468">
        <f>IF(INPUT!$B187="delphi",+INPUT!$H187*'Participation Splits'!K$2,0)</f>
        <v>0</v>
      </c>
      <c r="L71" s="1468">
        <f>IF(INPUT!$B187="delphi",+INPUT!$H187*'Participation Splits'!L$2,0)</f>
        <v>0</v>
      </c>
      <c r="M71" s="1468">
        <f t="shared" ref="M71:M99" si="6">SUM(C71:L71)</f>
        <v>0</v>
      </c>
    </row>
    <row r="72" spans="1:13" ht="15.75" thickBot="1">
      <c r="B72" t="str">
        <f t="shared" si="5"/>
        <v>Mezz 1</v>
      </c>
      <c r="C72" s="1468">
        <f>IF(INPUT!$B188="delphi",+INPUT!$H188*'Participation Splits'!C$2,0)</f>
        <v>0</v>
      </c>
      <c r="D72" s="1468">
        <f>IF(INPUT!$B188="delphi",+INPUT!$H188*'Participation Splits'!D$2,0)</f>
        <v>0</v>
      </c>
      <c r="E72" s="1468">
        <f>IF(INPUT!$B188="delphi",+INPUT!$H188*'Participation Splits'!E$2,0)</f>
        <v>0</v>
      </c>
      <c r="F72" s="1468">
        <f>IF(INPUT!$B188="delphi",+INPUT!$H188*'Participation Splits'!F$2,0)</f>
        <v>0</v>
      </c>
      <c r="G72" s="1468">
        <f>IF(INPUT!$B188="delphi",+INPUT!$H188*'Participation Splits'!G$2,0)</f>
        <v>0</v>
      </c>
      <c r="H72" s="1468">
        <f>IF(INPUT!$B188="delphi",+INPUT!$H188*'Participation Splits'!H$2,0)</f>
        <v>0</v>
      </c>
      <c r="I72" s="1468">
        <f>IF(INPUT!$B188="delphi",+INPUT!$H188*'Participation Splits'!I$2,0)</f>
        <v>0</v>
      </c>
      <c r="J72" s="1468">
        <f>IF(INPUT!$B188="delphi",+INPUT!$H188*'Participation Splits'!J$2,0)</f>
        <v>0</v>
      </c>
      <c r="K72" s="1468">
        <f>IF(INPUT!$B188="delphi",+INPUT!$H188*'Participation Splits'!K$2,0)</f>
        <v>0</v>
      </c>
      <c r="L72" s="1468">
        <f>IF(INPUT!$B188="delphi",+INPUT!$H188*'Participation Splits'!L$2,0)</f>
        <v>0</v>
      </c>
      <c r="M72" s="1468">
        <f t="shared" si="6"/>
        <v>0</v>
      </c>
    </row>
    <row r="73" spans="1:13" ht="15.75" thickBot="1">
      <c r="B73" t="str">
        <f t="shared" si="5"/>
        <v>Note A2</v>
      </c>
      <c r="C73" s="1468">
        <f>IF(INPUT!$B189="delphi",+INPUT!$H189*'Participation Splits'!C$2,0)</f>
        <v>0</v>
      </c>
      <c r="D73" s="1468">
        <f>IF(INPUT!$B189="delphi",+INPUT!$H189*'Participation Splits'!D$2,0)</f>
        <v>0</v>
      </c>
      <c r="E73" s="1468">
        <f>IF(INPUT!$B189="delphi",+INPUT!$H189*'Participation Splits'!E$2,0)</f>
        <v>0</v>
      </c>
      <c r="F73" s="1468">
        <f>IF(INPUT!$B189="delphi",+INPUT!$H189*'Participation Splits'!F$2,0)</f>
        <v>0</v>
      </c>
      <c r="G73" s="1468">
        <f>IF(INPUT!$B189="delphi",+INPUT!$H189*'Participation Splits'!G$2,0)</f>
        <v>0</v>
      </c>
      <c r="H73" s="1468">
        <f>IF(INPUT!$B189="delphi",+INPUT!$H189*'Participation Splits'!H$2,0)</f>
        <v>0</v>
      </c>
      <c r="I73" s="1468">
        <f>IF(INPUT!$B189="delphi",+INPUT!$H189*'Participation Splits'!I$2,0)</f>
        <v>0</v>
      </c>
      <c r="J73" s="1468">
        <f>IF(INPUT!$B189="delphi",+INPUT!$H189*'Participation Splits'!J$2,0)</f>
        <v>0</v>
      </c>
      <c r="K73" s="1468">
        <f>IF(INPUT!$B189="delphi",+INPUT!$H189*'Participation Splits'!K$2,0)</f>
        <v>0</v>
      </c>
      <c r="L73" s="1468">
        <f>IF(INPUT!$B189="delphi",+INPUT!$H189*'Participation Splits'!L$2,0)</f>
        <v>0</v>
      </c>
      <c r="M73" s="1468">
        <f t="shared" si="6"/>
        <v>0</v>
      </c>
    </row>
    <row r="74" spans="1:13" ht="15.75" thickBot="1">
      <c r="B74" t="str">
        <f t="shared" si="5"/>
        <v>Note B2</v>
      </c>
      <c r="C74" s="1468">
        <f>IF(INPUT!$B190="delphi",+INPUT!$H190*'Participation Splits'!C$2,0)</f>
        <v>0</v>
      </c>
      <c r="D74" s="1468">
        <f>IF(INPUT!$B190="delphi",+INPUT!$H190*'Participation Splits'!D$2,0)</f>
        <v>0</v>
      </c>
      <c r="E74" s="1468">
        <f>IF(INPUT!$B190="delphi",+INPUT!$H190*'Participation Splits'!E$2,0)</f>
        <v>0</v>
      </c>
      <c r="F74" s="1468">
        <f>IF(INPUT!$B190="delphi",+INPUT!$H190*'Participation Splits'!F$2,0)</f>
        <v>0</v>
      </c>
      <c r="G74" s="1468">
        <f>IF(INPUT!$B190="delphi",+INPUT!$H190*'Participation Splits'!G$2,0)</f>
        <v>0</v>
      </c>
      <c r="H74" s="1468">
        <f>IF(INPUT!$B190="delphi",+INPUT!$H190*'Participation Splits'!H$2,0)</f>
        <v>0</v>
      </c>
      <c r="I74" s="1468">
        <f>IF(INPUT!$B190="delphi",+INPUT!$H190*'Participation Splits'!I$2,0)</f>
        <v>0</v>
      </c>
      <c r="J74" s="1468">
        <f>IF(INPUT!$B190="delphi",+INPUT!$H190*'Participation Splits'!J$2,0)</f>
        <v>0</v>
      </c>
      <c r="K74" s="1468">
        <f>IF(INPUT!$B190="delphi",+INPUT!$H190*'Participation Splits'!K$2,0)</f>
        <v>0</v>
      </c>
      <c r="L74" s="1468">
        <f>IF(INPUT!$B190="delphi",+INPUT!$H190*'Participation Splits'!L$2,0)</f>
        <v>0</v>
      </c>
      <c r="M74" s="1468">
        <f t="shared" si="6"/>
        <v>0</v>
      </c>
    </row>
    <row r="75" spans="1:13" ht="15.75" thickBot="1">
      <c r="B75" t="str">
        <f t="shared" si="5"/>
        <v>Mezz 2</v>
      </c>
      <c r="C75" s="1468">
        <f>IF(INPUT!$B191="delphi",+INPUT!$H191*'Participation Splits'!C$2,0)</f>
        <v>0</v>
      </c>
      <c r="D75" s="1468">
        <f>IF(INPUT!$B191="delphi",+INPUT!$H191*'Participation Splits'!D$2,0)</f>
        <v>0</v>
      </c>
      <c r="E75" s="1468">
        <f>IF(INPUT!$B191="delphi",+INPUT!$H191*'Participation Splits'!E$2,0)</f>
        <v>0</v>
      </c>
      <c r="F75" s="1468">
        <f>IF(INPUT!$B191="delphi",+INPUT!$H191*'Participation Splits'!F$2,0)</f>
        <v>0</v>
      </c>
      <c r="G75" s="1468">
        <f>IF(INPUT!$B191="delphi",+INPUT!$H191*'Participation Splits'!G$2,0)</f>
        <v>0</v>
      </c>
      <c r="H75" s="1468">
        <f>IF(INPUT!$B191="delphi",+INPUT!$H191*'Participation Splits'!H$2,0)</f>
        <v>0</v>
      </c>
      <c r="I75" s="1468">
        <f>IF(INPUT!$B191="delphi",+INPUT!$H191*'Participation Splits'!I$2,0)</f>
        <v>0</v>
      </c>
      <c r="J75" s="1468">
        <f>IF(INPUT!$B191="delphi",+INPUT!$H191*'Participation Splits'!J$2,0)</f>
        <v>0</v>
      </c>
      <c r="K75" s="1468">
        <f>IF(INPUT!$B191="delphi",+INPUT!$H191*'Participation Splits'!K$2,0)</f>
        <v>0</v>
      </c>
      <c r="L75" s="1468">
        <f>IF(INPUT!$B191="delphi",+INPUT!$H191*'Participation Splits'!L$2,0)</f>
        <v>0</v>
      </c>
      <c r="M75" s="1468">
        <f t="shared" si="6"/>
        <v>0</v>
      </c>
    </row>
    <row r="76" spans="1:13" ht="15.75" thickBot="1">
      <c r="B76" t="str">
        <f t="shared" si="5"/>
        <v>Note A3</v>
      </c>
      <c r="C76" s="1468">
        <f>IF(INPUT!$B192="delphi",+INPUT!$H192*'Participation Splits'!C$2,0)</f>
        <v>0</v>
      </c>
      <c r="D76" s="1468">
        <f>IF(INPUT!$B192="delphi",+INPUT!$H192*'Participation Splits'!D$2,0)</f>
        <v>0</v>
      </c>
      <c r="E76" s="1468">
        <f>IF(INPUT!$B192="delphi",+INPUT!$H192*'Participation Splits'!E$2,0)</f>
        <v>0</v>
      </c>
      <c r="F76" s="1468">
        <f>IF(INPUT!$B192="delphi",+INPUT!$H192*'Participation Splits'!F$2,0)</f>
        <v>0</v>
      </c>
      <c r="G76" s="1468">
        <f>IF(INPUT!$B192="delphi",+INPUT!$H192*'Participation Splits'!G$2,0)</f>
        <v>0</v>
      </c>
      <c r="H76" s="1468">
        <f>IF(INPUT!$B192="delphi",+INPUT!$H192*'Participation Splits'!H$2,0)</f>
        <v>0</v>
      </c>
      <c r="I76" s="1468">
        <f>IF(INPUT!$B192="delphi",+INPUT!$H192*'Participation Splits'!I$2,0)</f>
        <v>0</v>
      </c>
      <c r="J76" s="1468">
        <f>IF(INPUT!$B192="delphi",+INPUT!$H192*'Participation Splits'!J$2,0)</f>
        <v>0</v>
      </c>
      <c r="K76" s="1468">
        <f>IF(INPUT!$B192="delphi",+INPUT!$H192*'Participation Splits'!K$2,0)</f>
        <v>0</v>
      </c>
      <c r="L76" s="1468">
        <f>IF(INPUT!$B192="delphi",+INPUT!$H192*'Participation Splits'!L$2,0)</f>
        <v>0</v>
      </c>
      <c r="M76" s="1468">
        <f t="shared" si="6"/>
        <v>0</v>
      </c>
    </row>
    <row r="77" spans="1:13" ht="15.75" thickBot="1">
      <c r="B77" t="str">
        <f t="shared" si="5"/>
        <v>Note B3</v>
      </c>
      <c r="C77" s="1468">
        <f>IF(INPUT!$B193="delphi",+INPUT!$H193*'Participation Splits'!C$2,0)</f>
        <v>0</v>
      </c>
      <c r="D77" s="1468">
        <f>IF(INPUT!$B193="delphi",+INPUT!$H193*'Participation Splits'!D$2,0)</f>
        <v>0</v>
      </c>
      <c r="E77" s="1468">
        <f>IF(INPUT!$B193="delphi",+INPUT!$H193*'Participation Splits'!E$2,0)</f>
        <v>0</v>
      </c>
      <c r="F77" s="1468">
        <f>IF(INPUT!$B193="delphi",+INPUT!$H193*'Participation Splits'!F$2,0)</f>
        <v>0</v>
      </c>
      <c r="G77" s="1468">
        <f>IF(INPUT!$B193="delphi",+INPUT!$H193*'Participation Splits'!G$2,0)</f>
        <v>0</v>
      </c>
      <c r="H77" s="1468">
        <f>IF(INPUT!$B193="delphi",+INPUT!$H193*'Participation Splits'!H$2,0)</f>
        <v>0</v>
      </c>
      <c r="I77" s="1468">
        <f>IF(INPUT!$B193="delphi",+INPUT!$H193*'Participation Splits'!I$2,0)</f>
        <v>0</v>
      </c>
      <c r="J77" s="1468">
        <f>IF(INPUT!$B193="delphi",+INPUT!$H193*'Participation Splits'!J$2,0)</f>
        <v>0</v>
      </c>
      <c r="K77" s="1468">
        <f>IF(INPUT!$B193="delphi",+INPUT!$H193*'Participation Splits'!K$2,0)</f>
        <v>0</v>
      </c>
      <c r="L77" s="1468">
        <f>IF(INPUT!$B193="delphi",+INPUT!$H193*'Participation Splits'!L$2,0)</f>
        <v>0</v>
      </c>
      <c r="M77" s="1468">
        <f t="shared" si="6"/>
        <v>0</v>
      </c>
    </row>
    <row r="78" spans="1:13" ht="15.75" thickBot="1">
      <c r="B78" t="str">
        <f t="shared" si="5"/>
        <v>Mezz 3</v>
      </c>
      <c r="C78" s="1468">
        <f>IF(INPUT!$B194="delphi",+INPUT!$H194*'Participation Splits'!C$2,0)</f>
        <v>0</v>
      </c>
      <c r="D78" s="1468">
        <f>IF(INPUT!$B194="delphi",+INPUT!$H194*'Participation Splits'!D$2,0)</f>
        <v>0</v>
      </c>
      <c r="E78" s="1468">
        <f>IF(INPUT!$B194="delphi",+INPUT!$H194*'Participation Splits'!E$2,0)</f>
        <v>0</v>
      </c>
      <c r="F78" s="1468">
        <f>IF(INPUT!$B194="delphi",+INPUT!$H194*'Participation Splits'!F$2,0)</f>
        <v>0</v>
      </c>
      <c r="G78" s="1468">
        <f>IF(INPUT!$B194="delphi",+INPUT!$H194*'Participation Splits'!G$2,0)</f>
        <v>0</v>
      </c>
      <c r="H78" s="1468">
        <f>IF(INPUT!$B194="delphi",+INPUT!$H194*'Participation Splits'!H$2,0)</f>
        <v>0</v>
      </c>
      <c r="I78" s="1468">
        <f>IF(INPUT!$B194="delphi",+INPUT!$H194*'Participation Splits'!I$2,0)</f>
        <v>0</v>
      </c>
      <c r="J78" s="1468">
        <f>IF(INPUT!$B194="delphi",+INPUT!$H194*'Participation Splits'!J$2,0)</f>
        <v>0</v>
      </c>
      <c r="K78" s="1468">
        <f>IF(INPUT!$B194="delphi",+INPUT!$H194*'Participation Splits'!K$2,0)</f>
        <v>0</v>
      </c>
      <c r="L78" s="1468">
        <f>IF(INPUT!$B194="delphi",+INPUT!$H194*'Participation Splits'!L$2,0)</f>
        <v>0</v>
      </c>
      <c r="M78" s="1468">
        <f t="shared" si="6"/>
        <v>0</v>
      </c>
    </row>
    <row r="79" spans="1:13" ht="15.75" hidden="1" outlineLevel="1" thickBot="1">
      <c r="B79" t="str">
        <f t="shared" si="5"/>
        <v>Note A4</v>
      </c>
      <c r="C79" s="1468">
        <f>IF(INPUT!B195="delphi",+INPUT!$H195*'Participation Splits'!C$2,0)</f>
        <v>0</v>
      </c>
      <c r="D79" s="1468">
        <f>IF(INPUT!C195="delphi",+INPUT!$H195*'Participation Splits'!D$2,0)</f>
        <v>0</v>
      </c>
      <c r="E79" s="1468">
        <f>IF(INPUT!D195="delphi",+INPUT!$H195*'Participation Splits'!E$2,0)</f>
        <v>0</v>
      </c>
      <c r="F79" s="1468">
        <f>IF(INPUT!E195="delphi",+INPUT!$H195*'Participation Splits'!F$2,0)</f>
        <v>0</v>
      </c>
      <c r="G79" s="1468">
        <f>IF(INPUT!F195="delphi",+INPUT!$H195*'Participation Splits'!G$2,0)</f>
        <v>0</v>
      </c>
      <c r="H79" s="1468">
        <f>IF(INPUT!G195="delphi",+INPUT!$H195*'Participation Splits'!H$2,0)</f>
        <v>0</v>
      </c>
      <c r="I79" s="1468">
        <f>IF(INPUT!H195="delphi",+INPUT!$H195*'Participation Splits'!I$2,0)</f>
        <v>0</v>
      </c>
      <c r="J79" s="1468">
        <f>IF(INPUT!I195="delphi",+INPUT!$H195*'Participation Splits'!J$2,0)</f>
        <v>0</v>
      </c>
      <c r="K79" s="1468">
        <f>IF(INPUT!J195="delphi",+INPUT!$H195*'Participation Splits'!K$2,0)</f>
        <v>0</v>
      </c>
      <c r="L79" s="1468">
        <f>IF(INPUT!K195="delphi",+INPUT!$H195*'Participation Splits'!L$2,0)</f>
        <v>0</v>
      </c>
      <c r="M79" s="1468">
        <f t="shared" si="6"/>
        <v>0</v>
      </c>
    </row>
    <row r="80" spans="1:13" ht="15.75" hidden="1" outlineLevel="1" thickBot="1">
      <c r="B80" t="str">
        <f t="shared" si="5"/>
        <v>Note B4</v>
      </c>
      <c r="C80" s="1468">
        <f>IF(INPUT!B196="delphi",+INPUT!$H196*'Participation Splits'!C$2,0)</f>
        <v>0</v>
      </c>
      <c r="D80" s="1468">
        <f>IF(INPUT!C196="delphi",+INPUT!$H196*'Participation Splits'!D$2,0)</f>
        <v>0</v>
      </c>
      <c r="E80" s="1468">
        <f>IF(INPUT!D196="delphi",+INPUT!$H196*'Participation Splits'!E$2,0)</f>
        <v>0</v>
      </c>
      <c r="F80" s="1468">
        <f>IF(INPUT!E196="delphi",+INPUT!$H196*'Participation Splits'!F$2,0)</f>
        <v>0</v>
      </c>
      <c r="G80" s="1468">
        <f>IF(INPUT!F196="delphi",+INPUT!$H196*'Participation Splits'!G$2,0)</f>
        <v>0</v>
      </c>
      <c r="H80" s="1468">
        <f>IF(INPUT!G196="delphi",+INPUT!$H196*'Participation Splits'!H$2,0)</f>
        <v>0</v>
      </c>
      <c r="I80" s="1468">
        <f>IF(INPUT!H196="delphi",+INPUT!$H196*'Participation Splits'!I$2,0)</f>
        <v>0</v>
      </c>
      <c r="J80" s="1468">
        <f>IF(INPUT!I196="delphi",+INPUT!$H196*'Participation Splits'!J$2,0)</f>
        <v>0</v>
      </c>
      <c r="K80" s="1468">
        <f>IF(INPUT!J196="delphi",+INPUT!$H196*'Participation Splits'!K$2,0)</f>
        <v>0</v>
      </c>
      <c r="L80" s="1468">
        <f>IF(INPUT!K196="delphi",+INPUT!$H196*'Participation Splits'!L$2,0)</f>
        <v>0</v>
      </c>
      <c r="M80" s="1468">
        <f t="shared" si="6"/>
        <v>0</v>
      </c>
    </row>
    <row r="81" spans="2:13" ht="15.75" hidden="1" outlineLevel="1" thickBot="1">
      <c r="B81" t="str">
        <f t="shared" si="5"/>
        <v>Mezz 4</v>
      </c>
      <c r="C81" s="1468">
        <f>IF(INPUT!B197="delphi",+INPUT!$H197*'Participation Splits'!C$2,0)</f>
        <v>0</v>
      </c>
      <c r="D81" s="1468">
        <f>IF(INPUT!C197="delphi",+INPUT!$H197*'Participation Splits'!D$2,0)</f>
        <v>0</v>
      </c>
      <c r="E81" s="1468">
        <f>IF(INPUT!D197="delphi",+INPUT!$H197*'Participation Splits'!E$2,0)</f>
        <v>0</v>
      </c>
      <c r="F81" s="1468">
        <f>IF(INPUT!E197="delphi",+INPUT!$H197*'Participation Splits'!F$2,0)</f>
        <v>0</v>
      </c>
      <c r="G81" s="1468">
        <f>IF(INPUT!F197="delphi",+INPUT!$H197*'Participation Splits'!G$2,0)</f>
        <v>0</v>
      </c>
      <c r="H81" s="1468">
        <f>IF(INPUT!G197="delphi",+INPUT!$H197*'Participation Splits'!H$2,0)</f>
        <v>0</v>
      </c>
      <c r="I81" s="1468">
        <f>IF(INPUT!H197="delphi",+INPUT!$H197*'Participation Splits'!I$2,0)</f>
        <v>0</v>
      </c>
      <c r="J81" s="1468">
        <f>IF(INPUT!I197="delphi",+INPUT!$H197*'Participation Splits'!J$2,0)</f>
        <v>0</v>
      </c>
      <c r="K81" s="1468">
        <f>IF(INPUT!J197="delphi",+INPUT!$H197*'Participation Splits'!K$2,0)</f>
        <v>0</v>
      </c>
      <c r="L81" s="1468">
        <f>IF(INPUT!K197="delphi",+INPUT!$H197*'Participation Splits'!L$2,0)</f>
        <v>0</v>
      </c>
      <c r="M81" s="1468">
        <f t="shared" si="6"/>
        <v>0</v>
      </c>
    </row>
    <row r="82" spans="2:13" ht="15.75" hidden="1" outlineLevel="1" thickBot="1">
      <c r="B82" t="str">
        <f t="shared" si="5"/>
        <v>Note A1-2</v>
      </c>
      <c r="C82" s="1468">
        <f>IF(INPUT!B198="delphi",+INPUT!$H198*'Participation Splits'!C$2,0)</f>
        <v>0</v>
      </c>
      <c r="D82" s="1468">
        <f>IF(INPUT!C198="delphi",+INPUT!$H198*'Participation Splits'!D$2,0)</f>
        <v>0</v>
      </c>
      <c r="E82" s="1468">
        <f>IF(INPUT!D198="delphi",+INPUT!$H198*'Participation Splits'!E$2,0)</f>
        <v>0</v>
      </c>
      <c r="F82" s="1468">
        <f>IF(INPUT!E198="delphi",+INPUT!$H198*'Participation Splits'!F$2,0)</f>
        <v>0</v>
      </c>
      <c r="G82" s="1468">
        <f>IF(INPUT!F198="delphi",+INPUT!$H198*'Participation Splits'!G$2,0)</f>
        <v>0</v>
      </c>
      <c r="H82" s="1468">
        <f>IF(INPUT!G198="delphi",+INPUT!$H198*'Participation Splits'!H$2,0)</f>
        <v>0</v>
      </c>
      <c r="I82" s="1468">
        <f>IF(INPUT!H198="delphi",+INPUT!$H198*'Participation Splits'!I$2,0)</f>
        <v>0</v>
      </c>
      <c r="J82" s="1468">
        <f>IF(INPUT!I198="delphi",+INPUT!$H198*'Participation Splits'!J$2,0)</f>
        <v>0</v>
      </c>
      <c r="K82" s="1468">
        <f>IF(INPUT!J198="delphi",+INPUT!$H198*'Participation Splits'!K$2,0)</f>
        <v>0</v>
      </c>
      <c r="L82" s="1468">
        <f>IF(INPUT!K198="delphi",+INPUT!$H198*'Participation Splits'!L$2,0)</f>
        <v>0</v>
      </c>
      <c r="M82" s="1468">
        <f t="shared" si="6"/>
        <v>0</v>
      </c>
    </row>
    <row r="83" spans="2:13" ht="15.75" hidden="1" outlineLevel="1" thickBot="1">
      <c r="B83" t="str">
        <f t="shared" si="5"/>
        <v>Note B1-2</v>
      </c>
      <c r="C83" s="1468">
        <f>IF(INPUT!B199="delphi",+INPUT!$H199*'Participation Splits'!C$2,0)</f>
        <v>0</v>
      </c>
      <c r="D83" s="1468">
        <f>IF(INPUT!C199="delphi",+INPUT!$H199*'Participation Splits'!D$2,0)</f>
        <v>0</v>
      </c>
      <c r="E83" s="1468">
        <f>IF(INPUT!D199="delphi",+INPUT!$H199*'Participation Splits'!E$2,0)</f>
        <v>0</v>
      </c>
      <c r="F83" s="1468">
        <f>IF(INPUT!E199="delphi",+INPUT!$H199*'Participation Splits'!F$2,0)</f>
        <v>0</v>
      </c>
      <c r="G83" s="1468">
        <f>IF(INPUT!F199="delphi",+INPUT!$H199*'Participation Splits'!G$2,0)</f>
        <v>0</v>
      </c>
      <c r="H83" s="1468">
        <f>IF(INPUT!G199="delphi",+INPUT!$H199*'Participation Splits'!H$2,0)</f>
        <v>0</v>
      </c>
      <c r="I83" s="1468">
        <f>IF(INPUT!H199="delphi",+INPUT!$H199*'Participation Splits'!I$2,0)</f>
        <v>0</v>
      </c>
      <c r="J83" s="1468">
        <f>IF(INPUT!I199="delphi",+INPUT!$H199*'Participation Splits'!J$2,0)</f>
        <v>0</v>
      </c>
      <c r="K83" s="1468">
        <f>IF(INPUT!J199="delphi",+INPUT!$H199*'Participation Splits'!K$2,0)</f>
        <v>0</v>
      </c>
      <c r="L83" s="1468">
        <f>IF(INPUT!K199="delphi",+INPUT!$H199*'Participation Splits'!L$2,0)</f>
        <v>0</v>
      </c>
      <c r="M83" s="1468">
        <f t="shared" si="6"/>
        <v>0</v>
      </c>
    </row>
    <row r="84" spans="2:13" ht="15.75" hidden="1" outlineLevel="1" thickBot="1">
      <c r="B84" t="str">
        <f t="shared" si="5"/>
        <v>Mezz 1-2</v>
      </c>
      <c r="C84" s="1468">
        <f>IF(INPUT!B200="delphi",+INPUT!$H200*'Participation Splits'!C$2,0)</f>
        <v>0</v>
      </c>
      <c r="D84" s="1468">
        <f>IF(INPUT!C200="delphi",+INPUT!$H200*'Participation Splits'!D$2,0)</f>
        <v>0</v>
      </c>
      <c r="E84" s="1468">
        <f>IF(INPUT!D200="delphi",+INPUT!$H200*'Participation Splits'!E$2,0)</f>
        <v>0</v>
      </c>
      <c r="F84" s="1468">
        <f>IF(INPUT!E200="delphi",+INPUT!$H200*'Participation Splits'!F$2,0)</f>
        <v>0</v>
      </c>
      <c r="G84" s="1468">
        <f>IF(INPUT!F200="delphi",+INPUT!$H200*'Participation Splits'!G$2,0)</f>
        <v>0</v>
      </c>
      <c r="H84" s="1468">
        <f>IF(INPUT!G200="delphi",+INPUT!$H200*'Participation Splits'!H$2,0)</f>
        <v>0</v>
      </c>
      <c r="I84" s="1468">
        <f>IF(INPUT!H200="delphi",+INPUT!$H200*'Participation Splits'!I$2,0)</f>
        <v>0</v>
      </c>
      <c r="J84" s="1468">
        <f>IF(INPUT!I200="delphi",+INPUT!$H200*'Participation Splits'!J$2,0)</f>
        <v>0</v>
      </c>
      <c r="K84" s="1468">
        <f>IF(INPUT!J200="delphi",+INPUT!$H200*'Participation Splits'!K$2,0)</f>
        <v>0</v>
      </c>
      <c r="L84" s="1468">
        <f>IF(INPUT!K200="delphi",+INPUT!$H200*'Participation Splits'!L$2,0)</f>
        <v>0</v>
      </c>
      <c r="M84" s="1468">
        <f t="shared" si="6"/>
        <v>0</v>
      </c>
    </row>
    <row r="85" spans="2:13" ht="15.75" hidden="1" outlineLevel="1" thickBot="1">
      <c r="B85">
        <f t="shared" si="5"/>
        <v>0</v>
      </c>
      <c r="C85" s="1468">
        <f>IF(INPUT!B201="delphi",+INPUT!$H201*'Participation Splits'!C$2,0)</f>
        <v>0</v>
      </c>
      <c r="D85" s="1468">
        <f>IF(INPUT!C201="delphi",+INPUT!$H201*'Participation Splits'!D$2,0)</f>
        <v>0</v>
      </c>
      <c r="E85" s="1468">
        <f>IF(INPUT!D201="delphi",+INPUT!$H201*'Participation Splits'!E$2,0)</f>
        <v>0</v>
      </c>
      <c r="F85" s="1468">
        <f>IF(INPUT!E201="delphi",+INPUT!$H201*'Participation Splits'!F$2,0)</f>
        <v>0</v>
      </c>
      <c r="G85" s="1468">
        <f>IF(INPUT!F201="delphi",+INPUT!$H201*'Participation Splits'!G$2,0)</f>
        <v>0</v>
      </c>
      <c r="H85" s="1468">
        <f>IF(INPUT!G201="delphi",+INPUT!$H201*'Participation Splits'!H$2,0)</f>
        <v>0</v>
      </c>
      <c r="I85" s="1468">
        <f>IF(INPUT!H201="delphi",+INPUT!$H201*'Participation Splits'!I$2,0)</f>
        <v>0</v>
      </c>
      <c r="J85" s="1468">
        <f>IF(INPUT!I201="delphi",+INPUT!$H201*'Participation Splits'!J$2,0)</f>
        <v>0</v>
      </c>
      <c r="K85" s="1468">
        <f>IF(INPUT!J201="delphi",+INPUT!$H201*'Participation Splits'!K$2,0)</f>
        <v>0</v>
      </c>
      <c r="L85" s="1468">
        <f>IF(INPUT!K201="delphi",+INPUT!$H201*'Participation Splits'!L$2,0)</f>
        <v>0</v>
      </c>
      <c r="M85" s="1468">
        <f t="shared" si="6"/>
        <v>0</v>
      </c>
    </row>
    <row r="86" spans="2:13" ht="15.75" hidden="1" outlineLevel="1" thickBot="1">
      <c r="B86">
        <f t="shared" si="5"/>
        <v>0</v>
      </c>
      <c r="C86" s="1468">
        <f>IF(INPUT!B202="delphi",+INPUT!$H202*'Participation Splits'!C$2,0)</f>
        <v>0</v>
      </c>
      <c r="D86" s="1468">
        <f>IF(INPUT!C202="delphi",+INPUT!$H202*'Participation Splits'!D$2,0)</f>
        <v>0</v>
      </c>
      <c r="E86" s="1468">
        <f>IF(INPUT!D202="delphi",+INPUT!$H202*'Participation Splits'!E$2,0)</f>
        <v>0</v>
      </c>
      <c r="F86" s="1468">
        <f>IF(INPUT!E202="delphi",+INPUT!$H202*'Participation Splits'!F$2,0)</f>
        <v>0</v>
      </c>
      <c r="G86" s="1468">
        <f>IF(INPUT!F202="delphi",+INPUT!$H202*'Participation Splits'!G$2,0)</f>
        <v>0</v>
      </c>
      <c r="H86" s="1468">
        <f>IF(INPUT!G202="delphi",+INPUT!$H202*'Participation Splits'!H$2,0)</f>
        <v>0</v>
      </c>
      <c r="I86" s="1468">
        <f>IF(INPUT!H202="delphi",+INPUT!$H202*'Participation Splits'!I$2,0)</f>
        <v>0</v>
      </c>
      <c r="J86" s="1468">
        <f>IF(INPUT!I202="delphi",+INPUT!$H202*'Participation Splits'!J$2,0)</f>
        <v>0</v>
      </c>
      <c r="K86" s="1468">
        <f>IF(INPUT!J202="delphi",+INPUT!$H202*'Participation Splits'!K$2,0)</f>
        <v>0</v>
      </c>
      <c r="L86" s="1468">
        <f>IF(INPUT!K202="delphi",+INPUT!$H202*'Participation Splits'!L$2,0)</f>
        <v>0</v>
      </c>
      <c r="M86" s="1468">
        <f t="shared" si="6"/>
        <v>0</v>
      </c>
    </row>
    <row r="87" spans="2:13" ht="15.75" hidden="1" outlineLevel="1" thickBot="1">
      <c r="B87">
        <f t="shared" si="5"/>
        <v>0</v>
      </c>
      <c r="C87" s="1468">
        <f>IF(INPUT!B203="delphi",+INPUT!$H203*'Participation Splits'!C$2,0)</f>
        <v>0</v>
      </c>
      <c r="D87" s="1468">
        <f>IF(INPUT!C203="delphi",+INPUT!$H203*'Participation Splits'!D$2,0)</f>
        <v>0</v>
      </c>
      <c r="E87" s="1468">
        <f>IF(INPUT!D203="delphi",+INPUT!$H203*'Participation Splits'!E$2,0)</f>
        <v>0</v>
      </c>
      <c r="F87" s="1468">
        <f>IF(INPUT!E203="delphi",+INPUT!$H203*'Participation Splits'!F$2,0)</f>
        <v>0</v>
      </c>
      <c r="G87" s="1468">
        <f>IF(INPUT!F203="delphi",+INPUT!$H203*'Participation Splits'!G$2,0)</f>
        <v>0</v>
      </c>
      <c r="H87" s="1468">
        <f>IF(INPUT!G203="delphi",+INPUT!$H203*'Participation Splits'!H$2,0)</f>
        <v>0</v>
      </c>
      <c r="I87" s="1468">
        <f>IF(INPUT!H203="delphi",+INPUT!$H203*'Participation Splits'!I$2,0)</f>
        <v>0</v>
      </c>
      <c r="J87" s="1468">
        <f>IF(INPUT!I203="delphi",+INPUT!$H203*'Participation Splits'!J$2,0)</f>
        <v>0</v>
      </c>
      <c r="K87" s="1468">
        <f>IF(INPUT!J203="delphi",+INPUT!$H203*'Participation Splits'!K$2,0)</f>
        <v>0</v>
      </c>
      <c r="L87" s="1468">
        <f>IF(INPUT!K203="delphi",+INPUT!$H203*'Participation Splits'!L$2,0)</f>
        <v>0</v>
      </c>
      <c r="M87" s="1468">
        <f t="shared" si="6"/>
        <v>0</v>
      </c>
    </row>
    <row r="88" spans="2:13" ht="15.75" hidden="1" outlineLevel="1" thickBot="1">
      <c r="B88">
        <f t="shared" si="5"/>
        <v>0</v>
      </c>
      <c r="C88" s="1468">
        <f>IF(INPUT!B204="delphi",+INPUT!$H204*'Participation Splits'!C$2,0)</f>
        <v>0</v>
      </c>
      <c r="D88" s="1468">
        <f>IF(INPUT!C204="delphi",+INPUT!$H204*'Participation Splits'!D$2,0)</f>
        <v>0</v>
      </c>
      <c r="E88" s="1468">
        <f>IF(INPUT!D204="delphi",+INPUT!$H204*'Participation Splits'!E$2,0)</f>
        <v>0</v>
      </c>
      <c r="F88" s="1468">
        <f>IF(INPUT!E204="delphi",+INPUT!$H204*'Participation Splits'!F$2,0)</f>
        <v>0</v>
      </c>
      <c r="G88" s="1468">
        <f>IF(INPUT!F204="delphi",+INPUT!$H204*'Participation Splits'!G$2,0)</f>
        <v>0</v>
      </c>
      <c r="H88" s="1468">
        <f>IF(INPUT!G204="delphi",+INPUT!$H204*'Participation Splits'!H$2,0)</f>
        <v>0</v>
      </c>
      <c r="I88" s="1468">
        <f>IF(INPUT!H204="delphi",+INPUT!$H204*'Participation Splits'!I$2,0)</f>
        <v>0</v>
      </c>
      <c r="J88" s="1468">
        <f>IF(INPUT!I204="delphi",+INPUT!$H204*'Participation Splits'!J$2,0)</f>
        <v>0</v>
      </c>
      <c r="K88" s="1468">
        <f>IF(INPUT!J204="delphi",+INPUT!$H204*'Participation Splits'!K$2,0)</f>
        <v>0</v>
      </c>
      <c r="L88" s="1468">
        <f>IF(INPUT!K204="delphi",+INPUT!$H204*'Participation Splits'!L$2,0)</f>
        <v>0</v>
      </c>
      <c r="M88" s="1468">
        <f t="shared" si="6"/>
        <v>0</v>
      </c>
    </row>
    <row r="89" spans="2:13" ht="15.75" hidden="1" outlineLevel="1" thickBot="1">
      <c r="B89">
        <f t="shared" si="5"/>
        <v>0</v>
      </c>
      <c r="C89" s="1468">
        <f>IF(INPUT!B205="delphi",+INPUT!$H205*'Participation Splits'!C$2,0)</f>
        <v>0</v>
      </c>
      <c r="D89" s="1468">
        <f>IF(INPUT!C205="delphi",+INPUT!$H205*'Participation Splits'!D$2,0)</f>
        <v>0</v>
      </c>
      <c r="E89" s="1468">
        <f>IF(INPUT!D205="delphi",+INPUT!$H205*'Participation Splits'!E$2,0)</f>
        <v>0</v>
      </c>
      <c r="F89" s="1468">
        <f>IF(INPUT!E205="delphi",+INPUT!$H205*'Participation Splits'!F$2,0)</f>
        <v>0</v>
      </c>
      <c r="G89" s="1468">
        <f>IF(INPUT!F205="delphi",+INPUT!$H205*'Participation Splits'!G$2,0)</f>
        <v>0</v>
      </c>
      <c r="H89" s="1468">
        <f>IF(INPUT!G205="delphi",+INPUT!$H205*'Participation Splits'!H$2,0)</f>
        <v>0</v>
      </c>
      <c r="I89" s="1468">
        <f>IF(INPUT!H205="delphi",+INPUT!$H205*'Participation Splits'!I$2,0)</f>
        <v>0</v>
      </c>
      <c r="J89" s="1468">
        <f>IF(INPUT!I205="delphi",+INPUT!$H205*'Participation Splits'!J$2,0)</f>
        <v>0</v>
      </c>
      <c r="K89" s="1468">
        <f>IF(INPUT!J205="delphi",+INPUT!$H205*'Participation Splits'!K$2,0)</f>
        <v>0</v>
      </c>
      <c r="L89" s="1468">
        <f>IF(INPUT!K205="delphi",+INPUT!$H205*'Participation Splits'!L$2,0)</f>
        <v>0</v>
      </c>
      <c r="M89" s="1468">
        <f t="shared" si="6"/>
        <v>0</v>
      </c>
    </row>
    <row r="90" spans="2:13" ht="15.75" hidden="1" outlineLevel="1" thickBot="1">
      <c r="B90">
        <f t="shared" si="5"/>
        <v>0</v>
      </c>
      <c r="C90" s="1468">
        <f>IF(INPUT!B206="delphi",+INPUT!$H206*'Participation Splits'!C$2,0)</f>
        <v>0</v>
      </c>
      <c r="D90" s="1468">
        <f>IF(INPUT!C206="delphi",+INPUT!$H206*'Participation Splits'!D$2,0)</f>
        <v>0</v>
      </c>
      <c r="E90" s="1468">
        <f>IF(INPUT!D206="delphi",+INPUT!$H206*'Participation Splits'!E$2,0)</f>
        <v>0</v>
      </c>
      <c r="F90" s="1468">
        <f>IF(INPUT!E206="delphi",+INPUT!$H206*'Participation Splits'!F$2,0)</f>
        <v>0</v>
      </c>
      <c r="G90" s="1468">
        <f>IF(INPUT!F206="delphi",+INPUT!$H206*'Participation Splits'!G$2,0)</f>
        <v>0</v>
      </c>
      <c r="H90" s="1468">
        <f>IF(INPUT!G206="delphi",+INPUT!$H206*'Participation Splits'!H$2,0)</f>
        <v>0</v>
      </c>
      <c r="I90" s="1468">
        <f>IF(INPUT!H206="delphi",+INPUT!$H206*'Participation Splits'!I$2,0)</f>
        <v>0</v>
      </c>
      <c r="J90" s="1468">
        <f>IF(INPUT!I206="delphi",+INPUT!$H206*'Participation Splits'!J$2,0)</f>
        <v>0</v>
      </c>
      <c r="K90" s="1468">
        <f>IF(INPUT!J206="delphi",+INPUT!$H206*'Participation Splits'!K$2,0)</f>
        <v>0</v>
      </c>
      <c r="L90" s="1468">
        <f>IF(INPUT!K206="delphi",+INPUT!$H206*'Participation Splits'!L$2,0)</f>
        <v>0</v>
      </c>
      <c r="M90" s="1468">
        <f t="shared" si="6"/>
        <v>0</v>
      </c>
    </row>
    <row r="91" spans="2:13" ht="15.75" hidden="1" outlineLevel="1" thickBot="1">
      <c r="B91">
        <f t="shared" si="5"/>
        <v>0</v>
      </c>
      <c r="C91" s="1468">
        <f>IF(INPUT!B207="delphi",+INPUT!$H207*'Participation Splits'!C$2,0)</f>
        <v>0</v>
      </c>
      <c r="D91" s="1468">
        <f>IF(INPUT!C207="delphi",+INPUT!$H207*'Participation Splits'!D$2,0)</f>
        <v>0</v>
      </c>
      <c r="E91" s="1468">
        <f>IF(INPUT!D207="delphi",+INPUT!$H207*'Participation Splits'!E$2,0)</f>
        <v>0</v>
      </c>
      <c r="F91" s="1468">
        <f>IF(INPUT!E207="delphi",+INPUT!$H207*'Participation Splits'!F$2,0)</f>
        <v>0</v>
      </c>
      <c r="G91" s="1468">
        <f>IF(INPUT!F207="delphi",+INPUT!$H207*'Participation Splits'!G$2,0)</f>
        <v>0</v>
      </c>
      <c r="H91" s="1468">
        <f>IF(INPUT!G207="delphi",+INPUT!$H207*'Participation Splits'!H$2,0)</f>
        <v>0</v>
      </c>
      <c r="I91" s="1468">
        <f>IF(INPUT!H207="delphi",+INPUT!$H207*'Participation Splits'!I$2,0)</f>
        <v>0</v>
      </c>
      <c r="J91" s="1468">
        <f>IF(INPUT!I207="delphi",+INPUT!$H207*'Participation Splits'!J$2,0)</f>
        <v>0</v>
      </c>
      <c r="K91" s="1468">
        <f>IF(INPUT!J207="delphi",+INPUT!$H207*'Participation Splits'!K$2,0)</f>
        <v>0</v>
      </c>
      <c r="L91" s="1468">
        <f>IF(INPUT!K207="delphi",+INPUT!$H207*'Participation Splits'!L$2,0)</f>
        <v>0</v>
      </c>
      <c r="M91" s="1468">
        <f t="shared" si="6"/>
        <v>0</v>
      </c>
    </row>
    <row r="92" spans="2:13" ht="15.75" hidden="1" outlineLevel="1" thickBot="1">
      <c r="B92">
        <f t="shared" si="5"/>
        <v>0</v>
      </c>
      <c r="C92" s="1468">
        <f>IF(INPUT!B208="delphi",+INPUT!$H208*'Participation Splits'!C$2,0)</f>
        <v>0</v>
      </c>
      <c r="D92" s="1468">
        <f>IF(INPUT!C208="delphi",+INPUT!$H208*'Participation Splits'!D$2,0)</f>
        <v>0</v>
      </c>
      <c r="E92" s="1468">
        <f>IF(INPUT!D208="delphi",+INPUT!$H208*'Participation Splits'!E$2,0)</f>
        <v>0</v>
      </c>
      <c r="F92" s="1468">
        <f>IF(INPUT!E208="delphi",+INPUT!$H208*'Participation Splits'!F$2,0)</f>
        <v>0</v>
      </c>
      <c r="G92" s="1468">
        <f>IF(INPUT!F208="delphi",+INPUT!$H208*'Participation Splits'!G$2,0)</f>
        <v>0</v>
      </c>
      <c r="H92" s="1468">
        <f>IF(INPUT!G208="delphi",+INPUT!$H208*'Participation Splits'!H$2,0)</f>
        <v>0</v>
      </c>
      <c r="I92" s="1468">
        <f>IF(INPUT!H208="delphi",+INPUT!$H208*'Participation Splits'!I$2,0)</f>
        <v>0</v>
      </c>
      <c r="J92" s="1468">
        <f>IF(INPUT!I208="delphi",+INPUT!$H208*'Participation Splits'!J$2,0)</f>
        <v>0</v>
      </c>
      <c r="K92" s="1468">
        <f>IF(INPUT!J208="delphi",+INPUT!$H208*'Participation Splits'!K$2,0)</f>
        <v>0</v>
      </c>
      <c r="L92" s="1468">
        <f>IF(INPUT!K208="delphi",+INPUT!$H208*'Participation Splits'!L$2,0)</f>
        <v>0</v>
      </c>
      <c r="M92" s="1468">
        <f t="shared" si="6"/>
        <v>0</v>
      </c>
    </row>
    <row r="93" spans="2:13" ht="15.75" hidden="1" outlineLevel="1" thickBot="1">
      <c r="B93">
        <f t="shared" si="5"/>
        <v>0</v>
      </c>
      <c r="C93" s="1468">
        <f>IF(INPUT!B209="delphi",+INPUT!$H209*'Participation Splits'!C$2,0)</f>
        <v>0</v>
      </c>
      <c r="D93" s="1468">
        <f>IF(INPUT!C209="delphi",+INPUT!$H209*'Participation Splits'!D$2,0)</f>
        <v>0</v>
      </c>
      <c r="E93" s="1468">
        <f>IF(INPUT!D209="delphi",+INPUT!$H209*'Participation Splits'!E$2,0)</f>
        <v>0</v>
      </c>
      <c r="F93" s="1468">
        <f>IF(INPUT!E209="delphi",+INPUT!$H209*'Participation Splits'!F$2,0)</f>
        <v>0</v>
      </c>
      <c r="G93" s="1468">
        <f>IF(INPUT!F209="delphi",+INPUT!$H209*'Participation Splits'!G$2,0)</f>
        <v>0</v>
      </c>
      <c r="H93" s="1468">
        <f>IF(INPUT!G209="delphi",+INPUT!$H209*'Participation Splits'!H$2,0)</f>
        <v>0</v>
      </c>
      <c r="I93" s="1468">
        <f>IF(INPUT!H209="delphi",+INPUT!$H209*'Participation Splits'!I$2,0)</f>
        <v>0</v>
      </c>
      <c r="J93" s="1468">
        <f>IF(INPUT!I209="delphi",+INPUT!$H209*'Participation Splits'!J$2,0)</f>
        <v>0</v>
      </c>
      <c r="K93" s="1468">
        <f>IF(INPUT!J209="delphi",+INPUT!$H209*'Participation Splits'!K$2,0)</f>
        <v>0</v>
      </c>
      <c r="L93" s="1468">
        <f>IF(INPUT!K209="delphi",+INPUT!$H209*'Participation Splits'!L$2,0)</f>
        <v>0</v>
      </c>
      <c r="M93" s="1468">
        <f t="shared" si="6"/>
        <v>0</v>
      </c>
    </row>
    <row r="94" spans="2:13" ht="15.75" hidden="1" outlineLevel="1" thickBot="1">
      <c r="B94">
        <f t="shared" si="5"/>
        <v>0</v>
      </c>
      <c r="C94" s="1468">
        <f>IF(INPUT!B210="delphi",+INPUT!$H210*'Participation Splits'!C$2,0)</f>
        <v>0</v>
      </c>
      <c r="D94" s="1468">
        <f>IF(INPUT!C210="delphi",+INPUT!$H210*'Participation Splits'!D$2,0)</f>
        <v>0</v>
      </c>
      <c r="E94" s="1468">
        <f>IF(INPUT!D210="delphi",+INPUT!$H210*'Participation Splits'!E$2,0)</f>
        <v>0</v>
      </c>
      <c r="F94" s="1468">
        <f>IF(INPUT!E210="delphi",+INPUT!$H210*'Participation Splits'!F$2,0)</f>
        <v>0</v>
      </c>
      <c r="G94" s="1468">
        <f>IF(INPUT!F210="delphi",+INPUT!$H210*'Participation Splits'!G$2,0)</f>
        <v>0</v>
      </c>
      <c r="H94" s="1468">
        <f>IF(INPUT!G210="delphi",+INPUT!$H210*'Participation Splits'!H$2,0)</f>
        <v>0</v>
      </c>
      <c r="I94" s="1468">
        <f>IF(INPUT!H210="delphi",+INPUT!$H210*'Participation Splits'!I$2,0)</f>
        <v>0</v>
      </c>
      <c r="J94" s="1468">
        <f>IF(INPUT!I210="delphi",+INPUT!$H210*'Participation Splits'!J$2,0)</f>
        <v>0</v>
      </c>
      <c r="K94" s="1468">
        <f>IF(INPUT!J210="delphi",+INPUT!$H210*'Participation Splits'!K$2,0)</f>
        <v>0</v>
      </c>
      <c r="L94" s="1468">
        <f>IF(INPUT!K210="delphi",+INPUT!$H210*'Participation Splits'!L$2,0)</f>
        <v>0</v>
      </c>
      <c r="M94" s="1468">
        <f t="shared" si="6"/>
        <v>0</v>
      </c>
    </row>
    <row r="95" spans="2:13" ht="15.75" hidden="1" outlineLevel="1" thickBot="1">
      <c r="B95">
        <f t="shared" si="5"/>
        <v>0</v>
      </c>
      <c r="C95" s="1468">
        <f>IF(INPUT!B211="delphi",+INPUT!$H211*'Participation Splits'!C$2,0)</f>
        <v>0</v>
      </c>
      <c r="D95" s="1468">
        <f>IF(INPUT!C211="delphi",+INPUT!$H211*'Participation Splits'!D$2,0)</f>
        <v>0</v>
      </c>
      <c r="E95" s="1468">
        <f>IF(INPUT!D211="delphi",+INPUT!$H211*'Participation Splits'!E$2,0)</f>
        <v>0</v>
      </c>
      <c r="F95" s="1468">
        <f>IF(INPUT!E211="delphi",+INPUT!$H211*'Participation Splits'!F$2,0)</f>
        <v>0</v>
      </c>
      <c r="G95" s="1468">
        <f>IF(INPUT!F211="delphi",+INPUT!$H211*'Participation Splits'!G$2,0)</f>
        <v>0</v>
      </c>
      <c r="H95" s="1468">
        <f>IF(INPUT!G211="delphi",+INPUT!$H211*'Participation Splits'!H$2,0)</f>
        <v>0</v>
      </c>
      <c r="I95" s="1468">
        <f>IF(INPUT!H211="delphi",+INPUT!$H211*'Participation Splits'!I$2,0)</f>
        <v>0</v>
      </c>
      <c r="J95" s="1468">
        <f>IF(INPUT!I211="delphi",+INPUT!$H211*'Participation Splits'!J$2,0)</f>
        <v>0</v>
      </c>
      <c r="K95" s="1468">
        <f>IF(INPUT!J211="delphi",+INPUT!$H211*'Participation Splits'!K$2,0)</f>
        <v>0</v>
      </c>
      <c r="L95" s="1468">
        <f>IF(INPUT!K211="delphi",+INPUT!$H211*'Participation Splits'!L$2,0)</f>
        <v>0</v>
      </c>
      <c r="M95" s="1468">
        <f t="shared" si="6"/>
        <v>0</v>
      </c>
    </row>
    <row r="96" spans="2:13" ht="15.75" hidden="1" outlineLevel="1" thickBot="1">
      <c r="B96">
        <f t="shared" si="5"/>
        <v>0</v>
      </c>
      <c r="C96" s="1468">
        <f>IF(INPUT!B212="delphi",+INPUT!$H212*'Participation Splits'!C$2,0)</f>
        <v>0</v>
      </c>
      <c r="D96" s="1468">
        <f>IF(INPUT!C212="delphi",+INPUT!$H212*'Participation Splits'!D$2,0)</f>
        <v>0</v>
      </c>
      <c r="E96" s="1468">
        <f>IF(INPUT!D212="delphi",+INPUT!$H212*'Participation Splits'!E$2,0)</f>
        <v>0</v>
      </c>
      <c r="F96" s="1468">
        <f>IF(INPUT!E212="delphi",+INPUT!$H212*'Participation Splits'!F$2,0)</f>
        <v>0</v>
      </c>
      <c r="G96" s="1468">
        <f>IF(INPUT!F212="delphi",+INPUT!$H212*'Participation Splits'!G$2,0)</f>
        <v>0</v>
      </c>
      <c r="H96" s="1468">
        <f>IF(INPUT!G212="delphi",+INPUT!$H212*'Participation Splits'!H$2,0)</f>
        <v>0</v>
      </c>
      <c r="I96" s="1468">
        <f>IF(INPUT!H212="delphi",+INPUT!$H212*'Participation Splits'!I$2,0)</f>
        <v>0</v>
      </c>
      <c r="J96" s="1468">
        <f>IF(INPUT!I212="delphi",+INPUT!$H212*'Participation Splits'!J$2,0)</f>
        <v>0</v>
      </c>
      <c r="K96" s="1468">
        <f>IF(INPUT!J212="delphi",+INPUT!$H212*'Participation Splits'!K$2,0)</f>
        <v>0</v>
      </c>
      <c r="L96" s="1468">
        <f>IF(INPUT!K212="delphi",+INPUT!$H212*'Participation Splits'!L$2,0)</f>
        <v>0</v>
      </c>
      <c r="M96" s="1468">
        <f t="shared" si="6"/>
        <v>0</v>
      </c>
    </row>
    <row r="97" spans="2:13" ht="15.75" hidden="1" outlineLevel="1" thickBot="1">
      <c r="B97">
        <f t="shared" si="5"/>
        <v>0</v>
      </c>
      <c r="C97" s="1468">
        <f>IF(INPUT!B213="delphi",+INPUT!$H213*'Participation Splits'!C$2,0)</f>
        <v>0</v>
      </c>
      <c r="D97" s="1468">
        <f>IF(INPUT!C213="delphi",+INPUT!$H213*'Participation Splits'!D$2,0)</f>
        <v>0</v>
      </c>
      <c r="E97" s="1468">
        <f>IF(INPUT!D213="delphi",+INPUT!$H213*'Participation Splits'!E$2,0)</f>
        <v>0</v>
      </c>
      <c r="F97" s="1468">
        <f>IF(INPUT!E213="delphi",+INPUT!$H213*'Participation Splits'!F$2,0)</f>
        <v>0</v>
      </c>
      <c r="G97" s="1468">
        <f>IF(INPUT!F213="delphi",+INPUT!$H213*'Participation Splits'!G$2,0)</f>
        <v>0</v>
      </c>
      <c r="H97" s="1468">
        <f>IF(INPUT!G213="delphi",+INPUT!$H213*'Participation Splits'!H$2,0)</f>
        <v>0</v>
      </c>
      <c r="I97" s="1468">
        <f>IF(INPUT!H213="delphi",+INPUT!$H213*'Participation Splits'!I$2,0)</f>
        <v>0</v>
      </c>
      <c r="J97" s="1468">
        <f>IF(INPUT!I213="delphi",+INPUT!$H213*'Participation Splits'!J$2,0)</f>
        <v>0</v>
      </c>
      <c r="K97" s="1468">
        <f>IF(INPUT!J213="delphi",+INPUT!$H213*'Participation Splits'!K$2,0)</f>
        <v>0</v>
      </c>
      <c r="L97" s="1468">
        <f>IF(INPUT!K213="delphi",+INPUT!$H213*'Participation Splits'!L$2,0)</f>
        <v>0</v>
      </c>
      <c r="M97" s="1468">
        <f t="shared" si="6"/>
        <v>0</v>
      </c>
    </row>
    <row r="98" spans="2:13" ht="15.75" hidden="1" outlineLevel="1" thickBot="1">
      <c r="B98">
        <f t="shared" si="5"/>
        <v>0</v>
      </c>
      <c r="C98" s="1468">
        <f>IF(INPUT!B214="delphi",+INPUT!$H214*'Participation Splits'!C$2,0)</f>
        <v>0</v>
      </c>
      <c r="D98" s="1468">
        <f>IF(INPUT!C214="delphi",+INPUT!$H214*'Participation Splits'!D$2,0)</f>
        <v>0</v>
      </c>
      <c r="E98" s="1468">
        <f>IF(INPUT!D214="delphi",+INPUT!$H214*'Participation Splits'!E$2,0)</f>
        <v>0</v>
      </c>
      <c r="F98" s="1468">
        <f>IF(INPUT!E214="delphi",+INPUT!$H214*'Participation Splits'!F$2,0)</f>
        <v>0</v>
      </c>
      <c r="G98" s="1468">
        <f>IF(INPUT!F214="delphi",+INPUT!$H214*'Participation Splits'!G$2,0)</f>
        <v>0</v>
      </c>
      <c r="H98" s="1468">
        <f>IF(INPUT!G214="delphi",+INPUT!$H214*'Participation Splits'!H$2,0)</f>
        <v>0</v>
      </c>
      <c r="I98" s="1468">
        <f>IF(INPUT!H214="delphi",+INPUT!$H214*'Participation Splits'!I$2,0)</f>
        <v>0</v>
      </c>
      <c r="J98" s="1468">
        <f>IF(INPUT!I214="delphi",+INPUT!$H214*'Participation Splits'!J$2,0)</f>
        <v>0</v>
      </c>
      <c r="K98" s="1468">
        <f>IF(INPUT!J214="delphi",+INPUT!$H214*'Participation Splits'!K$2,0)</f>
        <v>0</v>
      </c>
      <c r="L98" s="1468">
        <f>IF(INPUT!K214="delphi",+INPUT!$H214*'Participation Splits'!L$2,0)</f>
        <v>0</v>
      </c>
      <c r="M98" s="1468">
        <f t="shared" si="6"/>
        <v>0</v>
      </c>
    </row>
    <row r="99" spans="2:13" ht="15.75" hidden="1" outlineLevel="1" thickBot="1">
      <c r="B99">
        <f t="shared" si="5"/>
        <v>0</v>
      </c>
      <c r="C99" s="1468">
        <f>IF(INPUT!B215="delphi",+INPUT!$H215*'Participation Splits'!C$2,0)</f>
        <v>0</v>
      </c>
      <c r="D99" s="1468">
        <f>IF(INPUT!C215="delphi",+INPUT!$H215*'Participation Splits'!D$2,0)</f>
        <v>0</v>
      </c>
      <c r="E99" s="1468">
        <f>IF(INPUT!D215="delphi",+INPUT!$H215*'Participation Splits'!E$2,0)</f>
        <v>0</v>
      </c>
      <c r="F99" s="1468">
        <f>IF(INPUT!E215="delphi",+INPUT!$H215*'Participation Splits'!F$2,0)</f>
        <v>0</v>
      </c>
      <c r="G99" s="1468">
        <f>IF(INPUT!F215="delphi",+INPUT!$H215*'Participation Splits'!G$2,0)</f>
        <v>0</v>
      </c>
      <c r="H99" s="1468">
        <f>IF(INPUT!G215="delphi",+INPUT!$H215*'Participation Splits'!H$2,0)</f>
        <v>0</v>
      </c>
      <c r="I99" s="1468">
        <f>IF(INPUT!H215="delphi",+INPUT!$H215*'Participation Splits'!I$2,0)</f>
        <v>0</v>
      </c>
      <c r="J99" s="1468">
        <f>IF(INPUT!I215="delphi",+INPUT!$H215*'Participation Splits'!J$2,0)</f>
        <v>0</v>
      </c>
      <c r="K99" s="1468">
        <f>IF(INPUT!J215="delphi",+INPUT!$H215*'Participation Splits'!K$2,0)</f>
        <v>0</v>
      </c>
      <c r="L99" s="1468">
        <f>IF(INPUT!K215="delphi",+INPUT!$H215*'Participation Splits'!L$2,0)</f>
        <v>0</v>
      </c>
      <c r="M99" s="1468">
        <f t="shared" si="6"/>
        <v>0</v>
      </c>
    </row>
    <row r="100" spans="2:13" ht="15.75" collapsed="1" thickBot="1">
      <c r="C100" s="721">
        <f t="shared" ref="C100:L100" si="7">SUM(C70:C99)-(SUMIF($E$181:$E$210,"I.O. Strip",C70:C99))</f>
        <v>0</v>
      </c>
      <c r="D100" s="722">
        <f t="shared" si="7"/>
        <v>0</v>
      </c>
      <c r="E100" s="722">
        <f t="shared" si="7"/>
        <v>0</v>
      </c>
      <c r="F100" s="722">
        <f t="shared" si="7"/>
        <v>0</v>
      </c>
      <c r="G100" s="722">
        <f t="shared" si="7"/>
        <v>0</v>
      </c>
      <c r="H100" s="722">
        <f t="shared" si="7"/>
        <v>0</v>
      </c>
      <c r="I100" s="722">
        <f t="shared" si="7"/>
        <v>0</v>
      </c>
      <c r="J100" s="722">
        <f t="shared" si="7"/>
        <v>0</v>
      </c>
      <c r="K100" s="722">
        <f t="shared" si="7"/>
        <v>0</v>
      </c>
      <c r="L100" s="722">
        <f t="shared" si="7"/>
        <v>0</v>
      </c>
      <c r="M100" s="723">
        <f>SUM(C100:L100)</f>
        <v>0</v>
      </c>
    </row>
    <row r="102" spans="2:13">
      <c r="M102" s="504">
        <f>+M67+M100</f>
        <v>0</v>
      </c>
    </row>
    <row r="103" spans="2:13">
      <c r="M103" s="504">
        <f>+M33-M102</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5" tint="0.39997558519241921"/>
    <pageSetUpPr fitToPage="1"/>
  </sheetPr>
  <dimension ref="A1:U78"/>
  <sheetViews>
    <sheetView topLeftCell="A4" zoomScale="70" zoomScaleNormal="70" workbookViewId="0">
      <selection activeCell="D7" sqref="D7:F7"/>
    </sheetView>
  </sheetViews>
  <sheetFormatPr defaultRowHeight="15"/>
  <cols>
    <col min="1" max="1" width="9.42578125" customWidth="1"/>
    <col min="2" max="2" width="62.42578125" customWidth="1"/>
    <col min="3" max="3" width="25.42578125" customWidth="1"/>
    <col min="4" max="6" width="19.42578125" customWidth="1"/>
    <col min="7" max="7" width="4.42578125" customWidth="1"/>
    <col min="8" max="10" width="19.42578125" customWidth="1"/>
    <col min="11" max="11" width="5.5703125" customWidth="1"/>
    <col min="12" max="13" width="19.42578125" customWidth="1"/>
    <col min="14" max="14" width="40.42578125" customWidth="1"/>
    <col min="15" max="15" width="4.5703125" customWidth="1"/>
    <col min="16" max="16" width="18.5703125" customWidth="1"/>
    <col min="17" max="17" width="17.42578125" bestFit="1" customWidth="1"/>
    <col min="21" max="21" width="17.5703125" bestFit="1" customWidth="1"/>
  </cols>
  <sheetData>
    <row r="1" spans="1:21">
      <c r="A1" s="20"/>
      <c r="B1" s="91" t="s">
        <v>547</v>
      </c>
      <c r="C1" s="349"/>
      <c r="D1" s="20"/>
      <c r="E1" s="20"/>
      <c r="F1" s="20"/>
      <c r="G1" s="20"/>
      <c r="H1" s="20"/>
      <c r="I1" s="20"/>
      <c r="J1" s="20"/>
      <c r="K1" s="20"/>
      <c r="L1" s="20"/>
      <c r="M1" s="20"/>
      <c r="N1" s="20"/>
      <c r="O1" s="20"/>
      <c r="P1" s="1029" t="s">
        <v>548</v>
      </c>
      <c r="Q1" s="1029" t="s">
        <v>549</v>
      </c>
      <c r="R1" s="1029"/>
      <c r="S1" s="1029"/>
      <c r="T1" s="1029"/>
    </row>
    <row r="2" spans="1:21">
      <c r="A2" s="20"/>
      <c r="B2" s="20"/>
      <c r="C2" s="20"/>
      <c r="D2" s="20"/>
      <c r="E2" s="20"/>
      <c r="F2" s="20"/>
      <c r="G2" s="20"/>
      <c r="H2" s="20"/>
      <c r="I2" s="20"/>
      <c r="J2" s="20"/>
      <c r="K2" s="20"/>
      <c r="L2" s="20"/>
      <c r="M2" s="20"/>
      <c r="N2" s="20"/>
      <c r="O2" s="20"/>
      <c r="P2" s="1029" t="s">
        <v>550</v>
      </c>
      <c r="Q2" s="1029" t="s">
        <v>551</v>
      </c>
      <c r="R2" s="1029"/>
      <c r="S2" s="1029"/>
      <c r="T2" s="1029"/>
    </row>
    <row r="3" spans="1:21">
      <c r="A3" s="20"/>
      <c r="B3" s="20" t="s">
        <v>552</v>
      </c>
      <c r="C3" s="1030" t="str">
        <f>IF(INPUT!E16="","",INPUT!E16)</f>
        <v>LSS Test 1</v>
      </c>
      <c r="D3" s="20"/>
      <c r="E3" s="20"/>
      <c r="F3" s="20"/>
      <c r="G3" s="20"/>
      <c r="H3" s="20"/>
      <c r="I3" s="20"/>
      <c r="J3" s="20"/>
      <c r="K3" s="20"/>
      <c r="L3" s="20"/>
      <c r="M3" s="20"/>
      <c r="N3" s="20"/>
      <c r="O3" s="20"/>
      <c r="P3" s="1029" t="s">
        <v>553</v>
      </c>
      <c r="Q3" s="1029" t="s">
        <v>554</v>
      </c>
      <c r="R3" s="1029"/>
      <c r="S3" s="1029"/>
      <c r="T3" s="1029"/>
    </row>
    <row r="4" spans="1:21" ht="15.75" thickBot="1">
      <c r="A4" s="20"/>
      <c r="B4" s="20" t="s">
        <v>555</v>
      </c>
      <c r="C4" s="1030" t="str">
        <f>IF(INPUT!E15="","",INPUT!E15)</f>
        <v>Los Angeles</v>
      </c>
      <c r="D4" s="20"/>
      <c r="E4" s="20"/>
      <c r="F4" s="20"/>
      <c r="G4" s="20"/>
      <c r="H4" s="377"/>
      <c r="I4" s="20"/>
      <c r="J4" s="20"/>
      <c r="K4" s="20"/>
      <c r="L4" s="20"/>
      <c r="M4" s="20"/>
      <c r="N4" s="20"/>
      <c r="O4" s="20"/>
    </row>
    <row r="5" spans="1:21">
      <c r="A5" s="20"/>
      <c r="B5" s="20" t="s">
        <v>556</v>
      </c>
      <c r="C5" s="1031">
        <f>IF(INPUT!E129="","",INPUT!E129)</f>
        <v>44753</v>
      </c>
      <c r="D5" s="20"/>
      <c r="E5" s="20"/>
      <c r="F5" s="20"/>
      <c r="G5" s="20"/>
      <c r="H5" s="377"/>
      <c r="I5" s="20"/>
      <c r="J5" s="20"/>
      <c r="K5" s="20"/>
      <c r="L5" s="20"/>
      <c r="M5" s="20"/>
      <c r="N5" s="20"/>
      <c r="O5" s="20"/>
      <c r="P5" s="2570" t="s">
        <v>557</v>
      </c>
      <c r="Q5" s="2480"/>
      <c r="R5" s="2480"/>
      <c r="S5" s="2480"/>
      <c r="T5" s="2480"/>
      <c r="U5" s="2571"/>
    </row>
    <row r="6" spans="1:21" ht="15.75" thickBot="1">
      <c r="A6" s="20"/>
      <c r="B6" s="20"/>
      <c r="C6" s="20"/>
      <c r="D6" s="20"/>
      <c r="E6" s="20"/>
      <c r="F6" s="20"/>
      <c r="G6" s="20"/>
      <c r="H6" s="20"/>
      <c r="I6" s="20"/>
      <c r="J6" s="20"/>
      <c r="K6" s="20"/>
      <c r="L6" s="20"/>
      <c r="M6" s="20"/>
      <c r="N6" s="20"/>
      <c r="O6" s="20"/>
      <c r="P6" s="2481"/>
      <c r="Q6" s="2482"/>
      <c r="R6" s="2482"/>
      <c r="S6" s="2482"/>
      <c r="T6" s="2482"/>
      <c r="U6" s="2572"/>
    </row>
    <row r="7" spans="1:21" ht="15.75" thickBot="1">
      <c r="A7" s="20"/>
      <c r="B7" s="20"/>
      <c r="C7" s="20"/>
      <c r="D7" s="2577" t="s">
        <v>558</v>
      </c>
      <c r="E7" s="2576"/>
      <c r="F7" s="2576"/>
      <c r="G7" s="152"/>
      <c r="H7" s="2575" t="s">
        <v>559</v>
      </c>
      <c r="I7" s="2576"/>
      <c r="J7" s="2576"/>
      <c r="K7" s="152"/>
      <c r="L7" s="2578" t="s">
        <v>560</v>
      </c>
      <c r="M7" s="2576"/>
      <c r="N7" s="24"/>
      <c r="O7" s="20"/>
    </row>
    <row r="8" spans="1:21" s="11" customFormat="1" ht="15.75" thickBot="1">
      <c r="A8" s="113" t="s">
        <v>561</v>
      </c>
      <c r="B8" s="112" t="s">
        <v>376</v>
      </c>
      <c r="C8" s="112" t="s">
        <v>562</v>
      </c>
      <c r="D8" s="111" t="s">
        <v>563</v>
      </c>
      <c r="E8" s="451" t="s">
        <v>330</v>
      </c>
      <c r="F8" s="115" t="s">
        <v>22</v>
      </c>
      <c r="G8" s="26"/>
      <c r="H8" s="111" t="s">
        <v>563</v>
      </c>
      <c r="I8" s="451" t="s">
        <v>330</v>
      </c>
      <c r="J8" s="115" t="s">
        <v>22</v>
      </c>
      <c r="K8" s="26"/>
      <c r="L8" s="111" t="s">
        <v>11</v>
      </c>
      <c r="M8" s="115" t="s">
        <v>22</v>
      </c>
      <c r="N8" s="115" t="s">
        <v>564</v>
      </c>
      <c r="O8" s="26"/>
      <c r="P8" s="1045">
        <f>J12+J13+J14</f>
        <v>306900000</v>
      </c>
      <c r="Q8" s="1046" t="s">
        <v>565</v>
      </c>
      <c r="R8" s="1047"/>
      <c r="U8" s="1044"/>
    </row>
    <row r="9" spans="1:21">
      <c r="A9" s="20"/>
      <c r="B9" s="180"/>
      <c r="C9" s="20"/>
      <c r="D9" s="22"/>
      <c r="E9" s="452"/>
      <c r="F9" s="108"/>
      <c r="G9" s="20"/>
      <c r="H9" s="22"/>
      <c r="I9" s="452"/>
      <c r="J9" s="108"/>
      <c r="K9" s="20"/>
      <c r="L9" s="22"/>
      <c r="M9" s="108"/>
      <c r="N9" s="108"/>
      <c r="O9" s="20"/>
    </row>
    <row r="10" spans="1:21">
      <c r="B10" s="21" t="s">
        <v>566</v>
      </c>
      <c r="C10" s="20"/>
      <c r="D10" s="22"/>
      <c r="E10" s="452"/>
      <c r="F10" s="108"/>
      <c r="G10" s="20"/>
      <c r="H10" s="22"/>
      <c r="I10" s="452"/>
      <c r="J10" s="108"/>
      <c r="K10" s="20"/>
      <c r="L10" s="22"/>
      <c r="M10" s="108"/>
      <c r="N10" s="108"/>
      <c r="O10" s="20"/>
    </row>
    <row r="11" spans="1:21" ht="15.75" thickBot="1">
      <c r="A11" s="20"/>
      <c r="B11" s="23"/>
      <c r="C11" s="2427" t="s">
        <v>567</v>
      </c>
      <c r="D11" s="22"/>
      <c r="E11" s="452"/>
      <c r="F11" s="108"/>
      <c r="G11" s="20"/>
      <c r="H11" s="22"/>
      <c r="I11" s="452"/>
      <c r="J11" s="378"/>
      <c r="K11" s="377"/>
      <c r="L11" s="22"/>
      <c r="M11" s="109"/>
      <c r="N11" s="108"/>
      <c r="O11" s="20"/>
    </row>
    <row r="12" spans="1:21" ht="15.75" thickBot="1">
      <c r="A12" s="369">
        <v>1</v>
      </c>
      <c r="B12" s="689" t="s">
        <v>332</v>
      </c>
      <c r="C12" s="1344" t="str">
        <f>IFERROR(VLOOKUP(B12,'Drop Lists'!$CC$5:$CD$19,2,FALSE),"")</f>
        <v>Debt</v>
      </c>
      <c r="D12" s="1759"/>
      <c r="E12" s="1001">
        <f>F12-D12</f>
        <v>0</v>
      </c>
      <c r="F12" s="1762"/>
      <c r="G12" s="377"/>
      <c r="H12" s="1115">
        <f>SUMIF(INPUT!$L$222:$L$483,'S&amp;U Recon'!A12,INPUT!$G$222:$G$483)</f>
        <v>220991091</v>
      </c>
      <c r="I12" s="692">
        <f>SUMIF(INPUT!$L$222:$L$224,'S&amp;U Recon'!A12,INPUT!$Q$222:$Q$224)</f>
        <v>78236409</v>
      </c>
      <c r="J12" s="690">
        <f>H12+I12</f>
        <v>299227500</v>
      </c>
      <c r="K12" s="377"/>
      <c r="L12" s="691">
        <f>H12-D12</f>
        <v>220991091</v>
      </c>
      <c r="M12" s="690">
        <f t="shared" ref="M12:M21" si="0">J12-F12</f>
        <v>299227500</v>
      </c>
      <c r="N12" s="1786"/>
      <c r="O12" s="1324"/>
      <c r="P12" s="367" t="s">
        <v>568</v>
      </c>
    </row>
    <row r="13" spans="1:21" ht="15.75" thickBot="1">
      <c r="A13" s="369">
        <v>2</v>
      </c>
      <c r="B13" s="693" t="s">
        <v>569</v>
      </c>
      <c r="C13" s="1345" t="str">
        <f>IFERROR(VLOOKUP(B13,'Drop Lists'!$CC$5:$CD$19,2,FALSE),"")</f>
        <v>Debt</v>
      </c>
      <c r="D13" s="1760"/>
      <c r="E13" s="1002">
        <f t="shared" ref="E13:E21" si="1">F13-D13</f>
        <v>0</v>
      </c>
      <c r="F13" s="1763"/>
      <c r="G13" s="377"/>
      <c r="H13" s="1116">
        <f>SUMIF(INPUT!$L$222:$L$483,'S&amp;U Recon'!A13,INPUT!$G$222:$G$483)</f>
        <v>7672500</v>
      </c>
      <c r="I13" s="694">
        <f>SUMIF(INPUT!$L$222:$L$224,'S&amp;U Recon'!A13,INPUT!$Q$222:$Q$224)</f>
        <v>0</v>
      </c>
      <c r="J13" s="682">
        <f t="shared" ref="J13:J20" si="2">H13+I13</f>
        <v>7672500</v>
      </c>
      <c r="K13" s="377"/>
      <c r="L13" s="683">
        <f t="shared" ref="L13:L21" si="3">H13-D13</f>
        <v>7672500</v>
      </c>
      <c r="M13" s="682">
        <f t="shared" si="0"/>
        <v>7672500</v>
      </c>
      <c r="N13" s="1782"/>
      <c r="O13" s="1324"/>
      <c r="P13" s="367" t="s">
        <v>568</v>
      </c>
    </row>
    <row r="14" spans="1:21" ht="15.75" thickBot="1">
      <c r="A14" s="369">
        <v>3</v>
      </c>
      <c r="B14" s="693" t="s">
        <v>334</v>
      </c>
      <c r="C14" s="1345" t="str">
        <f>IFERROR(VLOOKUP(B14,'Drop Lists'!$CC$5:$CD$19,2,FALSE),"")</f>
        <v>Debt</v>
      </c>
      <c r="D14" s="1760"/>
      <c r="E14" s="1002">
        <f t="shared" si="1"/>
        <v>0</v>
      </c>
      <c r="F14" s="1763"/>
      <c r="G14" s="377"/>
      <c r="H14" s="1116">
        <f>SUMIF(INPUT!$L$222:$L$483,'S&amp;U Recon'!A14,INPUT!$G$222:$G$483)</f>
        <v>0</v>
      </c>
      <c r="I14" s="694">
        <f>SUMIF(INPUT!$L$222:$L$224,'S&amp;U Recon'!A14,INPUT!$Q$222:$Q$224)</f>
        <v>0</v>
      </c>
      <c r="J14" s="682">
        <f t="shared" si="2"/>
        <v>0</v>
      </c>
      <c r="K14" s="377"/>
      <c r="L14" s="683">
        <f t="shared" si="3"/>
        <v>0</v>
      </c>
      <c r="M14" s="682">
        <f t="shared" si="0"/>
        <v>0</v>
      </c>
      <c r="N14" s="1782"/>
      <c r="O14" s="1324"/>
      <c r="P14" s="367" t="s">
        <v>568</v>
      </c>
    </row>
    <row r="15" spans="1:21">
      <c r="A15" s="100">
        <v>4</v>
      </c>
      <c r="B15" s="693" t="s">
        <v>349</v>
      </c>
      <c r="C15" s="1345" t="str">
        <f>IFERROR(VLOOKUP(B15,'Drop Lists'!$CC$5:$CD$19,2,FALSE),"")</f>
        <v>Equity</v>
      </c>
      <c r="D15" s="1760"/>
      <c r="E15" s="1002">
        <f t="shared" si="1"/>
        <v>0</v>
      </c>
      <c r="F15" s="1763"/>
      <c r="G15" s="377"/>
      <c r="H15" s="1116">
        <f>SUMIF(INPUT!$L$222:$L$483,'S&amp;U Recon'!A15,INPUT!$G$222:$G$483)</f>
        <v>0</v>
      </c>
      <c r="I15" s="1788">
        <f>E15</f>
        <v>0</v>
      </c>
      <c r="J15" s="1763">
        <f t="shared" si="2"/>
        <v>0</v>
      </c>
      <c r="K15" s="377"/>
      <c r="L15" s="683">
        <f t="shared" si="3"/>
        <v>0</v>
      </c>
      <c r="M15" s="682">
        <f t="shared" si="0"/>
        <v>0</v>
      </c>
      <c r="N15" s="1782"/>
      <c r="O15" s="1324"/>
    </row>
    <row r="16" spans="1:21">
      <c r="A16" s="100">
        <v>5</v>
      </c>
      <c r="B16" s="1758" t="s">
        <v>570</v>
      </c>
      <c r="C16" s="1345" t="str">
        <f>IFERROR(VLOOKUP(B16,'Drop Lists'!$CC$5:$CD$19,2,FALSE),"")</f>
        <v>Equity</v>
      </c>
      <c r="D16" s="1760"/>
      <c r="E16" s="1002">
        <f t="shared" si="1"/>
        <v>0</v>
      </c>
      <c r="F16" s="1763"/>
      <c r="G16" s="377"/>
      <c r="H16" s="1116">
        <f>SUMIF(INPUT!$L$222:$L$483,'S&amp;U Recon'!A16,INPUT!$G$222:$G$483)</f>
        <v>0</v>
      </c>
      <c r="I16" s="1788"/>
      <c r="J16" s="1763">
        <f t="shared" si="2"/>
        <v>0</v>
      </c>
      <c r="K16" s="377"/>
      <c r="L16" s="683">
        <f t="shared" si="3"/>
        <v>0</v>
      </c>
      <c r="M16" s="682">
        <f t="shared" si="0"/>
        <v>0</v>
      </c>
      <c r="N16" s="1782"/>
      <c r="O16" s="1324"/>
    </row>
    <row r="17" spans="1:19">
      <c r="A17" s="100">
        <v>6</v>
      </c>
      <c r="B17" s="1758"/>
      <c r="C17" s="1345" t="str">
        <f>IFERROR(VLOOKUP(B17,'Drop Lists'!$CC$5:$CD$19,2,FALSE),"")</f>
        <v/>
      </c>
      <c r="D17" s="1760"/>
      <c r="E17" s="1002">
        <f t="shared" si="1"/>
        <v>0</v>
      </c>
      <c r="F17" s="1763"/>
      <c r="G17" s="377"/>
      <c r="H17" s="1116">
        <f>SUMIF(INPUT!$L$222:$L$483,'S&amp;U Recon'!A17,INPUT!$G$222:$G$483)</f>
        <v>0</v>
      </c>
      <c r="I17" s="1788"/>
      <c r="J17" s="1763">
        <f t="shared" si="2"/>
        <v>0</v>
      </c>
      <c r="K17" s="377"/>
      <c r="L17" s="683">
        <f t="shared" si="3"/>
        <v>0</v>
      </c>
      <c r="M17" s="682">
        <f t="shared" si="0"/>
        <v>0</v>
      </c>
      <c r="N17" s="1782"/>
      <c r="O17" s="1324"/>
    </row>
    <row r="18" spans="1:19">
      <c r="A18" s="372">
        <v>7</v>
      </c>
      <c r="B18" s="1758"/>
      <c r="C18" s="1345" t="str">
        <f>IFERROR(VLOOKUP(B18,'Drop Lists'!$CC$5:$CD$19,2,FALSE),"")</f>
        <v/>
      </c>
      <c r="D18" s="1760"/>
      <c r="E18" s="1002">
        <f t="shared" si="1"/>
        <v>0</v>
      </c>
      <c r="F18" s="1763"/>
      <c r="G18" s="377"/>
      <c r="H18" s="1116">
        <f>SUMIF(INPUT!$L$222:$L$483,'S&amp;U Recon'!A18,INPUT!$G$222:$G$483)</f>
        <v>0</v>
      </c>
      <c r="I18" s="1788"/>
      <c r="J18" s="1763">
        <f t="shared" si="2"/>
        <v>0</v>
      </c>
      <c r="K18" s="377"/>
      <c r="L18" s="683">
        <f t="shared" si="3"/>
        <v>0</v>
      </c>
      <c r="M18" s="682">
        <f t="shared" si="0"/>
        <v>0</v>
      </c>
      <c r="N18" s="1782"/>
      <c r="O18" s="1324"/>
    </row>
    <row r="19" spans="1:19" ht="34.5" customHeight="1" thickBot="1">
      <c r="A19" s="100">
        <v>8</v>
      </c>
      <c r="B19" s="1758"/>
      <c r="C19" s="1345" t="str">
        <f>IFERROR(VLOOKUP(B19,'Drop Lists'!$CC$5:$CD$19,2,FALSE),"")</f>
        <v/>
      </c>
      <c r="D19" s="1760"/>
      <c r="E19" s="1002">
        <f t="shared" si="1"/>
        <v>0</v>
      </c>
      <c r="F19" s="1763"/>
      <c r="G19" s="377"/>
      <c r="H19" s="1116">
        <f>SUMIF(INPUT!$L$222:$L$483,'S&amp;U Recon'!A19,INPUT!$G$222:$G$483)</f>
        <v>0</v>
      </c>
      <c r="I19" s="1788"/>
      <c r="J19" s="1763">
        <f t="shared" si="2"/>
        <v>0</v>
      </c>
      <c r="K19" s="377"/>
      <c r="L19" s="683">
        <f t="shared" si="3"/>
        <v>0</v>
      </c>
      <c r="M19" s="682">
        <f t="shared" si="0"/>
        <v>0</v>
      </c>
      <c r="N19" s="1782"/>
      <c r="O19" s="1324"/>
    </row>
    <row r="20" spans="1:19" ht="15.75" thickTop="1">
      <c r="A20" s="365">
        <v>9</v>
      </c>
      <c r="B20" s="695" t="s">
        <v>571</v>
      </c>
      <c r="C20" s="1345" t="str">
        <f>IFERROR(VLOOKUP(B20,'Drop Lists'!$CC$5:$CD$19,2,FALSE),"")</f>
        <v>Debt</v>
      </c>
      <c r="D20" s="1760"/>
      <c r="E20" s="1002">
        <f t="shared" si="1"/>
        <v>0</v>
      </c>
      <c r="F20" s="1763"/>
      <c r="G20" s="377"/>
      <c r="H20" s="1116">
        <f>SUMIF(INPUT!$L$222:$L$483,'S&amp;U Recon'!A20,INPUT!$G$222:$G$483)</f>
        <v>0</v>
      </c>
      <c r="I20" s="694">
        <f>-H20</f>
        <v>0</v>
      </c>
      <c r="J20" s="682">
        <f t="shared" si="2"/>
        <v>0</v>
      </c>
      <c r="K20" s="377"/>
      <c r="L20" s="683">
        <f t="shared" si="3"/>
        <v>0</v>
      </c>
      <c r="M20" s="682">
        <f t="shared" si="0"/>
        <v>0</v>
      </c>
      <c r="N20" s="1782"/>
      <c r="O20" s="1324"/>
      <c r="P20" s="367" t="s">
        <v>568</v>
      </c>
    </row>
    <row r="21" spans="1:19" ht="15.75" thickBot="1">
      <c r="A21" s="366">
        <v>10</v>
      </c>
      <c r="B21" s="1117" t="s">
        <v>572</v>
      </c>
      <c r="C21" s="1345" t="s">
        <v>548</v>
      </c>
      <c r="D21" s="1761">
        <f>D49-SUM(D12:D20)</f>
        <v>0</v>
      </c>
      <c r="E21" s="1002">
        <f t="shared" si="1"/>
        <v>0</v>
      </c>
      <c r="F21" s="1764">
        <f>F49-SUM(F12:F20)</f>
        <v>0</v>
      </c>
      <c r="G21" s="377"/>
      <c r="H21" s="1789">
        <f>H49-SUM(H12:H20)</f>
        <v>0</v>
      </c>
      <c r="I21" s="1790">
        <f>I49-SUM(I12:I20)</f>
        <v>-78236409</v>
      </c>
      <c r="J21" s="1791">
        <f>J49-SUM(J12:J20)</f>
        <v>-78236409</v>
      </c>
      <c r="K21" s="377"/>
      <c r="L21" s="1118">
        <f t="shared" si="3"/>
        <v>0</v>
      </c>
      <c r="M21" s="1119">
        <f t="shared" si="0"/>
        <v>-78236409</v>
      </c>
      <c r="N21" s="1787"/>
      <c r="O21" s="1324"/>
      <c r="P21" s="367" t="s">
        <v>568</v>
      </c>
    </row>
    <row r="22" spans="1:19" s="1" customFormat="1" ht="16.5" thickTop="1" thickBot="1">
      <c r="A22" s="2430"/>
      <c r="B22" s="1120" t="s">
        <v>573</v>
      </c>
      <c r="C22" s="1121"/>
      <c r="D22" s="375">
        <f t="shared" ref="D22:M22" si="4">SUM(D12:D21)</f>
        <v>0</v>
      </c>
      <c r="E22" s="453">
        <f t="shared" si="4"/>
        <v>0</v>
      </c>
      <c r="F22" s="376">
        <f t="shared" si="4"/>
        <v>0</v>
      </c>
      <c r="G22" s="382"/>
      <c r="H22" s="375">
        <f t="shared" si="4"/>
        <v>228663591</v>
      </c>
      <c r="I22" s="453">
        <f>SUM(I12:I21)</f>
        <v>0</v>
      </c>
      <c r="J22" s="376">
        <f>SUM(J12:J21)</f>
        <v>228663591</v>
      </c>
      <c r="K22" s="382"/>
      <c r="L22" s="375">
        <f t="shared" si="4"/>
        <v>228663591</v>
      </c>
      <c r="M22" s="376">
        <f t="shared" si="4"/>
        <v>228663591</v>
      </c>
      <c r="N22" s="1122"/>
      <c r="O22" s="1873"/>
    </row>
    <row r="23" spans="1:19" s="1" customFormat="1" ht="15.75" thickBot="1">
      <c r="A23" s="395">
        <v>29</v>
      </c>
      <c r="B23" s="776" t="s">
        <v>574</v>
      </c>
      <c r="C23" s="1346" t="s">
        <v>548</v>
      </c>
      <c r="D23" s="1765"/>
      <c r="E23" s="1000">
        <f>F23-D23</f>
        <v>0</v>
      </c>
      <c r="F23" s="1000">
        <f>D23</f>
        <v>0</v>
      </c>
      <c r="G23" s="1858"/>
      <c r="H23" s="777">
        <f>-SUMIF(INPUT!L222:L522,'S&amp;U Recon'!A23,INPUT!H222:H522)+IF(INPUT!D542&gt;0,-INPUT!D542,0)</f>
        <v>-225273318.66</v>
      </c>
      <c r="I23" s="1765"/>
      <c r="J23" s="1865">
        <f>H23+I23</f>
        <v>-225273318.66</v>
      </c>
      <c r="K23" s="377"/>
      <c r="L23" s="783">
        <f>H23-D23</f>
        <v>-225273318.66</v>
      </c>
      <c r="M23" s="781">
        <f>J23-F23</f>
        <v>-225273318.66</v>
      </c>
      <c r="N23" s="778"/>
      <c r="O23" s="1324"/>
      <c r="P23" s="367" t="s">
        <v>568</v>
      </c>
    </row>
    <row r="24" spans="1:19">
      <c r="A24" s="361"/>
      <c r="B24" s="779" t="s">
        <v>575</v>
      </c>
      <c r="C24" s="1347" t="s">
        <v>548</v>
      </c>
      <c r="D24" s="1766"/>
      <c r="E24" s="780">
        <f>F24-D24</f>
        <v>0</v>
      </c>
      <c r="F24" s="1766">
        <f>D24</f>
        <v>0</v>
      </c>
      <c r="G24" s="1858"/>
      <c r="H24" s="780">
        <f>C72</f>
        <v>0</v>
      </c>
      <c r="I24" s="780"/>
      <c r="J24" s="1866">
        <f>H24+I24</f>
        <v>0</v>
      </c>
      <c r="K24" s="377"/>
      <c r="L24" s="784">
        <f>H24-D24</f>
        <v>0</v>
      </c>
      <c r="M24" s="782">
        <f>J24-F24</f>
        <v>0</v>
      </c>
      <c r="N24" s="1785"/>
      <c r="O24" s="1324"/>
      <c r="P24" s="367" t="s">
        <v>576</v>
      </c>
      <c r="Q24" s="368"/>
      <c r="R24" s="368"/>
      <c r="S24" s="368"/>
    </row>
    <row r="25" spans="1:19" s="1" customFormat="1" ht="15.75" thickBot="1">
      <c r="A25" s="2430"/>
      <c r="B25" s="142" t="s">
        <v>577</v>
      </c>
      <c r="C25" s="105"/>
      <c r="D25" s="1320">
        <f>SUM(D22:D24)</f>
        <v>0</v>
      </c>
      <c r="E25" s="1321">
        <f>SUM(E22:E24)</f>
        <v>0</v>
      </c>
      <c r="F25" s="1322">
        <f t="shared" ref="F25:M25" si="5">SUM(F22:F24)</f>
        <v>0</v>
      </c>
      <c r="G25" s="382"/>
      <c r="H25" s="1317">
        <f t="shared" si="5"/>
        <v>3390272.3400000036</v>
      </c>
      <c r="I25" s="1318">
        <f t="shared" si="5"/>
        <v>0</v>
      </c>
      <c r="J25" s="1319">
        <f t="shared" si="5"/>
        <v>3390272.3400000036</v>
      </c>
      <c r="K25" s="382"/>
      <c r="L25" s="1341">
        <f t="shared" si="5"/>
        <v>3390272.3400000036</v>
      </c>
      <c r="M25" s="1342">
        <f t="shared" si="5"/>
        <v>3390272.3400000036</v>
      </c>
      <c r="N25" s="143"/>
      <c r="O25" s="1873"/>
      <c r="P25" s="370" t="s">
        <v>578</v>
      </c>
    </row>
    <row r="26" spans="1:19" ht="15.75" thickTop="1">
      <c r="A26" s="100"/>
      <c r="B26" s="22"/>
      <c r="C26" s="100"/>
      <c r="D26" s="379"/>
      <c r="E26" s="377"/>
      <c r="F26" s="378"/>
      <c r="G26" s="377"/>
      <c r="H26" s="379"/>
      <c r="I26" s="454"/>
      <c r="J26" s="378"/>
      <c r="K26" s="377"/>
      <c r="L26" s="379"/>
      <c r="M26" s="378"/>
      <c r="N26" s="114"/>
      <c r="O26" s="1324"/>
      <c r="P26" s="95"/>
    </row>
    <row r="27" spans="1:19">
      <c r="A27" s="100"/>
      <c r="B27" s="22"/>
      <c r="C27" s="100"/>
      <c r="D27" s="379"/>
      <c r="E27" s="377"/>
      <c r="F27" s="378"/>
      <c r="G27" s="377"/>
      <c r="H27" s="379"/>
      <c r="I27" s="454"/>
      <c r="J27" s="378"/>
      <c r="K27" s="377"/>
      <c r="L27" s="379"/>
      <c r="M27" s="378"/>
      <c r="N27" s="114"/>
      <c r="O27" s="1324"/>
      <c r="P27" s="95"/>
    </row>
    <row r="28" spans="1:19">
      <c r="A28" s="100"/>
      <c r="B28" s="21" t="s">
        <v>579</v>
      </c>
      <c r="C28" s="2427" t="s">
        <v>580</v>
      </c>
      <c r="D28" s="379"/>
      <c r="E28" s="377"/>
      <c r="F28" s="378"/>
      <c r="G28" s="377"/>
      <c r="H28" s="379"/>
      <c r="I28" s="454"/>
      <c r="J28" s="378"/>
      <c r="K28" s="377"/>
      <c r="L28" s="379"/>
      <c r="M28" s="378"/>
      <c r="N28" s="114"/>
      <c r="O28" s="1324"/>
      <c r="P28" s="370"/>
    </row>
    <row r="29" spans="1:19">
      <c r="A29" s="100">
        <v>11</v>
      </c>
      <c r="B29" s="1758" t="s">
        <v>581</v>
      </c>
      <c r="C29" s="1767" t="s">
        <v>548</v>
      </c>
      <c r="D29" s="1768"/>
      <c r="E29" s="1003">
        <f>F29-D29</f>
        <v>0</v>
      </c>
      <c r="F29" s="1763"/>
      <c r="G29" s="377"/>
      <c r="H29" s="683">
        <f>SUMIF(INPUT!$L$231:$L$522,'S&amp;U Recon'!A29,INPUT!$H$231:$H$522)+SUMIFS('COST REPORT'!$F$9:$F$998,'COST REPORT'!$M$9:$M$998,'S&amp;U Recon'!A29,'COST REPORT'!$I$9:$I$998,"CLOSE")</f>
        <v>0</v>
      </c>
      <c r="I29" s="1788"/>
      <c r="J29" s="682">
        <f>H29+I29</f>
        <v>0</v>
      </c>
      <c r="K29" s="377"/>
      <c r="L29" s="683">
        <f t="shared" ref="L29:L48" si="6">H29-D29</f>
        <v>0</v>
      </c>
      <c r="M29" s="682">
        <f t="shared" ref="M29:M48" si="7">J29-F29</f>
        <v>0</v>
      </c>
      <c r="N29" s="1782"/>
      <c r="O29" s="1324"/>
      <c r="P29" s="370" t="s">
        <v>582</v>
      </c>
    </row>
    <row r="30" spans="1:19">
      <c r="A30" s="100">
        <v>12</v>
      </c>
      <c r="B30" s="1758" t="s">
        <v>583</v>
      </c>
      <c r="C30" s="1767" t="s">
        <v>548</v>
      </c>
      <c r="D30" s="1768"/>
      <c r="E30" s="1003">
        <f t="shared" ref="E30:E48" si="8">F30-D30</f>
        <v>0</v>
      </c>
      <c r="F30" s="1763"/>
      <c r="G30" s="377"/>
      <c r="H30" s="683">
        <f>SUMIF(INPUT!$L$231:$L$522,'S&amp;U Recon'!A30,INPUT!$H$231:$H$522)+SUMIFS('COST REPORT'!$F$9:$F$998,'COST REPORT'!$M$9:$M$998,'S&amp;U Recon'!A30,'COST REPORT'!$I$9:$I$998,"CLOSE")</f>
        <v>3069000</v>
      </c>
      <c r="I30" s="1788"/>
      <c r="J30" s="682">
        <f t="shared" ref="J30:J46" si="9">H30+I30</f>
        <v>3069000</v>
      </c>
      <c r="K30" s="377"/>
      <c r="L30" s="683">
        <f t="shared" si="6"/>
        <v>3069000</v>
      </c>
      <c r="M30" s="682">
        <f t="shared" si="7"/>
        <v>3069000</v>
      </c>
      <c r="N30" s="1782"/>
      <c r="O30" s="1324"/>
    </row>
    <row r="31" spans="1:19">
      <c r="A31" s="100">
        <v>13</v>
      </c>
      <c r="B31" s="1758" t="s">
        <v>584</v>
      </c>
      <c r="C31" s="1767" t="s">
        <v>550</v>
      </c>
      <c r="D31" s="1768"/>
      <c r="E31" s="1003">
        <f t="shared" si="8"/>
        <v>0</v>
      </c>
      <c r="F31" s="1763"/>
      <c r="G31" s="377"/>
      <c r="H31" s="683">
        <f>SUMIF(INPUT!$L$231:$L$522,'S&amp;U Recon'!A31,INPUT!$H$231:$H$522)+SUMIFS('COST REPORT'!$F$9:$F$998,'COST REPORT'!$M$9:$M$998,'S&amp;U Recon'!A31,'COST REPORT'!$I$9:$I$998,"CLOSE")</f>
        <v>321272.34000000003</v>
      </c>
      <c r="I31" s="1788"/>
      <c r="J31" s="682">
        <f t="shared" si="9"/>
        <v>321272.34000000003</v>
      </c>
      <c r="K31" s="377"/>
      <c r="L31" s="683">
        <f t="shared" si="6"/>
        <v>321272.34000000003</v>
      </c>
      <c r="M31" s="682">
        <f t="shared" si="7"/>
        <v>321272.34000000003</v>
      </c>
      <c r="N31" s="1782"/>
      <c r="O31" s="1324"/>
      <c r="P31" s="95"/>
    </row>
    <row r="32" spans="1:19">
      <c r="A32" s="100">
        <v>14</v>
      </c>
      <c r="B32" s="1758" t="s">
        <v>585</v>
      </c>
      <c r="C32" s="1767" t="s">
        <v>550</v>
      </c>
      <c r="D32" s="1768"/>
      <c r="E32" s="1003">
        <f t="shared" si="8"/>
        <v>0</v>
      </c>
      <c r="F32" s="1763"/>
      <c r="G32" s="377"/>
      <c r="H32" s="683">
        <f>SUMIF(INPUT!$L$231:$L$522,'S&amp;U Recon'!A32,INPUT!$H$231:$H$522)+SUMIFS('COST REPORT'!$F$9:$F$998,'COST REPORT'!$M$9:$M$998,'S&amp;U Recon'!A32,'COST REPORT'!$I$9:$I$998,"CLOSE")</f>
        <v>0</v>
      </c>
      <c r="I32" s="1788"/>
      <c r="J32" s="682">
        <f t="shared" si="9"/>
        <v>0</v>
      </c>
      <c r="K32" s="377"/>
      <c r="L32" s="683">
        <f t="shared" si="6"/>
        <v>0</v>
      </c>
      <c r="M32" s="682">
        <f t="shared" si="7"/>
        <v>0</v>
      </c>
      <c r="N32" s="1782"/>
      <c r="O32" s="1324"/>
    </row>
    <row r="33" spans="1:16">
      <c r="A33" s="100">
        <v>15</v>
      </c>
      <c r="B33" s="1758" t="s">
        <v>586</v>
      </c>
      <c r="C33" s="1767" t="s">
        <v>548</v>
      </c>
      <c r="D33" s="1768"/>
      <c r="E33" s="1003">
        <f t="shared" si="8"/>
        <v>0</v>
      </c>
      <c r="F33" s="1763"/>
      <c r="G33" s="377"/>
      <c r="H33" s="683">
        <f>SUMIF(INPUT!$L$231:$L$522,'S&amp;U Recon'!A33,INPUT!$H$231:$H$522)+SUMIFS('COST REPORT'!$F$9:$F$998,'COST REPORT'!$M$9:$M$998,'S&amp;U Recon'!A33,'COST REPORT'!$I$9:$I$998,"CLOSE")</f>
        <v>0</v>
      </c>
      <c r="I33" s="1788"/>
      <c r="J33" s="682">
        <f t="shared" si="9"/>
        <v>0</v>
      </c>
      <c r="K33" s="377"/>
      <c r="L33" s="683">
        <f t="shared" si="6"/>
        <v>0</v>
      </c>
      <c r="M33" s="682">
        <f t="shared" si="7"/>
        <v>0</v>
      </c>
      <c r="N33" s="1782"/>
      <c r="O33" s="1324"/>
    </row>
    <row r="34" spans="1:16">
      <c r="A34" s="100">
        <v>16</v>
      </c>
      <c r="B34" s="1758" t="s">
        <v>587</v>
      </c>
      <c r="C34" s="1767" t="s">
        <v>548</v>
      </c>
      <c r="D34" s="1768"/>
      <c r="E34" s="1003">
        <f t="shared" si="8"/>
        <v>0</v>
      </c>
      <c r="F34" s="1763"/>
      <c r="G34" s="377"/>
      <c r="H34" s="683">
        <f>SUMIF(INPUT!$L$231:$L$522,'S&amp;U Recon'!A34,INPUT!$H$231:$H$522)+SUMIFS('COST REPORT'!$F$9:$F$998,'COST REPORT'!$M$9:$M$998,'S&amp;U Recon'!A34,'COST REPORT'!$I$9:$I$998,"CLOSE")</f>
        <v>0</v>
      </c>
      <c r="I34" s="1788"/>
      <c r="J34" s="682">
        <f t="shared" si="9"/>
        <v>0</v>
      </c>
      <c r="K34" s="377"/>
      <c r="L34" s="683">
        <f t="shared" si="6"/>
        <v>0</v>
      </c>
      <c r="M34" s="682">
        <f t="shared" si="7"/>
        <v>0</v>
      </c>
      <c r="N34" s="1782"/>
      <c r="O34" s="1324"/>
    </row>
    <row r="35" spans="1:16">
      <c r="A35" s="100">
        <v>17</v>
      </c>
      <c r="B35" s="1758" t="s">
        <v>588</v>
      </c>
      <c r="C35" s="1767" t="s">
        <v>548</v>
      </c>
      <c r="D35" s="1768"/>
      <c r="E35" s="1003">
        <f t="shared" si="8"/>
        <v>0</v>
      </c>
      <c r="F35" s="1763"/>
      <c r="G35" s="377"/>
      <c r="H35" s="683">
        <f>SUMIF(INPUT!$L$231:$L$522,'S&amp;U Recon'!A35,INPUT!$H$231:$H$522)+SUMIFS('COST REPORT'!$F$9:$F$998,'COST REPORT'!$M$9:$M$998,'S&amp;U Recon'!A35,'COST REPORT'!$I$9:$I$998,"CLOSE")</f>
        <v>0</v>
      </c>
      <c r="I35" s="1788"/>
      <c r="J35" s="682">
        <f t="shared" si="9"/>
        <v>0</v>
      </c>
      <c r="K35" s="377"/>
      <c r="L35" s="683">
        <f t="shared" si="6"/>
        <v>0</v>
      </c>
      <c r="M35" s="682">
        <f t="shared" si="7"/>
        <v>0</v>
      </c>
      <c r="N35" s="1782"/>
      <c r="O35" s="1324"/>
    </row>
    <row r="36" spans="1:16">
      <c r="A36" s="100">
        <v>18</v>
      </c>
      <c r="B36" s="1758" t="s">
        <v>589</v>
      </c>
      <c r="C36" s="1767" t="s">
        <v>548</v>
      </c>
      <c r="D36" s="1768"/>
      <c r="E36" s="1003">
        <f t="shared" si="8"/>
        <v>0</v>
      </c>
      <c r="F36" s="1763"/>
      <c r="G36" s="377"/>
      <c r="H36" s="683">
        <f>SUMIF(INPUT!$L$231:$L$522,'S&amp;U Recon'!A36,INPUT!$H$231:$H$522)+SUMIFS('COST REPORT'!$F$9:$F$998,'COST REPORT'!$M$9:$M$998,'S&amp;U Recon'!A36,'COST REPORT'!$I$9:$I$998,"CLOSE")</f>
        <v>0</v>
      </c>
      <c r="I36" s="1788"/>
      <c r="J36" s="682">
        <f t="shared" si="9"/>
        <v>0</v>
      </c>
      <c r="K36" s="377"/>
      <c r="L36" s="683">
        <f t="shared" si="6"/>
        <v>0</v>
      </c>
      <c r="M36" s="682">
        <f t="shared" si="7"/>
        <v>0</v>
      </c>
      <c r="N36" s="1782"/>
      <c r="O36" s="1324"/>
    </row>
    <row r="37" spans="1:16">
      <c r="A37" s="100">
        <v>19</v>
      </c>
      <c r="B37" s="1758" t="s">
        <v>590</v>
      </c>
      <c r="C37" s="1767" t="s">
        <v>548</v>
      </c>
      <c r="D37" s="1768"/>
      <c r="E37" s="1003">
        <f t="shared" si="8"/>
        <v>0</v>
      </c>
      <c r="F37" s="1763"/>
      <c r="G37" s="377"/>
      <c r="H37" s="683">
        <f>SUMIF(INPUT!$L$231:$L$522,'S&amp;U Recon'!A37,INPUT!$H$231:$H$522)+SUMIFS('COST REPORT'!$F$9:$F$998,'COST REPORT'!$M$9:$M$998,'S&amp;U Recon'!A37,'COST REPORT'!$I$9:$I$998,"CLOSE")</f>
        <v>0</v>
      </c>
      <c r="I37" s="1788"/>
      <c r="J37" s="682">
        <f t="shared" si="9"/>
        <v>0</v>
      </c>
      <c r="K37" s="377"/>
      <c r="L37" s="683">
        <f t="shared" si="6"/>
        <v>0</v>
      </c>
      <c r="M37" s="682">
        <f t="shared" si="7"/>
        <v>0</v>
      </c>
      <c r="N37" s="1782"/>
      <c r="O37" s="1324"/>
    </row>
    <row r="38" spans="1:16">
      <c r="A38" s="100">
        <v>20</v>
      </c>
      <c r="B38" s="1758" t="s">
        <v>591</v>
      </c>
      <c r="C38" s="1767" t="s">
        <v>548</v>
      </c>
      <c r="D38" s="1768"/>
      <c r="E38" s="1003">
        <f t="shared" si="8"/>
        <v>0</v>
      </c>
      <c r="F38" s="1763"/>
      <c r="G38" s="377"/>
      <c r="H38" s="683">
        <f>SUMIF(INPUT!$L$231:$L$522,'S&amp;U Recon'!A38,INPUT!$H$231:$H$522)+SUMIFS('COST REPORT'!$F$9:$F$998,'COST REPORT'!$M$9:$M$998,'S&amp;U Recon'!A38,'COST REPORT'!$I$9:$I$998,"CLOSE")</f>
        <v>0</v>
      </c>
      <c r="I38" s="1788"/>
      <c r="J38" s="682">
        <f t="shared" si="9"/>
        <v>0</v>
      </c>
      <c r="K38" s="377"/>
      <c r="L38" s="683">
        <f t="shared" si="6"/>
        <v>0</v>
      </c>
      <c r="M38" s="682">
        <f t="shared" si="7"/>
        <v>0</v>
      </c>
      <c r="N38" s="1782"/>
      <c r="O38" s="1324"/>
    </row>
    <row r="39" spans="1:16">
      <c r="A39" s="100">
        <v>21</v>
      </c>
      <c r="B39" s="1758" t="s">
        <v>592</v>
      </c>
      <c r="C39" s="1767" t="s">
        <v>548</v>
      </c>
      <c r="D39" s="1768"/>
      <c r="E39" s="1003">
        <f t="shared" si="8"/>
        <v>0</v>
      </c>
      <c r="F39" s="1763"/>
      <c r="G39" s="377"/>
      <c r="H39" s="683">
        <f>SUMIF(INPUT!$L$231:$L$522,'S&amp;U Recon'!A39,INPUT!$H$231:$H$522)+SUMIFS('COST REPORT'!$F$9:$F$998,'COST REPORT'!$M$9:$M$998,'S&amp;U Recon'!A39,'COST REPORT'!$I$9:$I$998,"CLOSE")</f>
        <v>0</v>
      </c>
      <c r="I39" s="1788"/>
      <c r="J39" s="682">
        <f t="shared" si="9"/>
        <v>0</v>
      </c>
      <c r="K39" s="377"/>
      <c r="L39" s="683">
        <f t="shared" si="6"/>
        <v>0</v>
      </c>
      <c r="M39" s="682">
        <f t="shared" si="7"/>
        <v>0</v>
      </c>
      <c r="N39" s="1783"/>
      <c r="O39" s="1324"/>
    </row>
    <row r="40" spans="1:16">
      <c r="A40" s="100">
        <v>22</v>
      </c>
      <c r="B40" s="1758" t="s">
        <v>593</v>
      </c>
      <c r="C40" s="1767" t="s">
        <v>548</v>
      </c>
      <c r="D40" s="1768"/>
      <c r="E40" s="1003">
        <f t="shared" si="8"/>
        <v>0</v>
      </c>
      <c r="F40" s="1763"/>
      <c r="G40" s="377"/>
      <c r="H40" s="683">
        <f>SUMIF(INPUT!$L$231:$L$522,'S&amp;U Recon'!A40,INPUT!$H$231:$H$522)+SUMIFS('COST REPORT'!$F$9:$F$998,'COST REPORT'!$M$9:$M$998,'S&amp;U Recon'!A40,'COST REPORT'!$I$9:$I$998,"CLOSE")</f>
        <v>0</v>
      </c>
      <c r="I40" s="1788"/>
      <c r="J40" s="682">
        <f t="shared" si="9"/>
        <v>0</v>
      </c>
      <c r="K40" s="377"/>
      <c r="L40" s="683">
        <f t="shared" si="6"/>
        <v>0</v>
      </c>
      <c r="M40" s="682">
        <f t="shared" si="7"/>
        <v>0</v>
      </c>
      <c r="N40" s="1782"/>
      <c r="O40" s="1324"/>
    </row>
    <row r="41" spans="1:16">
      <c r="A41" s="100">
        <v>23</v>
      </c>
      <c r="B41" s="1758" t="s">
        <v>594</v>
      </c>
      <c r="C41" s="1767" t="s">
        <v>548</v>
      </c>
      <c r="D41" s="1768"/>
      <c r="E41" s="1003">
        <f t="shared" si="8"/>
        <v>0</v>
      </c>
      <c r="F41" s="1763"/>
      <c r="G41" s="377"/>
      <c r="H41" s="683">
        <f>SUMIF(INPUT!$L$231:$L$522,'S&amp;U Recon'!A41,INPUT!$H$231:$H$522)+SUMIFS('COST REPORT'!$F$9:$F$998,'COST REPORT'!$M$9:$M$998,'S&amp;U Recon'!A41,'COST REPORT'!$I$9:$I$998,"CLOSE")</f>
        <v>0</v>
      </c>
      <c r="I41" s="1788"/>
      <c r="J41" s="682">
        <f t="shared" si="9"/>
        <v>0</v>
      </c>
      <c r="K41" s="377"/>
      <c r="L41" s="683">
        <f t="shared" si="6"/>
        <v>0</v>
      </c>
      <c r="M41" s="682">
        <f t="shared" si="7"/>
        <v>0</v>
      </c>
      <c r="N41" s="1782"/>
      <c r="O41" s="1324"/>
    </row>
    <row r="42" spans="1:16">
      <c r="A42" s="100">
        <v>24</v>
      </c>
      <c r="B42" s="1758" t="s">
        <v>595</v>
      </c>
      <c r="C42" s="1767" t="s">
        <v>548</v>
      </c>
      <c r="D42" s="1768"/>
      <c r="E42" s="1003">
        <f t="shared" si="8"/>
        <v>0</v>
      </c>
      <c r="F42" s="1763"/>
      <c r="G42" s="377"/>
      <c r="H42" s="683">
        <f>SUMIF(INPUT!$L$231:$L$522,'S&amp;U Recon'!A42,INPUT!$H$231:$H$522)+SUMIFS('COST REPORT'!$F$9:$F$998,'COST REPORT'!$M$9:$M$998,'S&amp;U Recon'!A42,'COST REPORT'!$I$9:$I$998,"CLOSE")</f>
        <v>0</v>
      </c>
      <c r="I42" s="1788"/>
      <c r="J42" s="682">
        <f t="shared" si="9"/>
        <v>0</v>
      </c>
      <c r="K42" s="377"/>
      <c r="L42" s="683">
        <f t="shared" si="6"/>
        <v>0</v>
      </c>
      <c r="M42" s="682">
        <f t="shared" si="7"/>
        <v>0</v>
      </c>
      <c r="N42" s="1782"/>
      <c r="O42" s="1324"/>
    </row>
    <row r="43" spans="1:16">
      <c r="A43" s="100">
        <v>25</v>
      </c>
      <c r="B43" s="1758" t="s">
        <v>596</v>
      </c>
      <c r="C43" s="1767" t="s">
        <v>548</v>
      </c>
      <c r="D43" s="1768"/>
      <c r="E43" s="1003">
        <f t="shared" si="8"/>
        <v>0</v>
      </c>
      <c r="F43" s="1763"/>
      <c r="G43" s="377"/>
      <c r="H43" s="683">
        <f>SUMIF(INPUT!$L$231:$L$522,'S&amp;U Recon'!A43,INPUT!$H$231:$H$522)+SUMIFS('COST REPORT'!$F$9:$F$998,'COST REPORT'!$M$9:$M$998,'S&amp;U Recon'!A43,'COST REPORT'!$I$9:$I$998,"CLOSE")</f>
        <v>0</v>
      </c>
      <c r="I43" s="1788"/>
      <c r="J43" s="682">
        <f t="shared" si="9"/>
        <v>0</v>
      </c>
      <c r="K43" s="377"/>
      <c r="L43" s="683">
        <f t="shared" si="6"/>
        <v>0</v>
      </c>
      <c r="M43" s="682">
        <f t="shared" si="7"/>
        <v>0</v>
      </c>
      <c r="N43" s="1782"/>
      <c r="O43" s="1324"/>
    </row>
    <row r="44" spans="1:16">
      <c r="A44" s="100">
        <v>26</v>
      </c>
      <c r="B44" s="1758" t="s">
        <v>597</v>
      </c>
      <c r="C44" s="1767" t="s">
        <v>548</v>
      </c>
      <c r="D44" s="1768"/>
      <c r="E44" s="1003">
        <f t="shared" si="8"/>
        <v>0</v>
      </c>
      <c r="F44" s="1763"/>
      <c r="G44" s="377"/>
      <c r="H44" s="683">
        <f>SUMIF(INPUT!$L$231:$L$522,'S&amp;U Recon'!A44,INPUT!$H$231:$H$522)+SUMIFS('COST REPORT'!$F$9:$F$998,'COST REPORT'!$M$9:$M$998,'S&amp;U Recon'!A44,'COST REPORT'!$I$9:$I$998,"CLOSE")</f>
        <v>0</v>
      </c>
      <c r="I44" s="1788"/>
      <c r="J44" s="682">
        <f t="shared" si="9"/>
        <v>0</v>
      </c>
      <c r="K44" s="377"/>
      <c r="L44" s="683">
        <f t="shared" si="6"/>
        <v>0</v>
      </c>
      <c r="M44" s="682">
        <f t="shared" si="7"/>
        <v>0</v>
      </c>
      <c r="N44" s="1782"/>
      <c r="O44" s="1324"/>
    </row>
    <row r="45" spans="1:16">
      <c r="A45" s="100">
        <v>27</v>
      </c>
      <c r="B45" s="1758"/>
      <c r="C45" s="1767"/>
      <c r="D45" s="1768"/>
      <c r="E45" s="1003">
        <f t="shared" si="8"/>
        <v>0</v>
      </c>
      <c r="F45" s="1763"/>
      <c r="G45" s="377"/>
      <c r="H45" s="683">
        <f>SUMIF(INPUT!$L$231:$L$522,'S&amp;U Recon'!A45,INPUT!$H$231:$H$522)+SUMIFS('COST REPORT'!$F$9:$F$998,'COST REPORT'!$M$9:$M$998,'S&amp;U Recon'!A45,'COST REPORT'!$I$9:$I$998,"CLOSE")</f>
        <v>0</v>
      </c>
      <c r="I45" s="1788"/>
      <c r="J45" s="682">
        <f t="shared" si="9"/>
        <v>0</v>
      </c>
      <c r="K45" s="377"/>
      <c r="L45" s="683">
        <f t="shared" si="6"/>
        <v>0</v>
      </c>
      <c r="M45" s="682">
        <f t="shared" si="7"/>
        <v>0</v>
      </c>
      <c r="N45" s="1782"/>
      <c r="O45" s="1324"/>
    </row>
    <row r="46" spans="1:16" ht="15.75" thickBot="1">
      <c r="A46" s="100">
        <v>28</v>
      </c>
      <c r="B46" s="1758"/>
      <c r="C46" s="1767"/>
      <c r="D46" s="1768"/>
      <c r="E46" s="1003">
        <f t="shared" si="8"/>
        <v>0</v>
      </c>
      <c r="F46" s="1763"/>
      <c r="G46" s="377"/>
      <c r="H46" s="683">
        <f>SUMIF(INPUT!$L$231:$L$522,'S&amp;U Recon'!A46,INPUT!$H$231:$H$522)+SUMIFS('COST REPORT'!$F$9:$F$998,'COST REPORT'!$M$9:$M$998,'S&amp;U Recon'!A46,'COST REPORT'!$I$9:$I$998,"CLOSE")</f>
        <v>0</v>
      </c>
      <c r="I46" s="1788"/>
      <c r="J46" s="682">
        <f t="shared" si="9"/>
        <v>0</v>
      </c>
      <c r="K46" s="377"/>
      <c r="L46" s="683">
        <f t="shared" si="6"/>
        <v>0</v>
      </c>
      <c r="M46" s="682">
        <f t="shared" si="7"/>
        <v>0</v>
      </c>
      <c r="N46" s="1782"/>
      <c r="O46" s="1324"/>
    </row>
    <row r="47" spans="1:16" ht="15.75" thickBot="1">
      <c r="A47" s="395">
        <v>29</v>
      </c>
      <c r="B47" s="693" t="s">
        <v>574</v>
      </c>
      <c r="C47" s="1032" t="s">
        <v>548</v>
      </c>
      <c r="D47" s="1768">
        <f>-D23</f>
        <v>0</v>
      </c>
      <c r="E47" s="1003">
        <f t="shared" si="8"/>
        <v>0</v>
      </c>
      <c r="F47" s="1763"/>
      <c r="G47" s="377"/>
      <c r="H47" s="683">
        <f>-H23</f>
        <v>225273318.66</v>
      </c>
      <c r="I47" s="1788">
        <v>0</v>
      </c>
      <c r="J47" s="682">
        <f>H47</f>
        <v>225273318.66</v>
      </c>
      <c r="K47" s="377"/>
      <c r="L47" s="683">
        <f t="shared" si="6"/>
        <v>225273318.66</v>
      </c>
      <c r="M47" s="682">
        <f t="shared" si="7"/>
        <v>225273318.66</v>
      </c>
      <c r="N47" s="1782"/>
      <c r="O47" s="1324"/>
    </row>
    <row r="48" spans="1:16" ht="15.75" thickBot="1">
      <c r="A48" s="369">
        <v>30</v>
      </c>
      <c r="B48" s="684" t="s">
        <v>571</v>
      </c>
      <c r="C48" s="685" t="s">
        <v>548</v>
      </c>
      <c r="D48" s="1769"/>
      <c r="E48" s="1003">
        <f t="shared" si="8"/>
        <v>0</v>
      </c>
      <c r="F48" s="1770"/>
      <c r="G48" s="377"/>
      <c r="H48" s="683">
        <f>SUMIF(INPUT!$L$231:$L$522,'S&amp;U Recon'!A48,INPUT!$H$231:$H$522)+SUMIFS('COST REPORT'!$F$9:$F$998,'COST REPORT'!$M$9:$M$998,'S&amp;U Recon'!A48,'COST REPORT'!$I$9:$I$998,"CLOSE")</f>
        <v>0</v>
      </c>
      <c r="I48" s="688">
        <f>-H48</f>
        <v>0</v>
      </c>
      <c r="J48" s="686">
        <f>H48+I48</f>
        <v>0</v>
      </c>
      <c r="K48" s="377"/>
      <c r="L48" s="687">
        <f t="shared" si="6"/>
        <v>0</v>
      </c>
      <c r="M48" s="686">
        <f t="shared" si="7"/>
        <v>0</v>
      </c>
      <c r="N48" s="1784"/>
      <c r="O48" s="1324"/>
      <c r="P48" s="370" t="s">
        <v>568</v>
      </c>
    </row>
    <row r="49" spans="1:17" ht="42.75" customHeight="1" thickBot="1">
      <c r="A49" s="20"/>
      <c r="B49" s="203" t="s">
        <v>598</v>
      </c>
      <c r="C49" s="144"/>
      <c r="D49" s="375">
        <f>SUM(D29:D48)</f>
        <v>0</v>
      </c>
      <c r="E49" s="453">
        <f t="shared" ref="E49:M49" si="10">SUM(E29:E48)</f>
        <v>0</v>
      </c>
      <c r="F49" s="376">
        <f t="shared" si="10"/>
        <v>0</v>
      </c>
      <c r="G49" s="382"/>
      <c r="H49" s="375">
        <f t="shared" si="10"/>
        <v>228663591</v>
      </c>
      <c r="I49" s="453">
        <f t="shared" si="10"/>
        <v>0</v>
      </c>
      <c r="J49" s="376">
        <f t="shared" si="10"/>
        <v>228663591</v>
      </c>
      <c r="K49" s="382"/>
      <c r="L49" s="375">
        <f t="shared" si="10"/>
        <v>228663591</v>
      </c>
      <c r="M49" s="376">
        <f t="shared" si="10"/>
        <v>228663591</v>
      </c>
      <c r="N49" s="145"/>
      <c r="O49" s="1324"/>
    </row>
    <row r="50" spans="1:17">
      <c r="A50" s="100"/>
      <c r="B50" s="20" t="s">
        <v>574</v>
      </c>
      <c r="C50" s="100"/>
      <c r="D50" s="1771">
        <f>D23</f>
        <v>0</v>
      </c>
      <c r="E50" s="454"/>
      <c r="F50" s="378">
        <f>D50</f>
        <v>0</v>
      </c>
      <c r="G50" s="377"/>
      <c r="H50" s="379">
        <f>-H47</f>
        <v>-225273318.66</v>
      </c>
      <c r="I50" s="454"/>
      <c r="J50" s="378">
        <f>H50</f>
        <v>-225273318.66</v>
      </c>
      <c r="K50" s="377"/>
      <c r="L50" s="379">
        <f>H50-D50</f>
        <v>-225273318.66</v>
      </c>
      <c r="M50" s="378">
        <f>J50-F50</f>
        <v>-225273318.66</v>
      </c>
      <c r="N50" s="114"/>
      <c r="O50" s="1324"/>
    </row>
    <row r="51" spans="1:17">
      <c r="A51" s="100"/>
      <c r="B51" s="20" t="s">
        <v>575</v>
      </c>
      <c r="C51" s="100" t="s">
        <v>548</v>
      </c>
      <c r="D51" s="1771">
        <f>D24</f>
        <v>0</v>
      </c>
      <c r="E51" s="454"/>
      <c r="F51" s="378">
        <f>D51</f>
        <v>0</v>
      </c>
      <c r="G51" s="377"/>
      <c r="H51" s="379">
        <f>C72</f>
        <v>0</v>
      </c>
      <c r="I51" s="454">
        <v>0</v>
      </c>
      <c r="J51" s="378">
        <f>H51+I51</f>
        <v>0</v>
      </c>
      <c r="K51" s="377"/>
      <c r="L51" s="379">
        <f>H51-D51</f>
        <v>0</v>
      </c>
      <c r="M51" s="378">
        <f>J51-F51</f>
        <v>0</v>
      </c>
      <c r="N51" s="1781"/>
      <c r="O51" s="1324"/>
      <c r="P51" s="370" t="s">
        <v>599</v>
      </c>
    </row>
    <row r="52" spans="1:17" ht="15.75" thickBot="1">
      <c r="A52" s="20"/>
      <c r="B52" s="204" t="s">
        <v>577</v>
      </c>
      <c r="C52" s="146"/>
      <c r="D52" s="1320">
        <f>SUM(D49:D51)</f>
        <v>0</v>
      </c>
      <c r="E52" s="1321">
        <f>SUM(E49:E51)</f>
        <v>0</v>
      </c>
      <c r="F52" s="1323">
        <f>SUM(F49:F51)</f>
        <v>0</v>
      </c>
      <c r="G52" s="382"/>
      <c r="H52" s="1317">
        <f>SUM(H49:H51)</f>
        <v>3390272.3400000036</v>
      </c>
      <c r="I52" s="1318">
        <f>SUM(I49:I51)</f>
        <v>0</v>
      </c>
      <c r="J52" s="1319">
        <f>SUM(J49:J51)</f>
        <v>3390272.3400000036</v>
      </c>
      <c r="K52" s="382"/>
      <c r="L52" s="1341">
        <f>SUM(L49:L51)</f>
        <v>3390272.3400000036</v>
      </c>
      <c r="M52" s="1343">
        <f>SUM(M49:M51)</f>
        <v>3390272.3400000036</v>
      </c>
      <c r="N52" s="466"/>
      <c r="O52" s="1324"/>
      <c r="P52" s="384" t="str">
        <f>IF(INPUT!E126="construction",'Project Budget Summary'!C178,"")</f>
        <v/>
      </c>
      <c r="Q52" s="95" t="str">
        <f>IF(P52="","","&lt;&lt; total capitalization per construction budget")</f>
        <v/>
      </c>
    </row>
    <row r="53" spans="1:17" ht="15.75" thickTop="1">
      <c r="A53" s="20"/>
      <c r="B53" s="25"/>
      <c r="C53" s="100"/>
      <c r="D53" s="382"/>
      <c r="E53" s="382"/>
      <c r="F53" s="382"/>
      <c r="G53" s="382"/>
      <c r="H53" s="377"/>
      <c r="I53" s="377"/>
      <c r="J53" s="377"/>
      <c r="K53" s="377"/>
      <c r="L53" s="377"/>
      <c r="M53" s="377"/>
      <c r="N53" s="20"/>
      <c r="O53" s="20"/>
      <c r="P53" s="384"/>
    </row>
    <row r="54" spans="1:17" ht="15.75" thickBot="1">
      <c r="A54" s="20"/>
      <c r="B54" s="20"/>
      <c r="C54" s="100"/>
      <c r="D54" s="383"/>
      <c r="E54" s="377"/>
      <c r="F54" s="377"/>
      <c r="G54" s="377"/>
      <c r="H54" s="377">
        <f>H52-H25</f>
        <v>0</v>
      </c>
      <c r="I54" s="377"/>
      <c r="J54" s="377"/>
      <c r="K54" s="377"/>
      <c r="L54" s="116" t="s">
        <v>560</v>
      </c>
      <c r="M54" s="117"/>
      <c r="N54" s="20"/>
      <c r="O54" s="20"/>
    </row>
    <row r="55" spans="1:17" ht="15.75" thickBot="1">
      <c r="A55" s="20"/>
      <c r="B55" s="20"/>
      <c r="C55" s="100"/>
      <c r="D55" s="377"/>
      <c r="E55" s="377"/>
      <c r="F55" s="398"/>
      <c r="G55" s="377"/>
      <c r="H55" s="384"/>
      <c r="I55" s="377"/>
      <c r="J55" s="377"/>
      <c r="K55" s="377"/>
      <c r="L55" s="462" t="s">
        <v>11</v>
      </c>
      <c r="M55" s="460" t="s">
        <v>22</v>
      </c>
      <c r="N55" s="20"/>
      <c r="O55" s="20"/>
    </row>
    <row r="56" spans="1:17">
      <c r="A56" s="20"/>
      <c r="B56" s="173" t="s">
        <v>600</v>
      </c>
      <c r="C56" s="174"/>
      <c r="D56" s="385">
        <f>D52</f>
        <v>0</v>
      </c>
      <c r="E56" s="385">
        <f>E52</f>
        <v>0</v>
      </c>
      <c r="F56" s="386">
        <f>D56+E56</f>
        <v>0</v>
      </c>
      <c r="G56" s="382"/>
      <c r="H56" s="1859">
        <f>H52</f>
        <v>3390272.3400000036</v>
      </c>
      <c r="I56" s="456">
        <f>I52</f>
        <v>0</v>
      </c>
      <c r="J56" s="1867">
        <f>J52</f>
        <v>3390272.3400000036</v>
      </c>
      <c r="K56" s="382"/>
      <c r="L56" s="463">
        <f t="shared" ref="L56:L61" si="11">H56-D56</f>
        <v>3390272.3400000036</v>
      </c>
      <c r="M56" s="461">
        <f t="shared" ref="M56:M61" si="12">J56-F56</f>
        <v>3390272.3400000036</v>
      </c>
      <c r="N56" s="1778"/>
      <c r="O56" s="1324"/>
    </row>
    <row r="57" spans="1:17">
      <c r="A57" s="20"/>
      <c r="B57" s="22" t="s">
        <v>601</v>
      </c>
      <c r="C57" s="100"/>
      <c r="D57" s="387">
        <f>-SUMIF($C$29:$C$48,"Expense",$D$29:$D$48)</f>
        <v>0</v>
      </c>
      <c r="E57" s="387">
        <f>-SUMIF($C$29:$C$48,"Expense",E29:E48)</f>
        <v>0</v>
      </c>
      <c r="F57" s="388">
        <f>D57+E57</f>
        <v>0</v>
      </c>
      <c r="G57" s="1856"/>
      <c r="H57" s="1860">
        <f>-SUMIF($C$29:$C$48,"Expense",H29:H48)</f>
        <v>-321272.34000000003</v>
      </c>
      <c r="I57" s="457">
        <f>-SUMIF($C$29:$C$48,"Expense",I29:I48)</f>
        <v>0</v>
      </c>
      <c r="J57" s="1868">
        <f>-SUMIF($C$29:$C$48,"Expense",J29:J48)</f>
        <v>-321272.34000000003</v>
      </c>
      <c r="K57" s="1856"/>
      <c r="L57" s="464">
        <f t="shared" si="11"/>
        <v>-321272.34000000003</v>
      </c>
      <c r="M57" s="378">
        <f t="shared" si="12"/>
        <v>-321272.34000000003</v>
      </c>
      <c r="N57" s="1779"/>
      <c r="O57" s="1324"/>
    </row>
    <row r="58" spans="1:17">
      <c r="A58" s="20"/>
      <c r="B58" s="22" t="s">
        <v>602</v>
      </c>
      <c r="C58" s="100"/>
      <c r="D58" s="387">
        <f>-SUMIF(C12:C21,"Seller Credit",D12:D21)</f>
        <v>0</v>
      </c>
      <c r="E58" s="387">
        <f>-SUMIF(C12:C21,"Seller Credit",E12:E21)</f>
        <v>0</v>
      </c>
      <c r="F58" s="388">
        <f>D58+E58</f>
        <v>0</v>
      </c>
      <c r="G58" s="1856"/>
      <c r="H58" s="1860">
        <f>-SUMIF($C$12:$C$21,"seller credit",H12:H21)</f>
        <v>0</v>
      </c>
      <c r="I58" s="1860">
        <f>SUMIF($C$12:$C$21,"seller credit",I12:I21)</f>
        <v>0</v>
      </c>
      <c r="J58" s="1957">
        <f>SUMIF($C$12:$C$21,"seller credit",J12:J21)</f>
        <v>0</v>
      </c>
      <c r="K58" s="1856"/>
      <c r="L58" s="464">
        <f t="shared" si="11"/>
        <v>0</v>
      </c>
      <c r="M58" s="378">
        <f t="shared" si="12"/>
        <v>0</v>
      </c>
      <c r="N58" s="1779"/>
      <c r="O58" s="1324"/>
    </row>
    <row r="59" spans="1:17">
      <c r="A59" s="20"/>
      <c r="B59" s="373" t="s">
        <v>603</v>
      </c>
      <c r="C59" s="374"/>
      <c r="D59" s="389">
        <f t="shared" ref="D59:J59" si="13">SUM(D56:D58)</f>
        <v>0</v>
      </c>
      <c r="E59" s="389">
        <f t="shared" si="13"/>
        <v>0</v>
      </c>
      <c r="F59" s="397">
        <f t="shared" si="13"/>
        <v>0</v>
      </c>
      <c r="G59" s="382"/>
      <c r="H59" s="465">
        <f t="shared" si="13"/>
        <v>3069000.0000000037</v>
      </c>
      <c r="I59" s="458">
        <f t="shared" si="13"/>
        <v>0</v>
      </c>
      <c r="J59" s="1869">
        <f t="shared" si="13"/>
        <v>3069000.0000000037</v>
      </c>
      <c r="K59" s="382"/>
      <c r="L59" s="465">
        <f t="shared" si="11"/>
        <v>3069000.0000000037</v>
      </c>
      <c r="M59" s="397">
        <f t="shared" si="12"/>
        <v>3069000.0000000037</v>
      </c>
      <c r="N59" s="1779"/>
      <c r="O59" s="1324"/>
    </row>
    <row r="60" spans="1:17">
      <c r="A60" s="20"/>
      <c r="B60" s="107" t="s">
        <v>604</v>
      </c>
      <c r="C60" s="2430"/>
      <c r="D60" s="390">
        <f t="shared" ref="D60:J60" si="14">-SUMIF($C$12:$C$21,"Debt",D12:D21)</f>
        <v>0</v>
      </c>
      <c r="E60" s="390">
        <f t="shared" si="14"/>
        <v>0</v>
      </c>
      <c r="F60" s="391">
        <f t="shared" si="14"/>
        <v>0</v>
      </c>
      <c r="G60" s="1857"/>
      <c r="H60" s="1861">
        <f t="shared" si="14"/>
        <v>-228663591</v>
      </c>
      <c r="I60" s="459">
        <f t="shared" si="14"/>
        <v>-78236409</v>
      </c>
      <c r="J60" s="1870">
        <f t="shared" si="14"/>
        <v>-306900000</v>
      </c>
      <c r="K60" s="1857"/>
      <c r="L60" s="464">
        <f t="shared" si="11"/>
        <v>-228663591</v>
      </c>
      <c r="M60" s="378">
        <f t="shared" si="12"/>
        <v>-306900000</v>
      </c>
      <c r="N60" s="1779"/>
      <c r="O60" s="1324"/>
    </row>
    <row r="61" spans="1:17" ht="15.75" thickBot="1">
      <c r="A61" s="20"/>
      <c r="B61" s="142" t="s">
        <v>548</v>
      </c>
      <c r="C61" s="105"/>
      <c r="D61" s="380">
        <f>D59+D60</f>
        <v>0</v>
      </c>
      <c r="E61" s="380">
        <f>E59+E60</f>
        <v>0</v>
      </c>
      <c r="F61" s="381">
        <f>F59+F60</f>
        <v>0</v>
      </c>
      <c r="G61" s="382"/>
      <c r="H61" s="467">
        <f>H59+H60</f>
        <v>-225594591</v>
      </c>
      <c r="I61" s="455">
        <f>I59+I60</f>
        <v>-78236409</v>
      </c>
      <c r="J61" s="1871">
        <f>J59+J60</f>
        <v>-303831000</v>
      </c>
      <c r="K61" s="382"/>
      <c r="L61" s="467">
        <f t="shared" si="11"/>
        <v>-225594591</v>
      </c>
      <c r="M61" s="381">
        <f t="shared" si="12"/>
        <v>-303831000</v>
      </c>
      <c r="N61" s="1780"/>
      <c r="O61" s="1874"/>
      <c r="P61" s="882" t="s">
        <v>605</v>
      </c>
    </row>
    <row r="62" spans="1:17" ht="15.75" thickTop="1">
      <c r="A62" s="20"/>
      <c r="B62" s="20"/>
      <c r="C62" s="100"/>
      <c r="D62" s="20"/>
      <c r="E62" s="20"/>
      <c r="F62" s="20"/>
      <c r="G62" s="20"/>
      <c r="H62" s="394"/>
      <c r="I62" s="377"/>
      <c r="J62" s="20"/>
      <c r="K62" s="20"/>
      <c r="L62" s="20"/>
      <c r="M62" s="20"/>
      <c r="N62" s="20"/>
      <c r="O62" s="20"/>
    </row>
    <row r="63" spans="1:17" ht="15.75" thickBot="1">
      <c r="A63" s="20"/>
      <c r="B63" s="20"/>
      <c r="C63" s="1958" t="s">
        <v>606</v>
      </c>
      <c r="D63" s="20"/>
      <c r="E63" s="20"/>
      <c r="F63" s="20"/>
      <c r="G63" s="20"/>
      <c r="H63" s="20"/>
      <c r="I63" s="20"/>
      <c r="J63" s="20"/>
      <c r="K63" s="20"/>
      <c r="L63" s="20"/>
      <c r="M63" s="20"/>
      <c r="N63" s="20"/>
      <c r="O63" s="20"/>
    </row>
    <row r="64" spans="1:17" ht="30">
      <c r="A64" s="20"/>
      <c r="B64" s="175" t="s">
        <v>607</v>
      </c>
      <c r="C64" s="176"/>
      <c r="D64" s="177"/>
      <c r="E64" s="177"/>
      <c r="F64" s="158"/>
      <c r="G64" s="20"/>
      <c r="H64" s="20"/>
      <c r="I64" s="20"/>
      <c r="J64" s="724" t="s">
        <v>608</v>
      </c>
      <c r="K64" s="1862"/>
      <c r="L64" s="177"/>
      <c r="M64" s="772"/>
      <c r="N64" s="1324" t="s">
        <v>609</v>
      </c>
      <c r="O64" s="20"/>
    </row>
    <row r="65" spans="1:20">
      <c r="A65" s="20"/>
      <c r="B65" s="178" t="s">
        <v>610</v>
      </c>
      <c r="C65" s="106" t="s">
        <v>226</v>
      </c>
      <c r="D65" s="104" t="s">
        <v>611</v>
      </c>
      <c r="E65" s="104"/>
      <c r="F65" s="1872"/>
      <c r="G65" s="25"/>
      <c r="H65" s="20"/>
      <c r="I65" s="20"/>
      <c r="J65" s="725">
        <f>IF(OR(INPUT!E126="construction",INPUT!E126="heavy renovation"),'Project Budget Summary'!C191+'Project Budget Summary'!C186,0)</f>
        <v>0</v>
      </c>
      <c r="K65" s="408"/>
      <c r="L65" s="20" t="s">
        <v>612</v>
      </c>
      <c r="M65" s="108"/>
      <c r="N65" s="20"/>
      <c r="O65" s="20"/>
    </row>
    <row r="66" spans="1:20">
      <c r="A66" s="20"/>
      <c r="B66" s="696" t="s">
        <v>432</v>
      </c>
      <c r="C66" s="1772"/>
      <c r="D66" s="1773"/>
      <c r="E66" s="697"/>
      <c r="F66" s="698"/>
      <c r="G66" s="20"/>
      <c r="H66" s="20"/>
      <c r="I66" s="20"/>
      <c r="J66" s="726" t="s">
        <v>439</v>
      </c>
      <c r="K66" s="1863"/>
      <c r="L66" s="20"/>
      <c r="M66" s="108"/>
      <c r="N66" s="20"/>
      <c r="O66" s="20"/>
    </row>
    <row r="67" spans="1:20" ht="15.75" thickBot="1">
      <c r="A67" s="20"/>
      <c r="B67" s="693" t="s">
        <v>613</v>
      </c>
      <c r="C67" s="1774"/>
      <c r="D67" s="1775"/>
      <c r="E67" s="695"/>
      <c r="F67" s="699"/>
      <c r="G67" s="20"/>
      <c r="H67" s="20"/>
      <c r="I67" s="20"/>
      <c r="J67" s="727">
        <f>IF(J65=0,0,J65-J61)</f>
        <v>0</v>
      </c>
      <c r="K67" s="1864"/>
      <c r="L67" s="24" t="s">
        <v>614</v>
      </c>
      <c r="M67" s="110"/>
      <c r="N67" s="20"/>
      <c r="O67" s="20"/>
    </row>
    <row r="68" spans="1:20" ht="15.75" thickBot="1">
      <c r="A68" s="20"/>
      <c r="B68" s="693" t="s">
        <v>615</v>
      </c>
      <c r="C68" s="1774"/>
      <c r="D68" s="1775"/>
      <c r="E68" s="695"/>
      <c r="F68" s="699"/>
      <c r="G68" s="20"/>
      <c r="H68" s="20"/>
      <c r="I68" s="20"/>
      <c r="J68" s="20"/>
      <c r="K68" s="20"/>
      <c r="L68" s="20"/>
      <c r="M68" s="20"/>
      <c r="N68" s="20"/>
      <c r="O68" s="20"/>
    </row>
    <row r="69" spans="1:20" ht="30">
      <c r="A69" s="20"/>
      <c r="B69" s="700" t="s">
        <v>616</v>
      </c>
      <c r="C69" s="1776"/>
      <c r="D69" s="1777"/>
      <c r="E69" s="701"/>
      <c r="F69" s="702"/>
      <c r="G69" s="20"/>
      <c r="H69" s="20"/>
      <c r="I69" s="20"/>
      <c r="J69" s="1613" t="s">
        <v>617</v>
      </c>
      <c r="K69" s="177"/>
      <c r="L69" s="177"/>
      <c r="M69" s="461">
        <f>IF(OR(INPUT!E126="Construction",INPUT!E126="Heavy Renovation"),H21+H23+H24,0)</f>
        <v>0</v>
      </c>
      <c r="N69" s="1324" t="s">
        <v>609</v>
      </c>
      <c r="O69" s="20"/>
    </row>
    <row r="70" spans="1:20">
      <c r="A70" s="20"/>
      <c r="B70" s="703" t="s">
        <v>618</v>
      </c>
      <c r="C70" s="704">
        <f>SUM(C66:C69)</f>
        <v>0</v>
      </c>
      <c r="D70" s="532"/>
      <c r="E70" s="550"/>
      <c r="F70" s="705"/>
      <c r="G70" s="25"/>
      <c r="H70" s="20"/>
      <c r="I70" s="20"/>
      <c r="J70" s="22" t="s">
        <v>619</v>
      </c>
      <c r="K70" s="20"/>
      <c r="L70" s="20"/>
      <c r="M70" s="378">
        <f>IF(OR(INPUT!E126="Construction",INPUT!E126="Heavy Reovation"),'Project Budget Summary'!F191,0)</f>
        <v>0</v>
      </c>
      <c r="N70" s="20"/>
      <c r="O70" s="20"/>
    </row>
    <row r="71" spans="1:20" ht="45" customHeight="1" thickBot="1">
      <c r="A71" s="20"/>
      <c r="B71" s="141" t="s">
        <v>620</v>
      </c>
      <c r="C71" s="1855">
        <v>0</v>
      </c>
      <c r="D71" s="1479" t="s">
        <v>621</v>
      </c>
      <c r="E71" s="2573" t="s">
        <v>622</v>
      </c>
      <c r="F71" s="2574"/>
      <c r="G71" s="1324"/>
      <c r="H71" s="20"/>
      <c r="I71" s="20"/>
      <c r="J71" s="23" t="s">
        <v>623</v>
      </c>
      <c r="K71" s="24"/>
      <c r="L71" s="24"/>
      <c r="M71" s="773">
        <f>M69-M70</f>
        <v>0</v>
      </c>
      <c r="N71" s="20"/>
      <c r="O71" s="20"/>
      <c r="P71" s="367" t="s">
        <v>624</v>
      </c>
      <c r="Q71" s="396"/>
      <c r="R71" s="396"/>
      <c r="S71" s="396"/>
      <c r="T71" s="396"/>
    </row>
    <row r="72" spans="1:20" ht="15.75" thickBot="1">
      <c r="A72" s="20"/>
      <c r="B72" s="179" t="s">
        <v>625</v>
      </c>
      <c r="C72" s="393">
        <f>C70+C71</f>
        <v>0</v>
      </c>
      <c r="D72" s="2417"/>
      <c r="E72" s="24"/>
      <c r="F72" s="110"/>
      <c r="G72" s="20"/>
      <c r="H72" s="20"/>
      <c r="I72" s="20"/>
      <c r="J72" s="20"/>
      <c r="K72" s="20"/>
      <c r="L72" s="20"/>
      <c r="M72" s="20"/>
      <c r="N72" s="20"/>
      <c r="O72" s="20"/>
    </row>
    <row r="73" spans="1:20">
      <c r="A73" s="20"/>
      <c r="B73" s="20"/>
      <c r="C73" s="20"/>
      <c r="D73" s="20"/>
      <c r="E73" s="20"/>
      <c r="F73" s="20"/>
      <c r="G73" s="20"/>
      <c r="H73" s="20"/>
      <c r="I73" s="20"/>
      <c r="J73" s="20"/>
      <c r="K73" s="20"/>
      <c r="L73" s="20"/>
      <c r="M73" s="20"/>
      <c r="N73" s="20"/>
      <c r="O73" s="20"/>
    </row>
    <row r="74" spans="1:20" ht="15.75" thickBot="1">
      <c r="A74" s="20"/>
      <c r="B74" s="20"/>
      <c r="C74" s="20"/>
      <c r="D74" s="20"/>
      <c r="E74" s="20"/>
      <c r="F74" s="20"/>
      <c r="G74" s="20"/>
      <c r="H74" s="20"/>
      <c r="I74" s="20"/>
      <c r="J74" s="20"/>
      <c r="K74" s="20"/>
      <c r="L74" s="20"/>
      <c r="M74" s="20"/>
      <c r="N74" s="20"/>
      <c r="O74" s="20"/>
    </row>
    <row r="75" spans="1:20">
      <c r="A75" s="20"/>
      <c r="B75" s="173" t="s">
        <v>626</v>
      </c>
      <c r="C75" s="177"/>
      <c r="D75" s="177"/>
      <c r="E75" s="177"/>
      <c r="F75" s="177"/>
      <c r="G75" s="177"/>
      <c r="H75" s="177"/>
      <c r="I75" s="177"/>
      <c r="J75" s="177"/>
      <c r="K75" s="177"/>
      <c r="L75" s="177"/>
      <c r="M75" s="158"/>
      <c r="N75" s="20"/>
      <c r="O75" s="20"/>
    </row>
    <row r="76" spans="1:20">
      <c r="A76" s="20"/>
      <c r="B76" s="22" t="s">
        <v>627</v>
      </c>
      <c r="C76" s="20"/>
      <c r="D76" s="377">
        <f>D22-D49</f>
        <v>0</v>
      </c>
      <c r="E76" s="377">
        <f t="shared" ref="E76:M76" si="15">E22-E49</f>
        <v>0</v>
      </c>
      <c r="F76" s="377">
        <f t="shared" si="15"/>
        <v>0</v>
      </c>
      <c r="G76" s="377"/>
      <c r="H76" s="377">
        <f t="shared" si="15"/>
        <v>0</v>
      </c>
      <c r="I76" s="377">
        <f t="shared" si="15"/>
        <v>0</v>
      </c>
      <c r="J76" s="377">
        <f t="shared" si="15"/>
        <v>0</v>
      </c>
      <c r="K76" s="377"/>
      <c r="L76" s="377">
        <f t="shared" si="15"/>
        <v>0</v>
      </c>
      <c r="M76" s="378">
        <f t="shared" si="15"/>
        <v>0</v>
      </c>
      <c r="N76" s="20"/>
      <c r="O76" s="20"/>
    </row>
    <row r="77" spans="1:20" ht="15.75" thickBot="1">
      <c r="A77" s="20"/>
      <c r="B77" s="23" t="s">
        <v>628</v>
      </c>
      <c r="C77" s="24"/>
      <c r="D77" s="398">
        <f>D25-D52</f>
        <v>0</v>
      </c>
      <c r="E77" s="398">
        <f t="shared" ref="E77:M77" si="16">E25-E52</f>
        <v>0</v>
      </c>
      <c r="F77" s="398">
        <f t="shared" si="16"/>
        <v>0</v>
      </c>
      <c r="G77" s="398"/>
      <c r="H77" s="398">
        <f t="shared" si="16"/>
        <v>0</v>
      </c>
      <c r="I77" s="398">
        <f t="shared" si="16"/>
        <v>0</v>
      </c>
      <c r="J77" s="398">
        <f t="shared" si="16"/>
        <v>0</v>
      </c>
      <c r="K77" s="398"/>
      <c r="L77" s="398">
        <f t="shared" si="16"/>
        <v>0</v>
      </c>
      <c r="M77" s="773">
        <f t="shared" si="16"/>
        <v>0</v>
      </c>
      <c r="N77" s="20"/>
      <c r="O77" s="20"/>
    </row>
    <row r="78" spans="1:20">
      <c r="A78" s="20"/>
      <c r="B78" s="20"/>
      <c r="C78" s="20"/>
      <c r="D78" s="20"/>
      <c r="E78" s="20"/>
      <c r="F78" s="20"/>
      <c r="G78" s="20"/>
      <c r="H78" s="20"/>
      <c r="I78" s="20"/>
      <c r="J78" s="20"/>
      <c r="K78" s="20"/>
      <c r="L78" s="20"/>
      <c r="M78" s="20"/>
      <c r="N78" s="20"/>
      <c r="O78" s="20"/>
    </row>
  </sheetData>
  <mergeCells count="5">
    <mergeCell ref="P5:U6"/>
    <mergeCell ref="E71:F71"/>
    <mergeCell ref="H7:J7"/>
    <mergeCell ref="D7:F7"/>
    <mergeCell ref="L7:M7"/>
  </mergeCells>
  <pageMargins left="0.7" right="0.7" top="0.75" bottom="0.75" header="0.3" footer="0.3"/>
  <pageSetup scale="40" fitToHeight="4"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2000000}">
          <x14:formula1>
            <xm:f>'Drop Lists'!$CD$22:$CD$24</xm:f>
          </x14:formula1>
          <xm:sqref>C29:C48</xm:sqref>
        </x14:dataValidation>
        <x14:dataValidation type="list" allowBlank="1" showInputMessage="1" showErrorMessage="1" xr:uid="{00000000-0002-0000-0D00-000005000000}">
          <x14:formula1>
            <xm:f>'Drop Lists'!$E$4:$E$6</xm:f>
          </x14:formula1>
          <xm:sqref>B51</xm:sqref>
        </x14:dataValidation>
        <x14:dataValidation type="list" allowBlank="1" showInputMessage="1" showErrorMessage="1" xr:uid="{00000000-0002-0000-0D00-000004000000}">
          <x14:formula1>
            <xm:f>'Drop Lists'!$CC$21:$CC$81</xm:f>
          </x14:formula1>
          <xm:sqref>B29:B46</xm:sqref>
        </x14:dataValidation>
        <x14:dataValidation type="list" allowBlank="1" showInputMessage="1" showErrorMessage="1" xr:uid="{00000000-0002-0000-0D00-000000000000}">
          <x14:formula1>
            <xm:f>'Drop Lists'!$CS$3:$CS$19</xm:f>
          </x14:formula1>
          <xm:sqref>B12:B14 B20:B21</xm:sqref>
        </x14:dataValidation>
        <x14:dataValidation type="list" allowBlank="1" showInputMessage="1" showErrorMessage="1" xr:uid="{00000000-0002-0000-0D00-000001000000}">
          <x14:formula1>
            <xm:f>'Drop Lists'!$CV$4:$CV$44</xm:f>
          </x14:formula1>
          <xm:sqref>B48</xm:sqref>
        </x14:dataValidation>
        <x14:dataValidation type="list" allowBlank="1" showInputMessage="1" showErrorMessage="1" xr:uid="{00000000-0002-0000-0D00-000003000000}">
          <x14:formula1>
            <xm:f>'Drop Lists'!$CC$3:$CC$19</xm:f>
          </x14:formula1>
          <xm:sqref>B15:B19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1" tint="0.499984740745262"/>
  </sheetPr>
  <dimension ref="A1:CV494"/>
  <sheetViews>
    <sheetView topLeftCell="G1" workbookViewId="0">
      <selection activeCell="O4" sqref="O4:O34"/>
    </sheetView>
  </sheetViews>
  <sheetFormatPr defaultColWidth="9.42578125" defaultRowHeight="15"/>
  <cols>
    <col min="1" max="1" width="36" style="894" customWidth="1"/>
    <col min="2" max="2" width="9.42578125" style="894"/>
    <col min="3" max="3" width="32.85546875" style="894" customWidth="1"/>
    <col min="4" max="4" width="9.42578125" style="894"/>
    <col min="5" max="5" width="33.5703125" style="894" customWidth="1"/>
    <col min="6" max="6" width="9.42578125" style="894"/>
    <col min="7" max="7" width="29.42578125" style="894" customWidth="1"/>
    <col min="8" max="8" width="9.42578125" style="894"/>
    <col min="9" max="9" width="25.5703125" style="894" customWidth="1"/>
    <col min="10" max="10" width="10.42578125" style="894" customWidth="1"/>
    <col min="11" max="11" width="40.42578125" style="894" customWidth="1"/>
    <col min="12" max="12" width="11.5703125" style="894" customWidth="1"/>
    <col min="13" max="13" width="20.140625" style="894" customWidth="1"/>
    <col min="14" max="14" width="9.42578125" style="894"/>
    <col min="15" max="15" width="22.85546875" style="894" customWidth="1"/>
    <col min="16" max="16" width="9.42578125" style="894"/>
    <col min="17" max="17" width="26" style="894" customWidth="1"/>
    <col min="18" max="18" width="10.85546875" style="894" customWidth="1"/>
    <col min="19" max="19" width="29" style="894" customWidth="1"/>
    <col min="20" max="20" width="9.42578125" style="894"/>
    <col min="21" max="21" width="51.7109375" style="894" customWidth="1"/>
    <col min="22" max="22" width="33.5703125" style="894" customWidth="1"/>
    <col min="23" max="23" width="9.42578125" style="894"/>
    <col min="24" max="24" width="29.140625" style="894" customWidth="1"/>
    <col min="25" max="25" width="9.42578125" style="894"/>
    <col min="26" max="26" width="24.5703125" style="894" customWidth="1"/>
    <col min="27" max="27" width="9.42578125" style="894"/>
    <col min="28" max="28" width="23.5703125" style="894" customWidth="1"/>
    <col min="29" max="30" width="9.42578125" style="894"/>
    <col min="31" max="31" width="44.42578125" style="894" customWidth="1"/>
    <col min="32" max="32" width="9.42578125" style="894"/>
    <col min="33" max="33" width="36.42578125" style="894" customWidth="1"/>
    <col min="34" max="34" width="35.85546875" style="894" customWidth="1"/>
    <col min="35" max="35" width="9.42578125" style="894"/>
    <col min="36" max="36" width="38" style="894" customWidth="1"/>
    <col min="37" max="37" width="9.42578125" style="894"/>
    <col min="38" max="38" width="30.42578125" style="894" customWidth="1"/>
    <col min="39" max="39" width="9.42578125" style="894"/>
    <col min="40" max="40" width="38.42578125" style="894" customWidth="1"/>
    <col min="41" max="41" width="9.5703125" style="894" customWidth="1"/>
    <col min="42" max="42" width="32.42578125" style="894" customWidth="1"/>
    <col min="43" max="43" width="9.42578125" style="894"/>
    <col min="44" max="44" width="41.42578125" style="894" customWidth="1"/>
    <col min="45" max="45" width="26.42578125" style="894" customWidth="1"/>
    <col min="46" max="46" width="14.5703125" style="896" customWidth="1"/>
    <col min="47" max="47" width="31" style="894" customWidth="1"/>
    <col min="48" max="48" width="9.42578125" style="894"/>
    <col min="49" max="49" width="69.42578125" style="895" customWidth="1"/>
    <col min="50" max="50" width="55.5703125" style="895" customWidth="1"/>
    <col min="51" max="53" width="42.42578125" style="895" customWidth="1"/>
    <col min="54" max="54" width="8.5703125" style="895" customWidth="1"/>
    <col min="55" max="55" width="34.5703125" style="895" customWidth="1"/>
    <col min="56" max="56" width="42.42578125" style="895" customWidth="1"/>
    <col min="57" max="57" width="9.42578125" style="895"/>
    <col min="58" max="58" width="61.140625" style="894" customWidth="1"/>
    <col min="59" max="59" width="37.42578125" style="894" customWidth="1"/>
    <col min="60" max="60" width="47.42578125" style="896" customWidth="1"/>
    <col min="61" max="61" width="9.42578125" style="894"/>
    <col min="62" max="62" width="33.140625" style="894" customWidth="1"/>
    <col min="63" max="63" width="9.42578125" style="894"/>
    <col min="64" max="64" width="64.42578125" style="894" customWidth="1"/>
    <col min="65" max="65" width="9.42578125" style="894"/>
    <col min="66" max="66" width="66.5703125" style="894" customWidth="1"/>
    <col min="67" max="67" width="9.42578125" style="894"/>
    <col min="68" max="68" width="57.42578125" style="894" customWidth="1"/>
    <col min="69" max="69" width="9.42578125" style="894"/>
    <col min="70" max="70" width="26.5703125" style="894" customWidth="1"/>
    <col min="71" max="71" width="9.42578125" style="894"/>
    <col min="72" max="72" width="27.5703125" style="894" customWidth="1"/>
    <col min="73" max="73" width="9.42578125" style="894"/>
    <col min="74" max="74" width="34.42578125" style="894" customWidth="1"/>
    <col min="75" max="75" width="9.42578125" style="894"/>
    <col min="76" max="76" width="38.140625" style="894" customWidth="1"/>
    <col min="77" max="77" width="9.42578125" style="894"/>
    <col min="78" max="78" width="27.5703125" style="894" customWidth="1"/>
    <col min="79" max="79" width="9.42578125" style="894"/>
    <col min="80" max="80" width="6.5703125" style="894" customWidth="1"/>
    <col min="81" max="81" width="49.42578125" style="894" customWidth="1"/>
    <col min="82" max="82" width="28" style="894" customWidth="1"/>
    <col min="83" max="83" width="6.42578125" style="894" customWidth="1"/>
    <col min="84" max="84" width="49.5703125" style="894" customWidth="1"/>
    <col min="85" max="85" width="9.42578125" style="894"/>
    <col min="86" max="86" width="38.42578125" style="894" bestFit="1" customWidth="1"/>
    <col min="87" max="87" width="23.42578125" style="894" bestFit="1" customWidth="1"/>
    <col min="88" max="88" width="9.42578125" style="894"/>
    <col min="89" max="89" width="55.42578125" style="894" customWidth="1"/>
    <col min="90" max="90" width="9.42578125" style="894"/>
    <col min="91" max="91" width="17" style="894" bestFit="1" customWidth="1"/>
    <col min="92" max="92" width="9.42578125" style="894"/>
    <col min="93" max="101" width="15" style="894" customWidth="1"/>
    <col min="102" max="102" width="22.42578125" style="894" customWidth="1"/>
    <col min="103" max="104" width="9.42578125" style="894"/>
    <col min="105" max="105" width="33.5703125" style="894" bestFit="1" customWidth="1"/>
    <col min="106" max="16384" width="9.42578125" style="894"/>
  </cols>
  <sheetData>
    <row r="1" spans="1:87" ht="15.75" thickBot="1">
      <c r="A1" s="893" t="s">
        <v>629</v>
      </c>
    </row>
    <row r="2" spans="1:87" ht="15.75" thickBot="1">
      <c r="AR2" s="900" t="s">
        <v>630</v>
      </c>
      <c r="AS2" s="948" t="s">
        <v>631</v>
      </c>
      <c r="AT2" s="948" t="s">
        <v>632</v>
      </c>
      <c r="AU2" s="949" t="s">
        <v>633</v>
      </c>
    </row>
    <row r="3" spans="1:87" ht="45">
      <c r="A3" s="897" t="s">
        <v>634</v>
      </c>
      <c r="C3" s="897" t="s">
        <v>38</v>
      </c>
      <c r="E3" s="897" t="s">
        <v>635</v>
      </c>
      <c r="G3" s="897" t="s">
        <v>636</v>
      </c>
      <c r="I3" s="897" t="s">
        <v>637</v>
      </c>
      <c r="J3" s="898"/>
      <c r="K3" s="897" t="s">
        <v>380</v>
      </c>
      <c r="M3" s="897" t="s">
        <v>638</v>
      </c>
      <c r="O3" s="897" t="s">
        <v>353</v>
      </c>
      <c r="Q3" s="897" t="s">
        <v>639</v>
      </c>
      <c r="S3" s="897" t="s">
        <v>640</v>
      </c>
      <c r="U3" s="2233" t="s">
        <v>641</v>
      </c>
      <c r="V3" s="2467" t="s">
        <v>642</v>
      </c>
      <c r="X3" s="897" t="s">
        <v>196</v>
      </c>
      <c r="Z3" s="897" t="s">
        <v>643</v>
      </c>
      <c r="AB3" s="899" t="s">
        <v>199</v>
      </c>
      <c r="AC3" s="947" t="s">
        <v>644</v>
      </c>
      <c r="AE3" s="897" t="s">
        <v>645</v>
      </c>
      <c r="AG3" s="2233" t="s">
        <v>646</v>
      </c>
      <c r="AH3" s="2234" t="s">
        <v>647</v>
      </c>
      <c r="AJ3" s="897" t="s">
        <v>462</v>
      </c>
      <c r="AL3" s="897" t="s">
        <v>315</v>
      </c>
      <c r="AN3" s="897" t="s">
        <v>384</v>
      </c>
      <c r="AP3" s="897" t="s">
        <v>163</v>
      </c>
      <c r="AR3" s="907" t="s">
        <v>463</v>
      </c>
      <c r="AS3" s="950"/>
      <c r="AT3" s="951"/>
      <c r="AU3" s="952"/>
      <c r="AW3" s="968" t="s">
        <v>648</v>
      </c>
      <c r="AX3" s="964" t="s">
        <v>649</v>
      </c>
      <c r="AY3" s="964" t="s">
        <v>650</v>
      </c>
      <c r="AZ3" s="965"/>
      <c r="BA3" s="965"/>
      <c r="BB3" s="2242"/>
      <c r="BC3" s="970" t="s">
        <v>651</v>
      </c>
      <c r="BD3" s="965" t="s">
        <v>652</v>
      </c>
      <c r="BF3" s="899" t="s">
        <v>653</v>
      </c>
      <c r="BG3" s="901"/>
      <c r="BH3" s="902" t="s">
        <v>654</v>
      </c>
      <c r="BJ3" s="934" t="s">
        <v>655</v>
      </c>
      <c r="BK3" s="934"/>
      <c r="BL3" s="897" t="s">
        <v>656</v>
      </c>
      <c r="BN3" s="897" t="s">
        <v>657</v>
      </c>
      <c r="BP3" s="897" t="s">
        <v>658</v>
      </c>
      <c r="BR3" s="897" t="s">
        <v>659</v>
      </c>
      <c r="BT3" s="897" t="s">
        <v>660</v>
      </c>
      <c r="BV3" s="897" t="s">
        <v>661</v>
      </c>
      <c r="BX3" s="897" t="s">
        <v>662</v>
      </c>
      <c r="BZ3" s="897" t="s">
        <v>58</v>
      </c>
      <c r="CB3" s="906"/>
      <c r="CC3" s="1059" t="s">
        <v>663</v>
      </c>
      <c r="CD3" s="903" t="s">
        <v>664</v>
      </c>
      <c r="CF3" s="897" t="s">
        <v>665</v>
      </c>
      <c r="CH3" s="897" t="s">
        <v>666</v>
      </c>
      <c r="CI3" s="894" t="s">
        <v>667</v>
      </c>
    </row>
    <row r="4" spans="1:87" ht="26.45" customHeight="1">
      <c r="A4" s="904"/>
      <c r="C4" s="904"/>
      <c r="E4" s="904"/>
      <c r="G4" s="904"/>
      <c r="I4" s="904"/>
      <c r="K4" s="904"/>
      <c r="M4" s="904"/>
      <c r="O4" s="904" t="s">
        <v>354</v>
      </c>
      <c r="Q4" s="904"/>
      <c r="S4" s="904"/>
      <c r="U4" s="2235"/>
      <c r="V4" s="2236"/>
      <c r="X4" s="904"/>
      <c r="Z4" s="904"/>
      <c r="AB4" s="905"/>
      <c r="AC4" s="906"/>
      <c r="AE4" s="904" t="s">
        <v>668</v>
      </c>
      <c r="AG4" s="2235"/>
      <c r="AH4" s="2236"/>
      <c r="AJ4" s="904"/>
      <c r="AL4" s="904"/>
      <c r="AN4" s="1060" t="s">
        <v>669</v>
      </c>
      <c r="AP4" s="904"/>
      <c r="AR4" s="904"/>
      <c r="AS4" s="953"/>
      <c r="AT4" s="909"/>
      <c r="AU4" s="935"/>
      <c r="AW4" s="910"/>
      <c r="AZ4" s="911"/>
      <c r="BA4" s="911"/>
      <c r="BC4" s="971" t="s">
        <v>670</v>
      </c>
      <c r="BD4" s="974"/>
      <c r="BF4" s="905"/>
      <c r="BG4" s="906"/>
      <c r="BH4" s="909"/>
      <c r="BJ4" s="904"/>
      <c r="BK4" s="904"/>
      <c r="BL4" s="904"/>
      <c r="BN4" s="904"/>
      <c r="BP4" s="904"/>
      <c r="BR4" s="904"/>
      <c r="BT4" s="904" t="s">
        <v>671</v>
      </c>
      <c r="BV4" s="904"/>
      <c r="BX4" s="904"/>
      <c r="BZ4" s="904" t="s">
        <v>672</v>
      </c>
      <c r="CB4" s="906"/>
      <c r="CC4" s="904"/>
      <c r="CD4" s="906"/>
      <c r="CF4" s="904"/>
      <c r="CH4" s="904"/>
    </row>
    <row r="5" spans="1:87" ht="42.6" customHeight="1">
      <c r="A5" s="904" t="s">
        <v>673</v>
      </c>
      <c r="C5" s="904" t="s">
        <v>674</v>
      </c>
      <c r="E5" s="926" t="s">
        <v>575</v>
      </c>
      <c r="G5" s="904" t="s">
        <v>675</v>
      </c>
      <c r="I5" s="904" t="s">
        <v>676</v>
      </c>
      <c r="K5" s="904" t="s">
        <v>677</v>
      </c>
      <c r="M5" s="904" t="s">
        <v>10</v>
      </c>
      <c r="O5" s="904" t="s">
        <v>355</v>
      </c>
      <c r="Q5" s="904" t="s">
        <v>678</v>
      </c>
      <c r="S5" s="904" t="s">
        <v>679</v>
      </c>
      <c r="U5" s="2468" t="s">
        <v>680</v>
      </c>
      <c r="V5" s="2469" t="s">
        <v>681</v>
      </c>
      <c r="X5" s="936" t="s">
        <v>197</v>
      </c>
      <c r="Z5" s="904" t="s">
        <v>682</v>
      </c>
      <c r="AB5" s="905" t="s">
        <v>200</v>
      </c>
      <c r="AC5" s="906">
        <v>360</v>
      </c>
      <c r="AE5" s="904" t="s">
        <v>683</v>
      </c>
      <c r="AG5" s="2245" t="s">
        <v>467</v>
      </c>
      <c r="AH5" s="2236" t="s">
        <v>16</v>
      </c>
      <c r="AJ5" s="904" t="s">
        <v>684</v>
      </c>
      <c r="AL5" s="904" t="s">
        <v>685</v>
      </c>
      <c r="AN5" s="904" t="s">
        <v>686</v>
      </c>
      <c r="AP5" s="904" t="s">
        <v>687</v>
      </c>
      <c r="AR5" s="904" t="s">
        <v>688</v>
      </c>
      <c r="AS5" s="953" t="s">
        <v>689</v>
      </c>
      <c r="AT5" s="909" t="s">
        <v>690</v>
      </c>
      <c r="AU5" s="935" t="s">
        <v>691</v>
      </c>
      <c r="AW5" s="960" t="s">
        <v>692</v>
      </c>
      <c r="AX5" s="887" t="s">
        <v>693</v>
      </c>
      <c r="AY5" s="887" t="s">
        <v>694</v>
      </c>
      <c r="AZ5" s="966"/>
      <c r="BA5" s="966"/>
      <c r="BB5" s="887"/>
      <c r="BC5" s="972" t="s">
        <v>695</v>
      </c>
      <c r="BD5" s="2221" t="s">
        <v>696</v>
      </c>
      <c r="BE5" s="875"/>
      <c r="BF5" s="910" t="s">
        <v>697</v>
      </c>
      <c r="BG5" s="911" t="s">
        <v>231</v>
      </c>
      <c r="BH5" s="909" t="s">
        <v>698</v>
      </c>
      <c r="BJ5" s="904" t="s">
        <v>698</v>
      </c>
      <c r="BK5" s="904"/>
      <c r="BL5" s="904" t="s">
        <v>244</v>
      </c>
      <c r="BN5" s="919" t="s">
        <v>699</v>
      </c>
      <c r="BP5" s="904" t="s">
        <v>700</v>
      </c>
      <c r="BR5" s="912" t="s">
        <v>176</v>
      </c>
      <c r="BT5" s="904" t="s">
        <v>701</v>
      </c>
      <c r="BV5" s="904" t="s">
        <v>702</v>
      </c>
      <c r="BX5" s="904" t="s">
        <v>424</v>
      </c>
      <c r="BZ5" s="904" t="s">
        <v>703</v>
      </c>
      <c r="CB5" s="906"/>
      <c r="CC5" s="904" t="s">
        <v>332</v>
      </c>
      <c r="CD5" s="913" t="s">
        <v>553</v>
      </c>
      <c r="CF5" s="904" t="s">
        <v>704</v>
      </c>
      <c r="CH5" s="786" t="s">
        <v>471</v>
      </c>
      <c r="CI5" s="894" t="s">
        <v>705</v>
      </c>
    </row>
    <row r="6" spans="1:87" ht="42.6" customHeight="1" thickBot="1">
      <c r="A6" s="904" t="s">
        <v>706</v>
      </c>
      <c r="C6" s="904" t="s">
        <v>707</v>
      </c>
      <c r="E6" s="914" t="s">
        <v>574</v>
      </c>
      <c r="G6" s="904" t="s">
        <v>708</v>
      </c>
      <c r="I6" s="904" t="s">
        <v>709</v>
      </c>
      <c r="K6" s="904" t="s">
        <v>710</v>
      </c>
      <c r="M6" s="914" t="s">
        <v>9</v>
      </c>
      <c r="O6" s="904" t="s">
        <v>356</v>
      </c>
      <c r="Q6" s="904" t="s">
        <v>711</v>
      </c>
      <c r="S6" s="914" t="s">
        <v>712</v>
      </c>
      <c r="U6" s="2468" t="s">
        <v>713</v>
      </c>
      <c r="V6" s="2469" t="s">
        <v>714</v>
      </c>
      <c r="X6" s="937" t="s">
        <v>715</v>
      </c>
      <c r="Z6" s="914" t="s">
        <v>716</v>
      </c>
      <c r="AB6" s="905" t="s">
        <v>717</v>
      </c>
      <c r="AC6" s="906">
        <v>365</v>
      </c>
      <c r="AE6" s="904" t="s">
        <v>718</v>
      </c>
      <c r="AG6" s="2245" t="s">
        <v>471</v>
      </c>
      <c r="AH6" s="2236" t="s">
        <v>16</v>
      </c>
      <c r="AJ6" s="904" t="s">
        <v>719</v>
      </c>
      <c r="AL6" s="904" t="s">
        <v>720</v>
      </c>
      <c r="AN6" s="904" t="s">
        <v>721</v>
      </c>
      <c r="AP6" s="904" t="s">
        <v>722</v>
      </c>
      <c r="AR6" s="904" t="s">
        <v>372</v>
      </c>
      <c r="AS6" s="953" t="s">
        <v>571</v>
      </c>
      <c r="AT6" s="909" t="s">
        <v>723</v>
      </c>
      <c r="AU6" s="935" t="s">
        <v>571</v>
      </c>
      <c r="AW6" s="962" t="s">
        <v>724</v>
      </c>
      <c r="AX6" s="2244" t="s">
        <v>725</v>
      </c>
      <c r="AY6" s="2244" t="s">
        <v>694</v>
      </c>
      <c r="AZ6" s="967"/>
      <c r="BA6" s="967"/>
      <c r="BB6" s="2244"/>
      <c r="BC6" s="972" t="s">
        <v>726</v>
      </c>
      <c r="BD6" s="2221" t="s">
        <v>696</v>
      </c>
      <c r="BF6" s="905" t="s">
        <v>727</v>
      </c>
      <c r="BG6" s="906" t="s">
        <v>231</v>
      </c>
      <c r="BH6" s="909" t="s">
        <v>698</v>
      </c>
      <c r="BJ6" s="904" t="s">
        <v>728</v>
      </c>
      <c r="BK6" s="904"/>
      <c r="BL6" s="914" t="s">
        <v>729</v>
      </c>
      <c r="BN6" s="904"/>
      <c r="BP6" s="904" t="s">
        <v>571</v>
      </c>
      <c r="BR6" s="912" t="s">
        <v>730</v>
      </c>
      <c r="BT6" s="904" t="s">
        <v>731</v>
      </c>
      <c r="BV6" s="904" t="s">
        <v>732</v>
      </c>
      <c r="BX6" s="904" t="s">
        <v>584</v>
      </c>
      <c r="BZ6" s="904" t="s">
        <v>733</v>
      </c>
      <c r="CB6" s="906"/>
      <c r="CC6" s="904" t="s">
        <v>569</v>
      </c>
      <c r="CD6" s="913" t="s">
        <v>553</v>
      </c>
      <c r="CF6" s="904" t="s">
        <v>379</v>
      </c>
      <c r="CH6" s="786" t="s">
        <v>734</v>
      </c>
      <c r="CI6" s="894" t="s">
        <v>735</v>
      </c>
    </row>
    <row r="7" spans="1:87" ht="42.6" customHeight="1" thickBot="1">
      <c r="A7" s="904" t="s">
        <v>736</v>
      </c>
      <c r="C7" s="904" t="s">
        <v>737</v>
      </c>
      <c r="G7" s="904" t="s">
        <v>738</v>
      </c>
      <c r="I7" s="914" t="s">
        <v>739</v>
      </c>
      <c r="K7" s="933"/>
      <c r="O7" s="904" t="s">
        <v>357</v>
      </c>
      <c r="Q7" s="904" t="s">
        <v>740</v>
      </c>
      <c r="U7" s="2235" t="s">
        <v>741</v>
      </c>
      <c r="V7" s="2236" t="s">
        <v>742</v>
      </c>
      <c r="X7" s="904" t="s">
        <v>743</v>
      </c>
      <c r="AB7" s="915" t="s">
        <v>744</v>
      </c>
      <c r="AC7" s="916">
        <v>360</v>
      </c>
      <c r="AE7" s="904" t="s">
        <v>745</v>
      </c>
      <c r="AG7" s="2245" t="s">
        <v>734</v>
      </c>
      <c r="AH7" s="2236" t="s">
        <v>16</v>
      </c>
      <c r="AJ7" s="933" t="s">
        <v>746</v>
      </c>
      <c r="AL7" s="904" t="s">
        <v>747</v>
      </c>
      <c r="AN7" s="904" t="s">
        <v>748</v>
      </c>
      <c r="AP7" s="904" t="s">
        <v>749</v>
      </c>
      <c r="AR7" s="904" t="s">
        <v>750</v>
      </c>
      <c r="AS7" s="953" t="s">
        <v>751</v>
      </c>
      <c r="AT7" s="909" t="s">
        <v>752</v>
      </c>
      <c r="AU7" s="935" t="s">
        <v>750</v>
      </c>
      <c r="AW7" s="962" t="s">
        <v>753</v>
      </c>
      <c r="AX7" s="887" t="s">
        <v>725</v>
      </c>
      <c r="AY7" s="887" t="s">
        <v>694</v>
      </c>
      <c r="AZ7" s="966"/>
      <c r="BA7" s="966"/>
      <c r="BB7" s="887"/>
      <c r="BC7" s="972" t="s">
        <v>354</v>
      </c>
      <c r="BD7" s="2221" t="s">
        <v>696</v>
      </c>
      <c r="BF7" s="905" t="s">
        <v>754</v>
      </c>
      <c r="BG7" s="906" t="s">
        <v>231</v>
      </c>
      <c r="BH7" s="909" t="s">
        <v>698</v>
      </c>
      <c r="BJ7" s="904" t="s">
        <v>755</v>
      </c>
      <c r="BN7" s="904" t="s">
        <v>756</v>
      </c>
      <c r="BP7" s="904" t="s">
        <v>757</v>
      </c>
      <c r="BR7" s="912" t="s">
        <v>758</v>
      </c>
      <c r="BT7" s="904" t="s">
        <v>759</v>
      </c>
      <c r="BV7" s="914" t="s">
        <v>760</v>
      </c>
      <c r="BX7" s="914" t="s">
        <v>761</v>
      </c>
      <c r="BZ7" s="904" t="s">
        <v>762</v>
      </c>
      <c r="CB7" s="906"/>
      <c r="CC7" s="904" t="s">
        <v>334</v>
      </c>
      <c r="CD7" s="913" t="s">
        <v>553</v>
      </c>
      <c r="CF7" s="904" t="s">
        <v>763</v>
      </c>
      <c r="CH7" s="786" t="s">
        <v>477</v>
      </c>
      <c r="CI7" s="894" t="s">
        <v>764</v>
      </c>
    </row>
    <row r="8" spans="1:87" ht="42.6" customHeight="1" thickBot="1">
      <c r="A8" s="904" t="s">
        <v>765</v>
      </c>
      <c r="C8" s="904" t="s">
        <v>766</v>
      </c>
      <c r="G8" s="914" t="s">
        <v>767</v>
      </c>
      <c r="O8" s="904" t="s">
        <v>768</v>
      </c>
      <c r="Q8" s="904" t="s">
        <v>769</v>
      </c>
      <c r="U8" s="2235" t="s">
        <v>23</v>
      </c>
      <c r="V8" s="2236" t="s">
        <v>4195</v>
      </c>
      <c r="X8" s="937" t="s">
        <v>772</v>
      </c>
      <c r="AE8" s="904" t="s">
        <v>773</v>
      </c>
      <c r="AG8" s="2245" t="s">
        <v>774</v>
      </c>
      <c r="AH8" s="2236" t="s">
        <v>16</v>
      </c>
      <c r="AL8" s="904" t="s">
        <v>233</v>
      </c>
      <c r="AN8" s="904" t="s">
        <v>775</v>
      </c>
      <c r="AP8" s="904" t="s">
        <v>776</v>
      </c>
      <c r="AR8" s="904" t="s">
        <v>777</v>
      </c>
      <c r="AS8" s="953" t="s">
        <v>751</v>
      </c>
      <c r="AT8" s="909" t="s">
        <v>752</v>
      </c>
      <c r="AU8" s="935" t="s">
        <v>750</v>
      </c>
      <c r="AW8" s="960" t="s">
        <v>778</v>
      </c>
      <c r="AX8" s="887" t="s">
        <v>725</v>
      </c>
      <c r="AY8" s="887" t="s">
        <v>694</v>
      </c>
      <c r="AZ8" s="966"/>
      <c r="BA8" s="966"/>
      <c r="BB8" s="887"/>
      <c r="BC8" s="972" t="s">
        <v>779</v>
      </c>
      <c r="BD8" s="2221" t="s">
        <v>696</v>
      </c>
      <c r="BF8" s="905" t="s">
        <v>780</v>
      </c>
      <c r="BG8" s="906" t="s">
        <v>231</v>
      </c>
      <c r="BH8" s="909" t="s">
        <v>781</v>
      </c>
      <c r="BJ8" s="904" t="s">
        <v>782</v>
      </c>
      <c r="BN8" s="926" t="s">
        <v>572</v>
      </c>
      <c r="BP8" s="904" t="s">
        <v>783</v>
      </c>
      <c r="BR8" s="912" t="s">
        <v>784</v>
      </c>
      <c r="BT8" s="904" t="s">
        <v>785</v>
      </c>
      <c r="BZ8" s="904" t="s">
        <v>786</v>
      </c>
      <c r="CB8" s="906"/>
      <c r="CC8" s="904" t="s">
        <v>349</v>
      </c>
      <c r="CD8" s="906" t="s">
        <v>548</v>
      </c>
      <c r="CF8" s="904" t="s">
        <v>380</v>
      </c>
      <c r="CH8" s="786" t="s">
        <v>774</v>
      </c>
      <c r="CI8" s="894" t="s">
        <v>787</v>
      </c>
    </row>
    <row r="9" spans="1:87" ht="42.6" customHeight="1" thickBot="1">
      <c r="A9" s="914" t="s">
        <v>788</v>
      </c>
      <c r="C9" s="929" t="s">
        <v>789</v>
      </c>
      <c r="O9" s="904" t="s">
        <v>790</v>
      </c>
      <c r="Q9" s="904" t="s">
        <v>791</v>
      </c>
      <c r="U9" s="2235" t="s">
        <v>820</v>
      </c>
      <c r="V9" s="2236" t="s">
        <v>4196</v>
      </c>
      <c r="X9" s="937" t="s">
        <v>794</v>
      </c>
      <c r="AE9" s="904" t="s">
        <v>795</v>
      </c>
      <c r="AG9" s="2245" t="s">
        <v>477</v>
      </c>
      <c r="AH9" s="2236" t="s">
        <v>16</v>
      </c>
      <c r="AL9" s="904" t="s">
        <v>796</v>
      </c>
      <c r="AN9" s="904" t="s">
        <v>797</v>
      </c>
      <c r="AP9" s="904" t="s">
        <v>798</v>
      </c>
      <c r="AR9" s="904" t="s">
        <v>799</v>
      </c>
      <c r="AS9" s="953" t="s">
        <v>799</v>
      </c>
      <c r="AT9" s="909" t="s">
        <v>800</v>
      </c>
      <c r="AU9" s="935" t="s">
        <v>799</v>
      </c>
      <c r="AW9" s="960" t="s">
        <v>801</v>
      </c>
      <c r="AX9" s="887"/>
      <c r="AY9" s="887"/>
      <c r="AZ9" s="966"/>
      <c r="BA9" s="966"/>
      <c r="BB9" s="887"/>
      <c r="BC9" s="972" t="s">
        <v>802</v>
      </c>
      <c r="BD9" s="2221" t="s">
        <v>696</v>
      </c>
      <c r="BF9" s="905" t="s">
        <v>803</v>
      </c>
      <c r="BG9" s="906" t="s">
        <v>231</v>
      </c>
      <c r="BH9" s="909" t="s">
        <v>781</v>
      </c>
      <c r="BJ9" s="904" t="s">
        <v>804</v>
      </c>
      <c r="BN9" s="904" t="s">
        <v>805</v>
      </c>
      <c r="BP9" s="904" t="s">
        <v>806</v>
      </c>
      <c r="BR9" s="917" t="s">
        <v>807</v>
      </c>
      <c r="BT9" s="904" t="s">
        <v>808</v>
      </c>
      <c r="BZ9" s="904" t="s">
        <v>809</v>
      </c>
      <c r="CB9" s="906"/>
      <c r="CC9" s="904" t="s">
        <v>810</v>
      </c>
      <c r="CD9" s="913" t="s">
        <v>553</v>
      </c>
      <c r="CF9" s="904" t="s">
        <v>811</v>
      </c>
      <c r="CH9" s="786" t="s">
        <v>467</v>
      </c>
      <c r="CI9" s="894" t="s">
        <v>812</v>
      </c>
    </row>
    <row r="10" spans="1:87" ht="42.6" customHeight="1" thickBot="1">
      <c r="C10" s="933" t="s">
        <v>813</v>
      </c>
      <c r="O10" s="904" t="s">
        <v>814</v>
      </c>
      <c r="Q10" s="918" t="s">
        <v>815</v>
      </c>
      <c r="U10" s="2235" t="s">
        <v>770</v>
      </c>
      <c r="V10" s="2236" t="s">
        <v>771</v>
      </c>
      <c r="X10" s="937" t="s">
        <v>818</v>
      </c>
      <c r="Y10" s="898"/>
      <c r="AE10" s="904" t="s">
        <v>819</v>
      </c>
      <c r="AG10" s="2245" t="s">
        <v>820</v>
      </c>
      <c r="AH10" s="2236" t="s">
        <v>820</v>
      </c>
      <c r="AL10" s="904" t="s">
        <v>821</v>
      </c>
      <c r="AN10" s="1060" t="s">
        <v>822</v>
      </c>
      <c r="AP10" s="904" t="s">
        <v>233</v>
      </c>
      <c r="AR10" s="904" t="s">
        <v>823</v>
      </c>
      <c r="AS10" s="953" t="s">
        <v>824</v>
      </c>
      <c r="AT10" s="909" t="s">
        <v>825</v>
      </c>
      <c r="AU10" s="935" t="s">
        <v>826</v>
      </c>
      <c r="AW10" s="960" t="s">
        <v>827</v>
      </c>
      <c r="AX10" s="887"/>
      <c r="AY10" s="887"/>
      <c r="AZ10" s="966"/>
      <c r="BA10" s="966"/>
      <c r="BB10" s="887"/>
      <c r="BC10" s="972" t="s">
        <v>828</v>
      </c>
      <c r="BD10" s="2221" t="s">
        <v>696</v>
      </c>
      <c r="BF10" s="905" t="s">
        <v>829</v>
      </c>
      <c r="BG10" s="906" t="s">
        <v>231</v>
      </c>
      <c r="BH10" s="909" t="s">
        <v>781</v>
      </c>
      <c r="BJ10" s="904" t="s">
        <v>796</v>
      </c>
      <c r="BN10" s="904" t="s">
        <v>830</v>
      </c>
      <c r="BP10" s="904" t="s">
        <v>831</v>
      </c>
      <c r="BT10" s="904" t="s">
        <v>832</v>
      </c>
      <c r="BZ10" s="904" t="s">
        <v>833</v>
      </c>
      <c r="CB10" s="906"/>
      <c r="CC10" s="904" t="s">
        <v>834</v>
      </c>
      <c r="CD10" s="913" t="s">
        <v>553</v>
      </c>
      <c r="CF10" s="904" t="s">
        <v>835</v>
      </c>
      <c r="CH10" s="786" t="s">
        <v>820</v>
      </c>
    </row>
    <row r="11" spans="1:87" ht="42.6" customHeight="1" thickBot="1">
      <c r="O11" s="904" t="s">
        <v>836</v>
      </c>
      <c r="Q11" s="918" t="s">
        <v>837</v>
      </c>
      <c r="U11" s="2235" t="s">
        <v>792</v>
      </c>
      <c r="V11" s="2236" t="s">
        <v>793</v>
      </c>
      <c r="X11" s="937" t="s">
        <v>840</v>
      </c>
      <c r="AE11" s="904" t="s">
        <v>841</v>
      </c>
      <c r="AG11" s="2245" t="s">
        <v>18</v>
      </c>
      <c r="AH11" s="2236" t="s">
        <v>18</v>
      </c>
      <c r="AL11" s="904" t="s">
        <v>842</v>
      </c>
      <c r="AN11" s="904" t="s">
        <v>843</v>
      </c>
      <c r="AP11" s="904" t="s">
        <v>844</v>
      </c>
      <c r="AR11" s="904" t="s">
        <v>845</v>
      </c>
      <c r="AS11" s="953" t="s">
        <v>845</v>
      </c>
      <c r="AT11" s="909" t="s">
        <v>846</v>
      </c>
      <c r="AU11" s="935" t="s">
        <v>847</v>
      </c>
      <c r="AW11" s="960" t="s">
        <v>848</v>
      </c>
      <c r="AX11" s="887"/>
      <c r="AY11" s="887"/>
      <c r="AZ11" s="966"/>
      <c r="BA11" s="966"/>
      <c r="BB11" s="887"/>
      <c r="BC11" s="972" t="s">
        <v>849</v>
      </c>
      <c r="BD11" s="2221" t="s">
        <v>696</v>
      </c>
      <c r="BF11" s="910" t="s">
        <v>850</v>
      </c>
      <c r="BG11" s="906" t="s">
        <v>231</v>
      </c>
      <c r="BH11" s="924" t="s">
        <v>698</v>
      </c>
      <c r="BJ11" s="904" t="s">
        <v>826</v>
      </c>
      <c r="BN11" s="904" t="s">
        <v>851</v>
      </c>
      <c r="BP11" s="904" t="s">
        <v>852</v>
      </c>
      <c r="BT11" s="904" t="s">
        <v>853</v>
      </c>
      <c r="BZ11" s="904" t="s">
        <v>854</v>
      </c>
      <c r="CB11" s="906"/>
      <c r="CC11" s="904" t="s">
        <v>570</v>
      </c>
      <c r="CD11" s="913" t="s">
        <v>548</v>
      </c>
      <c r="CF11" s="904" t="s">
        <v>855</v>
      </c>
      <c r="CH11" s="2444" t="s">
        <v>23</v>
      </c>
    </row>
    <row r="12" spans="1:87" ht="39.6" customHeight="1" thickBot="1">
      <c r="O12" s="904" t="s">
        <v>856</v>
      </c>
      <c r="Q12" s="921" t="s">
        <v>857</v>
      </c>
      <c r="U12" s="2235" t="s">
        <v>816</v>
      </c>
      <c r="V12" s="2236" t="s">
        <v>817</v>
      </c>
      <c r="X12" s="937" t="s">
        <v>860</v>
      </c>
      <c r="AE12" s="904" t="s">
        <v>861</v>
      </c>
      <c r="AG12" s="2269" t="s">
        <v>23</v>
      </c>
      <c r="AH12" s="2236" t="s">
        <v>23</v>
      </c>
      <c r="AL12" s="904" t="s">
        <v>862</v>
      </c>
      <c r="AN12" s="904" t="s">
        <v>863</v>
      </c>
      <c r="AP12" s="904" t="s">
        <v>864</v>
      </c>
      <c r="AR12" s="904" t="s">
        <v>865</v>
      </c>
      <c r="AS12" s="953" t="s">
        <v>865</v>
      </c>
      <c r="AT12" s="909" t="s">
        <v>866</v>
      </c>
      <c r="AU12" s="935" t="s">
        <v>865</v>
      </c>
      <c r="AW12" s="960" t="s">
        <v>867</v>
      </c>
      <c r="AX12" s="887"/>
      <c r="AY12" s="887"/>
      <c r="AZ12" s="966"/>
      <c r="BA12" s="966"/>
      <c r="BB12" s="887"/>
      <c r="BC12" s="972" t="s">
        <v>868</v>
      </c>
      <c r="BD12" s="2221" t="s">
        <v>696</v>
      </c>
      <c r="BF12" s="910" t="s">
        <v>869</v>
      </c>
      <c r="BG12" s="906" t="s">
        <v>231</v>
      </c>
      <c r="BH12" s="924" t="s">
        <v>698</v>
      </c>
      <c r="BJ12" s="904"/>
      <c r="BN12" s="926" t="s">
        <v>810</v>
      </c>
      <c r="BP12" s="904" t="s">
        <v>870</v>
      </c>
      <c r="BT12" s="904" t="s">
        <v>871</v>
      </c>
      <c r="BZ12" s="904" t="s">
        <v>672</v>
      </c>
      <c r="CB12" s="906"/>
      <c r="CC12" s="904" t="s">
        <v>872</v>
      </c>
      <c r="CD12" s="913" t="s">
        <v>873</v>
      </c>
      <c r="CF12" s="904" t="s">
        <v>381</v>
      </c>
    </row>
    <row r="13" spans="1:87" ht="39.6" customHeight="1">
      <c r="O13" s="904" t="s">
        <v>874</v>
      </c>
      <c r="U13" s="2468" t="s">
        <v>838</v>
      </c>
      <c r="V13" s="2236" t="s">
        <v>839</v>
      </c>
      <c r="X13" s="937" t="s">
        <v>877</v>
      </c>
      <c r="AE13" s="904" t="s">
        <v>878</v>
      </c>
      <c r="AG13" s="2245" t="s">
        <v>482</v>
      </c>
      <c r="AH13" s="2236" t="s">
        <v>19</v>
      </c>
      <c r="AL13" s="904" t="s">
        <v>826</v>
      </c>
      <c r="AN13" s="904" t="s">
        <v>879</v>
      </c>
      <c r="AP13" s="904" t="s">
        <v>880</v>
      </c>
      <c r="AR13" s="904" t="s">
        <v>586</v>
      </c>
      <c r="AS13" s="953" t="s">
        <v>881</v>
      </c>
      <c r="AT13" s="909" t="s">
        <v>882</v>
      </c>
      <c r="AU13" s="935" t="s">
        <v>883</v>
      </c>
      <c r="AW13" s="960" t="s">
        <v>884</v>
      </c>
      <c r="AX13" s="887" t="s">
        <v>885</v>
      </c>
      <c r="AY13" s="887" t="s">
        <v>886</v>
      </c>
      <c r="AZ13" s="966" t="s">
        <v>887</v>
      </c>
      <c r="BA13" s="966"/>
      <c r="BB13" s="887"/>
      <c r="BC13" s="910" t="s">
        <v>888</v>
      </c>
      <c r="BD13" s="2221" t="s">
        <v>696</v>
      </c>
      <c r="BF13" s="910" t="s">
        <v>889</v>
      </c>
      <c r="BG13" s="906" t="s">
        <v>231</v>
      </c>
      <c r="BH13" s="924" t="s">
        <v>698</v>
      </c>
      <c r="BJ13" s="904"/>
      <c r="BN13" s="926" t="s">
        <v>890</v>
      </c>
      <c r="BP13" s="904" t="s">
        <v>891</v>
      </c>
      <c r="BT13" s="918" t="s">
        <v>2452</v>
      </c>
      <c r="BZ13" s="904" t="s">
        <v>892</v>
      </c>
      <c r="CB13" s="906"/>
      <c r="CC13" s="904" t="s">
        <v>893</v>
      </c>
      <c r="CD13" s="913" t="s">
        <v>548</v>
      </c>
      <c r="CF13" s="904" t="s">
        <v>382</v>
      </c>
    </row>
    <row r="14" spans="1:87" ht="39.6" customHeight="1" thickBot="1">
      <c r="O14" s="904" t="s">
        <v>894</v>
      </c>
      <c r="S14" s="898"/>
      <c r="U14" s="2235" t="s">
        <v>858</v>
      </c>
      <c r="V14" s="2236" t="s">
        <v>859</v>
      </c>
      <c r="X14" s="937" t="s">
        <v>897</v>
      </c>
      <c r="AE14" s="904" t="s">
        <v>898</v>
      </c>
      <c r="AG14" s="2243" t="s">
        <v>12</v>
      </c>
      <c r="AH14" s="2236" t="s">
        <v>12</v>
      </c>
      <c r="AL14" s="914" t="s">
        <v>899</v>
      </c>
      <c r="AN14" s="904" t="s">
        <v>900</v>
      </c>
      <c r="AP14" s="904" t="s">
        <v>335</v>
      </c>
      <c r="AR14" s="904" t="s">
        <v>589</v>
      </c>
      <c r="AS14" s="953" t="s">
        <v>901</v>
      </c>
      <c r="AT14" s="909" t="s">
        <v>902</v>
      </c>
      <c r="AU14" s="935" t="s">
        <v>901</v>
      </c>
      <c r="AW14" s="960" t="s">
        <v>903</v>
      </c>
      <c r="AX14" s="887"/>
      <c r="AY14" s="887"/>
      <c r="AZ14" s="966"/>
      <c r="BA14" s="966"/>
      <c r="BB14" s="887"/>
      <c r="BC14" s="910" t="s">
        <v>904</v>
      </c>
      <c r="BD14" s="2221" t="s">
        <v>696</v>
      </c>
      <c r="BF14" s="910" t="s">
        <v>905</v>
      </c>
      <c r="BG14" s="906" t="s">
        <v>231</v>
      </c>
      <c r="BH14" s="924" t="s">
        <v>698</v>
      </c>
      <c r="BJ14" s="914"/>
      <c r="BN14" s="926" t="s">
        <v>834</v>
      </c>
      <c r="BP14" s="904" t="s">
        <v>906</v>
      </c>
      <c r="BT14" s="921" t="s">
        <v>2453</v>
      </c>
      <c r="BZ14" s="904" t="s">
        <v>907</v>
      </c>
      <c r="CB14" s="906"/>
      <c r="CC14" s="904" t="s">
        <v>908</v>
      </c>
      <c r="CD14" s="913" t="s">
        <v>873</v>
      </c>
      <c r="CF14" s="904" t="s">
        <v>384</v>
      </c>
    </row>
    <row r="15" spans="1:87" ht="20.100000000000001" customHeight="1">
      <c r="O15" s="904" t="s">
        <v>909</v>
      </c>
      <c r="U15" s="2235" t="s">
        <v>875</v>
      </c>
      <c r="V15" s="2236" t="s">
        <v>876</v>
      </c>
      <c r="X15" s="937" t="s">
        <v>912</v>
      </c>
      <c r="Y15" s="898"/>
      <c r="AE15" s="904" t="s">
        <v>913</v>
      </c>
      <c r="AG15" s="2243" t="s">
        <v>13</v>
      </c>
      <c r="AH15" s="2236" t="s">
        <v>13</v>
      </c>
      <c r="AN15" s="904" t="s">
        <v>914</v>
      </c>
      <c r="AP15" s="904" t="s">
        <v>915</v>
      </c>
      <c r="AR15" s="904" t="s">
        <v>916</v>
      </c>
      <c r="AS15" s="953" t="s">
        <v>917</v>
      </c>
      <c r="AT15" s="909" t="s">
        <v>918</v>
      </c>
      <c r="AU15" s="935" t="s">
        <v>919</v>
      </c>
      <c r="AW15" s="960" t="s">
        <v>20</v>
      </c>
      <c r="AX15" s="887"/>
      <c r="AY15" s="887"/>
      <c r="AZ15" s="966"/>
      <c r="BA15" s="966"/>
      <c r="BB15" s="887"/>
      <c r="BC15" s="910" t="s">
        <v>920</v>
      </c>
      <c r="BD15" s="2221" t="s">
        <v>696</v>
      </c>
      <c r="BF15" s="905" t="s">
        <v>921</v>
      </c>
      <c r="BG15" s="906" t="s">
        <v>231</v>
      </c>
      <c r="BH15" s="924" t="s">
        <v>698</v>
      </c>
      <c r="BN15" s="904" t="s">
        <v>922</v>
      </c>
      <c r="BP15" s="918" t="s">
        <v>2438</v>
      </c>
      <c r="BZ15" s="904" t="s">
        <v>923</v>
      </c>
      <c r="CB15" s="906"/>
      <c r="CC15" s="904" t="s">
        <v>924</v>
      </c>
      <c r="CD15" s="913" t="s">
        <v>548</v>
      </c>
      <c r="CF15" s="904" t="s">
        <v>387</v>
      </c>
    </row>
    <row r="16" spans="1:87" ht="20.100000000000001" customHeight="1">
      <c r="O16" s="904" t="s">
        <v>925</v>
      </c>
      <c r="U16" s="2468" t="s">
        <v>895</v>
      </c>
      <c r="V16" s="2469" t="s">
        <v>896</v>
      </c>
      <c r="X16" s="937" t="s">
        <v>927</v>
      </c>
      <c r="AE16" s="918" t="s">
        <v>928</v>
      </c>
      <c r="AG16" s="2245" t="s">
        <v>20</v>
      </c>
      <c r="AH16" s="2236" t="s">
        <v>20</v>
      </c>
      <c r="AN16" s="904" t="s">
        <v>929</v>
      </c>
      <c r="AP16" s="925" t="s">
        <v>930</v>
      </c>
      <c r="AR16" s="904" t="s">
        <v>368</v>
      </c>
      <c r="AS16" s="953" t="s">
        <v>931</v>
      </c>
      <c r="AT16" s="909" t="s">
        <v>932</v>
      </c>
      <c r="AU16" s="935" t="s">
        <v>933</v>
      </c>
      <c r="AW16" s="960" t="s">
        <v>18</v>
      </c>
      <c r="AX16" s="887"/>
      <c r="AY16" s="887"/>
      <c r="AZ16" s="966"/>
      <c r="BA16" s="966"/>
      <c r="BB16" s="887"/>
      <c r="BC16" s="910" t="s">
        <v>934</v>
      </c>
      <c r="BD16" s="2221" t="s">
        <v>696</v>
      </c>
      <c r="BF16" s="905" t="s">
        <v>935</v>
      </c>
      <c r="BG16" s="906" t="s">
        <v>231</v>
      </c>
      <c r="BH16" s="924" t="s">
        <v>698</v>
      </c>
      <c r="BN16" s="926" t="s">
        <v>570</v>
      </c>
      <c r="BP16" s="918" t="s">
        <v>2439</v>
      </c>
      <c r="BZ16" s="904" t="s">
        <v>936</v>
      </c>
      <c r="CB16" s="906"/>
      <c r="CC16" s="904" t="s">
        <v>571</v>
      </c>
      <c r="CD16" s="913" t="s">
        <v>553</v>
      </c>
      <c r="CF16" s="904" t="s">
        <v>937</v>
      </c>
    </row>
    <row r="17" spans="15:98" ht="20.100000000000001" customHeight="1" thickBot="1">
      <c r="O17" s="904" t="s">
        <v>938</v>
      </c>
      <c r="U17" s="2235" t="s">
        <v>910</v>
      </c>
      <c r="V17" s="2236" t="s">
        <v>911</v>
      </c>
      <c r="X17" s="937" t="s">
        <v>941</v>
      </c>
      <c r="AE17" s="921" t="s">
        <v>942</v>
      </c>
      <c r="AG17" s="2243" t="s">
        <v>487</v>
      </c>
      <c r="AH17" s="2236" t="s">
        <v>7</v>
      </c>
      <c r="AN17" s="904" t="s">
        <v>943</v>
      </c>
      <c r="AP17" s="925" t="s">
        <v>944</v>
      </c>
      <c r="AR17" s="905" t="s">
        <v>588</v>
      </c>
      <c r="AS17" s="953" t="s">
        <v>945</v>
      </c>
      <c r="AT17" s="909" t="s">
        <v>946</v>
      </c>
      <c r="AU17" s="935" t="s">
        <v>945</v>
      </c>
      <c r="AW17" s="960" t="s">
        <v>23</v>
      </c>
      <c r="AX17" s="887" t="s">
        <v>947</v>
      </c>
      <c r="AY17" s="887"/>
      <c r="AZ17" s="966"/>
      <c r="BA17" s="966"/>
      <c r="BB17" s="2220"/>
      <c r="BC17" s="910" t="s">
        <v>948</v>
      </c>
      <c r="BD17" s="2221" t="s">
        <v>696</v>
      </c>
      <c r="BF17" s="905" t="s">
        <v>949</v>
      </c>
      <c r="BG17" s="906" t="s">
        <v>231</v>
      </c>
      <c r="BH17" s="924" t="s">
        <v>698</v>
      </c>
      <c r="BN17" s="904" t="s">
        <v>950</v>
      </c>
      <c r="BP17" s="918" t="s">
        <v>2440</v>
      </c>
      <c r="BZ17" s="904" t="s">
        <v>951</v>
      </c>
      <c r="CB17" s="906"/>
      <c r="CC17" s="904" t="s">
        <v>952</v>
      </c>
      <c r="CD17" s="913" t="s">
        <v>548</v>
      </c>
      <c r="CF17" s="904" t="s">
        <v>953</v>
      </c>
    </row>
    <row r="18" spans="15:98" ht="20.100000000000001" customHeight="1">
      <c r="O18" s="904" t="s">
        <v>954</v>
      </c>
      <c r="U18" s="2468" t="s">
        <v>12</v>
      </c>
      <c r="V18" s="2469" t="s">
        <v>926</v>
      </c>
      <c r="X18" s="937" t="s">
        <v>957</v>
      </c>
      <c r="AG18" s="2243" t="s">
        <v>489</v>
      </c>
      <c r="AH18" s="2236" t="s">
        <v>7</v>
      </c>
      <c r="AN18" s="904" t="s">
        <v>958</v>
      </c>
      <c r="AP18" s="925" t="s">
        <v>959</v>
      </c>
      <c r="AR18" s="904" t="s">
        <v>960</v>
      </c>
      <c r="AS18" s="953" t="s">
        <v>961</v>
      </c>
      <c r="AT18" s="909" t="s">
        <v>962</v>
      </c>
      <c r="AU18" s="935" t="s">
        <v>960</v>
      </c>
      <c r="AW18" s="960" t="s">
        <v>820</v>
      </c>
      <c r="AX18" s="887" t="s">
        <v>963</v>
      </c>
      <c r="AY18" s="887"/>
      <c r="AZ18" s="966"/>
      <c r="BA18" s="966"/>
      <c r="BB18" s="887"/>
      <c r="BC18" s="910" t="s">
        <v>964</v>
      </c>
      <c r="BD18" s="2221" t="s">
        <v>696</v>
      </c>
      <c r="BF18" s="905" t="s">
        <v>965</v>
      </c>
      <c r="BG18" s="906" t="s">
        <v>231</v>
      </c>
      <c r="BH18" s="924" t="s">
        <v>698</v>
      </c>
      <c r="BN18" s="904" t="s">
        <v>966</v>
      </c>
      <c r="BP18" s="918" t="s">
        <v>2441</v>
      </c>
      <c r="BZ18" s="904" t="s">
        <v>967</v>
      </c>
      <c r="CB18" s="906"/>
      <c r="CC18" s="929" t="s">
        <v>968</v>
      </c>
      <c r="CD18" s="999" t="s">
        <v>969</v>
      </c>
      <c r="CF18" s="904" t="s">
        <v>970</v>
      </c>
      <c r="CS18" s="932"/>
      <c r="CT18" s="932"/>
    </row>
    <row r="19" spans="15:98" ht="29.1" customHeight="1" thickBot="1">
      <c r="O19" s="904" t="s">
        <v>971</v>
      </c>
      <c r="U19" s="2235" t="s">
        <v>939</v>
      </c>
      <c r="V19" s="2236" t="s">
        <v>940</v>
      </c>
      <c r="X19" s="937" t="s">
        <v>974</v>
      </c>
      <c r="AG19" s="2243" t="s">
        <v>2465</v>
      </c>
      <c r="AH19" s="2236" t="s">
        <v>2465</v>
      </c>
      <c r="AN19" s="904" t="s">
        <v>975</v>
      </c>
      <c r="AP19" s="927" t="s">
        <v>976</v>
      </c>
      <c r="AR19" s="904" t="s">
        <v>977</v>
      </c>
      <c r="AS19" s="953" t="s">
        <v>977</v>
      </c>
      <c r="AT19" s="909" t="s">
        <v>978</v>
      </c>
      <c r="AU19" s="935" t="s">
        <v>977</v>
      </c>
      <c r="AW19" s="960" t="s">
        <v>979</v>
      </c>
      <c r="AX19" s="887"/>
      <c r="AY19" s="887"/>
      <c r="AZ19" s="966"/>
      <c r="BA19" s="966"/>
      <c r="BB19" s="887"/>
      <c r="BC19" s="910" t="s">
        <v>980</v>
      </c>
      <c r="BD19" s="969"/>
      <c r="BF19" s="905" t="s">
        <v>2477</v>
      </c>
      <c r="BG19" s="906" t="s">
        <v>231</v>
      </c>
      <c r="BH19" s="924" t="s">
        <v>698</v>
      </c>
      <c r="BN19" s="904" t="s">
        <v>981</v>
      </c>
      <c r="BP19" s="918" t="s">
        <v>2442</v>
      </c>
      <c r="BZ19" s="904" t="s">
        <v>982</v>
      </c>
      <c r="CB19" s="906"/>
      <c r="CC19" s="933" t="s">
        <v>983</v>
      </c>
      <c r="CD19" s="928" t="s">
        <v>984</v>
      </c>
      <c r="CF19" s="904" t="s">
        <v>985</v>
      </c>
      <c r="CS19" s="932"/>
      <c r="CT19" s="932"/>
    </row>
    <row r="20" spans="15:98" ht="27.6" customHeight="1" thickBot="1">
      <c r="O20" s="904" t="s">
        <v>986</v>
      </c>
      <c r="U20" s="2468" t="s">
        <v>955</v>
      </c>
      <c r="V20" s="2469" t="s">
        <v>956</v>
      </c>
      <c r="X20" s="937" t="s">
        <v>989</v>
      </c>
      <c r="AG20" s="2270" t="s">
        <v>2464</v>
      </c>
      <c r="AH20" s="2237" t="s">
        <v>2466</v>
      </c>
      <c r="AN20" s="918" t="s">
        <v>990</v>
      </c>
      <c r="AR20" s="904" t="s">
        <v>991</v>
      </c>
      <c r="AS20" s="953" t="s">
        <v>992</v>
      </c>
      <c r="AT20" s="909" t="s">
        <v>993</v>
      </c>
      <c r="AU20" s="935" t="s">
        <v>994</v>
      </c>
      <c r="AW20" s="960" t="s">
        <v>2361</v>
      </c>
      <c r="AX20" s="887" t="s">
        <v>2362</v>
      </c>
      <c r="AY20" s="2244" t="s">
        <v>2467</v>
      </c>
      <c r="AZ20" s="967" t="s">
        <v>2468</v>
      </c>
      <c r="BA20" s="967" t="s">
        <v>2469</v>
      </c>
      <c r="BB20" s="908"/>
      <c r="BC20" s="2263" t="s">
        <v>995</v>
      </c>
      <c r="BD20" s="2264" t="s">
        <v>996</v>
      </c>
      <c r="BF20" s="905" t="s">
        <v>2478</v>
      </c>
      <c r="BG20" s="906" t="s">
        <v>231</v>
      </c>
      <c r="BH20" s="924" t="s">
        <v>698</v>
      </c>
      <c r="BN20" s="926" t="s">
        <v>997</v>
      </c>
      <c r="BP20" s="918" t="s">
        <v>2443</v>
      </c>
      <c r="BZ20" s="904" t="s">
        <v>998</v>
      </c>
      <c r="CF20" s="904" t="s">
        <v>999</v>
      </c>
      <c r="CT20" s="932"/>
    </row>
    <row r="21" spans="15:98" ht="28.35" customHeight="1">
      <c r="O21" s="904" t="s">
        <v>1000</v>
      </c>
      <c r="U21" s="2468" t="s">
        <v>972</v>
      </c>
      <c r="V21" s="2469" t="s">
        <v>973</v>
      </c>
      <c r="X21" s="937" t="s">
        <v>1003</v>
      </c>
      <c r="AN21" s="918" t="s">
        <v>1004</v>
      </c>
      <c r="AR21" s="904" t="s">
        <v>1005</v>
      </c>
      <c r="AS21" s="953" t="s">
        <v>1005</v>
      </c>
      <c r="AT21" s="909" t="s">
        <v>825</v>
      </c>
      <c r="AU21" s="935" t="s">
        <v>826</v>
      </c>
      <c r="AW21" s="960" t="s">
        <v>2464</v>
      </c>
      <c r="AX21" s="887"/>
      <c r="AY21" s="887"/>
      <c r="AZ21" s="966"/>
      <c r="BA21" s="966"/>
      <c r="BB21" s="908"/>
      <c r="BC21" s="973" t="s">
        <v>2364</v>
      </c>
      <c r="BD21" s="969" t="s">
        <v>2363</v>
      </c>
      <c r="BF21" s="923" t="s">
        <v>2369</v>
      </c>
      <c r="BG21" s="906" t="s">
        <v>231</v>
      </c>
      <c r="BH21" s="924" t="s">
        <v>698</v>
      </c>
      <c r="BN21" s="926" t="s">
        <v>893</v>
      </c>
      <c r="BP21" s="918" t="s">
        <v>2444</v>
      </c>
      <c r="BZ21" s="904" t="s">
        <v>1006</v>
      </c>
      <c r="CC21" s="897" t="s">
        <v>1007</v>
      </c>
      <c r="CD21" s="897" t="s">
        <v>1008</v>
      </c>
      <c r="CF21" s="904" t="s">
        <v>1009</v>
      </c>
    </row>
    <row r="22" spans="15:98" ht="34.35" customHeight="1" thickBot="1">
      <c r="O22" s="904" t="s">
        <v>1010</v>
      </c>
      <c r="U22" s="2235" t="s">
        <v>987</v>
      </c>
      <c r="V22" s="2236" t="s">
        <v>988</v>
      </c>
      <c r="X22" s="937" t="s">
        <v>1013</v>
      </c>
      <c r="AN22" s="918" t="s">
        <v>1014</v>
      </c>
      <c r="AR22" s="904" t="s">
        <v>1015</v>
      </c>
      <c r="AS22" s="953" t="s">
        <v>945</v>
      </c>
      <c r="AT22" s="909" t="s">
        <v>946</v>
      </c>
      <c r="AU22" s="935" t="s">
        <v>945</v>
      </c>
      <c r="AW22" s="2246" t="s">
        <v>2353</v>
      </c>
      <c r="AX22" s="2247" t="s">
        <v>2354</v>
      </c>
      <c r="AY22" s="2247" t="s">
        <v>2355</v>
      </c>
      <c r="AZ22" s="2248" t="s">
        <v>2356</v>
      </c>
      <c r="BA22" s="2248" t="s">
        <v>2365</v>
      </c>
      <c r="BB22" s="908"/>
      <c r="BC22" s="910"/>
      <c r="BD22" s="2221"/>
      <c r="BF22" s="923" t="s">
        <v>2370</v>
      </c>
      <c r="BG22" s="906" t="s">
        <v>231</v>
      </c>
      <c r="BH22" s="924" t="s">
        <v>698</v>
      </c>
      <c r="BN22" s="926" t="s">
        <v>1016</v>
      </c>
      <c r="BP22" s="918" t="s">
        <v>2445</v>
      </c>
      <c r="BZ22" s="904" t="s">
        <v>1017</v>
      </c>
      <c r="CC22" s="904"/>
      <c r="CD22" s="904"/>
      <c r="CF22" s="904" t="s">
        <v>1018</v>
      </c>
      <c r="CT22" s="898"/>
    </row>
    <row r="23" spans="15:98" ht="34.35" customHeight="1" thickBot="1">
      <c r="O23" s="904" t="s">
        <v>1019</v>
      </c>
      <c r="U23" s="2468" t="s">
        <v>1001</v>
      </c>
      <c r="V23" s="2469" t="s">
        <v>1002</v>
      </c>
      <c r="X23" s="944" t="s">
        <v>1022</v>
      </c>
      <c r="AN23" s="918" t="s">
        <v>1023</v>
      </c>
      <c r="AR23" s="904" t="s">
        <v>1024</v>
      </c>
      <c r="AS23" s="953" t="s">
        <v>1025</v>
      </c>
      <c r="AT23" s="909" t="s">
        <v>1026</v>
      </c>
      <c r="AU23" s="935" t="s">
        <v>1025</v>
      </c>
      <c r="AW23" s="2246" t="s">
        <v>2357</v>
      </c>
      <c r="AX23" s="2247" t="s">
        <v>2358</v>
      </c>
      <c r="AY23" s="2247" t="s">
        <v>2359</v>
      </c>
      <c r="AZ23" s="2248" t="s">
        <v>2360</v>
      </c>
      <c r="BA23" s="2248" t="s">
        <v>2366</v>
      </c>
      <c r="BB23" s="908"/>
      <c r="BC23" s="971" t="s">
        <v>1027</v>
      </c>
      <c r="BD23" s="2221"/>
      <c r="BF23" s="923" t="s">
        <v>2371</v>
      </c>
      <c r="BG23" s="906" t="s">
        <v>231</v>
      </c>
      <c r="BH23" s="924" t="s">
        <v>698</v>
      </c>
      <c r="BN23" s="904" t="s">
        <v>1028</v>
      </c>
      <c r="BP23" s="918" t="s">
        <v>2446</v>
      </c>
      <c r="BZ23" s="904" t="s">
        <v>1029</v>
      </c>
      <c r="CC23" s="926" t="s">
        <v>1030</v>
      </c>
      <c r="CD23" s="926" t="s">
        <v>548</v>
      </c>
      <c r="CF23" s="904" t="s">
        <v>1031</v>
      </c>
    </row>
    <row r="24" spans="15:98" ht="34.35" customHeight="1" thickBot="1">
      <c r="O24" s="904" t="s">
        <v>1032</v>
      </c>
      <c r="U24" s="2468" t="s">
        <v>1011</v>
      </c>
      <c r="V24" s="2469" t="s">
        <v>1012</v>
      </c>
      <c r="X24" s="942" t="s">
        <v>1035</v>
      </c>
      <c r="AN24" s="921" t="s">
        <v>1036</v>
      </c>
      <c r="AR24" s="904" t="s">
        <v>1037</v>
      </c>
      <c r="AS24" s="953" t="s">
        <v>1038</v>
      </c>
      <c r="AT24" s="909" t="s">
        <v>1039</v>
      </c>
      <c r="AU24" s="935" t="s">
        <v>1040</v>
      </c>
      <c r="AW24" s="908"/>
      <c r="AX24" s="908"/>
      <c r="AY24" s="908"/>
      <c r="AZ24" s="908"/>
      <c r="BA24" s="908"/>
      <c r="BB24" s="908"/>
      <c r="BC24" s="972" t="s">
        <v>695</v>
      </c>
      <c r="BD24" s="2221" t="s">
        <v>696</v>
      </c>
      <c r="BF24" s="923" t="s">
        <v>2372</v>
      </c>
      <c r="BG24" s="906" t="s">
        <v>231</v>
      </c>
      <c r="BH24" s="924" t="s">
        <v>698</v>
      </c>
      <c r="BN24" s="904" t="s">
        <v>1041</v>
      </c>
      <c r="BP24" s="918" t="s">
        <v>2447</v>
      </c>
      <c r="BZ24" s="904" t="s">
        <v>1042</v>
      </c>
      <c r="CC24" s="926" t="s">
        <v>581</v>
      </c>
      <c r="CD24" s="914" t="s">
        <v>550</v>
      </c>
      <c r="CF24" s="904" t="s">
        <v>906</v>
      </c>
      <c r="CT24" s="932"/>
    </row>
    <row r="25" spans="15:98" ht="32.1" customHeight="1">
      <c r="O25" s="904" t="s">
        <v>1043</v>
      </c>
      <c r="U25" s="2468" t="s">
        <v>1020</v>
      </c>
      <c r="V25" s="2469" t="s">
        <v>1021</v>
      </c>
      <c r="AR25" s="904" t="s">
        <v>1046</v>
      </c>
      <c r="AS25" s="953" t="s">
        <v>1047</v>
      </c>
      <c r="AT25" s="909" t="s">
        <v>1048</v>
      </c>
      <c r="AU25" s="935" t="s">
        <v>1049</v>
      </c>
      <c r="AW25" s="908"/>
      <c r="AX25" s="908"/>
      <c r="AY25" s="908"/>
      <c r="AZ25" s="908"/>
      <c r="BA25" s="908"/>
      <c r="BB25" s="908"/>
      <c r="BC25" s="972" t="s">
        <v>726</v>
      </c>
      <c r="BD25" s="2221" t="s">
        <v>696</v>
      </c>
      <c r="BF25" s="923" t="s">
        <v>2373</v>
      </c>
      <c r="BG25" s="906" t="s">
        <v>231</v>
      </c>
      <c r="BH25" s="924" t="s">
        <v>698</v>
      </c>
      <c r="BN25" s="904" t="s">
        <v>1050</v>
      </c>
      <c r="BP25" s="918" t="s">
        <v>2448</v>
      </c>
      <c r="BZ25" s="904" t="s">
        <v>1051</v>
      </c>
      <c r="CC25" s="926" t="s">
        <v>1052</v>
      </c>
      <c r="CF25" s="904" t="s">
        <v>1053</v>
      </c>
    </row>
    <row r="26" spans="15:98" ht="32.1" customHeight="1">
      <c r="O26" s="904" t="s">
        <v>1054</v>
      </c>
      <c r="U26" s="2468" t="s">
        <v>1033</v>
      </c>
      <c r="V26" s="2469" t="s">
        <v>1034</v>
      </c>
      <c r="AR26" s="904" t="s">
        <v>1057</v>
      </c>
      <c r="AS26" s="953" t="s">
        <v>1057</v>
      </c>
      <c r="AT26" s="909" t="s">
        <v>1058</v>
      </c>
      <c r="AU26" s="935" t="s">
        <v>1057</v>
      </c>
      <c r="AW26" s="908"/>
      <c r="AX26" s="908"/>
      <c r="AY26" s="908"/>
      <c r="AZ26" s="908"/>
      <c r="BA26" s="908"/>
      <c r="BB26" s="908"/>
      <c r="BC26" s="972" t="s">
        <v>354</v>
      </c>
      <c r="BD26" s="2221" t="s">
        <v>696</v>
      </c>
      <c r="BF26" s="923" t="s">
        <v>2374</v>
      </c>
      <c r="BG26" s="906" t="s">
        <v>231</v>
      </c>
      <c r="BH26" s="924" t="s">
        <v>698</v>
      </c>
      <c r="BN26" s="904" t="s">
        <v>1059</v>
      </c>
      <c r="BP26" s="918" t="s">
        <v>2449</v>
      </c>
      <c r="BZ26" s="904" t="s">
        <v>1060</v>
      </c>
      <c r="CC26" s="926" t="s">
        <v>1061</v>
      </c>
      <c r="CF26" s="904" t="s">
        <v>388</v>
      </c>
    </row>
    <row r="27" spans="15:98" ht="32.1" customHeight="1">
      <c r="O27" s="904" t="s">
        <v>1062</v>
      </c>
      <c r="U27" s="2470" t="s">
        <v>1044</v>
      </c>
      <c r="V27" s="2236" t="s">
        <v>1045</v>
      </c>
      <c r="AR27" s="904" t="s">
        <v>1064</v>
      </c>
      <c r="AS27" s="953" t="s">
        <v>1064</v>
      </c>
      <c r="AT27" s="909" t="s">
        <v>1065</v>
      </c>
      <c r="AU27" s="935" t="s">
        <v>1064</v>
      </c>
      <c r="AW27" s="908"/>
      <c r="AX27" s="908"/>
      <c r="AY27" s="908"/>
      <c r="AZ27" s="908"/>
      <c r="BA27" s="908"/>
      <c r="BB27" s="908"/>
      <c r="BC27" s="972" t="s">
        <v>779</v>
      </c>
      <c r="BD27" s="2221" t="s">
        <v>696</v>
      </c>
      <c r="BF27" s="923" t="s">
        <v>2375</v>
      </c>
      <c r="BG27" s="906" t="s">
        <v>231</v>
      </c>
      <c r="BH27" s="924" t="s">
        <v>698</v>
      </c>
      <c r="BN27" s="918" t="s">
        <v>2425</v>
      </c>
      <c r="BP27" s="918" t="s">
        <v>2450</v>
      </c>
      <c r="BZ27" s="904" t="s">
        <v>1066</v>
      </c>
      <c r="CC27" s="926" t="s">
        <v>1067</v>
      </c>
      <c r="CF27" s="904" t="s">
        <v>385</v>
      </c>
    </row>
    <row r="28" spans="15:98" ht="20.100000000000001" customHeight="1" thickBot="1">
      <c r="O28" s="904" t="s">
        <v>1068</v>
      </c>
      <c r="U28" s="2468" t="s">
        <v>1055</v>
      </c>
      <c r="V28" s="2469" t="s">
        <v>1056</v>
      </c>
      <c r="AR28" s="904" t="s">
        <v>1070</v>
      </c>
      <c r="AS28" s="953" t="s">
        <v>1071</v>
      </c>
      <c r="AT28" s="909" t="s">
        <v>1072</v>
      </c>
      <c r="AU28" s="935" t="s">
        <v>1071</v>
      </c>
      <c r="AW28" s="908"/>
      <c r="AX28" s="908"/>
      <c r="AY28" s="908"/>
      <c r="AZ28" s="908"/>
      <c r="BA28" s="908"/>
      <c r="BB28" s="908"/>
      <c r="BC28" s="972" t="s">
        <v>802</v>
      </c>
      <c r="BD28" s="2221" t="s">
        <v>696</v>
      </c>
      <c r="BF28" s="923" t="s">
        <v>2376</v>
      </c>
      <c r="BG28" s="906" t="s">
        <v>231</v>
      </c>
      <c r="BH28" s="924" t="s">
        <v>698</v>
      </c>
      <c r="BN28" s="918" t="s">
        <v>2426</v>
      </c>
      <c r="BP28" s="921" t="s">
        <v>2451</v>
      </c>
      <c r="BZ28" s="904" t="s">
        <v>1073</v>
      </c>
      <c r="CC28" s="926" t="s">
        <v>583</v>
      </c>
      <c r="CF28" s="904" t="s">
        <v>1074</v>
      </c>
    </row>
    <row r="29" spans="15:98" ht="20.100000000000001" customHeight="1">
      <c r="O29" s="904" t="s">
        <v>1075</v>
      </c>
      <c r="U29" s="2235" t="s">
        <v>20</v>
      </c>
      <c r="V29" s="2236" t="s">
        <v>1063</v>
      </c>
      <c r="AR29" s="904" t="s">
        <v>1076</v>
      </c>
      <c r="AS29" s="953" t="s">
        <v>1077</v>
      </c>
      <c r="AT29" s="909" t="s">
        <v>1078</v>
      </c>
      <c r="AU29" s="935" t="s">
        <v>1077</v>
      </c>
      <c r="AW29" s="908"/>
      <c r="AX29" s="908"/>
      <c r="AY29" s="908"/>
      <c r="AZ29" s="908"/>
      <c r="BA29" s="908"/>
      <c r="BB29" s="908"/>
      <c r="BC29" s="972" t="s">
        <v>828</v>
      </c>
      <c r="BD29" s="2221" t="s">
        <v>696</v>
      </c>
      <c r="BF29" s="923" t="s">
        <v>2377</v>
      </c>
      <c r="BG29" s="906" t="s">
        <v>231</v>
      </c>
      <c r="BH29" s="924" t="s">
        <v>698</v>
      </c>
      <c r="BN29" s="918" t="s">
        <v>2427</v>
      </c>
      <c r="BZ29" s="904" t="s">
        <v>1079</v>
      </c>
      <c r="CC29" s="926" t="s">
        <v>1080</v>
      </c>
      <c r="CF29" s="925" t="s">
        <v>2459</v>
      </c>
    </row>
    <row r="30" spans="15:98" ht="20.100000000000001" customHeight="1">
      <c r="O30" s="2249" t="s">
        <v>1081</v>
      </c>
      <c r="U30" s="2235" t="s">
        <v>487</v>
      </c>
      <c r="V30" s="2236" t="s">
        <v>1069</v>
      </c>
      <c r="X30" s="898"/>
      <c r="AR30" s="904" t="s">
        <v>366</v>
      </c>
      <c r="AS30" s="953" t="s">
        <v>1082</v>
      </c>
      <c r="AT30" s="909" t="s">
        <v>1083</v>
      </c>
      <c r="AU30" s="935" t="s">
        <v>366</v>
      </c>
      <c r="AW30" s="908"/>
      <c r="AX30" s="908"/>
      <c r="AY30" s="908"/>
      <c r="AZ30" s="908"/>
      <c r="BA30" s="908"/>
      <c r="BB30" s="908"/>
      <c r="BC30" s="972" t="s">
        <v>849</v>
      </c>
      <c r="BD30" s="2221" t="s">
        <v>696</v>
      </c>
      <c r="BF30" s="923" t="s">
        <v>2378</v>
      </c>
      <c r="BG30" s="906" t="s">
        <v>231</v>
      </c>
      <c r="BH30" s="924" t="s">
        <v>698</v>
      </c>
      <c r="BN30" s="904"/>
      <c r="BZ30" s="904" t="s">
        <v>1084</v>
      </c>
      <c r="CC30" s="926" t="s">
        <v>1085</v>
      </c>
      <c r="CF30" s="925" t="s">
        <v>2460</v>
      </c>
    </row>
    <row r="31" spans="15:98" ht="20.100000000000001" customHeight="1">
      <c r="O31" s="2249" t="s">
        <v>1086</v>
      </c>
      <c r="U31" s="2468" t="s">
        <v>489</v>
      </c>
      <c r="V31" s="2469" t="s">
        <v>4197</v>
      </c>
      <c r="AR31" s="904" t="s">
        <v>1087</v>
      </c>
      <c r="AS31" s="953" t="s">
        <v>1088</v>
      </c>
      <c r="AT31" s="909" t="s">
        <v>1089</v>
      </c>
      <c r="AU31" s="935" t="s">
        <v>1090</v>
      </c>
      <c r="AW31" s="908"/>
      <c r="AX31" s="908"/>
      <c r="AY31" s="908"/>
      <c r="AZ31" s="908"/>
      <c r="BA31" s="908"/>
      <c r="BB31" s="908"/>
      <c r="BC31" s="972" t="s">
        <v>868</v>
      </c>
      <c r="BD31" s="2221" t="s">
        <v>696</v>
      </c>
      <c r="BF31" s="923" t="s">
        <v>2379</v>
      </c>
      <c r="BG31" s="906" t="s">
        <v>231</v>
      </c>
      <c r="BH31" s="924" t="s">
        <v>698</v>
      </c>
      <c r="BN31" s="919" t="s">
        <v>1091</v>
      </c>
      <c r="BZ31" s="904" t="s">
        <v>1092</v>
      </c>
      <c r="CC31" s="926" t="s">
        <v>591</v>
      </c>
      <c r="CF31" s="925" t="s">
        <v>2461</v>
      </c>
    </row>
    <row r="32" spans="15:98" ht="20.100000000000001" customHeight="1">
      <c r="O32" s="2249" t="s">
        <v>1093</v>
      </c>
      <c r="U32" s="2468" t="s">
        <v>2464</v>
      </c>
      <c r="V32" s="2469" t="s">
        <v>2466</v>
      </c>
      <c r="AR32" s="904" t="s">
        <v>1094</v>
      </c>
      <c r="AS32" s="953" t="s">
        <v>1095</v>
      </c>
      <c r="AT32" s="909" t="s">
        <v>1096</v>
      </c>
      <c r="AU32" s="935" t="s">
        <v>1095</v>
      </c>
      <c r="AW32" s="908"/>
      <c r="AX32" s="908"/>
      <c r="AY32" s="908"/>
      <c r="AZ32" s="908"/>
      <c r="BA32" s="908"/>
      <c r="BB32" s="908"/>
      <c r="BC32" s="910" t="s">
        <v>888</v>
      </c>
      <c r="BD32" s="2221" t="s">
        <v>696</v>
      </c>
      <c r="BF32" s="923" t="s">
        <v>2380</v>
      </c>
      <c r="BG32" s="906" t="s">
        <v>231</v>
      </c>
      <c r="BH32" s="924" t="s">
        <v>698</v>
      </c>
      <c r="BN32" s="904" t="s">
        <v>1097</v>
      </c>
      <c r="BZ32" s="904" t="s">
        <v>1098</v>
      </c>
      <c r="CC32" s="926" t="s">
        <v>593</v>
      </c>
      <c r="CF32" s="925" t="s">
        <v>2462</v>
      </c>
    </row>
    <row r="33" spans="15:100" ht="20.100000000000001" customHeight="1" thickBot="1">
      <c r="O33" s="2249" t="s">
        <v>1099</v>
      </c>
      <c r="R33" s="945"/>
      <c r="S33" s="946"/>
      <c r="U33" s="2468" t="s">
        <v>2465</v>
      </c>
      <c r="V33" s="2469" t="s">
        <v>2465</v>
      </c>
      <c r="AR33" s="904" t="s">
        <v>1100</v>
      </c>
      <c r="AS33" s="953" t="s">
        <v>571</v>
      </c>
      <c r="AT33" s="909" t="s">
        <v>825</v>
      </c>
      <c r="AU33" s="935" t="s">
        <v>826</v>
      </c>
      <c r="AW33" s="908"/>
      <c r="AX33" s="908"/>
      <c r="AY33" s="908"/>
      <c r="AZ33" s="908"/>
      <c r="BA33" s="908"/>
      <c r="BB33" s="908"/>
      <c r="BC33" s="910" t="s">
        <v>904</v>
      </c>
      <c r="BD33" s="2221" t="s">
        <v>696</v>
      </c>
      <c r="BF33" s="923" t="s">
        <v>2381</v>
      </c>
      <c r="BG33" s="906" t="s">
        <v>231</v>
      </c>
      <c r="BH33" s="924" t="s">
        <v>698</v>
      </c>
      <c r="BN33" s="904" t="s">
        <v>1101</v>
      </c>
      <c r="BZ33" s="904" t="s">
        <v>1102</v>
      </c>
      <c r="CC33" s="926" t="s">
        <v>590</v>
      </c>
      <c r="CF33" s="927" t="s">
        <v>2463</v>
      </c>
    </row>
    <row r="34" spans="15:100" ht="20.100000000000001" customHeight="1" thickBot="1">
      <c r="O34" s="2250" t="s">
        <v>1103</v>
      </c>
      <c r="U34" s="2471" t="s">
        <v>4198</v>
      </c>
      <c r="V34" s="2237" t="s">
        <v>4198</v>
      </c>
      <c r="AR34" s="904" t="s">
        <v>1104</v>
      </c>
      <c r="AS34" s="953" t="s">
        <v>571</v>
      </c>
      <c r="AT34" s="909" t="s">
        <v>825</v>
      </c>
      <c r="AU34" s="935" t="s">
        <v>826</v>
      </c>
      <c r="AW34" s="908"/>
      <c r="AX34" s="908"/>
      <c r="AY34" s="908"/>
      <c r="AZ34" s="908"/>
      <c r="BA34" s="908"/>
      <c r="BB34" s="908"/>
      <c r="BC34" s="910" t="s">
        <v>920</v>
      </c>
      <c r="BD34" s="2221" t="s">
        <v>696</v>
      </c>
      <c r="BF34" s="923" t="s">
        <v>2382</v>
      </c>
      <c r="BG34" s="906" t="s">
        <v>231</v>
      </c>
      <c r="BH34" s="924" t="s">
        <v>698</v>
      </c>
      <c r="BN34" s="904" t="s">
        <v>1105</v>
      </c>
      <c r="BZ34" s="904" t="s">
        <v>1106</v>
      </c>
      <c r="CC34" s="926" t="s">
        <v>592</v>
      </c>
    </row>
    <row r="35" spans="15:100" ht="20.100000000000001" customHeight="1">
      <c r="AR35" s="925" t="s">
        <v>1107</v>
      </c>
      <c r="AS35" s="954" t="s">
        <v>826</v>
      </c>
      <c r="AT35" s="955" t="s">
        <v>825</v>
      </c>
      <c r="AU35" s="956" t="s">
        <v>826</v>
      </c>
      <c r="AW35" s="908"/>
      <c r="AX35" s="908"/>
      <c r="AY35" s="908"/>
      <c r="AZ35" s="908"/>
      <c r="BA35" s="908"/>
      <c r="BB35" s="908"/>
      <c r="BC35" s="910" t="s">
        <v>934</v>
      </c>
      <c r="BD35" s="2221" t="s">
        <v>696</v>
      </c>
      <c r="BF35" s="923" t="s">
        <v>2383</v>
      </c>
      <c r="BG35" s="906" t="s">
        <v>231</v>
      </c>
      <c r="BH35" s="924" t="s">
        <v>698</v>
      </c>
      <c r="BN35" s="904" t="s">
        <v>1108</v>
      </c>
      <c r="BZ35" s="904" t="s">
        <v>1109</v>
      </c>
      <c r="CC35" s="926" t="s">
        <v>571</v>
      </c>
    </row>
    <row r="36" spans="15:100" ht="20.100000000000001" customHeight="1">
      <c r="AR36" s="925" t="s">
        <v>1110</v>
      </c>
      <c r="AS36" s="954" t="s">
        <v>826</v>
      </c>
      <c r="AT36" s="955" t="s">
        <v>825</v>
      </c>
      <c r="AU36" s="956" t="s">
        <v>826</v>
      </c>
      <c r="AW36" s="908"/>
      <c r="AX36" s="908"/>
      <c r="AY36" s="908"/>
      <c r="AZ36" s="908"/>
      <c r="BA36" s="908"/>
      <c r="BB36" s="908"/>
      <c r="BC36" s="910" t="s">
        <v>948</v>
      </c>
      <c r="BD36" s="2221" t="s">
        <v>696</v>
      </c>
      <c r="BF36" s="923" t="s">
        <v>2384</v>
      </c>
      <c r="BG36" s="906" t="s">
        <v>231</v>
      </c>
      <c r="BH36" s="924" t="s">
        <v>698</v>
      </c>
      <c r="BN36" s="904" t="s">
        <v>1111</v>
      </c>
      <c r="BZ36" s="904" t="s">
        <v>737</v>
      </c>
      <c r="CC36" s="926" t="s">
        <v>1112</v>
      </c>
    </row>
    <row r="37" spans="15:100" ht="20.100000000000001" customHeight="1">
      <c r="AR37" s="925" t="s">
        <v>1113</v>
      </c>
      <c r="AS37" s="954" t="s">
        <v>826</v>
      </c>
      <c r="AT37" s="955" t="s">
        <v>825</v>
      </c>
      <c r="AU37" s="956" t="s">
        <v>826</v>
      </c>
      <c r="AW37" s="908"/>
      <c r="AX37" s="908"/>
      <c r="AY37" s="908"/>
      <c r="AZ37" s="908"/>
      <c r="BA37" s="908"/>
      <c r="BB37" s="908"/>
      <c r="BC37" s="910" t="s">
        <v>964</v>
      </c>
      <c r="BD37" s="2221" t="s">
        <v>696</v>
      </c>
      <c r="BF37" s="923" t="s">
        <v>2385</v>
      </c>
      <c r="BG37" s="906" t="s">
        <v>231</v>
      </c>
      <c r="BH37" s="924" t="s">
        <v>698</v>
      </c>
      <c r="BN37" s="904" t="s">
        <v>1114</v>
      </c>
      <c r="BZ37" s="904" t="s">
        <v>1115</v>
      </c>
      <c r="CC37" s="926" t="s">
        <v>750</v>
      </c>
    </row>
    <row r="38" spans="15:100" ht="20.100000000000001" customHeight="1">
      <c r="AR38" s="925" t="s">
        <v>1116</v>
      </c>
      <c r="AS38" s="954" t="s">
        <v>826</v>
      </c>
      <c r="AT38" s="955" t="s">
        <v>825</v>
      </c>
      <c r="AU38" s="956" t="s">
        <v>826</v>
      </c>
      <c r="AW38" s="908"/>
      <c r="AX38" s="908"/>
      <c r="AY38" s="908"/>
      <c r="AZ38" s="908"/>
      <c r="BA38" s="908"/>
      <c r="BB38" s="908"/>
      <c r="BC38" s="910" t="s">
        <v>980</v>
      </c>
      <c r="BD38" s="969"/>
      <c r="BF38" s="923" t="s">
        <v>2386</v>
      </c>
      <c r="BG38" s="906" t="s">
        <v>231</v>
      </c>
      <c r="BH38" s="924" t="s">
        <v>698</v>
      </c>
      <c r="BN38" s="904" t="s">
        <v>1117</v>
      </c>
      <c r="BZ38" s="904" t="s">
        <v>1118</v>
      </c>
      <c r="CC38" s="926" t="s">
        <v>777</v>
      </c>
    </row>
    <row r="39" spans="15:100" ht="20.100000000000001" customHeight="1">
      <c r="AR39" s="925" t="s">
        <v>1119</v>
      </c>
      <c r="AS39" s="954" t="s">
        <v>826</v>
      </c>
      <c r="AT39" s="955" t="s">
        <v>825</v>
      </c>
      <c r="AU39" s="956" t="s">
        <v>826</v>
      </c>
      <c r="AW39" s="908"/>
      <c r="AX39" s="908"/>
      <c r="AY39" s="908"/>
      <c r="AZ39" s="908"/>
      <c r="BA39" s="908"/>
      <c r="BB39" s="908"/>
      <c r="BC39" s="2263" t="s">
        <v>995</v>
      </c>
      <c r="BD39" s="2264" t="s">
        <v>996</v>
      </c>
      <c r="BF39" s="923" t="s">
        <v>2387</v>
      </c>
      <c r="BG39" s="906" t="s">
        <v>231</v>
      </c>
      <c r="BH39" s="924" t="s">
        <v>698</v>
      </c>
      <c r="BN39" s="904" t="s">
        <v>1120</v>
      </c>
      <c r="BZ39" s="904" t="s">
        <v>1121</v>
      </c>
      <c r="CC39" s="926" t="s">
        <v>1122</v>
      </c>
    </row>
    <row r="40" spans="15:100" ht="33.6" customHeight="1" thickBot="1">
      <c r="AR40" s="927" t="s">
        <v>1123</v>
      </c>
      <c r="AS40" s="957" t="s">
        <v>826</v>
      </c>
      <c r="AT40" s="958" t="s">
        <v>825</v>
      </c>
      <c r="AU40" s="959" t="s">
        <v>826</v>
      </c>
      <c r="AW40" s="908"/>
      <c r="AX40" s="908"/>
      <c r="AY40" s="908"/>
      <c r="AZ40" s="908"/>
      <c r="BA40" s="908"/>
      <c r="BB40" s="908"/>
      <c r="BC40" s="973" t="s">
        <v>2368</v>
      </c>
      <c r="BD40" s="969" t="s">
        <v>2367</v>
      </c>
      <c r="BF40" s="923" t="s">
        <v>2388</v>
      </c>
      <c r="BG40" s="906" t="s">
        <v>231</v>
      </c>
      <c r="BH40" s="924" t="s">
        <v>698</v>
      </c>
      <c r="BN40" s="904" t="s">
        <v>1124</v>
      </c>
      <c r="BZ40" s="904" t="s">
        <v>1125</v>
      </c>
      <c r="CC40" s="926" t="s">
        <v>1126</v>
      </c>
    </row>
    <row r="41" spans="15:100" ht="20.100000000000001" customHeight="1">
      <c r="AW41" s="908"/>
      <c r="AX41" s="908"/>
      <c r="AY41" s="908"/>
      <c r="AZ41" s="908"/>
      <c r="BA41" s="908"/>
      <c r="BB41" s="908"/>
      <c r="BC41" s="960"/>
      <c r="BD41" s="961"/>
      <c r="BF41" s="923" t="s">
        <v>2389</v>
      </c>
      <c r="BG41" s="906" t="s">
        <v>231</v>
      </c>
      <c r="BH41" s="924" t="s">
        <v>698</v>
      </c>
      <c r="BN41" s="904" t="s">
        <v>1127</v>
      </c>
      <c r="BZ41" s="904" t="s">
        <v>1128</v>
      </c>
      <c r="CC41" s="926" t="s">
        <v>586</v>
      </c>
      <c r="CV41" s="932"/>
    </row>
    <row r="42" spans="15:100" ht="20.100000000000001" customHeight="1">
      <c r="AW42" s="908"/>
      <c r="AX42" s="908"/>
      <c r="AY42" s="908"/>
      <c r="AZ42" s="908"/>
      <c r="BA42" s="908"/>
      <c r="BB42" s="908"/>
      <c r="BC42" s="960"/>
      <c r="BD42" s="961"/>
      <c r="BF42" s="923" t="s">
        <v>2390</v>
      </c>
      <c r="BG42" s="906" t="s">
        <v>231</v>
      </c>
      <c r="BH42" s="924" t="s">
        <v>698</v>
      </c>
      <c r="BN42" s="904" t="s">
        <v>1129</v>
      </c>
      <c r="BZ42" s="904" t="s">
        <v>1130</v>
      </c>
      <c r="CC42" s="926" t="s">
        <v>671</v>
      </c>
      <c r="CV42" s="932"/>
    </row>
    <row r="43" spans="15:100" ht="22.35" customHeight="1">
      <c r="AW43" s="908"/>
      <c r="AX43" s="908"/>
      <c r="AY43" s="908"/>
      <c r="AZ43" s="908"/>
      <c r="BA43" s="908"/>
      <c r="BB43" s="908"/>
      <c r="BC43" s="960"/>
      <c r="BD43" s="961"/>
      <c r="BF43" s="923" t="s">
        <v>2391</v>
      </c>
      <c r="BG43" s="906" t="s">
        <v>231</v>
      </c>
      <c r="BH43" s="924" t="s">
        <v>781</v>
      </c>
      <c r="BN43" s="904" t="s">
        <v>1131</v>
      </c>
      <c r="BZ43" s="904" t="s">
        <v>1132</v>
      </c>
      <c r="CC43" s="904" t="s">
        <v>589</v>
      </c>
      <c r="CV43" s="932"/>
    </row>
    <row r="44" spans="15:100" ht="22.35" customHeight="1">
      <c r="AW44" s="908"/>
      <c r="AX44" s="908"/>
      <c r="AY44" s="908"/>
      <c r="AZ44" s="908"/>
      <c r="BA44" s="908"/>
      <c r="BB44" s="908"/>
      <c r="BC44" s="960"/>
      <c r="BD44" s="961"/>
      <c r="BF44" s="923" t="s">
        <v>2392</v>
      </c>
      <c r="BG44" s="906" t="s">
        <v>231</v>
      </c>
      <c r="BH44" s="924" t="s">
        <v>781</v>
      </c>
      <c r="BN44" s="904" t="s">
        <v>1133</v>
      </c>
      <c r="BZ44" s="904" t="s">
        <v>1134</v>
      </c>
      <c r="CC44" s="926" t="s">
        <v>1135</v>
      </c>
      <c r="CV44" s="932"/>
    </row>
    <row r="45" spans="15:100" ht="20.100000000000001" customHeight="1" thickBot="1">
      <c r="AW45" s="908"/>
      <c r="AX45" s="908"/>
      <c r="AY45" s="908"/>
      <c r="AZ45" s="908"/>
      <c r="BA45" s="908"/>
      <c r="BB45" s="908"/>
      <c r="BC45" s="2266"/>
      <c r="BD45" s="963"/>
      <c r="BF45" s="2215" t="s">
        <v>2393</v>
      </c>
      <c r="BG45" s="906" t="s">
        <v>231</v>
      </c>
      <c r="BH45" s="909"/>
      <c r="BN45" s="904" t="s">
        <v>1136</v>
      </c>
      <c r="BZ45" s="904" t="s">
        <v>1137</v>
      </c>
      <c r="CC45" s="904" t="s">
        <v>368</v>
      </c>
    </row>
    <row r="46" spans="15:100" ht="20.100000000000001" customHeight="1">
      <c r="AW46" s="908"/>
      <c r="AX46" s="908"/>
      <c r="AY46" s="908"/>
      <c r="AZ46" s="908"/>
      <c r="BA46" s="908"/>
      <c r="BB46" s="908"/>
      <c r="BC46" s="908"/>
      <c r="BD46" s="908"/>
      <c r="BF46" s="2215" t="s">
        <v>2394</v>
      </c>
      <c r="BG46" s="906" t="s">
        <v>231</v>
      </c>
      <c r="BH46" s="909"/>
      <c r="BN46" s="904" t="s">
        <v>1139</v>
      </c>
      <c r="BZ46" s="904" t="s">
        <v>1140</v>
      </c>
      <c r="CC46" s="904" t="s">
        <v>588</v>
      </c>
    </row>
    <row r="47" spans="15:100" ht="20.100000000000001" customHeight="1">
      <c r="AN47" s="938"/>
      <c r="AW47" s="908"/>
      <c r="AX47" s="908"/>
      <c r="AY47" s="908"/>
      <c r="AZ47" s="908"/>
      <c r="BA47" s="908"/>
      <c r="BB47" s="908"/>
      <c r="BC47" s="908"/>
      <c r="BD47" s="908"/>
      <c r="BF47" s="905"/>
      <c r="BG47" s="906"/>
      <c r="BH47" s="909" t="s">
        <v>698</v>
      </c>
      <c r="BN47" s="904" t="s">
        <v>1142</v>
      </c>
      <c r="BZ47" s="904" t="s">
        <v>1143</v>
      </c>
      <c r="CC47" s="904" t="s">
        <v>960</v>
      </c>
    </row>
    <row r="48" spans="15:100" ht="20.100000000000001" customHeight="1">
      <c r="AZ48" s="908"/>
      <c r="BA48" s="908"/>
      <c r="BB48" s="908"/>
      <c r="BC48" s="908"/>
      <c r="BD48" s="908"/>
      <c r="BF48" s="930" t="s">
        <v>1138</v>
      </c>
      <c r="BG48" s="931"/>
      <c r="BH48" s="909" t="s">
        <v>698</v>
      </c>
      <c r="BN48" s="904" t="s">
        <v>1145</v>
      </c>
      <c r="BZ48" s="904" t="s">
        <v>1146</v>
      </c>
      <c r="CC48" s="904" t="s">
        <v>1147</v>
      </c>
    </row>
    <row r="49" spans="15:81" ht="20.100000000000001" customHeight="1">
      <c r="BD49" s="908"/>
      <c r="BF49" s="905" t="s">
        <v>1141</v>
      </c>
      <c r="BG49" s="906" t="s">
        <v>231</v>
      </c>
      <c r="BH49" s="909" t="s">
        <v>698</v>
      </c>
      <c r="BN49" s="904" t="s">
        <v>1149</v>
      </c>
      <c r="BZ49" s="904" t="s">
        <v>1150</v>
      </c>
      <c r="CC49" s="926" t="s">
        <v>1151</v>
      </c>
    </row>
    <row r="50" spans="15:81" ht="20.100000000000001" customHeight="1">
      <c r="BD50" s="908"/>
      <c r="BF50" s="905" t="s">
        <v>1144</v>
      </c>
      <c r="BG50" s="906" t="s">
        <v>231</v>
      </c>
      <c r="BH50" s="909" t="s">
        <v>698</v>
      </c>
      <c r="BN50" s="904" t="s">
        <v>1153</v>
      </c>
      <c r="BZ50" s="904" t="s">
        <v>1154</v>
      </c>
      <c r="CC50" s="904" t="s">
        <v>595</v>
      </c>
    </row>
    <row r="51" spans="15:81" ht="20.100000000000001" customHeight="1">
      <c r="BD51" s="908"/>
      <c r="BF51" s="905" t="s">
        <v>1148</v>
      </c>
      <c r="BG51" s="906" t="s">
        <v>231</v>
      </c>
      <c r="BH51" s="909" t="s">
        <v>698</v>
      </c>
      <c r="BN51" s="904" t="s">
        <v>763</v>
      </c>
      <c r="BZ51" s="904" t="s">
        <v>1156</v>
      </c>
      <c r="CC51" s="926" t="s">
        <v>1157</v>
      </c>
    </row>
    <row r="52" spans="15:81" ht="20.100000000000001" customHeight="1">
      <c r="BD52" s="908"/>
      <c r="BF52" s="905" t="s">
        <v>1152</v>
      </c>
      <c r="BG52" s="906" t="s">
        <v>231</v>
      </c>
      <c r="BH52" s="909" t="s">
        <v>698</v>
      </c>
      <c r="BN52" s="904" t="s">
        <v>1159</v>
      </c>
      <c r="BZ52" s="904" t="s">
        <v>1160</v>
      </c>
      <c r="CC52" s="904" t="s">
        <v>1161</v>
      </c>
    </row>
    <row r="53" spans="15:81" ht="20.100000000000001" customHeight="1">
      <c r="BC53" s="908"/>
      <c r="BD53" s="908"/>
      <c r="BF53" s="905" t="s">
        <v>1155</v>
      </c>
      <c r="BG53" s="906" t="s">
        <v>231</v>
      </c>
      <c r="BH53" s="909" t="s">
        <v>698</v>
      </c>
      <c r="BN53" s="904" t="s">
        <v>1163</v>
      </c>
      <c r="BZ53" s="904" t="s">
        <v>1164</v>
      </c>
      <c r="CC53" s="904" t="s">
        <v>596</v>
      </c>
    </row>
    <row r="54" spans="15:81" ht="20.100000000000001" customHeight="1">
      <c r="BC54" s="908"/>
      <c r="BD54" s="908"/>
      <c r="BF54" s="905" t="s">
        <v>1158</v>
      </c>
      <c r="BG54" s="906" t="s">
        <v>231</v>
      </c>
      <c r="BH54" s="909" t="s">
        <v>698</v>
      </c>
      <c r="BN54" s="904" t="s">
        <v>1166</v>
      </c>
      <c r="BZ54" s="904" t="s">
        <v>1167</v>
      </c>
      <c r="CC54" s="904" t="s">
        <v>1168</v>
      </c>
    </row>
    <row r="55" spans="15:81" ht="20.100000000000001" customHeight="1">
      <c r="BC55" s="908"/>
      <c r="BD55" s="908"/>
      <c r="BF55" s="905" t="s">
        <v>1162</v>
      </c>
      <c r="BG55" s="906" t="s">
        <v>231</v>
      </c>
      <c r="BH55" s="909" t="s">
        <v>698</v>
      </c>
      <c r="BN55" s="904" t="s">
        <v>1170</v>
      </c>
      <c r="BZ55" s="918" t="s">
        <v>2454</v>
      </c>
      <c r="CC55" s="904" t="s">
        <v>597</v>
      </c>
    </row>
    <row r="56" spans="15:81" ht="20.100000000000001" customHeight="1" thickBot="1">
      <c r="BC56" s="908"/>
      <c r="BD56" s="908"/>
      <c r="BF56" s="905" t="s">
        <v>1165</v>
      </c>
      <c r="BG56" s="906" t="s">
        <v>231</v>
      </c>
      <c r="BH56" s="909" t="s">
        <v>698</v>
      </c>
      <c r="BN56" s="904" t="s">
        <v>1172</v>
      </c>
      <c r="BZ56" s="921" t="s">
        <v>2455</v>
      </c>
      <c r="CC56" s="926" t="s">
        <v>463</v>
      </c>
    </row>
    <row r="57" spans="15:81" ht="20.100000000000001" customHeight="1">
      <c r="BC57" s="908"/>
      <c r="BD57" s="908"/>
      <c r="BF57" s="905" t="s">
        <v>1169</v>
      </c>
      <c r="BG57" s="906" t="s">
        <v>231</v>
      </c>
      <c r="BH57" s="909" t="s">
        <v>698</v>
      </c>
      <c r="BN57" s="904" t="s">
        <v>1174</v>
      </c>
      <c r="CC57" s="926" t="s">
        <v>1175</v>
      </c>
    </row>
    <row r="58" spans="15:81" ht="20.100000000000001" customHeight="1">
      <c r="BF58" s="905" t="s">
        <v>1171</v>
      </c>
      <c r="BG58" s="906" t="s">
        <v>231</v>
      </c>
      <c r="BH58" s="909" t="s">
        <v>698</v>
      </c>
      <c r="BN58" s="904" t="s">
        <v>1177</v>
      </c>
      <c r="CC58" s="926" t="s">
        <v>1178</v>
      </c>
    </row>
    <row r="59" spans="15:81" ht="20.100000000000001" customHeight="1">
      <c r="O59"/>
      <c r="BF59" s="905" t="s">
        <v>1173</v>
      </c>
      <c r="BG59" s="906" t="s">
        <v>231</v>
      </c>
      <c r="BH59" s="909" t="s">
        <v>698</v>
      </c>
      <c r="BN59" s="904" t="s">
        <v>1180</v>
      </c>
      <c r="CC59" s="926" t="s">
        <v>1181</v>
      </c>
    </row>
    <row r="60" spans="15:81" ht="20.100000000000001" customHeight="1">
      <c r="O60"/>
      <c r="BF60" s="905" t="s">
        <v>1176</v>
      </c>
      <c r="BG60" s="906" t="s">
        <v>231</v>
      </c>
      <c r="BH60" s="909" t="s">
        <v>698</v>
      </c>
      <c r="BN60" s="904" t="s">
        <v>1183</v>
      </c>
      <c r="CC60" s="926" t="s">
        <v>1184</v>
      </c>
    </row>
    <row r="61" spans="15:81" ht="20.100000000000001" customHeight="1">
      <c r="O61"/>
      <c r="BF61" s="905" t="s">
        <v>1179</v>
      </c>
      <c r="BG61" s="906" t="s">
        <v>231</v>
      </c>
      <c r="BH61" s="909" t="s">
        <v>698</v>
      </c>
      <c r="BN61" s="904" t="s">
        <v>1186</v>
      </c>
      <c r="CC61" s="926" t="s">
        <v>1187</v>
      </c>
    </row>
    <row r="62" spans="15:81" ht="20.100000000000001" customHeight="1">
      <c r="O62"/>
      <c r="BF62" s="905" t="s">
        <v>1182</v>
      </c>
      <c r="BG62" s="906" t="s">
        <v>231</v>
      </c>
      <c r="BH62" s="909" t="s">
        <v>698</v>
      </c>
      <c r="BN62" s="904" t="s">
        <v>835</v>
      </c>
      <c r="CC62" s="926" t="s">
        <v>1189</v>
      </c>
    </row>
    <row r="63" spans="15:81" ht="20.100000000000001" customHeight="1">
      <c r="O63"/>
      <c r="BF63" s="905" t="s">
        <v>1185</v>
      </c>
      <c r="BG63" s="906" t="s">
        <v>231</v>
      </c>
      <c r="BH63" s="909" t="s">
        <v>698</v>
      </c>
      <c r="BN63" s="904" t="s">
        <v>1191</v>
      </c>
      <c r="CC63" s="926" t="s">
        <v>1038</v>
      </c>
    </row>
    <row r="64" spans="15:81" ht="20.100000000000001" customHeight="1">
      <c r="O64"/>
      <c r="BF64" s="905" t="s">
        <v>1188</v>
      </c>
      <c r="BG64" s="906" t="s">
        <v>231</v>
      </c>
      <c r="BH64" s="909" t="s">
        <v>698</v>
      </c>
      <c r="BN64" s="904" t="s">
        <v>1192</v>
      </c>
      <c r="CC64" s="926" t="s">
        <v>1193</v>
      </c>
    </row>
    <row r="65" spans="15:81" ht="20.100000000000001" customHeight="1">
      <c r="O65"/>
      <c r="BF65" s="905" t="s">
        <v>1190</v>
      </c>
      <c r="BG65" s="906" t="s">
        <v>231</v>
      </c>
      <c r="BH65" s="909" t="s">
        <v>698</v>
      </c>
      <c r="BN65" s="904" t="s">
        <v>1195</v>
      </c>
      <c r="CC65" s="926" t="s">
        <v>1196</v>
      </c>
    </row>
    <row r="66" spans="15:81" ht="20.100000000000001" customHeight="1">
      <c r="O66"/>
      <c r="BF66" s="905" t="s">
        <v>1190</v>
      </c>
      <c r="BG66" s="906" t="s">
        <v>231</v>
      </c>
      <c r="BH66" s="909" t="s">
        <v>698</v>
      </c>
      <c r="BN66" s="904" t="s">
        <v>1198</v>
      </c>
      <c r="CC66" s="926" t="s">
        <v>1199</v>
      </c>
    </row>
    <row r="67" spans="15:81" ht="20.100000000000001" customHeight="1">
      <c r="O67"/>
      <c r="BF67" s="905" t="s">
        <v>1194</v>
      </c>
      <c r="BG67" s="906" t="s">
        <v>231</v>
      </c>
      <c r="BH67" s="909" t="s">
        <v>698</v>
      </c>
      <c r="BN67" s="904" t="s">
        <v>1201</v>
      </c>
      <c r="CC67" s="926" t="s">
        <v>1202</v>
      </c>
    </row>
    <row r="68" spans="15:81" ht="20.100000000000001" customHeight="1">
      <c r="O68"/>
      <c r="BF68" s="905" t="s">
        <v>1197</v>
      </c>
      <c r="BG68" s="906" t="s">
        <v>231</v>
      </c>
      <c r="BH68" s="909" t="s">
        <v>698</v>
      </c>
      <c r="BN68" s="904" t="s">
        <v>1204</v>
      </c>
      <c r="CC68" s="904" t="s">
        <v>1205</v>
      </c>
    </row>
    <row r="69" spans="15:81" ht="20.100000000000001" customHeight="1">
      <c r="O69"/>
      <c r="BF69" s="905" t="s">
        <v>1200</v>
      </c>
      <c r="BG69" s="906" t="s">
        <v>231</v>
      </c>
      <c r="BH69" s="909" t="s">
        <v>698</v>
      </c>
      <c r="BN69" s="904" t="s">
        <v>1207</v>
      </c>
      <c r="CC69" s="926" t="s">
        <v>574</v>
      </c>
    </row>
    <row r="70" spans="15:81" ht="20.100000000000001" customHeight="1">
      <c r="O70"/>
      <c r="BF70" s="905" t="s">
        <v>1203</v>
      </c>
      <c r="BG70" s="906" t="s">
        <v>231</v>
      </c>
      <c r="BH70" s="909" t="s">
        <v>698</v>
      </c>
      <c r="BN70" s="904" t="s">
        <v>1209</v>
      </c>
      <c r="CC70" s="926" t="s">
        <v>1210</v>
      </c>
    </row>
    <row r="71" spans="15:81" ht="20.100000000000001" customHeight="1">
      <c r="O71"/>
      <c r="BF71" s="905" t="s">
        <v>1206</v>
      </c>
      <c r="BG71" s="906" t="s">
        <v>231</v>
      </c>
      <c r="BH71" s="909" t="s">
        <v>698</v>
      </c>
      <c r="BN71" s="904" t="s">
        <v>1212</v>
      </c>
      <c r="CC71" s="926" t="s">
        <v>1213</v>
      </c>
    </row>
    <row r="72" spans="15:81" ht="20.100000000000001" customHeight="1">
      <c r="O72"/>
      <c r="BF72" s="905" t="s">
        <v>1208</v>
      </c>
      <c r="BG72" s="906" t="s">
        <v>231</v>
      </c>
      <c r="BH72" s="909" t="s">
        <v>698</v>
      </c>
      <c r="BN72" s="904" t="s">
        <v>1215</v>
      </c>
      <c r="CC72" s="926" t="s">
        <v>584</v>
      </c>
    </row>
    <row r="73" spans="15:81" ht="20.100000000000001" customHeight="1">
      <c r="O73"/>
      <c r="BF73" s="905" t="s">
        <v>1211</v>
      </c>
      <c r="BG73" s="906" t="s">
        <v>231</v>
      </c>
      <c r="BH73" s="909" t="s">
        <v>698</v>
      </c>
      <c r="BN73" s="904" t="s">
        <v>1217</v>
      </c>
      <c r="CC73" s="926" t="s">
        <v>1218</v>
      </c>
    </row>
    <row r="74" spans="15:81" ht="20.100000000000001" customHeight="1">
      <c r="O74"/>
      <c r="BF74" s="905" t="s">
        <v>1214</v>
      </c>
      <c r="BG74" s="906" t="s">
        <v>231</v>
      </c>
      <c r="BH74" s="909" t="s">
        <v>698</v>
      </c>
      <c r="BN74" s="904" t="s">
        <v>382</v>
      </c>
      <c r="CC74" s="926" t="s">
        <v>585</v>
      </c>
    </row>
    <row r="75" spans="15:81" ht="20.100000000000001" customHeight="1">
      <c r="O75"/>
      <c r="BF75" s="905" t="s">
        <v>1216</v>
      </c>
      <c r="BG75" s="906" t="s">
        <v>231</v>
      </c>
      <c r="BH75" s="909" t="s">
        <v>698</v>
      </c>
      <c r="BN75" s="904" t="s">
        <v>1135</v>
      </c>
      <c r="CC75" s="904" t="s">
        <v>594</v>
      </c>
    </row>
    <row r="76" spans="15:81" ht="20.100000000000001" customHeight="1">
      <c r="O76"/>
      <c r="BF76" s="905" t="s">
        <v>1219</v>
      </c>
      <c r="BG76" s="906" t="s">
        <v>231</v>
      </c>
      <c r="BH76" s="924" t="s">
        <v>781</v>
      </c>
      <c r="BN76" s="904" t="s">
        <v>1222</v>
      </c>
      <c r="CC76" s="926" t="s">
        <v>1223</v>
      </c>
    </row>
    <row r="77" spans="15:81" ht="20.100000000000001" customHeight="1">
      <c r="O77"/>
      <c r="BF77" s="905" t="s">
        <v>1220</v>
      </c>
      <c r="BG77" s="906" t="s">
        <v>231</v>
      </c>
      <c r="BH77" s="909" t="s">
        <v>698</v>
      </c>
      <c r="BN77" s="904" t="s">
        <v>1225</v>
      </c>
      <c r="CC77" s="926" t="s">
        <v>587</v>
      </c>
    </row>
    <row r="78" spans="15:81" ht="20.100000000000001" customHeight="1">
      <c r="BF78" s="905" t="s">
        <v>1221</v>
      </c>
      <c r="BG78" s="906" t="s">
        <v>231</v>
      </c>
      <c r="BH78" s="909" t="s">
        <v>698</v>
      </c>
      <c r="BN78" s="904" t="s">
        <v>852</v>
      </c>
      <c r="CC78" s="926" t="s">
        <v>1227</v>
      </c>
    </row>
    <row r="79" spans="15:81" ht="20.100000000000001" customHeight="1">
      <c r="O79"/>
      <c r="BF79" s="905" t="s">
        <v>1224</v>
      </c>
      <c r="BG79" s="906" t="s">
        <v>231</v>
      </c>
      <c r="BH79" s="909" t="s">
        <v>698</v>
      </c>
      <c r="BN79" s="904" t="s">
        <v>1229</v>
      </c>
      <c r="CC79" s="941" t="s">
        <v>2456</v>
      </c>
    </row>
    <row r="80" spans="15:81" ht="20.100000000000001" customHeight="1">
      <c r="BF80" s="905" t="s">
        <v>1226</v>
      </c>
      <c r="BG80" s="906" t="s">
        <v>231</v>
      </c>
      <c r="BH80" s="909" t="s">
        <v>698</v>
      </c>
      <c r="BN80" s="904" t="s">
        <v>1231</v>
      </c>
      <c r="CC80" s="941" t="s">
        <v>2457</v>
      </c>
    </row>
    <row r="81" spans="58:81" ht="20.100000000000001" customHeight="1" thickBot="1">
      <c r="BF81" s="905" t="s">
        <v>1228</v>
      </c>
      <c r="BG81" s="906" t="s">
        <v>231</v>
      </c>
      <c r="BH81" s="909" t="s">
        <v>698</v>
      </c>
      <c r="BN81" s="904" t="s">
        <v>1233</v>
      </c>
      <c r="CC81" s="1922" t="s">
        <v>2458</v>
      </c>
    </row>
    <row r="82" spans="58:81" ht="20.100000000000001" customHeight="1">
      <c r="BF82" s="905" t="s">
        <v>1230</v>
      </c>
      <c r="BG82" s="906" t="s">
        <v>231</v>
      </c>
      <c r="BH82" s="909" t="s">
        <v>698</v>
      </c>
      <c r="BN82" s="904" t="s">
        <v>1235</v>
      </c>
    </row>
    <row r="83" spans="58:81" ht="20.100000000000001" customHeight="1">
      <c r="BF83" s="905" t="s">
        <v>1232</v>
      </c>
      <c r="BG83" s="906" t="s">
        <v>231</v>
      </c>
      <c r="BH83" s="909" t="s">
        <v>698</v>
      </c>
      <c r="BN83" s="904" t="s">
        <v>1237</v>
      </c>
    </row>
    <row r="84" spans="58:81" ht="20.100000000000001" customHeight="1">
      <c r="BF84" s="905" t="s">
        <v>1234</v>
      </c>
      <c r="BG84" s="906" t="s">
        <v>231</v>
      </c>
      <c r="BH84" s="909" t="s">
        <v>698</v>
      </c>
      <c r="BN84" s="904" t="s">
        <v>1239</v>
      </c>
    </row>
    <row r="85" spans="58:81" ht="20.100000000000001" customHeight="1">
      <c r="BF85" s="905" t="s">
        <v>1236</v>
      </c>
      <c r="BG85" s="906" t="s">
        <v>231</v>
      </c>
      <c r="BH85" s="909" t="s">
        <v>698</v>
      </c>
      <c r="BN85" s="904" t="s">
        <v>1241</v>
      </c>
    </row>
    <row r="86" spans="58:81" ht="20.100000000000001" customHeight="1">
      <c r="BF86" s="905" t="s">
        <v>1238</v>
      </c>
      <c r="BG86" s="906" t="s">
        <v>231</v>
      </c>
      <c r="BH86" s="909" t="s">
        <v>698</v>
      </c>
      <c r="BN86" s="904" t="s">
        <v>1243</v>
      </c>
    </row>
    <row r="87" spans="58:81" ht="20.100000000000001" customHeight="1">
      <c r="BF87" s="905" t="s">
        <v>1240</v>
      </c>
      <c r="BG87" s="906" t="s">
        <v>231</v>
      </c>
      <c r="BH87" s="924" t="s">
        <v>781</v>
      </c>
      <c r="BN87" s="904" t="s">
        <v>1245</v>
      </c>
    </row>
    <row r="88" spans="58:81" ht="20.100000000000001" customHeight="1">
      <c r="BF88" s="905" t="s">
        <v>1242</v>
      </c>
      <c r="BG88" s="906" t="s">
        <v>231</v>
      </c>
      <c r="BH88" s="909" t="s">
        <v>698</v>
      </c>
      <c r="BN88" s="904" t="s">
        <v>1247</v>
      </c>
    </row>
    <row r="89" spans="58:81" ht="20.100000000000001" customHeight="1">
      <c r="BF89" s="905" t="s">
        <v>1244</v>
      </c>
      <c r="BG89" s="906" t="s">
        <v>231</v>
      </c>
      <c r="BH89" s="909" t="s">
        <v>698</v>
      </c>
      <c r="BN89" s="904" t="s">
        <v>1249</v>
      </c>
    </row>
    <row r="90" spans="58:81" ht="20.100000000000001" customHeight="1">
      <c r="BF90" s="905" t="s">
        <v>1246</v>
      </c>
      <c r="BG90" s="906" t="s">
        <v>231</v>
      </c>
      <c r="BH90" s="909" t="s">
        <v>698</v>
      </c>
      <c r="BN90" s="904" t="s">
        <v>1251</v>
      </c>
    </row>
    <row r="91" spans="58:81" ht="20.100000000000001" customHeight="1">
      <c r="BF91" s="905" t="s">
        <v>1248</v>
      </c>
      <c r="BG91" s="906" t="s">
        <v>231</v>
      </c>
      <c r="BH91" s="909" t="s">
        <v>698</v>
      </c>
      <c r="BN91" s="904" t="s">
        <v>1253</v>
      </c>
    </row>
    <row r="92" spans="58:81" ht="20.100000000000001" customHeight="1">
      <c r="BF92" s="905" t="s">
        <v>1250</v>
      </c>
      <c r="BG92" s="906" t="s">
        <v>231</v>
      </c>
      <c r="BH92" s="909" t="s">
        <v>698</v>
      </c>
      <c r="BN92" s="904" t="s">
        <v>1074</v>
      </c>
    </row>
    <row r="93" spans="58:81" ht="20.100000000000001" customHeight="1">
      <c r="BF93" s="905" t="s">
        <v>1252</v>
      </c>
      <c r="BG93" s="906" t="s">
        <v>231</v>
      </c>
      <c r="BH93" s="909" t="s">
        <v>781</v>
      </c>
      <c r="BN93" s="904" t="s">
        <v>1254</v>
      </c>
    </row>
    <row r="94" spans="58:81" ht="20.100000000000001" customHeight="1">
      <c r="BF94" s="923" t="s">
        <v>2395</v>
      </c>
      <c r="BG94" s="906" t="s">
        <v>231</v>
      </c>
      <c r="BH94" s="909" t="s">
        <v>698</v>
      </c>
      <c r="BN94" s="904" t="s">
        <v>1255</v>
      </c>
    </row>
    <row r="95" spans="58:81" ht="20.100000000000001" customHeight="1">
      <c r="BF95" s="923" t="s">
        <v>2396</v>
      </c>
      <c r="BG95" s="906" t="s">
        <v>231</v>
      </c>
      <c r="BH95" s="909" t="s">
        <v>781</v>
      </c>
      <c r="BN95" s="904" t="s">
        <v>1256</v>
      </c>
    </row>
    <row r="96" spans="58:81" ht="20.100000000000001" customHeight="1">
      <c r="BF96" s="923" t="s">
        <v>2397</v>
      </c>
      <c r="BG96" s="906" t="s">
        <v>231</v>
      </c>
      <c r="BH96" s="909" t="s">
        <v>698</v>
      </c>
      <c r="BN96" s="904" t="s">
        <v>1257</v>
      </c>
    </row>
    <row r="97" spans="58:66" ht="20.100000000000001" customHeight="1">
      <c r="BF97" s="923" t="s">
        <v>2398</v>
      </c>
      <c r="BG97" s="906" t="s">
        <v>231</v>
      </c>
      <c r="BH97" s="909" t="s">
        <v>781</v>
      </c>
      <c r="BN97" s="904" t="s">
        <v>1258</v>
      </c>
    </row>
    <row r="98" spans="58:66" ht="20.100000000000001" customHeight="1">
      <c r="BF98" s="923" t="s">
        <v>2399</v>
      </c>
      <c r="BG98" s="906" t="s">
        <v>231</v>
      </c>
      <c r="BH98" s="909"/>
      <c r="BN98" s="904" t="s">
        <v>1260</v>
      </c>
    </row>
    <row r="99" spans="58:66" ht="20.100000000000001" customHeight="1">
      <c r="BF99" s="923" t="s">
        <v>2400</v>
      </c>
      <c r="BG99" s="906" t="s">
        <v>231</v>
      </c>
      <c r="BH99" s="909" t="s">
        <v>698</v>
      </c>
      <c r="BN99" s="904" t="s">
        <v>953</v>
      </c>
    </row>
    <row r="100" spans="58:66" ht="20.100000000000001" customHeight="1">
      <c r="BF100" s="939" t="s">
        <v>1259</v>
      </c>
      <c r="BG100" s="906"/>
      <c r="BH100" s="909" t="s">
        <v>698</v>
      </c>
      <c r="BN100" s="904" t="s">
        <v>1264</v>
      </c>
    </row>
    <row r="101" spans="58:66" ht="20.100000000000001" customHeight="1">
      <c r="BF101" s="905" t="s">
        <v>1261</v>
      </c>
      <c r="BG101" s="906" t="s">
        <v>1262</v>
      </c>
      <c r="BH101" s="909" t="s">
        <v>698</v>
      </c>
      <c r="BN101" s="904" t="s">
        <v>1266</v>
      </c>
    </row>
    <row r="102" spans="58:66" ht="20.100000000000001" customHeight="1">
      <c r="BF102" s="905" t="s">
        <v>1263</v>
      </c>
      <c r="BG102" s="906" t="s">
        <v>1262</v>
      </c>
      <c r="BH102" s="909" t="s">
        <v>698</v>
      </c>
      <c r="BN102" s="904" t="s">
        <v>1268</v>
      </c>
    </row>
    <row r="103" spans="58:66" ht="20.100000000000001" customHeight="1">
      <c r="BF103" s="905" t="s">
        <v>1265</v>
      </c>
      <c r="BG103" s="906" t="s">
        <v>1262</v>
      </c>
      <c r="BH103" s="909" t="s">
        <v>698</v>
      </c>
      <c r="BN103" s="904" t="s">
        <v>1270</v>
      </c>
    </row>
    <row r="104" spans="58:66" ht="20.100000000000001" customHeight="1">
      <c r="BF104" s="905" t="s">
        <v>1267</v>
      </c>
      <c r="BG104" s="906" t="s">
        <v>1262</v>
      </c>
      <c r="BH104" s="909" t="s">
        <v>698</v>
      </c>
      <c r="BN104" s="904" t="s">
        <v>1272</v>
      </c>
    </row>
    <row r="105" spans="58:66" ht="20.100000000000001" customHeight="1">
      <c r="BF105" s="905" t="s">
        <v>1269</v>
      </c>
      <c r="BG105" s="906" t="s">
        <v>1262</v>
      </c>
      <c r="BH105" s="909" t="s">
        <v>781</v>
      </c>
      <c r="BN105" s="904" t="s">
        <v>1274</v>
      </c>
    </row>
    <row r="106" spans="58:66" ht="20.100000000000001" customHeight="1">
      <c r="BF106" s="905" t="s">
        <v>1271</v>
      </c>
      <c r="BG106" s="906" t="s">
        <v>1262</v>
      </c>
      <c r="BH106" s="909" t="s">
        <v>781</v>
      </c>
      <c r="BN106" s="904" t="s">
        <v>1276</v>
      </c>
    </row>
    <row r="107" spans="58:66" ht="20.100000000000001" customHeight="1">
      <c r="BF107" s="905" t="s">
        <v>1273</v>
      </c>
      <c r="BG107" s="906" t="s">
        <v>1262</v>
      </c>
      <c r="BH107" s="909" t="s">
        <v>781</v>
      </c>
      <c r="BN107" s="904" t="s">
        <v>1278</v>
      </c>
    </row>
    <row r="108" spans="58:66" ht="20.100000000000001" customHeight="1">
      <c r="BF108" s="905" t="s">
        <v>1275</v>
      </c>
      <c r="BG108" s="906" t="s">
        <v>1262</v>
      </c>
      <c r="BH108" s="909" t="s">
        <v>781</v>
      </c>
      <c r="BN108" s="904" t="s">
        <v>1280</v>
      </c>
    </row>
    <row r="109" spans="58:66" ht="20.100000000000001" customHeight="1">
      <c r="BF109" s="905" t="s">
        <v>1277</v>
      </c>
      <c r="BG109" s="906" t="s">
        <v>1262</v>
      </c>
      <c r="BH109" s="909" t="s">
        <v>698</v>
      </c>
      <c r="BN109" s="904" t="s">
        <v>1281</v>
      </c>
    </row>
    <row r="110" spans="58:66" ht="20.100000000000001" customHeight="1">
      <c r="BF110" s="905" t="s">
        <v>1279</v>
      </c>
      <c r="BG110" s="906" t="s">
        <v>1262</v>
      </c>
      <c r="BH110" s="909" t="s">
        <v>698</v>
      </c>
      <c r="BN110" s="904" t="s">
        <v>1282</v>
      </c>
    </row>
    <row r="111" spans="58:66" ht="20.100000000000001" customHeight="1">
      <c r="BF111" s="940" t="s">
        <v>2401</v>
      </c>
      <c r="BG111" s="906" t="s">
        <v>1262</v>
      </c>
      <c r="BH111" s="909" t="s">
        <v>781</v>
      </c>
      <c r="BN111" s="904" t="s">
        <v>1283</v>
      </c>
    </row>
    <row r="112" spans="58:66" ht="20.100000000000001" customHeight="1">
      <c r="BF112" s="940" t="s">
        <v>2402</v>
      </c>
      <c r="BG112" s="906" t="s">
        <v>1262</v>
      </c>
      <c r="BH112" s="909" t="s">
        <v>781</v>
      </c>
      <c r="BN112" s="904" t="s">
        <v>1284</v>
      </c>
    </row>
    <row r="113" spans="58:66" ht="20.100000000000001" customHeight="1">
      <c r="BF113" s="940" t="s">
        <v>2403</v>
      </c>
      <c r="BG113" s="906" t="s">
        <v>1262</v>
      </c>
      <c r="BH113" s="909"/>
      <c r="BN113" s="904" t="s">
        <v>1286</v>
      </c>
    </row>
    <row r="114" spans="58:66" ht="20.100000000000001" customHeight="1">
      <c r="BF114" s="940" t="s">
        <v>2404</v>
      </c>
      <c r="BG114" s="906" t="s">
        <v>1262</v>
      </c>
      <c r="BH114" s="909" t="s">
        <v>804</v>
      </c>
      <c r="BN114" s="904" t="s">
        <v>1288</v>
      </c>
    </row>
    <row r="115" spans="58:66" ht="20.100000000000001" customHeight="1">
      <c r="BF115" s="939" t="s">
        <v>1285</v>
      </c>
      <c r="BG115" s="906"/>
      <c r="BH115" s="909" t="s">
        <v>804</v>
      </c>
      <c r="BN115" s="904" t="s">
        <v>1031</v>
      </c>
    </row>
    <row r="116" spans="58:66" ht="20.100000000000001" customHeight="1">
      <c r="BF116" s="905" t="s">
        <v>1287</v>
      </c>
      <c r="BG116" s="906" t="s">
        <v>233</v>
      </c>
      <c r="BH116" s="909" t="s">
        <v>804</v>
      </c>
      <c r="BN116" s="904" t="s">
        <v>1291</v>
      </c>
    </row>
    <row r="117" spans="58:66" ht="20.100000000000001" customHeight="1">
      <c r="BF117" s="905" t="s">
        <v>1289</v>
      </c>
      <c r="BG117" s="906" t="s">
        <v>233</v>
      </c>
      <c r="BH117" s="909" t="s">
        <v>804</v>
      </c>
      <c r="BN117" s="904" t="s">
        <v>1293</v>
      </c>
    </row>
    <row r="118" spans="58:66" ht="20.100000000000001" customHeight="1">
      <c r="BF118" s="905" t="s">
        <v>1290</v>
      </c>
      <c r="BG118" s="906" t="s">
        <v>233</v>
      </c>
      <c r="BH118" s="909" t="s">
        <v>804</v>
      </c>
      <c r="BN118" s="904" t="s">
        <v>1295</v>
      </c>
    </row>
    <row r="119" spans="58:66" ht="20.100000000000001" customHeight="1">
      <c r="BF119" s="905" t="s">
        <v>1292</v>
      </c>
      <c r="BG119" s="906" t="s">
        <v>233</v>
      </c>
      <c r="BH119" s="909" t="s">
        <v>804</v>
      </c>
      <c r="BN119" s="904" t="s">
        <v>1297</v>
      </c>
    </row>
    <row r="120" spans="58:66" ht="20.100000000000001" customHeight="1">
      <c r="BF120" s="905" t="s">
        <v>1294</v>
      </c>
      <c r="BG120" s="906" t="s">
        <v>233</v>
      </c>
      <c r="BH120" s="909" t="s">
        <v>804</v>
      </c>
      <c r="BN120" s="904" t="s">
        <v>1299</v>
      </c>
    </row>
    <row r="121" spans="58:66" ht="20.100000000000001" customHeight="1">
      <c r="BF121" s="905" t="s">
        <v>1296</v>
      </c>
      <c r="BG121" s="906" t="s">
        <v>233</v>
      </c>
      <c r="BH121" s="909" t="s">
        <v>804</v>
      </c>
      <c r="BN121" s="904" t="s">
        <v>1301</v>
      </c>
    </row>
    <row r="122" spans="58:66" ht="20.100000000000001" customHeight="1">
      <c r="BF122" s="905" t="s">
        <v>1298</v>
      </c>
      <c r="BG122" s="906" t="s">
        <v>233</v>
      </c>
      <c r="BH122" s="909" t="s">
        <v>804</v>
      </c>
      <c r="BN122" s="904" t="s">
        <v>1302</v>
      </c>
    </row>
    <row r="123" spans="58:66" ht="20.100000000000001" customHeight="1">
      <c r="BF123" s="905" t="s">
        <v>1300</v>
      </c>
      <c r="BG123" s="906" t="s">
        <v>233</v>
      </c>
      <c r="BH123" s="909" t="s">
        <v>804</v>
      </c>
      <c r="BN123" s="904" t="s">
        <v>1303</v>
      </c>
    </row>
    <row r="124" spans="58:66" ht="20.100000000000001" customHeight="1">
      <c r="BF124" s="940" t="s">
        <v>2405</v>
      </c>
      <c r="BG124" s="906" t="s">
        <v>233</v>
      </c>
      <c r="BH124" s="909" t="s">
        <v>804</v>
      </c>
      <c r="BN124" s="904" t="s">
        <v>1304</v>
      </c>
    </row>
    <row r="125" spans="58:66" ht="20.100000000000001" customHeight="1">
      <c r="BF125" s="940" t="s">
        <v>2406</v>
      </c>
      <c r="BG125" s="906" t="s">
        <v>233</v>
      </c>
      <c r="BH125" s="909" t="s">
        <v>804</v>
      </c>
      <c r="BN125" s="904" t="s">
        <v>1305</v>
      </c>
    </row>
    <row r="126" spans="58:66" ht="20.100000000000001" customHeight="1">
      <c r="BF126" s="940" t="s">
        <v>2407</v>
      </c>
      <c r="BG126" s="906" t="s">
        <v>233</v>
      </c>
      <c r="BH126" s="909" t="s">
        <v>804</v>
      </c>
      <c r="BN126" s="904" t="s">
        <v>1306</v>
      </c>
    </row>
    <row r="127" spans="58:66" ht="20.100000000000001" customHeight="1">
      <c r="BF127" s="940" t="s">
        <v>2408</v>
      </c>
      <c r="BG127" s="906" t="s">
        <v>233</v>
      </c>
      <c r="BH127" s="909" t="s">
        <v>804</v>
      </c>
      <c r="BN127" s="904" t="s">
        <v>1307</v>
      </c>
    </row>
    <row r="128" spans="58:66" ht="20.100000000000001" customHeight="1">
      <c r="BF128" s="940" t="s">
        <v>2409</v>
      </c>
      <c r="BG128" s="906" t="s">
        <v>233</v>
      </c>
      <c r="BH128" s="1145"/>
      <c r="BN128" s="904" t="s">
        <v>906</v>
      </c>
    </row>
    <row r="129" spans="58:66" ht="20.100000000000001" customHeight="1">
      <c r="BF129" s="940" t="s">
        <v>2410</v>
      </c>
      <c r="BG129" s="906" t="s">
        <v>233</v>
      </c>
      <c r="BH129" s="1276" t="s">
        <v>826</v>
      </c>
      <c r="BN129" s="904" t="s">
        <v>1311</v>
      </c>
    </row>
    <row r="130" spans="58:66" ht="20.100000000000001" customHeight="1">
      <c r="BF130" s="939" t="s">
        <v>1308</v>
      </c>
      <c r="BH130" s="1276" t="s">
        <v>826</v>
      </c>
      <c r="BN130" s="904" t="s">
        <v>1313</v>
      </c>
    </row>
    <row r="131" spans="58:66" ht="20.100000000000001" customHeight="1">
      <c r="BF131" s="1274" t="s">
        <v>1309</v>
      </c>
      <c r="BG131" s="1275" t="s">
        <v>1310</v>
      </c>
      <c r="BH131" s="1147" t="s">
        <v>2421</v>
      </c>
      <c r="BN131" s="904" t="s">
        <v>1314</v>
      </c>
    </row>
    <row r="132" spans="58:66" ht="20.100000000000001" customHeight="1">
      <c r="BF132" s="1274" t="s">
        <v>1312</v>
      </c>
      <c r="BG132" s="1275" t="s">
        <v>1310</v>
      </c>
      <c r="BH132" s="1147" t="s">
        <v>2422</v>
      </c>
      <c r="BN132" s="904" t="s">
        <v>1315</v>
      </c>
    </row>
    <row r="133" spans="58:66" ht="20.100000000000001" customHeight="1">
      <c r="BF133" s="1146" t="s">
        <v>2411</v>
      </c>
      <c r="BG133" s="1144" t="s">
        <v>2417</v>
      </c>
      <c r="BH133" s="1147" t="s">
        <v>2423</v>
      </c>
      <c r="BN133" s="904" t="s">
        <v>1316</v>
      </c>
    </row>
    <row r="134" spans="58:66" ht="20.100000000000001" customHeight="1">
      <c r="BF134" s="1146" t="s">
        <v>2412</v>
      </c>
      <c r="BG134" s="1144" t="s">
        <v>2418</v>
      </c>
      <c r="BH134" s="1147" t="s">
        <v>2424</v>
      </c>
      <c r="BN134" s="904" t="s">
        <v>1317</v>
      </c>
    </row>
    <row r="135" spans="58:66" ht="20.100000000000001" customHeight="1">
      <c r="BF135" s="1146" t="s">
        <v>2413</v>
      </c>
      <c r="BG135" s="1144" t="s">
        <v>2419</v>
      </c>
      <c r="BH135" s="909"/>
      <c r="BN135" s="904" t="s">
        <v>1318</v>
      </c>
    </row>
    <row r="136" spans="58:66" ht="20.100000000000001" customHeight="1">
      <c r="BF136" s="1146" t="s">
        <v>2414</v>
      </c>
      <c r="BG136" s="1144" t="s">
        <v>2420</v>
      </c>
      <c r="BH136" s="909" t="s">
        <v>796</v>
      </c>
      <c r="BN136" s="904" t="s">
        <v>1227</v>
      </c>
    </row>
    <row r="137" spans="58:66" ht="20.100000000000001" customHeight="1">
      <c r="BF137" s="930" t="s">
        <v>335</v>
      </c>
      <c r="BG137" s="906"/>
      <c r="BH137" s="909" t="s">
        <v>796</v>
      </c>
      <c r="BN137" s="904" t="s">
        <v>1321</v>
      </c>
    </row>
    <row r="138" spans="58:66" ht="20.100000000000001" customHeight="1">
      <c r="BF138" s="905" t="s">
        <v>1319</v>
      </c>
      <c r="BG138" s="906" t="s">
        <v>335</v>
      </c>
      <c r="BH138" s="909" t="s">
        <v>796</v>
      </c>
      <c r="BN138" s="904" t="s">
        <v>385</v>
      </c>
    </row>
    <row r="139" spans="58:66" ht="20.100000000000001" customHeight="1">
      <c r="BF139" s="905" t="s">
        <v>1320</v>
      </c>
      <c r="BG139" s="906" t="s">
        <v>335</v>
      </c>
      <c r="BH139" s="909" t="s">
        <v>796</v>
      </c>
      <c r="BN139" s="1060" t="s">
        <v>1323</v>
      </c>
    </row>
    <row r="140" spans="58:66" ht="20.100000000000001" customHeight="1" thickBot="1">
      <c r="BF140" s="905" t="s">
        <v>1322</v>
      </c>
      <c r="BG140" s="906" t="s">
        <v>335</v>
      </c>
      <c r="BH140" s="943" t="s">
        <v>796</v>
      </c>
      <c r="BN140" s="929" t="s">
        <v>2428</v>
      </c>
    </row>
    <row r="141" spans="58:66" ht="20.100000000000001" customHeight="1">
      <c r="BF141" s="920" t="s">
        <v>2415</v>
      </c>
      <c r="BG141" s="906" t="s">
        <v>335</v>
      </c>
      <c r="BN141" s="929" t="s">
        <v>2429</v>
      </c>
    </row>
    <row r="142" spans="58:66" ht="20.100000000000001" customHeight="1" thickBot="1">
      <c r="BF142" s="922" t="s">
        <v>2416</v>
      </c>
      <c r="BG142" s="916" t="s">
        <v>335</v>
      </c>
      <c r="BN142" s="929" t="s">
        <v>2430</v>
      </c>
    </row>
    <row r="143" spans="58:66" ht="20.100000000000001" customHeight="1">
      <c r="BN143" s="929" t="s">
        <v>2431</v>
      </c>
    </row>
    <row r="144" spans="58:66" ht="20.100000000000001" customHeight="1">
      <c r="BN144" s="929" t="s">
        <v>2432</v>
      </c>
    </row>
    <row r="145" spans="66:66" ht="20.100000000000001" customHeight="1">
      <c r="BN145" s="929" t="s">
        <v>2433</v>
      </c>
    </row>
    <row r="146" spans="66:66" ht="20.100000000000001" customHeight="1">
      <c r="BN146" s="929" t="s">
        <v>2434</v>
      </c>
    </row>
    <row r="147" spans="66:66" ht="20.100000000000001" customHeight="1">
      <c r="BN147" s="929" t="s">
        <v>2435</v>
      </c>
    </row>
    <row r="148" spans="66:66" ht="20.100000000000001" customHeight="1">
      <c r="BN148" s="929" t="s">
        <v>2436</v>
      </c>
    </row>
    <row r="149" spans="66:66" ht="20.100000000000001" customHeight="1" thickBot="1">
      <c r="BN149" s="933" t="s">
        <v>2437</v>
      </c>
    </row>
    <row r="150" spans="66:66" ht="20.100000000000001" customHeight="1"/>
    <row r="151" spans="66:66" ht="20.100000000000001" customHeight="1"/>
    <row r="152" spans="66:66" ht="20.100000000000001" customHeight="1"/>
    <row r="153" spans="66:66" ht="20.100000000000001" customHeight="1"/>
    <row r="154" spans="66:66" ht="20.100000000000001" customHeight="1"/>
    <row r="155" spans="66:66" ht="20.100000000000001" customHeight="1"/>
    <row r="156" spans="66:66" ht="20.100000000000001" customHeight="1"/>
    <row r="157" spans="66:66" ht="20.100000000000001" customHeight="1"/>
    <row r="158" spans="66:66" ht="20.100000000000001" customHeight="1"/>
    <row r="159" spans="66:66" ht="20.100000000000001" customHeight="1"/>
    <row r="160" spans="66:66" ht="20.100000000000001" customHeight="1"/>
    <row r="161" ht="20.100000000000001" customHeight="1"/>
    <row r="162" ht="20.100000000000001" customHeight="1"/>
    <row r="163" ht="20.100000000000001" customHeight="1"/>
    <row r="164" ht="20.100000000000001" customHeight="1"/>
    <row r="165" ht="20.100000000000001" customHeight="1"/>
    <row r="166" ht="20.100000000000001" customHeight="1"/>
    <row r="167" ht="20.100000000000001" customHeight="1"/>
    <row r="168" ht="20.100000000000001" customHeight="1"/>
    <row r="169" ht="20.100000000000001" customHeight="1"/>
    <row r="170" ht="20.100000000000001" customHeight="1"/>
    <row r="171" ht="20.100000000000001" customHeight="1"/>
    <row r="172" ht="20.100000000000001" customHeight="1"/>
    <row r="173" ht="20.100000000000001" customHeight="1"/>
    <row r="174" ht="20.100000000000001" customHeight="1"/>
    <row r="175" ht="20.100000000000001" customHeight="1"/>
    <row r="176" ht="20.100000000000001" customHeight="1"/>
    <row r="177" ht="20.100000000000001" customHeight="1"/>
    <row r="178" ht="20.100000000000001" customHeight="1"/>
    <row r="179" ht="20.100000000000001" customHeight="1"/>
    <row r="180" ht="20.100000000000001" customHeight="1"/>
    <row r="181" ht="20.100000000000001" customHeight="1"/>
    <row r="182" ht="20.100000000000001" customHeight="1"/>
    <row r="183" ht="20.100000000000001" customHeight="1"/>
    <row r="184" ht="20.100000000000001" customHeight="1"/>
    <row r="185" ht="20.100000000000001" customHeight="1"/>
    <row r="186" ht="20.100000000000001" customHeight="1"/>
    <row r="187" ht="20.100000000000001" customHeight="1"/>
    <row r="188" ht="20.100000000000001" customHeight="1"/>
    <row r="189" ht="20.100000000000001" customHeight="1"/>
    <row r="190" ht="20.100000000000001" customHeight="1"/>
    <row r="191" ht="20.100000000000001" customHeight="1"/>
    <row r="192" ht="20.100000000000001" customHeight="1"/>
    <row r="193" ht="20.100000000000001" customHeight="1"/>
    <row r="194" ht="20.100000000000001" customHeight="1"/>
    <row r="195" ht="20.100000000000001" customHeight="1"/>
    <row r="196" ht="20.100000000000001" customHeight="1"/>
    <row r="197" ht="20.100000000000001" customHeight="1"/>
    <row r="198" ht="20.100000000000001" customHeight="1"/>
    <row r="199" ht="20.100000000000001" customHeight="1"/>
    <row r="200" ht="20.100000000000001" customHeight="1"/>
    <row r="201" ht="20.100000000000001" customHeight="1"/>
    <row r="202" ht="20.100000000000001" customHeight="1"/>
    <row r="203" ht="20.100000000000001" customHeight="1"/>
    <row r="204" ht="20.100000000000001" customHeight="1"/>
    <row r="205" ht="20.100000000000001" customHeight="1"/>
    <row r="206" ht="20.100000000000001" customHeight="1"/>
    <row r="207" ht="20.100000000000001" customHeight="1"/>
    <row r="208" ht="20.100000000000001" customHeight="1"/>
    <row r="209" ht="20.100000000000001" customHeight="1"/>
    <row r="210" ht="20.100000000000001" customHeight="1"/>
    <row r="211" ht="20.100000000000001" customHeight="1"/>
    <row r="212" ht="20.100000000000001" customHeight="1"/>
    <row r="213" ht="20.100000000000001" customHeight="1"/>
    <row r="214" ht="20.100000000000001" customHeight="1"/>
    <row r="215" ht="20.100000000000001" customHeight="1"/>
    <row r="216" ht="20.100000000000001" customHeight="1"/>
    <row r="217" ht="20.100000000000001" customHeight="1"/>
    <row r="218" ht="20.100000000000001" customHeight="1"/>
    <row r="219" ht="20.100000000000001" customHeight="1"/>
    <row r="220" ht="20.100000000000001" customHeight="1"/>
    <row r="221" ht="20.100000000000001" customHeight="1"/>
    <row r="222" ht="20.100000000000001" customHeight="1"/>
    <row r="223" ht="20.100000000000001" customHeight="1"/>
    <row r="224" ht="20.100000000000001" customHeight="1"/>
    <row r="225" ht="20.100000000000001" customHeight="1"/>
    <row r="226" ht="20.100000000000001" customHeight="1"/>
    <row r="227" ht="20.100000000000001" customHeight="1"/>
    <row r="228" ht="20.100000000000001" customHeight="1"/>
    <row r="229" ht="20.100000000000001" customHeight="1"/>
    <row r="230" ht="20.100000000000001" customHeight="1"/>
    <row r="231" ht="20.100000000000001" customHeight="1"/>
    <row r="232" ht="20.100000000000001" customHeight="1"/>
    <row r="233" ht="20.100000000000001" customHeight="1"/>
    <row r="234" ht="20.100000000000001" customHeight="1"/>
    <row r="235" ht="20.100000000000001" customHeight="1"/>
    <row r="236" ht="20.100000000000001" customHeight="1"/>
    <row r="237" ht="20.100000000000001" customHeight="1"/>
    <row r="238" ht="20.100000000000001" customHeight="1"/>
    <row r="239" ht="20.100000000000001" customHeight="1"/>
    <row r="240" ht="20.100000000000001" customHeight="1"/>
    <row r="241" ht="20.100000000000001" customHeight="1"/>
    <row r="242" ht="20.100000000000001" customHeight="1"/>
    <row r="243" ht="20.100000000000001" customHeight="1"/>
    <row r="244" ht="20.100000000000001" customHeight="1"/>
    <row r="245" ht="20.100000000000001" customHeight="1"/>
    <row r="246" ht="20.100000000000001" customHeight="1"/>
    <row r="247" ht="20.100000000000001" customHeight="1"/>
    <row r="248" ht="20.100000000000001" customHeight="1"/>
    <row r="249" ht="20.100000000000001" customHeight="1"/>
    <row r="250" ht="20.100000000000001" customHeight="1"/>
    <row r="251" ht="20.100000000000001" customHeight="1"/>
    <row r="252" ht="20.100000000000001" customHeight="1"/>
    <row r="253" ht="20.100000000000001" customHeight="1"/>
    <row r="254" ht="20.100000000000001" customHeight="1"/>
    <row r="255" ht="20.100000000000001" customHeight="1"/>
    <row r="256" ht="20.100000000000001" customHeight="1"/>
    <row r="257" ht="20.100000000000001" customHeight="1"/>
    <row r="258" ht="20.100000000000001" customHeight="1"/>
    <row r="259" ht="20.100000000000001" customHeight="1"/>
    <row r="260" ht="20.100000000000001" customHeight="1"/>
    <row r="261" ht="20.100000000000001" customHeight="1"/>
    <row r="262" ht="20.100000000000001" customHeight="1"/>
    <row r="263" ht="20.100000000000001" customHeight="1"/>
    <row r="264" ht="20.100000000000001" customHeight="1"/>
    <row r="265" ht="20.100000000000001" customHeight="1"/>
    <row r="266" ht="20.100000000000001" customHeight="1"/>
    <row r="267" ht="20.100000000000001" customHeight="1"/>
    <row r="268" ht="20.100000000000001" customHeight="1"/>
    <row r="269" ht="20.100000000000001" customHeight="1"/>
    <row r="270" ht="20.100000000000001" customHeight="1"/>
    <row r="271" ht="20.100000000000001" customHeight="1"/>
    <row r="272" ht="20.100000000000001" customHeight="1"/>
    <row r="273" ht="20.100000000000001" customHeight="1"/>
    <row r="274" ht="20.100000000000001" customHeight="1"/>
    <row r="275" ht="20.100000000000001" customHeight="1"/>
    <row r="276" ht="20.100000000000001" customHeight="1"/>
    <row r="277" ht="20.100000000000001" customHeight="1"/>
    <row r="278" ht="20.100000000000001" customHeight="1"/>
    <row r="279" ht="20.100000000000001" customHeight="1"/>
    <row r="280" ht="20.100000000000001" customHeight="1"/>
    <row r="281" ht="20.100000000000001" customHeight="1"/>
    <row r="282" ht="20.100000000000001" customHeight="1"/>
    <row r="283" ht="20.100000000000001" customHeight="1"/>
    <row r="284" ht="20.100000000000001" customHeight="1"/>
    <row r="285" ht="20.100000000000001" customHeight="1"/>
    <row r="286" ht="20.100000000000001" customHeight="1"/>
    <row r="287" ht="20.100000000000001" customHeight="1"/>
    <row r="288" ht="20.100000000000001" customHeight="1"/>
    <row r="289" ht="20.100000000000001" customHeight="1"/>
    <row r="290" ht="20.100000000000001" customHeight="1"/>
    <row r="291" ht="20.100000000000001" customHeight="1"/>
    <row r="292" ht="20.100000000000001" customHeight="1"/>
    <row r="293" ht="20.100000000000001" customHeight="1"/>
    <row r="294" ht="20.100000000000001" customHeight="1"/>
    <row r="295" ht="20.100000000000001" customHeight="1"/>
    <row r="296" ht="20.100000000000001" customHeight="1"/>
    <row r="297" ht="20.100000000000001" customHeight="1"/>
    <row r="298" ht="20.100000000000001" customHeight="1"/>
    <row r="299" ht="20.100000000000001" customHeight="1"/>
    <row r="300" ht="20.100000000000001" customHeight="1"/>
    <row r="301" ht="20.100000000000001" customHeight="1"/>
    <row r="302" ht="20.100000000000001" customHeight="1"/>
    <row r="303" ht="20.100000000000001" customHeight="1"/>
    <row r="304" ht="20.100000000000001" customHeight="1"/>
    <row r="305" ht="20.100000000000001" customHeight="1"/>
    <row r="306" ht="20.100000000000001" customHeight="1"/>
    <row r="307" ht="20.100000000000001" customHeight="1"/>
    <row r="308" ht="20.100000000000001" customHeight="1"/>
    <row r="309" ht="20.100000000000001" customHeight="1"/>
    <row r="310" ht="20.100000000000001" customHeight="1"/>
    <row r="311" ht="20.100000000000001" customHeight="1"/>
    <row r="312" ht="20.100000000000001" customHeight="1"/>
    <row r="313" ht="20.100000000000001" customHeight="1"/>
    <row r="314" ht="20.100000000000001" customHeight="1"/>
    <row r="315" ht="20.100000000000001" customHeight="1"/>
    <row r="316" ht="20.100000000000001" customHeight="1"/>
    <row r="317" ht="20.100000000000001" customHeight="1"/>
    <row r="318" ht="20.100000000000001" customHeight="1"/>
    <row r="319" ht="20.100000000000001" customHeight="1"/>
    <row r="320" ht="20.100000000000001" customHeight="1"/>
    <row r="321" ht="20.100000000000001" customHeight="1"/>
    <row r="322" ht="20.100000000000001" customHeight="1"/>
    <row r="323" ht="20.100000000000001" customHeight="1"/>
    <row r="324" ht="20.100000000000001" customHeight="1"/>
    <row r="325" ht="20.100000000000001" customHeight="1"/>
    <row r="326" ht="20.100000000000001" customHeight="1"/>
    <row r="327" ht="20.100000000000001" customHeight="1"/>
    <row r="328" ht="20.100000000000001" customHeight="1"/>
    <row r="329" ht="20.100000000000001" customHeight="1"/>
    <row r="330" ht="20.100000000000001" customHeight="1"/>
    <row r="331" ht="20.100000000000001" customHeight="1"/>
    <row r="332" ht="20.100000000000001" customHeight="1"/>
    <row r="333" ht="20.100000000000001" customHeight="1"/>
    <row r="334" ht="20.100000000000001" customHeight="1"/>
    <row r="335" ht="20.100000000000001" customHeight="1"/>
    <row r="336" ht="20.100000000000001" customHeight="1"/>
    <row r="337" ht="20.100000000000001" customHeight="1"/>
    <row r="338" ht="20.100000000000001" customHeight="1"/>
    <row r="339" ht="20.100000000000001" customHeight="1"/>
    <row r="340" ht="20.100000000000001" customHeight="1"/>
    <row r="341" ht="20.100000000000001" customHeight="1"/>
    <row r="342" ht="20.100000000000001" customHeight="1"/>
    <row r="343" ht="20.100000000000001" customHeight="1"/>
    <row r="344" ht="20.100000000000001" customHeight="1"/>
    <row r="345" ht="20.100000000000001" customHeight="1"/>
    <row r="346" ht="20.100000000000001" customHeight="1"/>
    <row r="347" ht="20.100000000000001" customHeight="1"/>
    <row r="348" ht="20.100000000000001" customHeight="1"/>
    <row r="349" ht="20.100000000000001" customHeight="1"/>
    <row r="350" ht="20.100000000000001" customHeight="1"/>
    <row r="351" ht="20.100000000000001" customHeight="1"/>
    <row r="352" ht="20.100000000000001" customHeight="1"/>
    <row r="353" ht="20.100000000000001" customHeight="1"/>
    <row r="354" ht="20.100000000000001" customHeight="1"/>
    <row r="355" ht="20.100000000000001" customHeight="1"/>
    <row r="356" ht="20.100000000000001" customHeight="1"/>
    <row r="357" ht="20.100000000000001" customHeight="1"/>
    <row r="358" ht="20.100000000000001" customHeight="1"/>
    <row r="359" ht="20.100000000000001" customHeight="1"/>
    <row r="360" ht="20.100000000000001" customHeight="1"/>
    <row r="361" ht="20.100000000000001" customHeight="1"/>
    <row r="362" ht="20.100000000000001" customHeight="1"/>
    <row r="363" ht="20.100000000000001" customHeight="1"/>
    <row r="364" ht="20.100000000000001" customHeight="1"/>
    <row r="365" ht="20.100000000000001" customHeight="1"/>
    <row r="366" ht="20.100000000000001" customHeight="1"/>
    <row r="367" ht="20.100000000000001" customHeight="1"/>
    <row r="368" ht="20.100000000000001" customHeight="1"/>
    <row r="369" ht="20.100000000000001" customHeight="1"/>
    <row r="370" ht="20.100000000000001" customHeight="1"/>
    <row r="371" ht="20.100000000000001" customHeight="1"/>
    <row r="372" ht="20.100000000000001" customHeight="1"/>
    <row r="373" ht="20.100000000000001" customHeight="1"/>
    <row r="374" ht="20.100000000000001" customHeight="1"/>
    <row r="375" ht="20.100000000000001" customHeight="1"/>
    <row r="376" ht="20.100000000000001" customHeight="1"/>
    <row r="377" ht="20.100000000000001" customHeight="1"/>
    <row r="378" ht="20.100000000000001" customHeight="1"/>
    <row r="379" ht="20.100000000000001" customHeight="1"/>
    <row r="380" ht="20.100000000000001" customHeight="1"/>
    <row r="381" ht="20.100000000000001" customHeight="1"/>
    <row r="382" ht="20.100000000000001" customHeight="1"/>
    <row r="383" ht="20.100000000000001" customHeight="1"/>
    <row r="384" ht="20.100000000000001" customHeight="1"/>
    <row r="385" ht="20.100000000000001" customHeight="1"/>
    <row r="386" ht="20.100000000000001" customHeight="1"/>
    <row r="387" ht="20.100000000000001" customHeight="1"/>
    <row r="388" ht="20.100000000000001" customHeight="1"/>
    <row r="389" ht="20.100000000000001" customHeight="1"/>
    <row r="390" ht="20.100000000000001" customHeight="1"/>
    <row r="391" ht="20.100000000000001" customHeight="1"/>
    <row r="392" ht="20.100000000000001" customHeight="1"/>
    <row r="393" ht="20.100000000000001" customHeight="1"/>
    <row r="394" ht="20.100000000000001" customHeight="1"/>
    <row r="395" ht="20.100000000000001" customHeight="1"/>
    <row r="396" ht="20.100000000000001" customHeight="1"/>
    <row r="397" ht="20.100000000000001" customHeight="1"/>
    <row r="398" ht="20.100000000000001" customHeight="1"/>
    <row r="399" ht="20.100000000000001" customHeight="1"/>
    <row r="400" ht="20.100000000000001" customHeight="1"/>
    <row r="401" ht="20.100000000000001" customHeight="1"/>
    <row r="402" ht="20.100000000000001" customHeight="1"/>
    <row r="403" ht="20.100000000000001" customHeight="1"/>
    <row r="404" ht="20.100000000000001" customHeight="1"/>
    <row r="405" ht="20.100000000000001" customHeight="1"/>
    <row r="406" ht="20.100000000000001" customHeight="1"/>
    <row r="407" ht="20.100000000000001" customHeight="1"/>
    <row r="408" ht="20.100000000000001" customHeight="1"/>
    <row r="409" ht="20.100000000000001" customHeight="1"/>
    <row r="410" ht="20.100000000000001" customHeight="1"/>
    <row r="411" ht="20.100000000000001" customHeight="1"/>
    <row r="412" ht="20.100000000000001" customHeight="1"/>
    <row r="413" ht="20.100000000000001" customHeight="1"/>
    <row r="414" ht="20.100000000000001" customHeight="1"/>
    <row r="415" ht="20.100000000000001" customHeight="1"/>
    <row r="416" ht="20.100000000000001" customHeight="1"/>
    <row r="417" ht="20.100000000000001" customHeight="1"/>
    <row r="418" ht="20.100000000000001" customHeight="1"/>
    <row r="419" ht="20.100000000000001" customHeight="1"/>
    <row r="420" ht="20.100000000000001" customHeight="1"/>
    <row r="421" ht="20.100000000000001" customHeight="1"/>
    <row r="422" ht="20.100000000000001" customHeight="1"/>
    <row r="423" ht="20.100000000000001" customHeight="1"/>
    <row r="424" ht="20.100000000000001" customHeight="1"/>
    <row r="425" ht="20.100000000000001" customHeight="1"/>
    <row r="426" ht="20.100000000000001" customHeight="1"/>
    <row r="427" ht="20.100000000000001" customHeight="1"/>
    <row r="428" ht="20.100000000000001" customHeight="1"/>
    <row r="429" ht="20.100000000000001" customHeight="1"/>
    <row r="430" ht="20.100000000000001" customHeight="1"/>
    <row r="431" ht="20.100000000000001" customHeight="1"/>
    <row r="432" ht="20.100000000000001" customHeight="1"/>
    <row r="433" ht="20.100000000000001" customHeight="1"/>
    <row r="434" ht="20.100000000000001" customHeight="1"/>
    <row r="435" ht="20.100000000000001" customHeight="1"/>
    <row r="436" ht="20.100000000000001" customHeight="1"/>
    <row r="437" ht="20.100000000000001" customHeight="1"/>
    <row r="438" ht="20.100000000000001" customHeight="1"/>
    <row r="439" ht="20.100000000000001" customHeight="1"/>
    <row r="440" ht="20.100000000000001" customHeight="1"/>
    <row r="441" ht="20.100000000000001" customHeight="1"/>
    <row r="442" ht="20.100000000000001" customHeight="1"/>
    <row r="443" ht="20.100000000000001" customHeight="1"/>
    <row r="444" ht="20.100000000000001" customHeight="1"/>
    <row r="445" ht="20.100000000000001" customHeight="1"/>
    <row r="446" ht="20.100000000000001" customHeight="1"/>
    <row r="447" ht="20.100000000000001" customHeight="1"/>
    <row r="448" ht="20.100000000000001" customHeight="1"/>
    <row r="449" ht="20.100000000000001" customHeight="1"/>
    <row r="450" ht="20.100000000000001" customHeight="1"/>
    <row r="451" ht="20.100000000000001" customHeight="1"/>
    <row r="452" ht="20.100000000000001" customHeight="1"/>
    <row r="453" ht="20.100000000000001" customHeight="1"/>
    <row r="454" ht="20.100000000000001" customHeight="1"/>
    <row r="455" ht="20.100000000000001" customHeight="1"/>
    <row r="456" ht="20.100000000000001" customHeight="1"/>
    <row r="457" ht="20.100000000000001" customHeight="1"/>
    <row r="458" ht="20.100000000000001" customHeight="1"/>
    <row r="459" ht="20.100000000000001" customHeight="1"/>
    <row r="460" ht="20.100000000000001" customHeight="1"/>
    <row r="461" ht="20.100000000000001" customHeight="1"/>
    <row r="462" ht="20.100000000000001" customHeight="1"/>
    <row r="463" ht="20.100000000000001" customHeight="1"/>
    <row r="464" ht="20.100000000000001" customHeight="1"/>
    <row r="465" ht="20.100000000000001" customHeight="1"/>
    <row r="466" ht="20.100000000000001" customHeight="1"/>
    <row r="467" ht="20.100000000000001" customHeight="1"/>
    <row r="468" ht="20.100000000000001" customHeight="1"/>
    <row r="469" ht="20.100000000000001" customHeight="1"/>
    <row r="470" ht="20.100000000000001" customHeight="1"/>
    <row r="471" ht="20.100000000000001" customHeight="1"/>
    <row r="472" ht="20.100000000000001" customHeight="1"/>
    <row r="473" ht="20.100000000000001" customHeight="1"/>
    <row r="474" ht="20.100000000000001" customHeight="1"/>
    <row r="475" ht="20.100000000000001" customHeight="1"/>
    <row r="476" ht="20.100000000000001" customHeight="1"/>
    <row r="477" ht="20.100000000000001" customHeight="1"/>
    <row r="478" ht="20.100000000000001" customHeight="1"/>
    <row r="479" ht="20.100000000000001" customHeight="1"/>
    <row r="480" ht="20.100000000000001" customHeight="1"/>
    <row r="481" ht="20.100000000000001" customHeight="1"/>
    <row r="482" ht="20.100000000000001" customHeight="1"/>
    <row r="483" ht="20.100000000000001" customHeight="1"/>
    <row r="484" ht="20.100000000000001" customHeight="1"/>
    <row r="485" ht="20.100000000000001" customHeight="1"/>
    <row r="486" ht="20.100000000000001" customHeight="1"/>
    <row r="487" ht="20.100000000000001" customHeight="1"/>
    <row r="488" ht="20.100000000000001" customHeight="1"/>
    <row r="489" ht="20.100000000000001" customHeight="1"/>
    <row r="490" ht="20.100000000000001" customHeight="1"/>
    <row r="491" ht="20.100000000000001" customHeight="1"/>
    <row r="492" ht="20.100000000000001" customHeight="1"/>
    <row r="493" ht="20.100000000000001" customHeight="1"/>
    <row r="494" ht="20.100000000000001" customHeight="1"/>
  </sheetData>
  <sortState xmlns:xlrd2="http://schemas.microsoft.com/office/spreadsheetml/2017/richdata2" ref="U5:V30">
    <sortCondition ref="U5:U30"/>
  </sortState>
  <phoneticPr fontId="10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FFC000"/>
    <pageSetUpPr fitToPage="1"/>
  </sheetPr>
  <dimension ref="A1:V225"/>
  <sheetViews>
    <sheetView zoomScaleNormal="100" workbookViewId="0">
      <pane ySplit="8" topLeftCell="A9" activePane="bottomLeft" state="frozen"/>
      <selection pane="bottomLeft" activeCell="C4" sqref="C4"/>
    </sheetView>
  </sheetViews>
  <sheetFormatPr defaultColWidth="9.42578125" defaultRowHeight="12.75"/>
  <cols>
    <col min="1" max="1" width="9.5703125" style="3" customWidth="1"/>
    <col min="2" max="2" width="46.42578125" style="3" customWidth="1"/>
    <col min="3" max="3" width="19.5703125" style="65" customWidth="1"/>
    <col min="4" max="4" width="18.5703125" style="65" customWidth="1"/>
    <col min="5" max="6" width="15.5703125" style="66" customWidth="1"/>
    <col min="7" max="7" width="13.42578125" style="65" customWidth="1"/>
    <col min="8" max="8" width="14.5703125" style="65" customWidth="1"/>
    <col min="9" max="9" width="18" style="3" customWidth="1"/>
    <col min="10" max="10" width="14.5703125" style="28" bestFit="1" customWidth="1"/>
    <col min="11" max="11" width="15.42578125" style="28" customWidth="1"/>
    <col min="12" max="12" width="9.42578125" style="28"/>
    <col min="13" max="13" width="9.5703125" style="28" customWidth="1"/>
    <col min="14" max="14" width="12" style="28" bestFit="1" customWidth="1"/>
    <col min="15" max="15" width="15.5703125" style="80" customWidth="1"/>
    <col min="16" max="21" width="9.42578125" style="80"/>
    <col min="22" max="22" width="9.42578125" style="28"/>
    <col min="23" max="16384" width="9.42578125" style="3"/>
  </cols>
  <sheetData>
    <row r="1" spans="1:22" ht="55.5" customHeight="1">
      <c r="A1" s="27"/>
      <c r="B1" s="28"/>
      <c r="C1" s="997"/>
      <c r="D1" s="29"/>
      <c r="E1" s="30"/>
      <c r="F1" s="30"/>
      <c r="G1" s="29"/>
      <c r="H1" s="29"/>
      <c r="I1" s="28"/>
      <c r="K1" s="890" t="s">
        <v>1324</v>
      </c>
      <c r="O1" s="2579" t="s">
        <v>1325</v>
      </c>
      <c r="P1" s="2580"/>
      <c r="Q1" s="2580"/>
      <c r="R1" s="2580"/>
      <c r="S1" s="2580"/>
      <c r="T1" s="2580"/>
      <c r="U1" s="2580"/>
      <c r="V1" s="2581"/>
    </row>
    <row r="2" spans="1:22">
      <c r="A2" s="27"/>
      <c r="B2" s="28"/>
      <c r="C2" s="29"/>
      <c r="D2" s="29"/>
      <c r="E2" s="30"/>
      <c r="F2" s="30"/>
      <c r="G2" s="29"/>
      <c r="H2" s="29"/>
      <c r="I2" s="28"/>
      <c r="O2" s="2582"/>
      <c r="P2" s="2583"/>
      <c r="Q2" s="2583"/>
      <c r="R2" s="2583"/>
      <c r="S2" s="2583"/>
      <c r="T2" s="2583"/>
      <c r="U2" s="2583"/>
      <c r="V2" s="2584"/>
    </row>
    <row r="3" spans="1:22" ht="15" customHeight="1">
      <c r="A3" s="28"/>
      <c r="B3" s="28"/>
      <c r="C3" s="29"/>
      <c r="D3" s="29"/>
      <c r="E3" s="30"/>
      <c r="F3" s="30"/>
      <c r="G3" s="29"/>
      <c r="H3" s="29"/>
      <c r="I3" s="28"/>
      <c r="K3" s="1043" t="s">
        <v>1326</v>
      </c>
      <c r="O3" s="2585"/>
      <c r="P3" s="2586"/>
      <c r="Q3" s="2586"/>
      <c r="R3" s="2586"/>
      <c r="S3" s="2586"/>
      <c r="T3" s="2586"/>
      <c r="U3" s="2586"/>
      <c r="V3" s="2587"/>
    </row>
    <row r="4" spans="1:22">
      <c r="A4" s="288" t="str">
        <f>INPUT!E16</f>
        <v>LSS Test 1</v>
      </c>
      <c r="B4" s="28"/>
      <c r="C4" s="29"/>
      <c r="D4" s="29"/>
      <c r="E4" s="30"/>
      <c r="F4" s="30"/>
      <c r="G4" s="29"/>
      <c r="H4" s="29"/>
      <c r="I4" s="28"/>
      <c r="K4" s="67" t="s">
        <v>1327</v>
      </c>
      <c r="O4" s="79"/>
      <c r="P4" s="79"/>
      <c r="Q4" s="79"/>
      <c r="R4" s="79"/>
      <c r="S4" s="79"/>
      <c r="T4" s="79"/>
      <c r="U4" s="79"/>
    </row>
    <row r="5" spans="1:22">
      <c r="A5" s="28" t="s">
        <v>1328</v>
      </c>
      <c r="B5" s="28"/>
      <c r="C5" s="29"/>
      <c r="D5" s="29"/>
      <c r="E5" s="31"/>
      <c r="F5" s="31"/>
      <c r="G5" s="29"/>
      <c r="H5" s="29"/>
      <c r="I5" s="28"/>
      <c r="K5" s="28" t="s">
        <v>1329</v>
      </c>
      <c r="O5" s="2579" t="s">
        <v>1330</v>
      </c>
      <c r="P5" s="2580"/>
      <c r="Q5" s="2580"/>
      <c r="R5" s="2580"/>
      <c r="S5" s="2580"/>
      <c r="T5" s="2580"/>
      <c r="U5" s="2580"/>
      <c r="V5" s="2590"/>
    </row>
    <row r="6" spans="1:22">
      <c r="A6" s="28"/>
      <c r="B6" s="28"/>
      <c r="C6" s="29"/>
      <c r="D6" s="29"/>
      <c r="E6" s="30"/>
      <c r="F6" s="30"/>
      <c r="G6" s="29"/>
      <c r="H6" s="29"/>
      <c r="I6" s="28"/>
      <c r="K6" s="28" t="s">
        <v>1331</v>
      </c>
      <c r="O6" s="2582"/>
      <c r="P6" s="2583"/>
      <c r="Q6" s="2583"/>
      <c r="R6" s="2583"/>
      <c r="S6" s="2583"/>
      <c r="T6" s="2583"/>
      <c r="U6" s="2583"/>
      <c r="V6" s="2591"/>
    </row>
    <row r="7" spans="1:22" ht="12.75" customHeight="1">
      <c r="A7" s="28"/>
      <c r="B7" s="28"/>
      <c r="C7" s="200" t="s">
        <v>1332</v>
      </c>
      <c r="D7" s="201" t="s">
        <v>1333</v>
      </c>
      <c r="E7" s="202" t="s">
        <v>1334</v>
      </c>
      <c r="F7" s="280" t="s">
        <v>1335</v>
      </c>
      <c r="G7" s="201" t="s">
        <v>1336</v>
      </c>
      <c r="H7" s="201" t="s">
        <v>1337</v>
      </c>
      <c r="I7" s="30"/>
      <c r="K7" s="28" t="s">
        <v>1338</v>
      </c>
      <c r="O7" s="2585"/>
      <c r="P7" s="2586"/>
      <c r="Q7" s="2586"/>
      <c r="R7" s="2586"/>
      <c r="S7" s="2586"/>
      <c r="T7" s="2586"/>
      <c r="U7" s="2586"/>
      <c r="V7" s="2592"/>
    </row>
    <row r="8" spans="1:22" s="37" customFormat="1" ht="38.25" customHeight="1">
      <c r="A8" s="32" t="s">
        <v>1339</v>
      </c>
      <c r="B8" s="33" t="s">
        <v>376</v>
      </c>
      <c r="C8" s="34" t="s">
        <v>1340</v>
      </c>
      <c r="D8" s="86" t="s">
        <v>1341</v>
      </c>
      <c r="E8" s="87" t="s">
        <v>1342</v>
      </c>
      <c r="F8" s="281" t="s">
        <v>1343</v>
      </c>
      <c r="G8" s="86" t="s">
        <v>1344</v>
      </c>
      <c r="H8" s="279" t="s">
        <v>1345</v>
      </c>
      <c r="I8" s="35" t="s">
        <v>1346</v>
      </c>
      <c r="J8" s="36" t="s">
        <v>1347</v>
      </c>
      <c r="K8" s="36" t="s">
        <v>1348</v>
      </c>
      <c r="L8" s="36"/>
      <c r="M8" s="36"/>
      <c r="N8" s="36"/>
      <c r="O8" s="196"/>
      <c r="P8" s="196"/>
      <c r="Q8" s="196"/>
      <c r="R8" s="196"/>
      <c r="S8" s="196"/>
      <c r="T8" s="196"/>
      <c r="U8" s="196"/>
      <c r="V8" s="36"/>
    </row>
    <row r="9" spans="1:22" ht="12.75" customHeight="1">
      <c r="A9" s="38"/>
      <c r="B9" s="39"/>
      <c r="C9" s="40"/>
      <c r="D9" s="40"/>
      <c r="E9" s="41"/>
      <c r="F9" s="41"/>
      <c r="G9" s="40"/>
      <c r="H9" s="40"/>
      <c r="I9" s="42"/>
      <c r="O9" s="2579" t="s">
        <v>1349</v>
      </c>
      <c r="P9" s="2580"/>
      <c r="Q9" s="2580"/>
      <c r="R9" s="2580"/>
      <c r="S9" s="2580"/>
      <c r="T9" s="2580"/>
      <c r="U9" s="2580"/>
      <c r="V9" s="2590"/>
    </row>
    <row r="10" spans="1:22" ht="12.75" customHeight="1">
      <c r="A10" s="43" t="s">
        <v>1350</v>
      </c>
      <c r="B10" s="44"/>
      <c r="C10" s="45"/>
      <c r="D10" s="45"/>
      <c r="E10" s="46"/>
      <c r="F10" s="46"/>
      <c r="G10" s="45"/>
      <c r="H10" s="45"/>
      <c r="I10" s="47"/>
      <c r="O10" s="2585"/>
      <c r="P10" s="2586"/>
      <c r="Q10" s="2586"/>
      <c r="R10" s="2586"/>
      <c r="S10" s="2586"/>
      <c r="T10" s="2586"/>
      <c r="U10" s="2586"/>
      <c r="V10" s="2592"/>
    </row>
    <row r="11" spans="1:22" ht="12.75" customHeight="1">
      <c r="A11" s="48">
        <v>100</v>
      </c>
      <c r="B11" s="44" t="s">
        <v>1351</v>
      </c>
      <c r="C11" s="49">
        <v>0</v>
      </c>
      <c r="D11" s="199">
        <f>SUMIF('COST REPORT'!$A$9:$A$998,'Project Budget Summary'!A11,'COST REPORT'!$F$9:$F$998)-SUMIFS('COST REPORT'!$F$9:$F$998,'COST REPORT'!$A$9:$A$998,'Project Budget Summary'!A11,'COST REPORT'!$I$9:$I$998,"close")</f>
        <v>0</v>
      </c>
      <c r="E11" s="50">
        <f>SUMIF(INPUT!$I$231:$I$522,'Project Budget Summary'!A11,INPUT!$H$231:$H$522)+SUMIFS('COST REPORT'!$F$9:$F$998,'COST REPORT'!$A$9:$A$998,'Project Budget Summary'!A11,'COST REPORT'!$I$9:$I$998,"close")-SUMIFS('COST REPORT'!$F$9:$F$998,'COST REPORT'!$A$9:$A$998,'Project Budget Summary'!A11,'COST REPORT'!$I$9:$I$998,"close",'COST REPORT'!$J$9:$J$998,"x")</f>
        <v>0</v>
      </c>
      <c r="F11" s="50">
        <f>D11+E11</f>
        <v>0</v>
      </c>
      <c r="G11" s="45">
        <f>SUMIF('COST REPORT'!$A$9:$A$998,'Project Budget Summary'!A11,'COST REPORT'!$G$9:$G$998)</f>
        <v>0</v>
      </c>
      <c r="H11" s="45">
        <f>F11-G11</f>
        <v>0</v>
      </c>
      <c r="I11" s="51">
        <f>C11-F11</f>
        <v>0</v>
      </c>
      <c r="J11" s="30" t="s">
        <v>1352</v>
      </c>
      <c r="K11" s="889" t="s">
        <v>1332</v>
      </c>
      <c r="L11" s="30"/>
      <c r="M11" s="30"/>
      <c r="N11" s="30"/>
    </row>
    <row r="12" spans="1:22">
      <c r="A12" s="48">
        <f>A11+1</f>
        <v>101</v>
      </c>
      <c r="B12" s="44" t="s">
        <v>1111</v>
      </c>
      <c r="C12" s="49">
        <v>0</v>
      </c>
      <c r="D12" s="199">
        <f>SUMIF('COST REPORT'!$A$9:$A$998,'Project Budget Summary'!A12,'COST REPORT'!$F$9:$F$998)-SUMIFS('COST REPORT'!$F$9:$F$998,'COST REPORT'!$A$9:$A$998,'Project Budget Summary'!A12,'COST REPORT'!$I$9:$I$998,"close")</f>
        <v>0</v>
      </c>
      <c r="E12" s="50">
        <f>SUMIF(INPUT!$I$231:$I$522,'Project Budget Summary'!A12,INPUT!$H$231:$H$522)+SUMIFS('COST REPORT'!$F$9:$F$998,'COST REPORT'!$A$9:$A$998,'Project Budget Summary'!A12,'COST REPORT'!$I$9:$I$998,"close")-SUMIFS('COST REPORT'!$F$9:$F$998,'COST REPORT'!$A$9:$A$998,'Project Budget Summary'!A12,'COST REPORT'!$I$9:$I$998,"close",'COST REPORT'!$J$9:$J$998,"x")</f>
        <v>0</v>
      </c>
      <c r="F12" s="50">
        <f t="shared" ref="F12:F21" si="0">D12+E12</f>
        <v>0</v>
      </c>
      <c r="G12" s="45">
        <f>SUMIF('COST REPORT'!$A$9:$A$998,'Project Budget Summary'!A12,'COST REPORT'!$G$9:$G$998)</f>
        <v>0</v>
      </c>
      <c r="H12" s="45">
        <f t="shared" ref="H12:H21" si="1">F12-G12</f>
        <v>0</v>
      </c>
      <c r="I12" s="51">
        <f t="shared" ref="I12:I21" si="2">C12-F12</f>
        <v>0</v>
      </c>
      <c r="J12" s="30" t="s">
        <v>1352</v>
      </c>
      <c r="K12" s="889"/>
      <c r="L12" s="30"/>
      <c r="M12" s="30"/>
      <c r="N12" s="30"/>
      <c r="O12" s="79"/>
      <c r="P12" s="79"/>
      <c r="Q12" s="79"/>
      <c r="R12" s="79"/>
      <c r="S12" s="79"/>
      <c r="T12" s="79"/>
      <c r="U12" s="79"/>
      <c r="V12" s="90"/>
    </row>
    <row r="13" spans="1:22" ht="12.75" customHeight="1">
      <c r="A13" s="48">
        <f t="shared" ref="A13:A21" si="3">A12+1</f>
        <v>102</v>
      </c>
      <c r="B13" s="44" t="s">
        <v>1353</v>
      </c>
      <c r="C13" s="49">
        <v>0</v>
      </c>
      <c r="D13" s="199">
        <f>SUMIF('COST REPORT'!$A$9:$A$998,'Project Budget Summary'!A13,'COST REPORT'!$F$9:$F$998)-SUMIFS('COST REPORT'!$F$9:$F$998,'COST REPORT'!$A$9:$A$998,'Project Budget Summary'!A13,'COST REPORT'!$I$9:$I$998,"close")</f>
        <v>0</v>
      </c>
      <c r="E13" s="50">
        <f>SUMIF(INPUT!$I$231:$I$522,'Project Budget Summary'!A13,INPUT!$H$231:$H$522)+SUMIFS('COST REPORT'!$F$9:$F$998,'COST REPORT'!$A$9:$A$998,'Project Budget Summary'!A13,'COST REPORT'!$I$9:$I$998,"close")-SUMIFS('COST REPORT'!$F$9:$F$998,'COST REPORT'!$A$9:$A$998,'Project Budget Summary'!A13,'COST REPORT'!$I$9:$I$998,"close",'COST REPORT'!$J$9:$J$998,"x")</f>
        <v>0</v>
      </c>
      <c r="F13" s="50">
        <f t="shared" si="0"/>
        <v>0</v>
      </c>
      <c r="G13" s="45">
        <f>SUMIF('COST REPORT'!$A$9:$A$998,'Project Budget Summary'!A13,'COST REPORT'!$G$9:$G$998)</f>
        <v>0</v>
      </c>
      <c r="H13" s="45">
        <f t="shared" si="1"/>
        <v>0</v>
      </c>
      <c r="I13" s="51">
        <f t="shared" si="2"/>
        <v>0</v>
      </c>
      <c r="J13" s="30" t="s">
        <v>1352</v>
      </c>
      <c r="K13" s="889"/>
      <c r="L13" s="30"/>
      <c r="M13" s="30"/>
      <c r="N13" s="30"/>
      <c r="O13" s="79"/>
      <c r="P13" s="79"/>
      <c r="Q13" s="79"/>
      <c r="R13" s="79"/>
      <c r="S13" s="79"/>
      <c r="T13" s="79"/>
      <c r="U13" s="79"/>
      <c r="V13" s="90"/>
    </row>
    <row r="14" spans="1:22" ht="12.75" customHeight="1">
      <c r="A14" s="48">
        <f t="shared" si="3"/>
        <v>103</v>
      </c>
      <c r="B14" s="749" t="s">
        <v>1354</v>
      </c>
      <c r="C14" s="49">
        <v>0</v>
      </c>
      <c r="D14" s="199">
        <f>SUMIF('COST REPORT'!$A$9:$A$998,'Project Budget Summary'!A14,'COST REPORT'!$F$9:$F$998)-SUMIFS('COST REPORT'!$F$9:$F$998,'COST REPORT'!$A$9:$A$998,'Project Budget Summary'!A14,'COST REPORT'!$I$9:$I$998,"close")</f>
        <v>0</v>
      </c>
      <c r="E14" s="50">
        <f>SUMIF(INPUT!$I$231:$I$522,'Project Budget Summary'!A14,INPUT!$H$231:$H$522)+SUMIFS('COST REPORT'!$F$9:$F$998,'COST REPORT'!$A$9:$A$998,'Project Budget Summary'!A14,'COST REPORT'!$I$9:$I$998,"close")-SUMIFS('COST REPORT'!$F$9:$F$998,'COST REPORT'!$A$9:$A$998,'Project Budget Summary'!A14,'COST REPORT'!$I$9:$I$998,"close",'COST REPORT'!$J$9:$J$998,"x")</f>
        <v>0</v>
      </c>
      <c r="F14" s="50">
        <f t="shared" si="0"/>
        <v>0</v>
      </c>
      <c r="G14" s="45">
        <f>SUMIF('COST REPORT'!$A$9:$A$998,'Project Budget Summary'!A14,'COST REPORT'!$G$9:$G$998)</f>
        <v>0</v>
      </c>
      <c r="H14" s="45">
        <f t="shared" si="1"/>
        <v>0</v>
      </c>
      <c r="I14" s="51">
        <f t="shared" si="2"/>
        <v>0</v>
      </c>
      <c r="J14" s="30" t="s">
        <v>1352</v>
      </c>
      <c r="K14" s="889"/>
      <c r="L14" s="30"/>
      <c r="M14" s="30"/>
      <c r="N14" s="30"/>
      <c r="O14" s="79"/>
      <c r="P14" s="79"/>
      <c r="Q14" s="79"/>
      <c r="R14" s="79"/>
      <c r="S14" s="79"/>
      <c r="T14" s="79"/>
      <c r="U14" s="79"/>
      <c r="V14" s="90"/>
    </row>
    <row r="15" spans="1:22" ht="12.75" customHeight="1">
      <c r="A15" s="48">
        <f t="shared" si="3"/>
        <v>104</v>
      </c>
      <c r="B15" s="749" t="s">
        <v>1354</v>
      </c>
      <c r="C15" s="49">
        <v>0</v>
      </c>
      <c r="D15" s="199">
        <f>SUMIF('COST REPORT'!$A$9:$A$998,'Project Budget Summary'!A15,'COST REPORT'!$F$9:$F$998)-SUMIFS('COST REPORT'!$F$9:$F$998,'COST REPORT'!$A$9:$A$998,'Project Budget Summary'!A15,'COST REPORT'!$I$9:$I$998,"close")</f>
        <v>0</v>
      </c>
      <c r="E15" s="50">
        <f>SUMIF(INPUT!$I$231:$I$522,'Project Budget Summary'!A15,INPUT!$H$231:$H$522)+SUMIFS('COST REPORT'!$F$9:$F$998,'COST REPORT'!$A$9:$A$998,'Project Budget Summary'!A15,'COST REPORT'!$I$9:$I$998,"close")-SUMIFS('COST REPORT'!$F$9:$F$998,'COST REPORT'!$A$9:$A$998,'Project Budget Summary'!A15,'COST REPORT'!$I$9:$I$998,"close",'COST REPORT'!$J$9:$J$998,"x")</f>
        <v>0</v>
      </c>
      <c r="F15" s="50">
        <f>D15+E15</f>
        <v>0</v>
      </c>
      <c r="G15" s="45">
        <f>SUMIF('COST REPORT'!$A$9:$A$998,'Project Budget Summary'!A15,'COST REPORT'!$G$9:$G$998)</f>
        <v>0</v>
      </c>
      <c r="H15" s="45">
        <f>F15-G15</f>
        <v>0</v>
      </c>
      <c r="I15" s="51">
        <f>C15-F15</f>
        <v>0</v>
      </c>
      <c r="J15" s="30" t="s">
        <v>1352</v>
      </c>
      <c r="K15" s="889"/>
      <c r="L15" s="30"/>
      <c r="M15" s="30"/>
      <c r="N15" s="30"/>
      <c r="O15" s="79"/>
      <c r="P15" s="79"/>
      <c r="Q15" s="79"/>
      <c r="R15" s="79"/>
      <c r="S15" s="79"/>
      <c r="T15" s="79"/>
      <c r="U15" s="79"/>
      <c r="V15" s="90"/>
    </row>
    <row r="16" spans="1:22" ht="12.75" customHeight="1">
      <c r="A16" s="48">
        <f t="shared" si="3"/>
        <v>105</v>
      </c>
      <c r="B16" s="749" t="s">
        <v>1354</v>
      </c>
      <c r="C16" s="49">
        <v>0</v>
      </c>
      <c r="D16" s="199">
        <f>SUMIF('COST REPORT'!$A$9:$A$998,'Project Budget Summary'!A16,'COST REPORT'!$F$9:$F$998)-SUMIFS('COST REPORT'!$F$9:$F$998,'COST REPORT'!$A$9:$A$998,'Project Budget Summary'!A16,'COST REPORT'!$I$9:$I$998,"close")</f>
        <v>0</v>
      </c>
      <c r="E16" s="50">
        <f>SUMIF(INPUT!$I$231:$I$522,'Project Budget Summary'!A16,INPUT!$H$231:$H$522)+SUMIFS('COST REPORT'!$F$9:$F$998,'COST REPORT'!$A$9:$A$998,'Project Budget Summary'!A16,'COST REPORT'!$I$9:$I$998,"close")-SUMIFS('COST REPORT'!$F$9:$F$998,'COST REPORT'!$A$9:$A$998,'Project Budget Summary'!A16,'COST REPORT'!$I$9:$I$998,"close",'COST REPORT'!$J$9:$J$998,"x")</f>
        <v>0</v>
      </c>
      <c r="F16" s="50">
        <f>D16+E16</f>
        <v>0</v>
      </c>
      <c r="G16" s="45">
        <f>SUMIF('COST REPORT'!$A$9:$A$998,'Project Budget Summary'!A16,'COST REPORT'!$G$9:$G$998)</f>
        <v>0</v>
      </c>
      <c r="H16" s="45">
        <f>F16-G16</f>
        <v>0</v>
      </c>
      <c r="I16" s="51">
        <f>C16-F16</f>
        <v>0</v>
      </c>
      <c r="J16" s="30" t="s">
        <v>1352</v>
      </c>
      <c r="K16" s="889"/>
      <c r="L16" s="30"/>
      <c r="M16" s="30"/>
      <c r="N16" s="30"/>
      <c r="O16" s="79"/>
      <c r="P16" s="79"/>
      <c r="Q16" s="79"/>
      <c r="R16" s="79"/>
      <c r="S16" s="79"/>
      <c r="T16" s="79"/>
      <c r="U16" s="79"/>
      <c r="V16" s="90"/>
    </row>
    <row r="17" spans="1:22" ht="12.75" customHeight="1">
      <c r="A17" s="48">
        <f t="shared" si="3"/>
        <v>106</v>
      </c>
      <c r="B17" s="749" t="s">
        <v>1354</v>
      </c>
      <c r="C17" s="49">
        <v>0</v>
      </c>
      <c r="D17" s="199">
        <f>SUMIF('COST REPORT'!$A$9:$A$998,'Project Budget Summary'!A17,'COST REPORT'!$F$9:$F$998)-SUMIFS('COST REPORT'!$F$9:$F$998,'COST REPORT'!$A$9:$A$998,'Project Budget Summary'!A17,'COST REPORT'!$I$9:$I$998,"close")</f>
        <v>0</v>
      </c>
      <c r="E17" s="50">
        <f>SUMIF(INPUT!$I$231:$I$522,'Project Budget Summary'!A17,INPUT!$H$231:$H$522)+SUMIFS('COST REPORT'!$F$9:$F$998,'COST REPORT'!$A$9:$A$998,'Project Budget Summary'!A17,'COST REPORT'!$I$9:$I$998,"close")-SUMIFS('COST REPORT'!$F$9:$F$998,'COST REPORT'!$A$9:$A$998,'Project Budget Summary'!A17,'COST REPORT'!$I$9:$I$998,"close",'COST REPORT'!$J$9:$J$998,"x")</f>
        <v>0</v>
      </c>
      <c r="F17" s="50">
        <f>D17+E17</f>
        <v>0</v>
      </c>
      <c r="G17" s="45">
        <f>SUMIF('COST REPORT'!$A$9:$A$998,'Project Budget Summary'!A17,'COST REPORT'!$G$9:$G$998)</f>
        <v>0</v>
      </c>
      <c r="H17" s="45">
        <f>F17-G17</f>
        <v>0</v>
      </c>
      <c r="I17" s="51">
        <f>C17-F17</f>
        <v>0</v>
      </c>
      <c r="J17" s="30" t="s">
        <v>1352</v>
      </c>
      <c r="K17" s="889"/>
      <c r="L17" s="30"/>
      <c r="M17" s="30"/>
      <c r="N17" s="30"/>
      <c r="O17" s="79"/>
      <c r="P17" s="79"/>
      <c r="Q17" s="79"/>
      <c r="R17" s="79"/>
      <c r="S17" s="79"/>
      <c r="T17" s="79"/>
      <c r="U17" s="79"/>
      <c r="V17" s="90"/>
    </row>
    <row r="18" spans="1:22" ht="12.75" customHeight="1">
      <c r="A18" s="48">
        <f t="shared" si="3"/>
        <v>107</v>
      </c>
      <c r="B18" s="749" t="s">
        <v>1354</v>
      </c>
      <c r="C18" s="49">
        <v>0</v>
      </c>
      <c r="D18" s="199">
        <f>SUMIF('COST REPORT'!$A$9:$A$998,'Project Budget Summary'!A18,'COST REPORT'!$F$9:$F$998)-SUMIFS('COST REPORT'!$F$9:$F$998,'COST REPORT'!$A$9:$A$998,'Project Budget Summary'!A18,'COST REPORT'!$I$9:$I$998,"close")</f>
        <v>0</v>
      </c>
      <c r="E18" s="50">
        <f>SUMIF(INPUT!$I$231:$I$522,'Project Budget Summary'!A18,INPUT!$H$231:$H$522)+SUMIFS('COST REPORT'!$F$9:$F$998,'COST REPORT'!$A$9:$A$998,'Project Budget Summary'!A18,'COST REPORT'!$I$9:$I$998,"close")-SUMIFS('COST REPORT'!$F$9:$F$998,'COST REPORT'!$A$9:$A$998,'Project Budget Summary'!A18,'COST REPORT'!$I$9:$I$998,"close",'COST REPORT'!$J$9:$J$998,"x")</f>
        <v>0</v>
      </c>
      <c r="F18" s="50">
        <f>D18+E18</f>
        <v>0</v>
      </c>
      <c r="G18" s="45">
        <f>SUMIF('COST REPORT'!$A$9:$A$998,'Project Budget Summary'!A18,'COST REPORT'!$G$9:$G$998)</f>
        <v>0</v>
      </c>
      <c r="H18" s="45">
        <f>F18-G18</f>
        <v>0</v>
      </c>
      <c r="I18" s="51">
        <f>C18-F18</f>
        <v>0</v>
      </c>
      <c r="J18" s="30" t="s">
        <v>1352</v>
      </c>
      <c r="K18" s="889"/>
      <c r="L18" s="30"/>
      <c r="M18" s="30"/>
      <c r="N18" s="30"/>
      <c r="O18" s="79"/>
      <c r="P18" s="79"/>
      <c r="Q18" s="79"/>
      <c r="R18" s="79"/>
      <c r="S18" s="79"/>
      <c r="T18" s="79"/>
      <c r="U18" s="79"/>
      <c r="V18" s="90"/>
    </row>
    <row r="19" spans="1:22" ht="12.75" customHeight="1">
      <c r="A19" s="48">
        <f t="shared" si="3"/>
        <v>108</v>
      </c>
      <c r="B19" s="749" t="s">
        <v>1354</v>
      </c>
      <c r="C19" s="49">
        <v>0</v>
      </c>
      <c r="D19" s="199">
        <f>SUMIF('COST REPORT'!$A$9:$A$998,'Project Budget Summary'!A19,'COST REPORT'!$F$9:$F$998)-SUMIFS('COST REPORT'!$F$9:$F$998,'COST REPORT'!$A$9:$A$998,'Project Budget Summary'!A19,'COST REPORT'!$I$9:$I$998,"close")</f>
        <v>0</v>
      </c>
      <c r="E19" s="50">
        <f>SUMIF(INPUT!$I$231:$I$522,'Project Budget Summary'!A19,INPUT!$H$231:$H$522)+SUMIFS('COST REPORT'!$F$9:$F$998,'COST REPORT'!$A$9:$A$998,'Project Budget Summary'!A19,'COST REPORT'!$I$9:$I$998,"close")-SUMIFS('COST REPORT'!$F$9:$F$998,'COST REPORT'!$A$9:$A$998,'Project Budget Summary'!A19,'COST REPORT'!$I$9:$I$998,"close",'COST REPORT'!$J$9:$J$998,"x")</f>
        <v>0</v>
      </c>
      <c r="F19" s="50">
        <f>D19+E19</f>
        <v>0</v>
      </c>
      <c r="G19" s="45">
        <f>SUMIF('COST REPORT'!$A$9:$A$998,'Project Budget Summary'!A19,'COST REPORT'!$G$9:$G$998)</f>
        <v>0</v>
      </c>
      <c r="H19" s="45">
        <f>F19-G19</f>
        <v>0</v>
      </c>
      <c r="I19" s="51">
        <f>C19-F19</f>
        <v>0</v>
      </c>
      <c r="J19" s="30" t="s">
        <v>1352</v>
      </c>
      <c r="K19" s="889"/>
      <c r="L19" s="30"/>
      <c r="M19" s="30"/>
      <c r="N19" s="30"/>
      <c r="O19" s="79"/>
      <c r="P19" s="79"/>
      <c r="Q19" s="79"/>
      <c r="R19" s="79"/>
      <c r="S19" s="79"/>
      <c r="T19" s="79"/>
      <c r="U19" s="79"/>
      <c r="V19" s="90"/>
    </row>
    <row r="20" spans="1:22" ht="12.75" customHeight="1">
      <c r="A20" s="48">
        <f t="shared" si="3"/>
        <v>109</v>
      </c>
      <c r="B20" s="749" t="s">
        <v>1354</v>
      </c>
      <c r="C20" s="49">
        <v>0</v>
      </c>
      <c r="D20" s="199">
        <f>SUMIF('COST REPORT'!$A$9:$A$998,'Project Budget Summary'!A20,'COST REPORT'!$F$9:$F$998)-SUMIFS('COST REPORT'!$F$9:$F$998,'COST REPORT'!$A$9:$A$998,'Project Budget Summary'!A20,'COST REPORT'!$I$9:$I$998,"close")</f>
        <v>0</v>
      </c>
      <c r="E20" s="50">
        <f>SUMIF(INPUT!$I$231:$I$522,'Project Budget Summary'!A20,INPUT!$H$231:$H$522)+SUMIFS('COST REPORT'!$F$9:$F$998,'COST REPORT'!$A$9:$A$998,'Project Budget Summary'!A20,'COST REPORT'!$I$9:$I$998,"close")-SUMIFS('COST REPORT'!$F$9:$F$998,'COST REPORT'!$A$9:$A$998,'Project Budget Summary'!A20,'COST REPORT'!$I$9:$I$998,"close",'COST REPORT'!$J$9:$J$998,"x")</f>
        <v>0</v>
      </c>
      <c r="F20" s="50">
        <f t="shared" si="0"/>
        <v>0</v>
      </c>
      <c r="G20" s="45">
        <f>SUMIF('COST REPORT'!$A$9:$A$998,'Project Budget Summary'!A20,'COST REPORT'!$G$9:$G$998)</f>
        <v>0</v>
      </c>
      <c r="H20" s="45">
        <f t="shared" si="1"/>
        <v>0</v>
      </c>
      <c r="I20" s="51">
        <f t="shared" si="2"/>
        <v>0</v>
      </c>
      <c r="J20" s="30" t="s">
        <v>1352</v>
      </c>
      <c r="K20" s="889"/>
      <c r="L20" s="30"/>
      <c r="M20" s="30"/>
      <c r="N20" s="30"/>
      <c r="O20" s="79"/>
      <c r="P20" s="79"/>
      <c r="Q20" s="79"/>
      <c r="R20" s="79"/>
      <c r="S20" s="79"/>
      <c r="T20" s="79"/>
      <c r="U20" s="79"/>
      <c r="V20" s="90"/>
    </row>
    <row r="21" spans="1:22">
      <c r="A21" s="48">
        <f t="shared" si="3"/>
        <v>110</v>
      </c>
      <c r="B21" s="749" t="s">
        <v>1354</v>
      </c>
      <c r="C21" s="49">
        <v>0</v>
      </c>
      <c r="D21" s="199">
        <f>SUMIF('COST REPORT'!$A$9:$A$998,'Project Budget Summary'!A21,'COST REPORT'!$F$9:$F$998)-SUMIFS('COST REPORT'!$F$9:$F$998,'COST REPORT'!$A$9:$A$998,'Project Budget Summary'!A21,'COST REPORT'!$I$9:$I$998,"close")</f>
        <v>0</v>
      </c>
      <c r="E21" s="50">
        <f>SUMIF(INPUT!$I$231:$I$522,'Project Budget Summary'!A21,INPUT!$H$231:$H$522)+SUMIFS('COST REPORT'!$F$9:$F$998,'COST REPORT'!$A$9:$A$998,'Project Budget Summary'!A21,'COST REPORT'!$I$9:$I$998,"close")-SUMIFS('COST REPORT'!$F$9:$F$998,'COST REPORT'!$A$9:$A$998,'Project Budget Summary'!A21,'COST REPORT'!$I$9:$I$998,"close",'COST REPORT'!$J$9:$J$998,"x")</f>
        <v>0</v>
      </c>
      <c r="F21" s="50">
        <f t="shared" si="0"/>
        <v>0</v>
      </c>
      <c r="G21" s="45">
        <f>SUMIF('COST REPORT'!$A$9:$A$998,'Project Budget Summary'!A21,'COST REPORT'!$G$9:$G$998)</f>
        <v>0</v>
      </c>
      <c r="H21" s="45">
        <f t="shared" si="1"/>
        <v>0</v>
      </c>
      <c r="I21" s="51">
        <f t="shared" si="2"/>
        <v>0</v>
      </c>
      <c r="J21" s="30" t="s">
        <v>1352</v>
      </c>
      <c r="K21" s="889"/>
      <c r="L21" s="30"/>
      <c r="M21" s="30"/>
      <c r="N21" s="30"/>
      <c r="O21" s="79"/>
      <c r="P21" s="79"/>
      <c r="Q21" s="79"/>
      <c r="R21" s="79"/>
      <c r="S21" s="79"/>
      <c r="T21" s="79"/>
      <c r="U21" s="79"/>
      <c r="V21" s="90"/>
    </row>
    <row r="22" spans="1:22" s="2" customFormat="1" ht="13.5" thickBot="1">
      <c r="A22" s="54" t="s">
        <v>1355</v>
      </c>
      <c r="B22" s="55"/>
      <c r="C22" s="56">
        <f>SUM(C11:C21)</f>
        <v>0</v>
      </c>
      <c r="D22" s="56">
        <f t="shared" ref="D22:I22" si="4">SUM(D11:D21)</f>
        <v>0</v>
      </c>
      <c r="E22" s="56">
        <f t="shared" si="4"/>
        <v>0</v>
      </c>
      <c r="F22" s="56">
        <f t="shared" si="4"/>
        <v>0</v>
      </c>
      <c r="G22" s="56">
        <f t="shared" si="4"/>
        <v>0</v>
      </c>
      <c r="H22" s="56">
        <f t="shared" si="4"/>
        <v>0</v>
      </c>
      <c r="I22" s="56">
        <f t="shared" si="4"/>
        <v>0</v>
      </c>
      <c r="J22" s="30"/>
      <c r="K22" s="30"/>
      <c r="L22" s="30"/>
      <c r="M22" s="30"/>
      <c r="N22" s="30"/>
      <c r="O22" s="79"/>
      <c r="P22" s="79"/>
      <c r="Q22" s="79"/>
      <c r="R22" s="79"/>
      <c r="S22" s="79"/>
      <c r="T22" s="79"/>
      <c r="U22" s="79"/>
      <c r="V22" s="90"/>
    </row>
    <row r="23" spans="1:22" ht="12.75" customHeight="1">
      <c r="A23" s="243"/>
      <c r="B23" s="243"/>
      <c r="C23" s="286"/>
      <c r="D23" s="286"/>
      <c r="E23" s="287"/>
      <c r="F23" s="287"/>
      <c r="G23" s="286"/>
      <c r="H23" s="286"/>
      <c r="I23" s="286"/>
      <c r="J23" s="30"/>
      <c r="K23" s="30"/>
      <c r="L23" s="30"/>
      <c r="M23" s="30"/>
      <c r="N23" s="30"/>
      <c r="O23" s="79"/>
      <c r="P23" s="79"/>
      <c r="Q23" s="79"/>
      <c r="R23" s="79"/>
      <c r="S23" s="79"/>
      <c r="T23" s="79"/>
      <c r="U23" s="79"/>
      <c r="V23" s="90"/>
    </row>
    <row r="24" spans="1:22" s="28" customFormat="1" ht="12.75" customHeight="1">
      <c r="A24" s="58" t="s">
        <v>1356</v>
      </c>
      <c r="B24" s="39"/>
      <c r="C24" s="40"/>
      <c r="D24" s="40"/>
      <c r="E24" s="59"/>
      <c r="F24" s="59"/>
      <c r="G24" s="40"/>
      <c r="H24" s="40"/>
      <c r="I24" s="60"/>
      <c r="J24" s="30"/>
      <c r="K24" s="891"/>
      <c r="L24" s="30"/>
      <c r="M24" s="30"/>
      <c r="N24" s="30"/>
      <c r="O24" s="2579" t="s">
        <v>1357</v>
      </c>
      <c r="P24" s="2593"/>
      <c r="Q24" s="2593"/>
      <c r="R24" s="2593"/>
      <c r="S24" s="2593"/>
      <c r="T24" s="2593"/>
      <c r="U24" s="2593"/>
      <c r="V24" s="2590"/>
    </row>
    <row r="25" spans="1:22" s="28" customFormat="1" ht="12.75" customHeight="1">
      <c r="A25" s="48">
        <v>1000</v>
      </c>
      <c r="B25" s="44" t="s">
        <v>1358</v>
      </c>
      <c r="C25" s="45">
        <f>SUMIF('Contractor''s Budget Detail'!$A$9:$A$461,'Project Budget Summary'!A25,'Contractor''s Budget Detail'!$D$9:$D$461)</f>
        <v>0</v>
      </c>
      <c r="D25" s="199">
        <f>SUMIF('Contractor''s Budget Detail'!$A$9:$A$461,'Project Budget Summary'!A25,'Contractor''s Budget Detail'!$E$9:$E$461)</f>
        <v>0</v>
      </c>
      <c r="E25" s="50">
        <f>SUMIF('Contractor''s Budget Detail'!$A$9:$A$461,'Project Budget Summary'!A25,'Contractor''s Budget Detail'!$F$9:$F$461)</f>
        <v>0</v>
      </c>
      <c r="F25" s="50">
        <f>D25+E25</f>
        <v>0</v>
      </c>
      <c r="G25" s="45">
        <f>SUMIF('Contractor''s Budget Detail'!$A$9:$A$461,'Project Budget Summary'!A25,'Contractor''s Budget Detail'!$H$9:$H$461)</f>
        <v>0</v>
      </c>
      <c r="H25" s="45">
        <f>F25-G25</f>
        <v>0</v>
      </c>
      <c r="I25" s="51">
        <f>C25-F25</f>
        <v>0</v>
      </c>
      <c r="J25" s="30" t="s">
        <v>1359</v>
      </c>
      <c r="K25" s="889"/>
      <c r="L25" s="30"/>
      <c r="M25" s="30"/>
      <c r="N25" s="30"/>
      <c r="O25" s="2594"/>
      <c r="P25" s="2595"/>
      <c r="Q25" s="2595"/>
      <c r="R25" s="2595"/>
      <c r="S25" s="2595"/>
      <c r="T25" s="2595"/>
      <c r="U25" s="2595"/>
      <c r="V25" s="2592"/>
    </row>
    <row r="26" spans="1:22" s="28" customFormat="1" ht="12.75" customHeight="1">
      <c r="A26" s="48">
        <v>2000</v>
      </c>
      <c r="B26" s="44" t="s">
        <v>1210</v>
      </c>
      <c r="C26" s="45">
        <f>SUMIF('Contractor''s Budget Detail'!$A$9:$A$461,'Project Budget Summary'!A26,'Contractor''s Budget Detail'!$D$9:$D$461)</f>
        <v>0</v>
      </c>
      <c r="D26" s="199">
        <f>SUMIF('Contractor''s Budget Detail'!$A$9:$A$461,'Project Budget Summary'!A26,'Contractor''s Budget Detail'!$E$9:$E$461)</f>
        <v>0</v>
      </c>
      <c r="E26" s="50">
        <f>SUMIF('Contractor''s Budget Detail'!$A$9:$A$461,'Project Budget Summary'!A26,'Contractor''s Budget Detail'!$F$9:$F$461)</f>
        <v>0</v>
      </c>
      <c r="F26" s="50">
        <f t="shared" ref="F26:F45" si="5">D26+E26</f>
        <v>0</v>
      </c>
      <c r="G26" s="45">
        <f>SUMIF('Contractor''s Budget Detail'!$A$9:$A$461,'Project Budget Summary'!A26,'Contractor''s Budget Detail'!$H$9:$H$461)</f>
        <v>0</v>
      </c>
      <c r="H26" s="45">
        <f t="shared" ref="H26:H45" si="6">F26-G26</f>
        <v>0</v>
      </c>
      <c r="I26" s="51">
        <f t="shared" ref="I26:I45" si="7">C26-F26</f>
        <v>0</v>
      </c>
      <c r="J26" s="30" t="s">
        <v>1359</v>
      </c>
      <c r="K26" s="889"/>
      <c r="L26" s="30"/>
      <c r="M26" s="30"/>
      <c r="N26" s="30"/>
      <c r="O26" s="197"/>
      <c r="P26" s="197"/>
      <c r="Q26" s="197"/>
      <c r="R26" s="197"/>
      <c r="S26" s="197"/>
      <c r="T26" s="197"/>
      <c r="U26" s="197"/>
      <c r="V26" s="90"/>
    </row>
    <row r="27" spans="1:22" s="28" customFormat="1" ht="12.75" customHeight="1">
      <c r="A27" s="48">
        <v>3000</v>
      </c>
      <c r="B27" s="44" t="s">
        <v>1360</v>
      </c>
      <c r="C27" s="45">
        <f>SUMIF('Contractor''s Budget Detail'!$A$9:$A$461,'Project Budget Summary'!A27,'Contractor''s Budget Detail'!$D$9:$D$461)</f>
        <v>0</v>
      </c>
      <c r="D27" s="199">
        <f>SUMIF('Contractor''s Budget Detail'!$A$9:$A$461,'Project Budget Summary'!A27,'Contractor''s Budget Detail'!$E$9:$E$461)</f>
        <v>0</v>
      </c>
      <c r="E27" s="50">
        <f>SUMIF('Contractor''s Budget Detail'!$A$9:$A$461,'Project Budget Summary'!A27,'Contractor''s Budget Detail'!$F$9:$F$461)</f>
        <v>0</v>
      </c>
      <c r="F27" s="50">
        <f t="shared" si="5"/>
        <v>0</v>
      </c>
      <c r="G27" s="45">
        <f>SUMIF('Contractor''s Budget Detail'!$A$9:$A$461,'Project Budget Summary'!A27,'Contractor''s Budget Detail'!$H$9:$H$461)</f>
        <v>0</v>
      </c>
      <c r="H27" s="45">
        <f t="shared" si="6"/>
        <v>0</v>
      </c>
      <c r="I27" s="51">
        <f t="shared" si="7"/>
        <v>0</v>
      </c>
      <c r="J27" s="30" t="s">
        <v>1359</v>
      </c>
      <c r="K27" s="889"/>
      <c r="L27" s="30"/>
      <c r="M27" s="30"/>
      <c r="N27" s="30"/>
      <c r="O27" s="197"/>
      <c r="P27" s="197"/>
      <c r="Q27" s="197"/>
      <c r="R27" s="197"/>
      <c r="S27" s="197"/>
      <c r="T27" s="197"/>
      <c r="U27" s="197"/>
      <c r="V27" s="90"/>
    </row>
    <row r="28" spans="1:22" s="28" customFormat="1" ht="12.75" customHeight="1">
      <c r="A28" s="48">
        <v>4000</v>
      </c>
      <c r="B28" s="44" t="s">
        <v>1361</v>
      </c>
      <c r="C28" s="45">
        <f>SUMIF('Contractor''s Budget Detail'!$A$9:$A$461,'Project Budget Summary'!A28,'Contractor''s Budget Detail'!$D$9:$D$461)</f>
        <v>0</v>
      </c>
      <c r="D28" s="199">
        <f>SUMIF('Contractor''s Budget Detail'!$A$9:$A$461,'Project Budget Summary'!A28,'Contractor''s Budget Detail'!$E$9:$E$461)</f>
        <v>0</v>
      </c>
      <c r="E28" s="50">
        <f>SUMIF('Contractor''s Budget Detail'!$A$9:$A$461,'Project Budget Summary'!A28,'Contractor''s Budget Detail'!$F$9:$F$461)</f>
        <v>0</v>
      </c>
      <c r="F28" s="50">
        <f t="shared" si="5"/>
        <v>0</v>
      </c>
      <c r="G28" s="45">
        <f>SUMIF('Contractor''s Budget Detail'!$A$9:$A$461,'Project Budget Summary'!A28,'Contractor''s Budget Detail'!$H$9:$H$461)</f>
        <v>0</v>
      </c>
      <c r="H28" s="45">
        <f t="shared" si="6"/>
        <v>0</v>
      </c>
      <c r="I28" s="51">
        <f t="shared" si="7"/>
        <v>0</v>
      </c>
      <c r="J28" s="30" t="s">
        <v>1359</v>
      </c>
      <c r="K28" s="889"/>
      <c r="L28" s="30"/>
      <c r="M28" s="30"/>
      <c r="N28" s="30"/>
      <c r="O28" s="80"/>
      <c r="P28" s="80"/>
      <c r="Q28" s="80"/>
      <c r="R28" s="80"/>
      <c r="S28" s="80"/>
      <c r="T28" s="80"/>
      <c r="U28" s="80"/>
    </row>
    <row r="29" spans="1:22" s="28" customFormat="1">
      <c r="A29" s="48">
        <v>5000</v>
      </c>
      <c r="B29" s="44" t="s">
        <v>1362</v>
      </c>
      <c r="C29" s="45">
        <f>SUMIF('Contractor''s Budget Detail'!$A$9:$A$461,'Project Budget Summary'!A29,'Contractor''s Budget Detail'!$D$9:$D$461)</f>
        <v>0</v>
      </c>
      <c r="D29" s="199">
        <f>SUMIF('Contractor''s Budget Detail'!$A$9:$A$461,'Project Budget Summary'!A29,'Contractor''s Budget Detail'!$E$9:$E$461)</f>
        <v>0</v>
      </c>
      <c r="E29" s="50">
        <f>SUMIF('Contractor''s Budget Detail'!$A$9:$A$461,'Project Budget Summary'!A29,'Contractor''s Budget Detail'!$F$9:$F$461)</f>
        <v>0</v>
      </c>
      <c r="F29" s="50">
        <f t="shared" si="5"/>
        <v>0</v>
      </c>
      <c r="G29" s="45">
        <f>SUMIF('Contractor''s Budget Detail'!$A$9:$A$461,'Project Budget Summary'!A29,'Contractor''s Budget Detail'!$H$9:$H$461)</f>
        <v>0</v>
      </c>
      <c r="H29" s="45">
        <f t="shared" si="6"/>
        <v>0</v>
      </c>
      <c r="I29" s="51">
        <f t="shared" si="7"/>
        <v>0</v>
      </c>
      <c r="J29" s="30" t="s">
        <v>1359</v>
      </c>
      <c r="K29" s="889"/>
      <c r="L29" s="30"/>
      <c r="M29" s="30"/>
      <c r="N29" s="30"/>
      <c r="O29" s="80"/>
      <c r="P29" s="80"/>
      <c r="Q29" s="80"/>
      <c r="R29" s="80"/>
      <c r="S29" s="80"/>
      <c r="T29" s="80"/>
      <c r="U29" s="80"/>
    </row>
    <row r="30" spans="1:22" s="28" customFormat="1">
      <c r="A30" s="48">
        <v>6000</v>
      </c>
      <c r="B30" s="44" t="s">
        <v>1363</v>
      </c>
      <c r="C30" s="45">
        <f>SUMIF('Contractor''s Budget Detail'!$A$9:$A$461,'Project Budget Summary'!A30,'Contractor''s Budget Detail'!$D$9:$D$461)</f>
        <v>0</v>
      </c>
      <c r="D30" s="199">
        <f>SUMIF('Contractor''s Budget Detail'!$A$9:$A$461,'Project Budget Summary'!A30,'Contractor''s Budget Detail'!$E$9:$E$461)</f>
        <v>0</v>
      </c>
      <c r="E30" s="50">
        <f>SUMIF('Contractor''s Budget Detail'!$A$9:$A$461,'Project Budget Summary'!A30,'Contractor''s Budget Detail'!$F$9:$F$461)</f>
        <v>0</v>
      </c>
      <c r="F30" s="50">
        <f t="shared" si="5"/>
        <v>0</v>
      </c>
      <c r="G30" s="45">
        <f>SUMIF('Contractor''s Budget Detail'!$A$9:$A$461,'Project Budget Summary'!A30,'Contractor''s Budget Detail'!$H$9:$H$461)</f>
        <v>0</v>
      </c>
      <c r="H30" s="45">
        <f t="shared" si="6"/>
        <v>0</v>
      </c>
      <c r="I30" s="51">
        <f t="shared" si="7"/>
        <v>0</v>
      </c>
      <c r="J30" s="30" t="s">
        <v>1359</v>
      </c>
      <c r="K30" s="889"/>
      <c r="L30" s="30"/>
      <c r="M30" s="30"/>
      <c r="N30" s="30"/>
      <c r="O30" s="80"/>
      <c r="P30" s="80"/>
      <c r="Q30" s="80"/>
      <c r="R30" s="80"/>
      <c r="S30" s="80"/>
      <c r="T30" s="80"/>
      <c r="U30" s="80"/>
    </row>
    <row r="31" spans="1:22" s="28" customFormat="1">
      <c r="A31" s="48">
        <v>7000</v>
      </c>
      <c r="B31" s="44" t="s">
        <v>1364</v>
      </c>
      <c r="C31" s="45">
        <f>SUMIF('Contractor''s Budget Detail'!$A$9:$A$461,'Project Budget Summary'!A31,'Contractor''s Budget Detail'!$D$9:$D$461)</f>
        <v>0</v>
      </c>
      <c r="D31" s="199">
        <f>SUMIF('Contractor''s Budget Detail'!$A$9:$A$461,'Project Budget Summary'!A31,'Contractor''s Budget Detail'!$E$9:$E$461)</f>
        <v>0</v>
      </c>
      <c r="E31" s="50">
        <f>SUMIF('Contractor''s Budget Detail'!$A$9:$A$461,'Project Budget Summary'!A31,'Contractor''s Budget Detail'!$F$9:$F$461)</f>
        <v>0</v>
      </c>
      <c r="F31" s="50">
        <f t="shared" si="5"/>
        <v>0</v>
      </c>
      <c r="G31" s="45">
        <f>SUMIF('Contractor''s Budget Detail'!$A$9:$A$461,'Project Budget Summary'!A31,'Contractor''s Budget Detail'!$H$9:$H$461)</f>
        <v>0</v>
      </c>
      <c r="H31" s="45">
        <f t="shared" si="6"/>
        <v>0</v>
      </c>
      <c r="I31" s="51">
        <f t="shared" si="7"/>
        <v>0</v>
      </c>
      <c r="J31" s="30" t="s">
        <v>1359</v>
      </c>
      <c r="K31" s="889"/>
      <c r="L31" s="30"/>
      <c r="M31" s="30"/>
      <c r="N31" s="30"/>
      <c r="O31" s="80"/>
      <c r="P31" s="80"/>
      <c r="Q31" s="80"/>
      <c r="R31" s="80"/>
      <c r="S31" s="80"/>
      <c r="T31" s="80"/>
      <c r="U31" s="80"/>
    </row>
    <row r="32" spans="1:22" s="28" customFormat="1">
      <c r="A32" s="48">
        <v>8000</v>
      </c>
      <c r="B32" s="44" t="s">
        <v>1365</v>
      </c>
      <c r="C32" s="45">
        <f>SUMIF('Contractor''s Budget Detail'!$A$9:$A$461,'Project Budget Summary'!A32,'Contractor''s Budget Detail'!$D$9:$D$461)</f>
        <v>0</v>
      </c>
      <c r="D32" s="199">
        <f>SUMIF('Contractor''s Budget Detail'!$A$9:$A$461,'Project Budget Summary'!A32,'Contractor''s Budget Detail'!$E$9:$E$461)</f>
        <v>0</v>
      </c>
      <c r="E32" s="50">
        <f>SUMIF('Contractor''s Budget Detail'!$A$9:$A$461,'Project Budget Summary'!A32,'Contractor''s Budget Detail'!$F$9:$F$461)</f>
        <v>0</v>
      </c>
      <c r="F32" s="50">
        <f t="shared" si="5"/>
        <v>0</v>
      </c>
      <c r="G32" s="45">
        <f>SUMIF('Contractor''s Budget Detail'!$A$9:$A$461,'Project Budget Summary'!A32,'Contractor''s Budget Detail'!$H$9:$H$461)</f>
        <v>0</v>
      </c>
      <c r="H32" s="45">
        <f t="shared" si="6"/>
        <v>0</v>
      </c>
      <c r="I32" s="51">
        <f t="shared" si="7"/>
        <v>0</v>
      </c>
      <c r="J32" s="30" t="s">
        <v>1359</v>
      </c>
      <c r="K32" s="889"/>
      <c r="L32" s="30"/>
      <c r="M32" s="30"/>
      <c r="N32" s="30"/>
      <c r="O32" s="80"/>
      <c r="P32" s="80"/>
      <c r="Q32" s="80"/>
      <c r="R32" s="80"/>
      <c r="S32" s="80"/>
      <c r="T32" s="80"/>
      <c r="U32" s="80"/>
    </row>
    <row r="33" spans="1:22" s="28" customFormat="1">
      <c r="A33" s="48">
        <v>9000</v>
      </c>
      <c r="B33" s="44" t="s">
        <v>1366</v>
      </c>
      <c r="C33" s="45">
        <f>SUMIF('Contractor''s Budget Detail'!$A$9:$A$461,'Project Budget Summary'!A33,'Contractor''s Budget Detail'!$D$9:$D$461)</f>
        <v>0</v>
      </c>
      <c r="D33" s="199">
        <f>SUMIF('Contractor''s Budget Detail'!$A$9:$A$461,'Project Budget Summary'!A33,'Contractor''s Budget Detail'!$E$9:$E$461)</f>
        <v>0</v>
      </c>
      <c r="E33" s="50">
        <f>SUMIF('Contractor''s Budget Detail'!$A$9:$A$461,'Project Budget Summary'!A33,'Contractor''s Budget Detail'!$F$9:$F$461)</f>
        <v>0</v>
      </c>
      <c r="F33" s="50">
        <f t="shared" si="5"/>
        <v>0</v>
      </c>
      <c r="G33" s="45">
        <f>SUMIF('Contractor''s Budget Detail'!$A$9:$A$461,'Project Budget Summary'!A33,'Contractor''s Budget Detail'!$H$9:$H$461)</f>
        <v>0</v>
      </c>
      <c r="H33" s="45">
        <f t="shared" si="6"/>
        <v>0</v>
      </c>
      <c r="I33" s="51">
        <f t="shared" si="7"/>
        <v>0</v>
      </c>
      <c r="J33" s="30" t="s">
        <v>1359</v>
      </c>
      <c r="K33" s="889"/>
      <c r="L33" s="30"/>
      <c r="M33" s="30"/>
      <c r="N33" s="30"/>
      <c r="O33" s="80"/>
      <c r="P33" s="80"/>
      <c r="Q33" s="80"/>
      <c r="R33" s="80"/>
      <c r="S33" s="80"/>
      <c r="T33" s="80"/>
      <c r="U33" s="80"/>
    </row>
    <row r="34" spans="1:22" s="28" customFormat="1">
      <c r="A34" s="48">
        <v>10000</v>
      </c>
      <c r="B34" s="44" t="s">
        <v>1367</v>
      </c>
      <c r="C34" s="45">
        <f>SUMIF('Contractor''s Budget Detail'!$A$9:$A$461,'Project Budget Summary'!A34,'Contractor''s Budget Detail'!$D$9:$D$461)</f>
        <v>0</v>
      </c>
      <c r="D34" s="199">
        <f>SUMIF('Contractor''s Budget Detail'!$A$9:$A$461,'Project Budget Summary'!A34,'Contractor''s Budget Detail'!$E$9:$E$461)</f>
        <v>0</v>
      </c>
      <c r="E34" s="50">
        <f>SUMIF('Contractor''s Budget Detail'!$A$9:$A$461,'Project Budget Summary'!A34,'Contractor''s Budget Detail'!$F$9:$F$461)</f>
        <v>0</v>
      </c>
      <c r="F34" s="50">
        <f t="shared" si="5"/>
        <v>0</v>
      </c>
      <c r="G34" s="45">
        <f>SUMIF('Contractor''s Budget Detail'!$A$9:$A$461,'Project Budget Summary'!A34,'Contractor''s Budget Detail'!$H$9:$H$461)</f>
        <v>0</v>
      </c>
      <c r="H34" s="45">
        <f t="shared" si="6"/>
        <v>0</v>
      </c>
      <c r="I34" s="51">
        <f t="shared" si="7"/>
        <v>0</v>
      </c>
      <c r="J34" s="30" t="s">
        <v>1359</v>
      </c>
      <c r="K34" s="889"/>
      <c r="L34" s="30"/>
      <c r="M34" s="30"/>
      <c r="N34" s="30"/>
      <c r="O34" s="80"/>
      <c r="P34" s="80"/>
      <c r="Q34" s="80"/>
      <c r="R34" s="80"/>
      <c r="S34" s="80"/>
      <c r="T34" s="80"/>
      <c r="U34" s="80"/>
    </row>
    <row r="35" spans="1:22" s="28" customFormat="1">
      <c r="A35" s="48">
        <v>11000</v>
      </c>
      <c r="B35" s="44" t="s">
        <v>1368</v>
      </c>
      <c r="C35" s="45">
        <f>SUMIF('Contractor''s Budget Detail'!$A$9:$A$461,'Project Budget Summary'!A35,'Contractor''s Budget Detail'!$D$9:$D$461)</f>
        <v>0</v>
      </c>
      <c r="D35" s="199">
        <f>SUMIF('Contractor''s Budget Detail'!$A$9:$A$461,'Project Budget Summary'!A35,'Contractor''s Budget Detail'!$E$9:$E$461)</f>
        <v>0</v>
      </c>
      <c r="E35" s="50">
        <f>SUMIF('Contractor''s Budget Detail'!$A$9:$A$461,'Project Budget Summary'!A35,'Contractor''s Budget Detail'!$F$9:$F$461)</f>
        <v>0</v>
      </c>
      <c r="F35" s="50">
        <f t="shared" si="5"/>
        <v>0</v>
      </c>
      <c r="G35" s="45">
        <f>SUMIF('Contractor''s Budget Detail'!$A$9:$A$461,'Project Budget Summary'!A35,'Contractor''s Budget Detail'!$H$9:$H$461)</f>
        <v>0</v>
      </c>
      <c r="H35" s="45">
        <f t="shared" si="6"/>
        <v>0</v>
      </c>
      <c r="I35" s="51">
        <f t="shared" si="7"/>
        <v>0</v>
      </c>
      <c r="J35" s="30" t="s">
        <v>1359</v>
      </c>
      <c r="K35" s="889"/>
      <c r="L35" s="30"/>
      <c r="M35" s="30"/>
      <c r="N35" s="30"/>
      <c r="O35" s="80"/>
      <c r="P35" s="80"/>
      <c r="Q35" s="80"/>
      <c r="R35" s="80"/>
      <c r="S35" s="80"/>
      <c r="T35" s="80"/>
      <c r="U35" s="80"/>
    </row>
    <row r="36" spans="1:22" s="28" customFormat="1">
      <c r="A36" s="48">
        <v>12000</v>
      </c>
      <c r="B36" s="44" t="s">
        <v>1369</v>
      </c>
      <c r="C36" s="45">
        <f>SUMIF('Contractor''s Budget Detail'!$A$9:$A$461,'Project Budget Summary'!A36,'Contractor''s Budget Detail'!$D$9:$D$461)</f>
        <v>0</v>
      </c>
      <c r="D36" s="199">
        <f>SUMIF('Contractor''s Budget Detail'!$A$9:$A$461,'Project Budget Summary'!A36,'Contractor''s Budget Detail'!$E$9:$E$461)</f>
        <v>0</v>
      </c>
      <c r="E36" s="50">
        <f>SUMIF('Contractor''s Budget Detail'!$A$9:$A$461,'Project Budget Summary'!A36,'Contractor''s Budget Detail'!$F$9:$F$461)</f>
        <v>0</v>
      </c>
      <c r="F36" s="50">
        <f t="shared" si="5"/>
        <v>0</v>
      </c>
      <c r="G36" s="45">
        <f>SUMIF('Contractor''s Budget Detail'!$A$9:$A$461,'Project Budget Summary'!A36,'Contractor''s Budget Detail'!$H$9:$H$461)</f>
        <v>0</v>
      </c>
      <c r="H36" s="45">
        <f t="shared" si="6"/>
        <v>0</v>
      </c>
      <c r="I36" s="51">
        <f t="shared" si="7"/>
        <v>0</v>
      </c>
      <c r="J36" s="30" t="s">
        <v>1359</v>
      </c>
      <c r="K36" s="889"/>
      <c r="L36" s="30"/>
      <c r="M36" s="30"/>
      <c r="N36" s="30"/>
      <c r="O36" s="80"/>
      <c r="P36" s="80"/>
      <c r="Q36" s="80"/>
      <c r="R36" s="80"/>
      <c r="S36" s="80"/>
      <c r="T36" s="80"/>
      <c r="U36" s="80"/>
    </row>
    <row r="37" spans="1:22" s="28" customFormat="1">
      <c r="A37" s="48">
        <v>13000</v>
      </c>
      <c r="B37" s="44" t="s">
        <v>1370</v>
      </c>
      <c r="C37" s="45">
        <f>SUMIF('Contractor''s Budget Detail'!$A$9:$A$461,'Project Budget Summary'!A37,'Contractor''s Budget Detail'!$D$9:$D$461)</f>
        <v>0</v>
      </c>
      <c r="D37" s="199">
        <f>SUMIF('Contractor''s Budget Detail'!$A$9:$A$461,'Project Budget Summary'!A37,'Contractor''s Budget Detail'!$E$9:$E$461)</f>
        <v>0</v>
      </c>
      <c r="E37" s="50">
        <f>SUMIF('Contractor''s Budget Detail'!$A$9:$A$461,'Project Budget Summary'!A37,'Contractor''s Budget Detail'!$F$9:$F$461)</f>
        <v>0</v>
      </c>
      <c r="F37" s="50">
        <f t="shared" si="5"/>
        <v>0</v>
      </c>
      <c r="G37" s="45">
        <f>SUMIF('Contractor''s Budget Detail'!$A$9:$A$461,'Project Budget Summary'!A37,'Contractor''s Budget Detail'!$H$9:$H$461)</f>
        <v>0</v>
      </c>
      <c r="H37" s="45">
        <f t="shared" si="6"/>
        <v>0</v>
      </c>
      <c r="I37" s="51">
        <f t="shared" si="7"/>
        <v>0</v>
      </c>
      <c r="J37" s="30" t="s">
        <v>1359</v>
      </c>
      <c r="K37" s="889"/>
      <c r="L37" s="30"/>
      <c r="M37" s="30"/>
      <c r="N37" s="30"/>
      <c r="O37" s="80"/>
      <c r="P37" s="80"/>
      <c r="Q37" s="80"/>
      <c r="R37" s="80"/>
      <c r="S37" s="80"/>
      <c r="T37" s="80"/>
      <c r="U37" s="80"/>
    </row>
    <row r="38" spans="1:22" s="28" customFormat="1">
      <c r="A38" s="48">
        <v>14000</v>
      </c>
      <c r="B38" s="44" t="s">
        <v>1371</v>
      </c>
      <c r="C38" s="45">
        <f>SUMIF('Contractor''s Budget Detail'!$A$9:$A$461,'Project Budget Summary'!A38,'Contractor''s Budget Detail'!$D$9:$D$461)</f>
        <v>0</v>
      </c>
      <c r="D38" s="199">
        <f>SUMIF('Contractor''s Budget Detail'!$A$9:$A$461,'Project Budget Summary'!A38,'Contractor''s Budget Detail'!$E$9:$E$461)</f>
        <v>0</v>
      </c>
      <c r="E38" s="50">
        <f>SUMIF('Contractor''s Budget Detail'!$A$9:$A$461,'Project Budget Summary'!A38,'Contractor''s Budget Detail'!$F$9:$F$461)</f>
        <v>0</v>
      </c>
      <c r="F38" s="50">
        <f t="shared" si="5"/>
        <v>0</v>
      </c>
      <c r="G38" s="45">
        <f>SUMIF('Contractor''s Budget Detail'!$A$9:$A$461,'Project Budget Summary'!A38,'Contractor''s Budget Detail'!$H$9:$H$461)</f>
        <v>0</v>
      </c>
      <c r="H38" s="45">
        <f t="shared" si="6"/>
        <v>0</v>
      </c>
      <c r="I38" s="51">
        <f t="shared" si="7"/>
        <v>0</v>
      </c>
      <c r="J38" s="30" t="s">
        <v>1359</v>
      </c>
      <c r="K38" s="889"/>
      <c r="L38" s="30"/>
      <c r="M38" s="30"/>
      <c r="N38" s="30"/>
      <c r="O38" s="80"/>
      <c r="P38" s="80"/>
      <c r="Q38" s="80"/>
      <c r="R38" s="80"/>
      <c r="S38" s="80"/>
      <c r="T38" s="80"/>
      <c r="U38" s="80"/>
    </row>
    <row r="39" spans="1:22" s="28" customFormat="1">
      <c r="A39" s="48">
        <v>15000</v>
      </c>
      <c r="B39" s="44" t="s">
        <v>1372</v>
      </c>
      <c r="C39" s="45">
        <f>SUMIF('Contractor''s Budget Detail'!$A$9:$A$461,'Project Budget Summary'!A39,'Contractor''s Budget Detail'!$D$9:$D$461)</f>
        <v>0</v>
      </c>
      <c r="D39" s="199">
        <f>SUMIF('Contractor''s Budget Detail'!$A$9:$A$461,'Project Budget Summary'!A39,'Contractor''s Budget Detail'!$E$9:$E$461)</f>
        <v>0</v>
      </c>
      <c r="E39" s="50">
        <f>SUMIF('Contractor''s Budget Detail'!$A$9:$A$461,'Project Budget Summary'!A39,'Contractor''s Budget Detail'!$F$9:$F$461)</f>
        <v>0</v>
      </c>
      <c r="F39" s="50">
        <f t="shared" si="5"/>
        <v>0</v>
      </c>
      <c r="G39" s="45">
        <f>SUMIF('Contractor''s Budget Detail'!$A$9:$A$461,'Project Budget Summary'!A39,'Contractor''s Budget Detail'!$H$9:$H$461)</f>
        <v>0</v>
      </c>
      <c r="H39" s="45">
        <f t="shared" si="6"/>
        <v>0</v>
      </c>
      <c r="I39" s="51">
        <f t="shared" si="7"/>
        <v>0</v>
      </c>
      <c r="J39" s="30" t="s">
        <v>1359</v>
      </c>
      <c r="K39" s="889"/>
      <c r="L39" s="30"/>
      <c r="M39" s="30"/>
      <c r="N39" s="30"/>
      <c r="O39" s="80"/>
      <c r="P39" s="80"/>
      <c r="Q39" s="80"/>
      <c r="R39" s="80"/>
      <c r="S39" s="80"/>
      <c r="T39" s="80"/>
      <c r="U39" s="80"/>
    </row>
    <row r="40" spans="1:22">
      <c r="A40" s="48">
        <v>16000</v>
      </c>
      <c r="B40" s="44" t="s">
        <v>1373</v>
      </c>
      <c r="C40" s="45">
        <f>SUMIF('Contractor''s Budget Detail'!$A$9:$A$461,'Project Budget Summary'!A40,'Contractor''s Budget Detail'!$D$9:$D$461)</f>
        <v>0</v>
      </c>
      <c r="D40" s="199">
        <f>SUMIF('Contractor''s Budget Detail'!$A$9:$A$461,'Project Budget Summary'!A40,'Contractor''s Budget Detail'!$E$9:$E$461)</f>
        <v>0</v>
      </c>
      <c r="E40" s="50">
        <f>SUMIF('Contractor''s Budget Detail'!$A$9:$A$461,'Project Budget Summary'!A40,'Contractor''s Budget Detail'!$F$9:$F$461)</f>
        <v>0</v>
      </c>
      <c r="F40" s="50">
        <f t="shared" si="5"/>
        <v>0</v>
      </c>
      <c r="G40" s="45">
        <f>SUMIF('Contractor''s Budget Detail'!$A$9:$A$461,'Project Budget Summary'!A40,'Contractor''s Budget Detail'!$H$9:$H$461)</f>
        <v>0</v>
      </c>
      <c r="H40" s="45">
        <f t="shared" si="6"/>
        <v>0</v>
      </c>
      <c r="I40" s="51">
        <f t="shared" si="7"/>
        <v>0</v>
      </c>
      <c r="J40" s="30" t="s">
        <v>1359</v>
      </c>
      <c r="K40" s="889"/>
      <c r="L40" s="30"/>
      <c r="M40" s="30"/>
      <c r="N40" s="30"/>
    </row>
    <row r="41" spans="1:22">
      <c r="A41" s="48">
        <v>17000</v>
      </c>
      <c r="B41" s="44" t="s">
        <v>1374</v>
      </c>
      <c r="C41" s="45">
        <f>SUMIF('Contractor''s Budget Detail'!$A$9:$A$461,'Project Budget Summary'!A41,'Contractor''s Budget Detail'!$D$9:$D$461)</f>
        <v>0</v>
      </c>
      <c r="D41" s="199">
        <f>SUMIF('Contractor''s Budget Detail'!$A$9:$A$461,'Project Budget Summary'!A41,'Contractor''s Budget Detail'!$E$9:$E$461)</f>
        <v>0</v>
      </c>
      <c r="E41" s="50">
        <f>SUMIF('Contractor''s Budget Detail'!$A$9:$A$461,'Project Budget Summary'!A41,'Contractor''s Budget Detail'!$F$9:$F$461)</f>
        <v>0</v>
      </c>
      <c r="F41" s="50">
        <f t="shared" si="5"/>
        <v>0</v>
      </c>
      <c r="G41" s="45">
        <f>SUMIF('Contractor''s Budget Detail'!$A$9:$A$461,'Project Budget Summary'!A41,'Contractor''s Budget Detail'!$H$9:$H$461)</f>
        <v>0</v>
      </c>
      <c r="H41" s="45">
        <f t="shared" si="6"/>
        <v>0</v>
      </c>
      <c r="I41" s="51">
        <f t="shared" si="7"/>
        <v>0</v>
      </c>
      <c r="J41" s="30" t="s">
        <v>1359</v>
      </c>
      <c r="K41" s="889"/>
      <c r="L41" s="30"/>
      <c r="M41" s="30"/>
      <c r="N41" s="30"/>
    </row>
    <row r="42" spans="1:22">
      <c r="A42" s="48">
        <v>18000</v>
      </c>
      <c r="B42" s="44" t="s">
        <v>1375</v>
      </c>
      <c r="C42" s="45">
        <f>SUMIF('Contractor''s Budget Detail'!$A$9:$A$461,'Project Budget Summary'!A42,'Contractor''s Budget Detail'!$D$9:$D$461)</f>
        <v>0</v>
      </c>
      <c r="D42" s="199">
        <f>SUMIF('Contractor''s Budget Detail'!$A$9:$A$461,'Project Budget Summary'!A42,'Contractor''s Budget Detail'!$E$9:$E$461)</f>
        <v>0</v>
      </c>
      <c r="E42" s="50">
        <f>SUMIF('Contractor''s Budget Detail'!$A$9:$A$461,'Project Budget Summary'!A42,'Contractor''s Budget Detail'!$F$9:$F$461)</f>
        <v>0</v>
      </c>
      <c r="F42" s="50">
        <f t="shared" si="5"/>
        <v>0</v>
      </c>
      <c r="G42" s="45">
        <f>SUMIF('Contractor''s Budget Detail'!$A$9:$A$461,'Project Budget Summary'!A42,'Contractor''s Budget Detail'!$H$9:$H$461)</f>
        <v>0</v>
      </c>
      <c r="H42" s="45">
        <f t="shared" si="6"/>
        <v>0</v>
      </c>
      <c r="I42" s="51">
        <f t="shared" si="7"/>
        <v>0</v>
      </c>
      <c r="J42" s="30" t="s">
        <v>1359</v>
      </c>
      <c r="K42" s="889"/>
      <c r="L42" s="30"/>
      <c r="M42" s="30"/>
      <c r="N42" s="30"/>
    </row>
    <row r="43" spans="1:22">
      <c r="A43" s="48">
        <v>19000</v>
      </c>
      <c r="B43" s="44" t="s">
        <v>1376</v>
      </c>
      <c r="C43" s="45">
        <f>SUMIF('Contractor''s Budget Detail'!$A$9:$A$461,'Project Budget Summary'!A43,'Contractor''s Budget Detail'!$D$9:$D$461)</f>
        <v>0</v>
      </c>
      <c r="D43" s="199">
        <f>SUMIF('Contractor''s Budget Detail'!$A$9:$A$461,'Project Budget Summary'!A43,'Contractor''s Budget Detail'!$E$9:$E$461)</f>
        <v>0</v>
      </c>
      <c r="E43" s="50">
        <f>SUMIF('Contractor''s Budget Detail'!$A$9:$A$461,'Project Budget Summary'!A43,'Contractor''s Budget Detail'!$F$9:$F$461)</f>
        <v>0</v>
      </c>
      <c r="F43" s="50">
        <f t="shared" si="5"/>
        <v>0</v>
      </c>
      <c r="G43" s="45">
        <f>SUMIF('Contractor''s Budget Detail'!$A$9:$A$461,'Project Budget Summary'!A43,'Contractor''s Budget Detail'!$H$9:$H$461)</f>
        <v>0</v>
      </c>
      <c r="H43" s="45">
        <f t="shared" si="6"/>
        <v>0</v>
      </c>
      <c r="I43" s="51">
        <f t="shared" si="7"/>
        <v>0</v>
      </c>
      <c r="J43" s="30" t="s">
        <v>1359</v>
      </c>
      <c r="K43" s="889"/>
      <c r="L43" s="30"/>
      <c r="M43" s="30"/>
      <c r="N43" s="30"/>
    </row>
    <row r="44" spans="1:22">
      <c r="A44" s="48">
        <v>20000</v>
      </c>
      <c r="B44" s="44" t="s">
        <v>1377</v>
      </c>
      <c r="C44" s="45">
        <f>SUMIF('Contractor''s Budget Detail'!$A$9:$A$461,'Project Budget Summary'!A44,'Contractor''s Budget Detail'!$D$9:$D$461)</f>
        <v>0</v>
      </c>
      <c r="D44" s="199">
        <f>SUMIF('Contractor''s Budget Detail'!$A$9:$A$461,'Project Budget Summary'!A44,'Contractor''s Budget Detail'!$E$9:$E$461)</f>
        <v>0</v>
      </c>
      <c r="E44" s="50">
        <f>SUMIF('Contractor''s Budget Detail'!$A$9:$A$461,'Project Budget Summary'!A44,'Contractor''s Budget Detail'!$F$9:$F$461)</f>
        <v>0</v>
      </c>
      <c r="F44" s="50">
        <f t="shared" si="5"/>
        <v>0</v>
      </c>
      <c r="G44" s="45">
        <f>SUMIF('Contractor''s Budget Detail'!$A$9:$A$461,'Project Budget Summary'!A44,'Contractor''s Budget Detail'!$H$9:$H$461)</f>
        <v>0</v>
      </c>
      <c r="H44" s="45">
        <f t="shared" si="6"/>
        <v>0</v>
      </c>
      <c r="I44" s="51">
        <f t="shared" si="7"/>
        <v>0</v>
      </c>
      <c r="J44" s="30" t="s">
        <v>1359</v>
      </c>
      <c r="K44" s="889"/>
      <c r="L44" s="30"/>
      <c r="M44" s="30"/>
      <c r="N44" s="30"/>
    </row>
    <row r="45" spans="1:22">
      <c r="A45" s="52">
        <v>21000</v>
      </c>
      <c r="B45" s="1132" t="s">
        <v>1378</v>
      </c>
      <c r="C45" s="45">
        <f>SUMIF('Contractor''s Budget Detail'!$A$9:$A$461,'Project Budget Summary'!A45,'Contractor''s Budget Detail'!$D$9:$D$461)</f>
        <v>0</v>
      </c>
      <c r="D45" s="199">
        <f>SUMIF('Contractor''s Budget Detail'!$A$9:$A$461,'Project Budget Summary'!A45,'Contractor''s Budget Detail'!$E$9:$E$461)</f>
        <v>0</v>
      </c>
      <c r="E45" s="50">
        <f>SUMIF('Contractor''s Budget Detail'!$A$9:$A$461,'Project Budget Summary'!A45,'Contractor''s Budget Detail'!$F$9:$F$461)</f>
        <v>0</v>
      </c>
      <c r="F45" s="50">
        <f t="shared" si="5"/>
        <v>0</v>
      </c>
      <c r="G45" s="45">
        <f>SUMIF('Contractor''s Budget Detail'!$A$9:$A$461,'Project Budget Summary'!A45,'Contractor''s Budget Detail'!$H$9:$H$461)</f>
        <v>0</v>
      </c>
      <c r="H45" s="45">
        <f t="shared" si="6"/>
        <v>0</v>
      </c>
      <c r="I45" s="51">
        <f t="shared" si="7"/>
        <v>0</v>
      </c>
      <c r="J45" s="30" t="s">
        <v>1359</v>
      </c>
      <c r="K45" s="889"/>
      <c r="L45" s="30"/>
      <c r="M45" s="30"/>
      <c r="N45" s="30"/>
    </row>
    <row r="46" spans="1:22" s="2" customFormat="1" ht="13.5" thickBot="1">
      <c r="A46" s="54" t="s">
        <v>1379</v>
      </c>
      <c r="B46" s="55"/>
      <c r="C46" s="56">
        <f t="shared" ref="C46:I46" si="8">SUM(C25:C45)</f>
        <v>0</v>
      </c>
      <c r="D46" s="56">
        <f t="shared" si="8"/>
        <v>0</v>
      </c>
      <c r="E46" s="56">
        <f t="shared" si="8"/>
        <v>0</v>
      </c>
      <c r="F46" s="56">
        <f t="shared" si="8"/>
        <v>0</v>
      </c>
      <c r="G46" s="56">
        <f t="shared" si="8"/>
        <v>0</v>
      </c>
      <c r="H46" s="56">
        <f t="shared" si="8"/>
        <v>0</v>
      </c>
      <c r="I46" s="56">
        <f t="shared" si="8"/>
        <v>0</v>
      </c>
      <c r="J46" s="30"/>
      <c r="K46" s="30"/>
      <c r="L46" s="30"/>
      <c r="M46" s="30"/>
      <c r="N46" s="30"/>
      <c r="O46" s="80"/>
      <c r="P46" s="80"/>
      <c r="Q46" s="80"/>
      <c r="R46" s="80"/>
      <c r="S46" s="80"/>
      <c r="T46" s="80"/>
      <c r="U46" s="80"/>
      <c r="V46" s="57"/>
    </row>
    <row r="47" spans="1:22">
      <c r="A47" s="243"/>
      <c r="B47" s="243"/>
      <c r="C47" s="286"/>
      <c r="D47" s="286"/>
      <c r="E47" s="287"/>
      <c r="F47" s="287"/>
      <c r="G47" s="286"/>
      <c r="H47" s="286"/>
      <c r="I47" s="286"/>
      <c r="J47" s="30"/>
      <c r="K47" s="30"/>
      <c r="L47" s="30"/>
      <c r="M47" s="30"/>
      <c r="N47" s="30"/>
    </row>
    <row r="48" spans="1:22">
      <c r="A48" s="58" t="s">
        <v>1380</v>
      </c>
      <c r="B48" s="39"/>
      <c r="C48" s="40"/>
      <c r="D48" s="40"/>
      <c r="E48" s="59"/>
      <c r="F48" s="59"/>
      <c r="G48" s="40"/>
      <c r="H48" s="40"/>
      <c r="I48" s="60"/>
      <c r="J48" s="30"/>
      <c r="K48" s="30"/>
      <c r="L48" s="30"/>
      <c r="M48" s="30"/>
      <c r="N48" s="30"/>
    </row>
    <row r="49" spans="1:14">
      <c r="A49" s="48">
        <v>200</v>
      </c>
      <c r="B49" s="44" t="s">
        <v>1381</v>
      </c>
      <c r="C49" s="49">
        <v>0</v>
      </c>
      <c r="D49" s="199">
        <f>SUMIF('COST REPORT'!$A$9:$A$998,'Project Budget Summary'!A49,'COST REPORT'!$F$9:$F$998)-SUMIFS('COST REPORT'!$F$9:$F$998,'COST REPORT'!$A$9:$A$998,'Project Budget Summary'!A49,'COST REPORT'!$I$9:$I$998,"close")</f>
        <v>0</v>
      </c>
      <c r="E49" s="50">
        <f>SUMIF(INPUT!$I$231:$I$522,'Project Budget Summary'!A49,INPUT!$H$231:$H$522)+SUMIFS('COST REPORT'!$F$9:$F$998,'COST REPORT'!$A$9:$A$998,'Project Budget Summary'!A49,'COST REPORT'!$I$9:$I$998,"close")-SUMIFS('COST REPORT'!$F$9:$F$998,'COST REPORT'!$A$9:$A$998,'Project Budget Summary'!A49,'COST REPORT'!$I$9:$I$998,"close",'COST REPORT'!$J$9:$J$998,"x")</f>
        <v>0</v>
      </c>
      <c r="F49" s="50">
        <f>D49+E49</f>
        <v>0</v>
      </c>
      <c r="G49" s="45">
        <f>SUMIF('COST REPORT'!$A$9:$A$998,'Project Budget Summary'!A49,'COST REPORT'!$G$9:$G$998)</f>
        <v>0</v>
      </c>
      <c r="H49" s="45">
        <f>F49-G49</f>
        <v>0</v>
      </c>
      <c r="I49" s="51">
        <f>C49-F49</f>
        <v>0</v>
      </c>
      <c r="J49" s="30" t="s">
        <v>1359</v>
      </c>
      <c r="K49" s="889"/>
      <c r="L49" s="30"/>
      <c r="M49" s="30"/>
      <c r="N49" s="30"/>
    </row>
    <row r="50" spans="1:14">
      <c r="A50" s="48">
        <f>A49+1</f>
        <v>201</v>
      </c>
      <c r="B50" s="44" t="s">
        <v>1382</v>
      </c>
      <c r="C50" s="49">
        <v>0</v>
      </c>
      <c r="D50" s="199">
        <f>SUMIF('COST REPORT'!$A$9:$A$998,'Project Budget Summary'!A50,'COST REPORT'!$F$9:$F$998)-SUMIFS('COST REPORT'!$F$9:$F$998,'COST REPORT'!$A$9:$A$998,'Project Budget Summary'!A50,'COST REPORT'!$I$9:$I$998,"close")</f>
        <v>0</v>
      </c>
      <c r="E50" s="50">
        <f>SUMIF(INPUT!$I$231:$I$522,'Project Budget Summary'!A50,INPUT!$H$231:$H$522)+SUMIFS('COST REPORT'!$F$9:$F$998,'COST REPORT'!$A$9:$A$998,'Project Budget Summary'!A50,'COST REPORT'!$I$9:$I$998,"close")-SUMIFS('COST REPORT'!$F$9:$F$998,'COST REPORT'!$A$9:$A$998,'Project Budget Summary'!A50,'COST REPORT'!$I$9:$I$998,"close",'COST REPORT'!$J$9:$J$998,"x")</f>
        <v>0</v>
      </c>
      <c r="F50" s="50">
        <f>D50+E50</f>
        <v>0</v>
      </c>
      <c r="G50" s="45">
        <f>SUMIF('COST REPORT'!$A$9:$A$998,'Project Budget Summary'!A50,'COST REPORT'!$G$9:$G$998)</f>
        <v>0</v>
      </c>
      <c r="H50" s="45">
        <f>F50-G50</f>
        <v>0</v>
      </c>
      <c r="I50" s="51">
        <f>C50-F50</f>
        <v>0</v>
      </c>
      <c r="J50" s="30" t="s">
        <v>1359</v>
      </c>
      <c r="K50" s="889"/>
      <c r="L50" s="30"/>
      <c r="M50" s="30"/>
      <c r="N50" s="30"/>
    </row>
    <row r="51" spans="1:14">
      <c r="A51" s="48">
        <f>A50+1</f>
        <v>202</v>
      </c>
      <c r="B51" s="750" t="s">
        <v>1383</v>
      </c>
      <c r="C51" s="49">
        <v>0</v>
      </c>
      <c r="D51" s="199">
        <f>SUMIF('COST REPORT'!$A$9:$A$998,'Project Budget Summary'!A51,'COST REPORT'!$F$9:$F$998)-SUMIFS('COST REPORT'!$F$9:$F$998,'COST REPORT'!$A$9:$A$998,'Project Budget Summary'!A51,'COST REPORT'!$I$9:$I$998,"close")</f>
        <v>0</v>
      </c>
      <c r="E51" s="50">
        <f>SUMIF(INPUT!$I$231:$I$522,'Project Budget Summary'!A51,INPUT!$H$231:$H$522)+SUMIFS('COST REPORT'!$F$9:$F$998,'COST REPORT'!$A$9:$A$998,'Project Budget Summary'!A51,'COST REPORT'!$I$9:$I$998,"close")-SUMIFS('COST REPORT'!$F$9:$F$998,'COST REPORT'!$A$9:$A$998,'Project Budget Summary'!A51,'COST REPORT'!$I$9:$I$998,"close",'COST REPORT'!$J$9:$J$998,"x")</f>
        <v>0</v>
      </c>
      <c r="F51" s="50">
        <f t="shared" ref="F51:F93" si="9">D51+E51</f>
        <v>0</v>
      </c>
      <c r="G51" s="45">
        <f>SUMIF('COST REPORT'!$A$9:$A$998,'Project Budget Summary'!A51,'COST REPORT'!$G$9:$G$998)</f>
        <v>0</v>
      </c>
      <c r="H51" s="45">
        <f t="shared" ref="H51:H93" si="10">F51-G51</f>
        <v>0</v>
      </c>
      <c r="I51" s="51">
        <f t="shared" ref="I51:I93" si="11">C51-F51</f>
        <v>0</v>
      </c>
      <c r="J51" s="30" t="s">
        <v>1359</v>
      </c>
      <c r="K51" s="889"/>
      <c r="L51" s="30"/>
      <c r="M51" s="30"/>
      <c r="N51" s="30"/>
    </row>
    <row r="52" spans="1:14">
      <c r="A52" s="48">
        <f>A51+1</f>
        <v>203</v>
      </c>
      <c r="B52" s="750" t="s">
        <v>1384</v>
      </c>
      <c r="C52" s="49">
        <v>0</v>
      </c>
      <c r="D52" s="199">
        <f>SUMIF('COST REPORT'!$A$9:$A$998,'Project Budget Summary'!A52,'COST REPORT'!$F$9:$F$998)-SUMIFS('COST REPORT'!$F$9:$F$998,'COST REPORT'!$A$9:$A$998,'Project Budget Summary'!A52,'COST REPORT'!$I$9:$I$998,"close")</f>
        <v>0</v>
      </c>
      <c r="E52" s="50">
        <f>SUMIF(INPUT!$I$231:$I$522,'Project Budget Summary'!A52,INPUT!$H$231:$H$522)+SUMIFS('COST REPORT'!$F$9:$F$998,'COST REPORT'!$A$9:$A$998,'Project Budget Summary'!A52,'COST REPORT'!$I$9:$I$998,"close")-SUMIFS('COST REPORT'!$F$9:$F$998,'COST REPORT'!$A$9:$A$998,'Project Budget Summary'!A52,'COST REPORT'!$I$9:$I$998,"close",'COST REPORT'!$J$9:$J$998,"x")</f>
        <v>0</v>
      </c>
      <c r="F52" s="50">
        <f t="shared" si="9"/>
        <v>0</v>
      </c>
      <c r="G52" s="45">
        <f>SUMIF('COST REPORT'!$A$9:$A$998,'Project Budget Summary'!A52,'COST REPORT'!$G$9:$G$998)</f>
        <v>0</v>
      </c>
      <c r="H52" s="45">
        <f t="shared" si="10"/>
        <v>0</v>
      </c>
      <c r="I52" s="51">
        <f t="shared" si="11"/>
        <v>0</v>
      </c>
      <c r="J52" s="30" t="s">
        <v>1359</v>
      </c>
      <c r="K52" s="889"/>
      <c r="L52" s="30"/>
      <c r="M52" s="30"/>
      <c r="N52" s="30"/>
    </row>
    <row r="53" spans="1:14">
      <c r="A53" s="48">
        <f t="shared" ref="A53:A99" si="12">A52+1</f>
        <v>204</v>
      </c>
      <c r="B53" s="137" t="s">
        <v>1354</v>
      </c>
      <c r="C53" s="49">
        <v>0</v>
      </c>
      <c r="D53" s="199">
        <f>SUMIF('COST REPORT'!$A$9:$A$998,'Project Budget Summary'!A53,'COST REPORT'!$F$9:$F$998)-SUMIFS('COST REPORT'!$F$9:$F$998,'COST REPORT'!$A$9:$A$998,'Project Budget Summary'!A53,'COST REPORT'!$I$9:$I$998,"close")</f>
        <v>0</v>
      </c>
      <c r="E53" s="50">
        <f>SUMIF(INPUT!$I$231:$I$522,'Project Budget Summary'!A53,INPUT!$H$231:$H$522)+SUMIFS('COST REPORT'!$F$9:$F$998,'COST REPORT'!$A$9:$A$998,'Project Budget Summary'!A53,'COST REPORT'!$I$9:$I$998,"close")-SUMIFS('COST REPORT'!$F$9:$F$998,'COST REPORT'!$A$9:$A$998,'Project Budget Summary'!A53,'COST REPORT'!$I$9:$I$998,"close",'COST REPORT'!$J$9:$J$998,"x")</f>
        <v>0</v>
      </c>
      <c r="F53" s="50">
        <f t="shared" si="9"/>
        <v>0</v>
      </c>
      <c r="G53" s="45">
        <f>SUMIF('COST REPORT'!$A$9:$A$998,'Project Budget Summary'!A53,'COST REPORT'!$G$9:$G$998)</f>
        <v>0</v>
      </c>
      <c r="H53" s="45">
        <f t="shared" si="10"/>
        <v>0</v>
      </c>
      <c r="I53" s="51">
        <f t="shared" si="11"/>
        <v>0</v>
      </c>
      <c r="J53" s="30" t="s">
        <v>1359</v>
      </c>
      <c r="K53" s="889"/>
      <c r="L53" s="30"/>
      <c r="M53" s="30"/>
      <c r="N53" s="30"/>
    </row>
    <row r="54" spans="1:14">
      <c r="A54" s="48">
        <f t="shared" si="12"/>
        <v>205</v>
      </c>
      <c r="B54" s="137" t="s">
        <v>1354</v>
      </c>
      <c r="C54" s="49">
        <v>0</v>
      </c>
      <c r="D54" s="199">
        <f>SUMIF('COST REPORT'!$A$9:$A$998,'Project Budget Summary'!A54,'COST REPORT'!$F$9:$F$998)-SUMIFS('COST REPORT'!$F$9:$F$998,'COST REPORT'!$A$9:$A$998,'Project Budget Summary'!A54,'COST REPORT'!$I$9:$I$998,"close")</f>
        <v>0</v>
      </c>
      <c r="E54" s="50">
        <f>SUMIF(INPUT!$I$231:$I$522,'Project Budget Summary'!A54,INPUT!$H$231:$H$522)+SUMIFS('COST REPORT'!$F$9:$F$998,'COST REPORT'!$A$9:$A$998,'Project Budget Summary'!A54,'COST REPORT'!$I$9:$I$998,"close")-SUMIFS('COST REPORT'!$F$9:$F$998,'COST REPORT'!$A$9:$A$998,'Project Budget Summary'!A54,'COST REPORT'!$I$9:$I$998,"close",'COST REPORT'!$J$9:$J$998,"x")</f>
        <v>0</v>
      </c>
      <c r="F54" s="50">
        <f t="shared" si="9"/>
        <v>0</v>
      </c>
      <c r="G54" s="45">
        <f>SUMIF('COST REPORT'!$A$9:$A$998,'Project Budget Summary'!A54,'COST REPORT'!$G$9:$G$998)</f>
        <v>0</v>
      </c>
      <c r="H54" s="45">
        <f t="shared" si="10"/>
        <v>0</v>
      </c>
      <c r="I54" s="51">
        <f t="shared" si="11"/>
        <v>0</v>
      </c>
      <c r="J54" s="30" t="s">
        <v>1359</v>
      </c>
      <c r="K54" s="889"/>
      <c r="L54" s="30"/>
      <c r="M54" s="30"/>
      <c r="N54" s="30"/>
    </row>
    <row r="55" spans="1:14">
      <c r="A55" s="48">
        <f t="shared" si="12"/>
        <v>206</v>
      </c>
      <c r="B55" s="137" t="s">
        <v>1354</v>
      </c>
      <c r="C55" s="49">
        <v>0</v>
      </c>
      <c r="D55" s="199">
        <f>SUMIF('COST REPORT'!$A$9:$A$998,'Project Budget Summary'!A55,'COST REPORT'!$F$9:$F$998)-SUMIFS('COST REPORT'!$F$9:$F$998,'COST REPORT'!$A$9:$A$998,'Project Budget Summary'!A55,'COST REPORT'!$I$9:$I$998,"close")</f>
        <v>0</v>
      </c>
      <c r="E55" s="50">
        <f>SUMIF(INPUT!$I$231:$I$522,'Project Budget Summary'!A55,INPUT!$H$231:$H$522)+SUMIFS('COST REPORT'!$F$9:$F$998,'COST REPORT'!$A$9:$A$998,'Project Budget Summary'!A55,'COST REPORT'!$I$9:$I$998,"close")-SUMIFS('COST REPORT'!$F$9:$F$998,'COST REPORT'!$A$9:$A$998,'Project Budget Summary'!A55,'COST REPORT'!$I$9:$I$998,"close",'COST REPORT'!$J$9:$J$998,"x")</f>
        <v>0</v>
      </c>
      <c r="F55" s="50">
        <f t="shared" si="9"/>
        <v>0</v>
      </c>
      <c r="G55" s="45">
        <f>SUMIF('COST REPORT'!$A$9:$A$998,'Project Budget Summary'!A55,'COST REPORT'!$G$9:$G$998)</f>
        <v>0</v>
      </c>
      <c r="H55" s="45">
        <f t="shared" si="10"/>
        <v>0</v>
      </c>
      <c r="I55" s="51">
        <f t="shared" si="11"/>
        <v>0</v>
      </c>
      <c r="J55" s="30" t="s">
        <v>1359</v>
      </c>
      <c r="K55" s="889"/>
      <c r="L55" s="30"/>
      <c r="M55" s="30"/>
      <c r="N55" s="30"/>
    </row>
    <row r="56" spans="1:14">
      <c r="A56" s="48">
        <f t="shared" si="12"/>
        <v>207</v>
      </c>
      <c r="B56" s="137" t="s">
        <v>1354</v>
      </c>
      <c r="C56" s="49">
        <v>0</v>
      </c>
      <c r="D56" s="199">
        <f>SUMIF('COST REPORT'!$A$9:$A$998,'Project Budget Summary'!A56,'COST REPORT'!$F$9:$F$998)-SUMIFS('COST REPORT'!$F$9:$F$998,'COST REPORT'!$A$9:$A$998,'Project Budget Summary'!A56,'COST REPORT'!$I$9:$I$998,"close")</f>
        <v>0</v>
      </c>
      <c r="E56" s="50">
        <f>SUMIF(INPUT!$I$231:$I$522,'Project Budget Summary'!A56,INPUT!$H$231:$H$522)+SUMIFS('COST REPORT'!$F$9:$F$998,'COST REPORT'!$A$9:$A$998,'Project Budget Summary'!A56,'COST REPORT'!$I$9:$I$998,"close")-SUMIFS('COST REPORT'!$F$9:$F$998,'COST REPORT'!$A$9:$A$998,'Project Budget Summary'!A56,'COST REPORT'!$I$9:$I$998,"close",'COST REPORT'!$J$9:$J$998,"x")</f>
        <v>0</v>
      </c>
      <c r="F56" s="50">
        <f t="shared" si="9"/>
        <v>0</v>
      </c>
      <c r="G56" s="45">
        <f>SUMIF('COST REPORT'!$A$9:$A$998,'Project Budget Summary'!A56,'COST REPORT'!$G$9:$G$998)</f>
        <v>0</v>
      </c>
      <c r="H56" s="45">
        <f t="shared" si="10"/>
        <v>0</v>
      </c>
      <c r="I56" s="51">
        <f t="shared" si="11"/>
        <v>0</v>
      </c>
      <c r="J56" s="30" t="s">
        <v>1359</v>
      </c>
      <c r="K56" s="889"/>
      <c r="L56" s="30"/>
      <c r="M56" s="30"/>
      <c r="N56" s="30"/>
    </row>
    <row r="57" spans="1:14">
      <c r="A57" s="48">
        <f t="shared" si="12"/>
        <v>208</v>
      </c>
      <c r="B57" s="137" t="s">
        <v>1354</v>
      </c>
      <c r="C57" s="49">
        <v>0</v>
      </c>
      <c r="D57" s="199">
        <f>SUMIF('COST REPORT'!$A$9:$A$998,'Project Budget Summary'!A57,'COST REPORT'!$F$9:$F$998)-SUMIFS('COST REPORT'!$F$9:$F$998,'COST REPORT'!$A$9:$A$998,'Project Budget Summary'!A57,'COST REPORT'!$I$9:$I$998,"close")</f>
        <v>0</v>
      </c>
      <c r="E57" s="50">
        <f>SUMIF(INPUT!$I$231:$I$522,'Project Budget Summary'!A57,INPUT!$H$231:$H$522)+SUMIFS('COST REPORT'!$F$9:$F$998,'COST REPORT'!$A$9:$A$998,'Project Budget Summary'!A57,'COST REPORT'!$I$9:$I$998,"close")-SUMIFS('COST REPORT'!$F$9:$F$998,'COST REPORT'!$A$9:$A$998,'Project Budget Summary'!A57,'COST REPORT'!$I$9:$I$998,"close",'COST REPORT'!$J$9:$J$998,"x")</f>
        <v>0</v>
      </c>
      <c r="F57" s="50">
        <f t="shared" si="9"/>
        <v>0</v>
      </c>
      <c r="G57" s="45">
        <f>SUMIF('COST REPORT'!$A$9:$A$998,'Project Budget Summary'!A57,'COST REPORT'!$G$9:$G$998)</f>
        <v>0</v>
      </c>
      <c r="H57" s="45">
        <f t="shared" si="10"/>
        <v>0</v>
      </c>
      <c r="I57" s="51">
        <f t="shared" si="11"/>
        <v>0</v>
      </c>
      <c r="J57" s="30" t="s">
        <v>1359</v>
      </c>
      <c r="K57" s="889"/>
      <c r="L57" s="30"/>
      <c r="M57" s="30"/>
      <c r="N57" s="30"/>
    </row>
    <row r="58" spans="1:14">
      <c r="A58" s="48">
        <f t="shared" si="12"/>
        <v>209</v>
      </c>
      <c r="B58" s="137" t="s">
        <v>1354</v>
      </c>
      <c r="C58" s="49">
        <v>0</v>
      </c>
      <c r="D58" s="199">
        <f>SUMIF('COST REPORT'!$A$9:$A$998,'Project Budget Summary'!A58,'COST REPORT'!$F$9:$F$998)-SUMIFS('COST REPORT'!$F$9:$F$998,'COST REPORT'!$A$9:$A$998,'Project Budget Summary'!A58,'COST REPORT'!$I$9:$I$998,"close")</f>
        <v>0</v>
      </c>
      <c r="E58" s="50">
        <f>SUMIF(INPUT!$I$231:$I$522,'Project Budget Summary'!A58,INPUT!$H$231:$H$522)+SUMIFS('COST REPORT'!$F$9:$F$998,'COST REPORT'!$A$9:$A$998,'Project Budget Summary'!A58,'COST REPORT'!$I$9:$I$998,"close")-SUMIFS('COST REPORT'!$F$9:$F$998,'COST REPORT'!$A$9:$A$998,'Project Budget Summary'!A58,'COST REPORT'!$I$9:$I$998,"close",'COST REPORT'!$J$9:$J$998,"x")</f>
        <v>0</v>
      </c>
      <c r="F58" s="50">
        <f t="shared" si="9"/>
        <v>0</v>
      </c>
      <c r="G58" s="45">
        <f>SUMIF('COST REPORT'!$A$9:$A$998,'Project Budget Summary'!A58,'COST REPORT'!$G$9:$G$998)</f>
        <v>0</v>
      </c>
      <c r="H58" s="45">
        <f t="shared" si="10"/>
        <v>0</v>
      </c>
      <c r="I58" s="51">
        <f t="shared" si="11"/>
        <v>0</v>
      </c>
      <c r="J58" s="30" t="s">
        <v>1359</v>
      </c>
      <c r="K58" s="889"/>
      <c r="L58" s="30"/>
      <c r="M58" s="30"/>
      <c r="N58" s="30"/>
    </row>
    <row r="59" spans="1:14">
      <c r="A59" s="48">
        <f t="shared" si="12"/>
        <v>210</v>
      </c>
      <c r="B59" s="137" t="s">
        <v>1354</v>
      </c>
      <c r="C59" s="49">
        <v>0</v>
      </c>
      <c r="D59" s="199">
        <f>SUMIF('COST REPORT'!$A$9:$A$998,'Project Budget Summary'!A59,'COST REPORT'!$F$9:$F$998)-SUMIFS('COST REPORT'!$F$9:$F$998,'COST REPORT'!$A$9:$A$998,'Project Budget Summary'!A59,'COST REPORT'!$I$9:$I$998,"close")</f>
        <v>0</v>
      </c>
      <c r="E59" s="50">
        <f>SUMIF(INPUT!$I$231:$I$522,'Project Budget Summary'!A59,INPUT!$H$231:$H$522)+SUMIFS('COST REPORT'!$F$9:$F$998,'COST REPORT'!$A$9:$A$998,'Project Budget Summary'!A59,'COST REPORT'!$I$9:$I$998,"close")-SUMIFS('COST REPORT'!$F$9:$F$998,'COST REPORT'!$A$9:$A$998,'Project Budget Summary'!A59,'COST REPORT'!$I$9:$I$998,"close",'COST REPORT'!$J$9:$J$998,"x")</f>
        <v>0</v>
      </c>
      <c r="F59" s="50">
        <f t="shared" si="9"/>
        <v>0</v>
      </c>
      <c r="G59" s="45">
        <f>SUMIF('COST REPORT'!$A$9:$A$998,'Project Budget Summary'!A59,'COST REPORT'!$G$9:$G$998)</f>
        <v>0</v>
      </c>
      <c r="H59" s="45">
        <f t="shared" si="10"/>
        <v>0</v>
      </c>
      <c r="I59" s="51">
        <f t="shared" si="11"/>
        <v>0</v>
      </c>
      <c r="J59" s="30" t="s">
        <v>1359</v>
      </c>
      <c r="K59" s="889"/>
      <c r="L59" s="30"/>
      <c r="M59" s="30"/>
      <c r="N59" s="30"/>
    </row>
    <row r="60" spans="1:14">
      <c r="A60" s="48">
        <f t="shared" si="12"/>
        <v>211</v>
      </c>
      <c r="B60" s="137" t="s">
        <v>1354</v>
      </c>
      <c r="C60" s="49">
        <v>0</v>
      </c>
      <c r="D60" s="199">
        <f>SUMIF('COST REPORT'!$A$9:$A$998,'Project Budget Summary'!A60,'COST REPORT'!$F$9:$F$998)-SUMIFS('COST REPORT'!$F$9:$F$998,'COST REPORT'!$A$9:$A$998,'Project Budget Summary'!A60,'COST REPORT'!$I$9:$I$998,"close")</f>
        <v>0</v>
      </c>
      <c r="E60" s="50">
        <f>SUMIF(INPUT!$I$231:$I$522,'Project Budget Summary'!A60,INPUT!$H$231:$H$522)+SUMIFS('COST REPORT'!$F$9:$F$998,'COST REPORT'!$A$9:$A$998,'Project Budget Summary'!A60,'COST REPORT'!$I$9:$I$998,"close")-SUMIFS('COST REPORT'!$F$9:$F$998,'COST REPORT'!$A$9:$A$998,'Project Budget Summary'!A60,'COST REPORT'!$I$9:$I$998,"close",'COST REPORT'!$J$9:$J$998,"x")</f>
        <v>0</v>
      </c>
      <c r="F60" s="50">
        <f t="shared" si="9"/>
        <v>0</v>
      </c>
      <c r="G60" s="45">
        <f>SUMIF('COST REPORT'!$A$9:$A$998,'Project Budget Summary'!A60,'COST REPORT'!$G$9:$G$998)</f>
        <v>0</v>
      </c>
      <c r="H60" s="45">
        <f t="shared" si="10"/>
        <v>0</v>
      </c>
      <c r="I60" s="51">
        <f t="shared" si="11"/>
        <v>0</v>
      </c>
      <c r="J60" s="30" t="s">
        <v>1359</v>
      </c>
      <c r="K60" s="889"/>
      <c r="L60" s="30"/>
      <c r="M60" s="30"/>
      <c r="N60" s="30"/>
    </row>
    <row r="61" spans="1:14">
      <c r="A61" s="48">
        <f t="shared" si="12"/>
        <v>212</v>
      </c>
      <c r="B61" s="137" t="s">
        <v>1354</v>
      </c>
      <c r="C61" s="49">
        <v>0</v>
      </c>
      <c r="D61" s="199">
        <f>SUMIF('COST REPORT'!$A$9:$A$998,'Project Budget Summary'!A61,'COST REPORT'!$F$9:$F$998)-SUMIFS('COST REPORT'!$F$9:$F$998,'COST REPORT'!$A$9:$A$998,'Project Budget Summary'!A61,'COST REPORT'!$I$9:$I$998,"close")</f>
        <v>0</v>
      </c>
      <c r="E61" s="50">
        <f>SUMIF(INPUT!$I$231:$I$522,'Project Budget Summary'!A61,INPUT!$H$231:$H$522)+SUMIFS('COST REPORT'!$F$9:$F$998,'COST REPORT'!$A$9:$A$998,'Project Budget Summary'!A61,'COST REPORT'!$I$9:$I$998,"close")-SUMIFS('COST REPORT'!$F$9:$F$998,'COST REPORT'!$A$9:$A$998,'Project Budget Summary'!A61,'COST REPORT'!$I$9:$I$998,"close",'COST REPORT'!$J$9:$J$998,"x")</f>
        <v>0</v>
      </c>
      <c r="F61" s="50">
        <f t="shared" si="9"/>
        <v>0</v>
      </c>
      <c r="G61" s="45">
        <f>SUMIF('COST REPORT'!$A$9:$A$998,'Project Budget Summary'!A61,'COST REPORT'!$G$9:$G$998)</f>
        <v>0</v>
      </c>
      <c r="H61" s="45">
        <f t="shared" si="10"/>
        <v>0</v>
      </c>
      <c r="I61" s="51">
        <f t="shared" si="11"/>
        <v>0</v>
      </c>
      <c r="J61" s="30" t="s">
        <v>1359</v>
      </c>
      <c r="K61" s="889"/>
      <c r="L61" s="30"/>
      <c r="M61" s="30"/>
      <c r="N61" s="30"/>
    </row>
    <row r="62" spans="1:14">
      <c r="A62" s="48">
        <f t="shared" si="12"/>
        <v>213</v>
      </c>
      <c r="B62" s="137" t="s">
        <v>1354</v>
      </c>
      <c r="C62" s="49">
        <v>0</v>
      </c>
      <c r="D62" s="199">
        <f>SUMIF('COST REPORT'!$A$9:$A$998,'Project Budget Summary'!A62,'COST REPORT'!$F$9:$F$998)-SUMIFS('COST REPORT'!$F$9:$F$998,'COST REPORT'!$A$9:$A$998,'Project Budget Summary'!A62,'COST REPORT'!$I$9:$I$998,"close")</f>
        <v>0</v>
      </c>
      <c r="E62" s="50">
        <f>SUMIF(INPUT!$I$231:$I$522,'Project Budget Summary'!A62,INPUT!$H$231:$H$522)+SUMIFS('COST REPORT'!$F$9:$F$998,'COST REPORT'!$A$9:$A$998,'Project Budget Summary'!A62,'COST REPORT'!$I$9:$I$998,"close")-SUMIFS('COST REPORT'!$F$9:$F$998,'COST REPORT'!$A$9:$A$998,'Project Budget Summary'!A62,'COST REPORT'!$I$9:$I$998,"close",'COST REPORT'!$J$9:$J$998,"x")</f>
        <v>0</v>
      </c>
      <c r="F62" s="50">
        <f t="shared" si="9"/>
        <v>0</v>
      </c>
      <c r="G62" s="45">
        <f>SUMIF('COST REPORT'!$A$9:$A$998,'Project Budget Summary'!A62,'COST REPORT'!$G$9:$G$998)</f>
        <v>0</v>
      </c>
      <c r="H62" s="45">
        <f t="shared" si="10"/>
        <v>0</v>
      </c>
      <c r="I62" s="51">
        <f t="shared" si="11"/>
        <v>0</v>
      </c>
      <c r="J62" s="30" t="s">
        <v>1359</v>
      </c>
      <c r="K62" s="889"/>
      <c r="L62" s="30"/>
      <c r="M62" s="30"/>
      <c r="N62" s="30"/>
    </row>
    <row r="63" spans="1:14">
      <c r="A63" s="48">
        <f t="shared" si="12"/>
        <v>214</v>
      </c>
      <c r="B63" s="137" t="s">
        <v>1354</v>
      </c>
      <c r="C63" s="49">
        <v>0</v>
      </c>
      <c r="D63" s="199">
        <f>SUMIF('COST REPORT'!$A$9:$A$998,'Project Budget Summary'!A63,'COST REPORT'!$F$9:$F$998)-SUMIFS('COST REPORT'!$F$9:$F$998,'COST REPORT'!$A$9:$A$998,'Project Budget Summary'!A63,'COST REPORT'!$I$9:$I$998,"close")</f>
        <v>0</v>
      </c>
      <c r="E63" s="50">
        <f>SUMIF(INPUT!$I$231:$I$522,'Project Budget Summary'!A63,INPUT!$H$231:$H$522)+SUMIFS('COST REPORT'!$F$9:$F$998,'COST REPORT'!$A$9:$A$998,'Project Budget Summary'!A63,'COST REPORT'!$I$9:$I$998,"close")-SUMIFS('COST REPORT'!$F$9:$F$998,'COST REPORT'!$A$9:$A$998,'Project Budget Summary'!A63,'COST REPORT'!$I$9:$I$998,"close",'COST REPORT'!$J$9:$J$998,"x")</f>
        <v>0</v>
      </c>
      <c r="F63" s="50">
        <f t="shared" si="9"/>
        <v>0</v>
      </c>
      <c r="G63" s="45">
        <f>SUMIF('COST REPORT'!$A$9:$A$998,'Project Budget Summary'!A63,'COST REPORT'!$G$9:$G$998)</f>
        <v>0</v>
      </c>
      <c r="H63" s="45">
        <f t="shared" si="10"/>
        <v>0</v>
      </c>
      <c r="I63" s="51">
        <f t="shared" si="11"/>
        <v>0</v>
      </c>
      <c r="J63" s="30" t="s">
        <v>1359</v>
      </c>
      <c r="K63" s="889"/>
      <c r="L63" s="30"/>
      <c r="M63" s="30"/>
      <c r="N63" s="30"/>
    </row>
    <row r="64" spans="1:14">
      <c r="A64" s="48">
        <f t="shared" si="12"/>
        <v>215</v>
      </c>
      <c r="B64" s="137" t="s">
        <v>1354</v>
      </c>
      <c r="C64" s="49">
        <v>0</v>
      </c>
      <c r="D64" s="199">
        <f>SUMIF('COST REPORT'!$A$9:$A$998,'Project Budget Summary'!A64,'COST REPORT'!$F$9:$F$998)-SUMIFS('COST REPORT'!$F$9:$F$998,'COST REPORT'!$A$9:$A$998,'Project Budget Summary'!A64,'COST REPORT'!$I$9:$I$998,"close")</f>
        <v>0</v>
      </c>
      <c r="E64" s="50">
        <f>SUMIF(INPUT!$I$231:$I$522,'Project Budget Summary'!A64,INPUT!$H$231:$H$522)+SUMIFS('COST REPORT'!$F$9:$F$998,'COST REPORT'!$A$9:$A$998,'Project Budget Summary'!A64,'COST REPORT'!$I$9:$I$998,"close")-SUMIFS('COST REPORT'!$F$9:$F$998,'COST REPORT'!$A$9:$A$998,'Project Budget Summary'!A64,'COST REPORT'!$I$9:$I$998,"close",'COST REPORT'!$J$9:$J$998,"x")</f>
        <v>0</v>
      </c>
      <c r="F64" s="50">
        <f t="shared" si="9"/>
        <v>0</v>
      </c>
      <c r="G64" s="45">
        <f>SUMIF('COST REPORT'!$A$9:$A$998,'Project Budget Summary'!A64,'COST REPORT'!$G$9:$G$998)</f>
        <v>0</v>
      </c>
      <c r="H64" s="45">
        <f t="shared" si="10"/>
        <v>0</v>
      </c>
      <c r="I64" s="51">
        <f t="shared" si="11"/>
        <v>0</v>
      </c>
      <c r="J64" s="30" t="s">
        <v>1359</v>
      </c>
      <c r="K64" s="889"/>
      <c r="L64" s="30"/>
      <c r="M64" s="30"/>
      <c r="N64" s="30"/>
    </row>
    <row r="65" spans="1:14">
      <c r="A65" s="48">
        <f t="shared" si="12"/>
        <v>216</v>
      </c>
      <c r="B65" s="137" t="s">
        <v>1354</v>
      </c>
      <c r="C65" s="49">
        <v>0</v>
      </c>
      <c r="D65" s="199">
        <f>SUMIF('COST REPORT'!$A$9:$A$998,'Project Budget Summary'!A65,'COST REPORT'!$F$9:$F$998)-SUMIFS('COST REPORT'!$F$9:$F$998,'COST REPORT'!$A$9:$A$998,'Project Budget Summary'!A65,'COST REPORT'!$I$9:$I$998,"close")</f>
        <v>0</v>
      </c>
      <c r="E65" s="50">
        <f>SUMIF(INPUT!$I$231:$I$522,'Project Budget Summary'!A65,INPUT!$H$231:$H$522)+SUMIFS('COST REPORT'!$F$9:$F$998,'COST REPORT'!$A$9:$A$998,'Project Budget Summary'!A65,'COST REPORT'!$I$9:$I$998,"close")-SUMIFS('COST REPORT'!$F$9:$F$998,'COST REPORT'!$A$9:$A$998,'Project Budget Summary'!A65,'COST REPORT'!$I$9:$I$998,"close",'COST REPORT'!$J$9:$J$998,"x")</f>
        <v>0</v>
      </c>
      <c r="F65" s="50">
        <f t="shared" si="9"/>
        <v>0</v>
      </c>
      <c r="G65" s="45">
        <f>SUMIF('COST REPORT'!$A$9:$A$998,'Project Budget Summary'!A65,'COST REPORT'!$G$9:$G$998)</f>
        <v>0</v>
      </c>
      <c r="H65" s="45">
        <f t="shared" si="10"/>
        <v>0</v>
      </c>
      <c r="I65" s="51">
        <f t="shared" si="11"/>
        <v>0</v>
      </c>
      <c r="J65" s="30" t="s">
        <v>1359</v>
      </c>
      <c r="K65" s="889"/>
      <c r="L65" s="30"/>
      <c r="M65" s="30"/>
      <c r="N65" s="30"/>
    </row>
    <row r="66" spans="1:14">
      <c r="A66" s="48">
        <f t="shared" si="12"/>
        <v>217</v>
      </c>
      <c r="B66" s="137" t="s">
        <v>1354</v>
      </c>
      <c r="C66" s="49">
        <v>0</v>
      </c>
      <c r="D66" s="199">
        <f>SUMIF('COST REPORT'!$A$9:$A$998,'Project Budget Summary'!A66,'COST REPORT'!$F$9:$F$998)-SUMIFS('COST REPORT'!$F$9:$F$998,'COST REPORT'!$A$9:$A$998,'Project Budget Summary'!A66,'COST REPORT'!$I$9:$I$998,"close")</f>
        <v>0</v>
      </c>
      <c r="E66" s="50">
        <f>SUMIF(INPUT!$I$231:$I$522,'Project Budget Summary'!A66,INPUT!$H$231:$H$522)+SUMIFS('COST REPORT'!$F$9:$F$998,'COST REPORT'!$A$9:$A$998,'Project Budget Summary'!A66,'COST REPORT'!$I$9:$I$998,"close")-SUMIFS('COST REPORT'!$F$9:$F$998,'COST REPORT'!$A$9:$A$998,'Project Budget Summary'!A66,'COST REPORT'!$I$9:$I$998,"close",'COST REPORT'!$J$9:$J$998,"x")</f>
        <v>0</v>
      </c>
      <c r="F66" s="50">
        <f t="shared" si="9"/>
        <v>0</v>
      </c>
      <c r="G66" s="45">
        <f>SUMIF('COST REPORT'!$A$9:$A$998,'Project Budget Summary'!A66,'COST REPORT'!$G$9:$G$998)</f>
        <v>0</v>
      </c>
      <c r="H66" s="45">
        <f t="shared" si="10"/>
        <v>0</v>
      </c>
      <c r="I66" s="51">
        <f t="shared" si="11"/>
        <v>0</v>
      </c>
      <c r="J66" s="30" t="s">
        <v>1359</v>
      </c>
      <c r="K66" s="889"/>
      <c r="L66" s="30"/>
      <c r="M66" s="30"/>
      <c r="N66" s="30"/>
    </row>
    <row r="67" spans="1:14">
      <c r="A67" s="48">
        <f t="shared" si="12"/>
        <v>218</v>
      </c>
      <c r="B67" s="137" t="s">
        <v>1354</v>
      </c>
      <c r="C67" s="49">
        <v>0</v>
      </c>
      <c r="D67" s="199">
        <f>SUMIF('COST REPORT'!$A$9:$A$998,'Project Budget Summary'!A67,'COST REPORT'!$F$9:$F$998)-SUMIFS('COST REPORT'!$F$9:$F$998,'COST REPORT'!$A$9:$A$998,'Project Budget Summary'!A67,'COST REPORT'!$I$9:$I$998,"close")</f>
        <v>0</v>
      </c>
      <c r="E67" s="50">
        <f>SUMIF(INPUT!$I$231:$I$522,'Project Budget Summary'!A67,INPUT!$H$231:$H$522)+SUMIFS('COST REPORT'!$F$9:$F$998,'COST REPORT'!$A$9:$A$998,'Project Budget Summary'!A67,'COST REPORT'!$I$9:$I$998,"close")-SUMIFS('COST REPORT'!$F$9:$F$998,'COST REPORT'!$A$9:$A$998,'Project Budget Summary'!A67,'COST REPORT'!$I$9:$I$998,"close",'COST REPORT'!$J$9:$J$998,"x")</f>
        <v>0</v>
      </c>
      <c r="F67" s="50">
        <f t="shared" si="9"/>
        <v>0</v>
      </c>
      <c r="G67" s="45">
        <f>SUMIF('COST REPORT'!$A$9:$A$998,'Project Budget Summary'!A67,'COST REPORT'!$G$9:$G$998)</f>
        <v>0</v>
      </c>
      <c r="H67" s="45">
        <f t="shared" si="10"/>
        <v>0</v>
      </c>
      <c r="I67" s="51">
        <f t="shared" si="11"/>
        <v>0</v>
      </c>
      <c r="J67" s="30" t="s">
        <v>1359</v>
      </c>
      <c r="K67" s="889"/>
      <c r="L67" s="30"/>
      <c r="M67" s="30"/>
      <c r="N67" s="30"/>
    </row>
    <row r="68" spans="1:14">
      <c r="A68" s="48">
        <f t="shared" si="12"/>
        <v>219</v>
      </c>
      <c r="B68" s="137" t="s">
        <v>1354</v>
      </c>
      <c r="C68" s="49">
        <v>0</v>
      </c>
      <c r="D68" s="199">
        <f>SUMIF('COST REPORT'!$A$9:$A$998,'Project Budget Summary'!A68,'COST REPORT'!$F$9:$F$998)-SUMIFS('COST REPORT'!$F$9:$F$998,'COST REPORT'!$A$9:$A$998,'Project Budget Summary'!A68,'COST REPORT'!$I$9:$I$998,"close")</f>
        <v>0</v>
      </c>
      <c r="E68" s="50">
        <f>SUMIF(INPUT!$I$231:$I$522,'Project Budget Summary'!A68,INPUT!$H$231:$H$522)+SUMIFS('COST REPORT'!$F$9:$F$998,'COST REPORT'!$A$9:$A$998,'Project Budget Summary'!A68,'COST REPORT'!$I$9:$I$998,"close")-SUMIFS('COST REPORT'!$F$9:$F$998,'COST REPORT'!$A$9:$A$998,'Project Budget Summary'!A68,'COST REPORT'!$I$9:$I$998,"close",'COST REPORT'!$J$9:$J$998,"x")</f>
        <v>0</v>
      </c>
      <c r="F68" s="50">
        <f t="shared" si="9"/>
        <v>0</v>
      </c>
      <c r="G68" s="45">
        <f>SUMIF('COST REPORT'!$A$9:$A$998,'Project Budget Summary'!A68,'COST REPORT'!$G$9:$G$998)</f>
        <v>0</v>
      </c>
      <c r="H68" s="45">
        <f t="shared" si="10"/>
        <v>0</v>
      </c>
      <c r="I68" s="51">
        <f t="shared" si="11"/>
        <v>0</v>
      </c>
      <c r="J68" s="30" t="s">
        <v>1359</v>
      </c>
      <c r="K68" s="889"/>
      <c r="L68" s="30"/>
      <c r="M68" s="30"/>
      <c r="N68" s="30"/>
    </row>
    <row r="69" spans="1:14">
      <c r="A69" s="48">
        <f t="shared" si="12"/>
        <v>220</v>
      </c>
      <c r="B69" s="137" t="s">
        <v>1354</v>
      </c>
      <c r="C69" s="49">
        <v>0</v>
      </c>
      <c r="D69" s="199">
        <f>SUMIF('COST REPORT'!$A$9:$A$998,'Project Budget Summary'!A69,'COST REPORT'!$F$9:$F$998)-SUMIFS('COST REPORT'!$F$9:$F$998,'COST REPORT'!$A$9:$A$998,'Project Budget Summary'!A69,'COST REPORT'!$I$9:$I$998,"close")</f>
        <v>0</v>
      </c>
      <c r="E69" s="50">
        <f>SUMIF(INPUT!$I$231:$I$522,'Project Budget Summary'!A69,INPUT!$H$231:$H$522)+SUMIFS('COST REPORT'!$F$9:$F$998,'COST REPORT'!$A$9:$A$998,'Project Budget Summary'!A69,'COST REPORT'!$I$9:$I$998,"close")-SUMIFS('COST REPORT'!$F$9:$F$998,'COST REPORT'!$A$9:$A$998,'Project Budget Summary'!A69,'COST REPORT'!$I$9:$I$998,"close",'COST REPORT'!$J$9:$J$998,"x")</f>
        <v>0</v>
      </c>
      <c r="F69" s="50">
        <f t="shared" si="9"/>
        <v>0</v>
      </c>
      <c r="G69" s="45">
        <f>SUMIF('COST REPORT'!$A$9:$A$998,'Project Budget Summary'!A69,'COST REPORT'!$G$9:$G$998)</f>
        <v>0</v>
      </c>
      <c r="H69" s="45">
        <f t="shared" si="10"/>
        <v>0</v>
      </c>
      <c r="I69" s="51">
        <f t="shared" si="11"/>
        <v>0</v>
      </c>
      <c r="J69" s="30" t="s">
        <v>1359</v>
      </c>
      <c r="K69" s="889"/>
      <c r="L69" s="30"/>
      <c r="M69" s="30"/>
      <c r="N69" s="30"/>
    </row>
    <row r="70" spans="1:14">
      <c r="A70" s="48">
        <f t="shared" si="12"/>
        <v>221</v>
      </c>
      <c r="B70" s="137" t="s">
        <v>1354</v>
      </c>
      <c r="C70" s="49">
        <v>0</v>
      </c>
      <c r="D70" s="199">
        <f>SUMIF('COST REPORT'!$A$9:$A$998,'Project Budget Summary'!A70,'COST REPORT'!$F$9:$F$998)-SUMIFS('COST REPORT'!$F$9:$F$998,'COST REPORT'!$A$9:$A$998,'Project Budget Summary'!A70,'COST REPORT'!$I$9:$I$998,"close")</f>
        <v>0</v>
      </c>
      <c r="E70" s="50">
        <f>SUMIF(INPUT!$I$231:$I$522,'Project Budget Summary'!A70,INPUT!$H$231:$H$522)+SUMIFS('COST REPORT'!$F$9:$F$998,'COST REPORT'!$A$9:$A$998,'Project Budget Summary'!A70,'COST REPORT'!$I$9:$I$998,"close")-SUMIFS('COST REPORT'!$F$9:$F$998,'COST REPORT'!$A$9:$A$998,'Project Budget Summary'!A70,'COST REPORT'!$I$9:$I$998,"close",'COST REPORT'!$J$9:$J$998,"x")</f>
        <v>0</v>
      </c>
      <c r="F70" s="50">
        <f t="shared" si="9"/>
        <v>0</v>
      </c>
      <c r="G70" s="45">
        <f>SUMIF('COST REPORT'!$A$9:$A$998,'Project Budget Summary'!A70,'COST REPORT'!$G$9:$G$998)</f>
        <v>0</v>
      </c>
      <c r="H70" s="45">
        <f t="shared" si="10"/>
        <v>0</v>
      </c>
      <c r="I70" s="51">
        <f t="shared" si="11"/>
        <v>0</v>
      </c>
      <c r="J70" s="30" t="s">
        <v>1359</v>
      </c>
      <c r="K70" s="889"/>
      <c r="L70" s="30"/>
      <c r="M70" s="30"/>
      <c r="N70" s="30"/>
    </row>
    <row r="71" spans="1:14">
      <c r="A71" s="48">
        <f t="shared" si="12"/>
        <v>222</v>
      </c>
      <c r="B71" s="137" t="s">
        <v>1354</v>
      </c>
      <c r="C71" s="49">
        <v>0</v>
      </c>
      <c r="D71" s="199">
        <f>SUMIF('COST REPORT'!$A$9:$A$998,'Project Budget Summary'!A71,'COST REPORT'!$F$9:$F$998)-SUMIFS('COST REPORT'!$F$9:$F$998,'COST REPORT'!$A$9:$A$998,'Project Budget Summary'!A71,'COST REPORT'!$I$9:$I$998,"close")</f>
        <v>0</v>
      </c>
      <c r="E71" s="50">
        <f>SUMIF(INPUT!$I$231:$I$522,'Project Budget Summary'!A71,INPUT!$H$231:$H$522)+SUMIFS('COST REPORT'!$F$9:$F$998,'COST REPORT'!$A$9:$A$998,'Project Budget Summary'!A71,'COST REPORT'!$I$9:$I$998,"close")-SUMIFS('COST REPORT'!$F$9:$F$998,'COST REPORT'!$A$9:$A$998,'Project Budget Summary'!A71,'COST REPORT'!$I$9:$I$998,"close",'COST REPORT'!$J$9:$J$998,"x")</f>
        <v>0</v>
      </c>
      <c r="F71" s="50">
        <f t="shared" si="9"/>
        <v>0</v>
      </c>
      <c r="G71" s="45">
        <f>SUMIF('COST REPORT'!$A$9:$A$998,'Project Budget Summary'!A71,'COST REPORT'!$G$9:$G$998)</f>
        <v>0</v>
      </c>
      <c r="H71" s="45">
        <f t="shared" si="10"/>
        <v>0</v>
      </c>
      <c r="I71" s="51">
        <f t="shared" si="11"/>
        <v>0</v>
      </c>
      <c r="J71" s="30" t="s">
        <v>1359</v>
      </c>
      <c r="K71" s="889"/>
      <c r="L71" s="30"/>
      <c r="M71" s="30"/>
      <c r="N71" s="30"/>
    </row>
    <row r="72" spans="1:14">
      <c r="A72" s="48">
        <f t="shared" si="12"/>
        <v>223</v>
      </c>
      <c r="B72" s="137" t="s">
        <v>1354</v>
      </c>
      <c r="C72" s="49">
        <v>0</v>
      </c>
      <c r="D72" s="199">
        <f>SUMIF('COST REPORT'!$A$9:$A$998,'Project Budget Summary'!A72,'COST REPORT'!$F$9:$F$998)-SUMIFS('COST REPORT'!$F$9:$F$998,'COST REPORT'!$A$9:$A$998,'Project Budget Summary'!A72,'COST REPORT'!$I$9:$I$998,"close")</f>
        <v>0</v>
      </c>
      <c r="E72" s="50">
        <f>SUMIF(INPUT!$I$231:$I$522,'Project Budget Summary'!A72,INPUT!$H$231:$H$522)+SUMIFS('COST REPORT'!$F$9:$F$998,'COST REPORT'!$A$9:$A$998,'Project Budget Summary'!A72,'COST REPORT'!$I$9:$I$998,"close")-SUMIFS('COST REPORT'!$F$9:$F$998,'COST REPORT'!$A$9:$A$998,'Project Budget Summary'!A72,'COST REPORT'!$I$9:$I$998,"close",'COST REPORT'!$J$9:$J$998,"x")</f>
        <v>0</v>
      </c>
      <c r="F72" s="50">
        <f t="shared" si="9"/>
        <v>0</v>
      </c>
      <c r="G72" s="45">
        <f>SUMIF('COST REPORT'!$A$9:$A$998,'Project Budget Summary'!A72,'COST REPORT'!$G$9:$G$998)</f>
        <v>0</v>
      </c>
      <c r="H72" s="45">
        <f t="shared" si="10"/>
        <v>0</v>
      </c>
      <c r="I72" s="51">
        <f t="shared" si="11"/>
        <v>0</v>
      </c>
      <c r="J72" s="30" t="s">
        <v>1359</v>
      </c>
      <c r="K72" s="889"/>
      <c r="L72" s="30"/>
      <c r="M72" s="30"/>
      <c r="N72" s="30"/>
    </row>
    <row r="73" spans="1:14">
      <c r="A73" s="48">
        <f t="shared" si="12"/>
        <v>224</v>
      </c>
      <c r="B73" s="137" t="s">
        <v>1354</v>
      </c>
      <c r="C73" s="49">
        <v>0</v>
      </c>
      <c r="D73" s="199">
        <f>SUMIF('COST REPORT'!$A$9:$A$998,'Project Budget Summary'!A73,'COST REPORT'!$F$9:$F$998)-SUMIFS('COST REPORT'!$F$9:$F$998,'COST REPORT'!$A$9:$A$998,'Project Budget Summary'!A73,'COST REPORT'!$I$9:$I$998,"close")</f>
        <v>0</v>
      </c>
      <c r="E73" s="50">
        <f>SUMIF(INPUT!$I$231:$I$522,'Project Budget Summary'!A73,INPUT!$H$231:$H$522)+SUMIFS('COST REPORT'!$F$9:$F$998,'COST REPORT'!$A$9:$A$998,'Project Budget Summary'!A73,'COST REPORT'!$I$9:$I$998,"close")-SUMIFS('COST REPORT'!$F$9:$F$998,'COST REPORT'!$A$9:$A$998,'Project Budget Summary'!A73,'COST REPORT'!$I$9:$I$998,"close",'COST REPORT'!$J$9:$J$998,"x")</f>
        <v>0</v>
      </c>
      <c r="F73" s="50">
        <f t="shared" si="9"/>
        <v>0</v>
      </c>
      <c r="G73" s="45">
        <f>SUMIF('COST REPORT'!$A$9:$A$998,'Project Budget Summary'!A73,'COST REPORT'!$G$9:$G$998)</f>
        <v>0</v>
      </c>
      <c r="H73" s="45">
        <f t="shared" si="10"/>
        <v>0</v>
      </c>
      <c r="I73" s="51">
        <f t="shared" si="11"/>
        <v>0</v>
      </c>
      <c r="J73" s="30" t="s">
        <v>1359</v>
      </c>
      <c r="K73" s="889"/>
      <c r="L73" s="30"/>
      <c r="M73" s="30"/>
      <c r="N73" s="30"/>
    </row>
    <row r="74" spans="1:14">
      <c r="A74" s="48">
        <f t="shared" si="12"/>
        <v>225</v>
      </c>
      <c r="B74" s="137" t="s">
        <v>1354</v>
      </c>
      <c r="C74" s="49">
        <v>0</v>
      </c>
      <c r="D74" s="199">
        <f>SUMIF('COST REPORT'!$A$9:$A$998,'Project Budget Summary'!A74,'COST REPORT'!$F$9:$F$998)-SUMIFS('COST REPORT'!$F$9:$F$998,'COST REPORT'!$A$9:$A$998,'Project Budget Summary'!A74,'COST REPORT'!$I$9:$I$998,"close")</f>
        <v>0</v>
      </c>
      <c r="E74" s="50">
        <f>SUMIF(INPUT!$I$231:$I$522,'Project Budget Summary'!A74,INPUT!$H$231:$H$522)+SUMIFS('COST REPORT'!$F$9:$F$998,'COST REPORT'!$A$9:$A$998,'Project Budget Summary'!A74,'COST REPORT'!$I$9:$I$998,"close")-SUMIFS('COST REPORT'!$F$9:$F$998,'COST REPORT'!$A$9:$A$998,'Project Budget Summary'!A74,'COST REPORT'!$I$9:$I$998,"close",'COST REPORT'!$J$9:$J$998,"x")</f>
        <v>0</v>
      </c>
      <c r="F74" s="50">
        <f t="shared" si="9"/>
        <v>0</v>
      </c>
      <c r="G74" s="45">
        <f>SUMIF('COST REPORT'!$A$9:$A$998,'Project Budget Summary'!A74,'COST REPORT'!$G$9:$G$998)</f>
        <v>0</v>
      </c>
      <c r="H74" s="45">
        <f t="shared" si="10"/>
        <v>0</v>
      </c>
      <c r="I74" s="51">
        <f t="shared" si="11"/>
        <v>0</v>
      </c>
      <c r="J74" s="30" t="s">
        <v>1359</v>
      </c>
      <c r="K74" s="889"/>
      <c r="L74" s="30"/>
      <c r="M74" s="30"/>
      <c r="N74" s="30"/>
    </row>
    <row r="75" spans="1:14">
      <c r="A75" s="48">
        <f t="shared" si="12"/>
        <v>226</v>
      </c>
      <c r="B75" s="137" t="s">
        <v>1354</v>
      </c>
      <c r="C75" s="49">
        <v>0</v>
      </c>
      <c r="D75" s="199">
        <f>SUMIF('COST REPORT'!$A$9:$A$998,'Project Budget Summary'!A75,'COST REPORT'!$F$9:$F$998)-SUMIFS('COST REPORT'!$F$9:$F$998,'COST REPORT'!$A$9:$A$998,'Project Budget Summary'!A75,'COST REPORT'!$I$9:$I$998,"close")</f>
        <v>0</v>
      </c>
      <c r="E75" s="50">
        <f>SUMIF(INPUT!$I$231:$I$522,'Project Budget Summary'!A75,INPUT!$H$231:$H$522)+SUMIFS('COST REPORT'!$F$9:$F$998,'COST REPORT'!$A$9:$A$998,'Project Budget Summary'!A75,'COST REPORT'!$I$9:$I$998,"close")-SUMIFS('COST REPORT'!$F$9:$F$998,'COST REPORT'!$A$9:$A$998,'Project Budget Summary'!A75,'COST REPORT'!$I$9:$I$998,"close",'COST REPORT'!$J$9:$J$998,"x")</f>
        <v>0</v>
      </c>
      <c r="F75" s="50">
        <f t="shared" si="9"/>
        <v>0</v>
      </c>
      <c r="G75" s="45">
        <f>SUMIF('COST REPORT'!$A$9:$A$998,'Project Budget Summary'!A75,'COST REPORT'!$G$9:$G$998)</f>
        <v>0</v>
      </c>
      <c r="H75" s="45">
        <f t="shared" si="10"/>
        <v>0</v>
      </c>
      <c r="I75" s="51">
        <f t="shared" si="11"/>
        <v>0</v>
      </c>
      <c r="J75" s="30" t="s">
        <v>1359</v>
      </c>
      <c r="K75" s="889"/>
      <c r="L75" s="30"/>
      <c r="M75" s="30"/>
      <c r="N75" s="30"/>
    </row>
    <row r="76" spans="1:14">
      <c r="A76" s="48">
        <f t="shared" si="12"/>
        <v>227</v>
      </c>
      <c r="B76" s="137" t="s">
        <v>1354</v>
      </c>
      <c r="C76" s="49">
        <v>0</v>
      </c>
      <c r="D76" s="199">
        <f>SUMIF('COST REPORT'!$A$9:$A$998,'Project Budget Summary'!A76,'COST REPORT'!$F$9:$F$998)-SUMIFS('COST REPORT'!$F$9:$F$998,'COST REPORT'!$A$9:$A$998,'Project Budget Summary'!A76,'COST REPORT'!$I$9:$I$998,"close")</f>
        <v>0</v>
      </c>
      <c r="E76" s="50">
        <f>SUMIF(INPUT!$I$231:$I$522,'Project Budget Summary'!A76,INPUT!$H$231:$H$522)+SUMIFS('COST REPORT'!$F$9:$F$998,'COST REPORT'!$A$9:$A$998,'Project Budget Summary'!A76,'COST REPORT'!$I$9:$I$998,"close")-SUMIFS('COST REPORT'!$F$9:$F$998,'COST REPORT'!$A$9:$A$998,'Project Budget Summary'!A76,'COST REPORT'!$I$9:$I$998,"close",'COST REPORT'!$J$9:$J$998,"x")</f>
        <v>0</v>
      </c>
      <c r="F76" s="50">
        <f t="shared" si="9"/>
        <v>0</v>
      </c>
      <c r="G76" s="45">
        <f>SUMIF('COST REPORT'!$A$9:$A$998,'Project Budget Summary'!A76,'COST REPORT'!$G$9:$G$998)</f>
        <v>0</v>
      </c>
      <c r="H76" s="45">
        <f t="shared" si="10"/>
        <v>0</v>
      </c>
      <c r="I76" s="51">
        <f t="shared" si="11"/>
        <v>0</v>
      </c>
      <c r="J76" s="30" t="s">
        <v>1359</v>
      </c>
      <c r="K76" s="889"/>
      <c r="L76" s="30"/>
      <c r="M76" s="30"/>
      <c r="N76" s="30"/>
    </row>
    <row r="77" spans="1:14">
      <c r="A77" s="48">
        <f t="shared" si="12"/>
        <v>228</v>
      </c>
      <c r="B77" s="137" t="s">
        <v>1354</v>
      </c>
      <c r="C77" s="49">
        <v>0</v>
      </c>
      <c r="D77" s="199">
        <f>SUMIF('COST REPORT'!$A$9:$A$998,'Project Budget Summary'!A77,'COST REPORT'!$F$9:$F$998)-SUMIFS('COST REPORT'!$F$9:$F$998,'COST REPORT'!$A$9:$A$998,'Project Budget Summary'!A77,'COST REPORT'!$I$9:$I$998,"close")</f>
        <v>0</v>
      </c>
      <c r="E77" s="50">
        <f>SUMIF(INPUT!$I$231:$I$522,'Project Budget Summary'!A77,INPUT!$H$231:$H$522)+SUMIFS('COST REPORT'!$F$9:$F$998,'COST REPORT'!$A$9:$A$998,'Project Budget Summary'!A77,'COST REPORT'!$I$9:$I$998,"close")-SUMIFS('COST REPORT'!$F$9:$F$998,'COST REPORT'!$A$9:$A$998,'Project Budget Summary'!A77,'COST REPORT'!$I$9:$I$998,"close",'COST REPORT'!$J$9:$J$998,"x")</f>
        <v>0</v>
      </c>
      <c r="F77" s="50">
        <f t="shared" si="9"/>
        <v>0</v>
      </c>
      <c r="G77" s="45">
        <f>SUMIF('COST REPORT'!$A$9:$A$998,'Project Budget Summary'!A77,'COST REPORT'!$G$9:$G$998)</f>
        <v>0</v>
      </c>
      <c r="H77" s="45">
        <f t="shared" si="10"/>
        <v>0</v>
      </c>
      <c r="I77" s="51">
        <f t="shared" si="11"/>
        <v>0</v>
      </c>
      <c r="J77" s="30" t="s">
        <v>1359</v>
      </c>
      <c r="K77" s="889"/>
      <c r="L77" s="30"/>
      <c r="M77" s="30"/>
      <c r="N77" s="30"/>
    </row>
    <row r="78" spans="1:14">
      <c r="A78" s="48">
        <f t="shared" si="12"/>
        <v>229</v>
      </c>
      <c r="B78" s="137" t="s">
        <v>1354</v>
      </c>
      <c r="C78" s="49">
        <v>0</v>
      </c>
      <c r="D78" s="199">
        <f>SUMIF('COST REPORT'!$A$9:$A$998,'Project Budget Summary'!A78,'COST REPORT'!$F$9:$F$998)-SUMIFS('COST REPORT'!$F$9:$F$998,'COST REPORT'!$A$9:$A$998,'Project Budget Summary'!A78,'COST REPORT'!$I$9:$I$998,"close")</f>
        <v>0</v>
      </c>
      <c r="E78" s="50">
        <f>SUMIF(INPUT!$I$231:$I$522,'Project Budget Summary'!A78,INPUT!$H$231:$H$522)+SUMIFS('COST REPORT'!$F$9:$F$998,'COST REPORT'!$A$9:$A$998,'Project Budget Summary'!A78,'COST REPORT'!$I$9:$I$998,"close")-SUMIFS('COST REPORT'!$F$9:$F$998,'COST REPORT'!$A$9:$A$998,'Project Budget Summary'!A78,'COST REPORT'!$I$9:$I$998,"close",'COST REPORT'!$J$9:$J$998,"x")</f>
        <v>0</v>
      </c>
      <c r="F78" s="50">
        <f t="shared" si="9"/>
        <v>0</v>
      </c>
      <c r="G78" s="45">
        <f>SUMIF('COST REPORT'!$A$9:$A$998,'Project Budget Summary'!A78,'COST REPORT'!$G$9:$G$998)</f>
        <v>0</v>
      </c>
      <c r="H78" s="45">
        <f t="shared" si="10"/>
        <v>0</v>
      </c>
      <c r="I78" s="51">
        <f t="shared" si="11"/>
        <v>0</v>
      </c>
      <c r="J78" s="30" t="s">
        <v>1359</v>
      </c>
      <c r="K78" s="889"/>
      <c r="L78" s="30"/>
      <c r="M78" s="30"/>
      <c r="N78" s="30"/>
    </row>
    <row r="79" spans="1:14">
      <c r="A79" s="48">
        <f t="shared" si="12"/>
        <v>230</v>
      </c>
      <c r="B79" s="137" t="s">
        <v>1354</v>
      </c>
      <c r="C79" s="49">
        <v>0</v>
      </c>
      <c r="D79" s="199">
        <f>SUMIF('COST REPORT'!$A$9:$A$998,'Project Budget Summary'!A79,'COST REPORT'!$F$9:$F$998)-SUMIFS('COST REPORT'!$F$9:$F$998,'COST REPORT'!$A$9:$A$998,'Project Budget Summary'!A79,'COST REPORT'!$I$9:$I$998,"close")</f>
        <v>0</v>
      </c>
      <c r="E79" s="50">
        <f>SUMIF(INPUT!$I$231:$I$522,'Project Budget Summary'!A79,INPUT!$H$231:$H$522)+SUMIFS('COST REPORT'!$F$9:$F$998,'COST REPORT'!$A$9:$A$998,'Project Budget Summary'!A79,'COST REPORT'!$I$9:$I$998,"close")-SUMIFS('COST REPORT'!$F$9:$F$998,'COST REPORT'!$A$9:$A$998,'Project Budget Summary'!A79,'COST REPORT'!$I$9:$I$998,"close",'COST REPORT'!$J$9:$J$998,"x")</f>
        <v>0</v>
      </c>
      <c r="F79" s="50">
        <f t="shared" si="9"/>
        <v>0</v>
      </c>
      <c r="G79" s="45">
        <f>SUMIF('COST REPORT'!$A$9:$A$998,'Project Budget Summary'!A79,'COST REPORT'!$G$9:$G$998)</f>
        <v>0</v>
      </c>
      <c r="H79" s="45">
        <f t="shared" si="10"/>
        <v>0</v>
      </c>
      <c r="I79" s="51">
        <f t="shared" si="11"/>
        <v>0</v>
      </c>
      <c r="J79" s="30" t="s">
        <v>1359</v>
      </c>
      <c r="K79" s="889"/>
      <c r="L79" s="30"/>
      <c r="M79" s="30"/>
      <c r="N79" s="30"/>
    </row>
    <row r="80" spans="1:14">
      <c r="A80" s="48">
        <f t="shared" si="12"/>
        <v>231</v>
      </c>
      <c r="B80" s="137" t="s">
        <v>1354</v>
      </c>
      <c r="C80" s="49">
        <v>0</v>
      </c>
      <c r="D80" s="199">
        <f>SUMIF('COST REPORT'!$A$9:$A$998,'Project Budget Summary'!A80,'COST REPORT'!$F$9:$F$998)-SUMIFS('COST REPORT'!$F$9:$F$998,'COST REPORT'!$A$9:$A$998,'Project Budget Summary'!A80,'COST REPORT'!$I$9:$I$998,"close")</f>
        <v>0</v>
      </c>
      <c r="E80" s="50">
        <f>SUMIF(INPUT!$I$231:$I$522,'Project Budget Summary'!A80,INPUT!$H$231:$H$522)+SUMIFS('COST REPORT'!$F$9:$F$998,'COST REPORT'!$A$9:$A$998,'Project Budget Summary'!A80,'COST REPORT'!$I$9:$I$998,"close")-SUMIFS('COST REPORT'!$F$9:$F$998,'COST REPORT'!$A$9:$A$998,'Project Budget Summary'!A80,'COST REPORT'!$I$9:$I$998,"close",'COST REPORT'!$J$9:$J$998,"x")</f>
        <v>0</v>
      </c>
      <c r="F80" s="50">
        <f t="shared" si="9"/>
        <v>0</v>
      </c>
      <c r="G80" s="45">
        <f>SUMIF('COST REPORT'!$A$9:$A$998,'Project Budget Summary'!A80,'COST REPORT'!$G$9:$G$998)</f>
        <v>0</v>
      </c>
      <c r="H80" s="45">
        <f t="shared" si="10"/>
        <v>0</v>
      </c>
      <c r="I80" s="51">
        <f t="shared" si="11"/>
        <v>0</v>
      </c>
      <c r="J80" s="30" t="s">
        <v>1359</v>
      </c>
      <c r="K80" s="889"/>
      <c r="L80" s="30"/>
      <c r="M80" s="30"/>
      <c r="N80" s="30"/>
    </row>
    <row r="81" spans="1:14">
      <c r="A81" s="48">
        <f t="shared" si="12"/>
        <v>232</v>
      </c>
      <c r="B81" s="137" t="s">
        <v>1354</v>
      </c>
      <c r="C81" s="49">
        <v>0</v>
      </c>
      <c r="D81" s="199">
        <f>SUMIF('COST REPORT'!$A$9:$A$998,'Project Budget Summary'!A81,'COST REPORT'!$F$9:$F$998)-SUMIFS('COST REPORT'!$F$9:$F$998,'COST REPORT'!$A$9:$A$998,'Project Budget Summary'!A81,'COST REPORT'!$I$9:$I$998,"close")</f>
        <v>0</v>
      </c>
      <c r="E81" s="50">
        <f>SUMIF(INPUT!$I$231:$I$522,'Project Budget Summary'!A81,INPUT!$H$231:$H$522)+SUMIFS('COST REPORT'!$F$9:$F$998,'COST REPORT'!$A$9:$A$998,'Project Budget Summary'!A81,'COST REPORT'!$I$9:$I$998,"close")-SUMIFS('COST REPORT'!$F$9:$F$998,'COST REPORT'!$A$9:$A$998,'Project Budget Summary'!A81,'COST REPORT'!$I$9:$I$998,"close",'COST REPORT'!$J$9:$J$998,"x")</f>
        <v>0</v>
      </c>
      <c r="F81" s="50">
        <f t="shared" si="9"/>
        <v>0</v>
      </c>
      <c r="G81" s="45">
        <f>SUMIF('COST REPORT'!$A$9:$A$998,'Project Budget Summary'!A81,'COST REPORT'!$G$9:$G$998)</f>
        <v>0</v>
      </c>
      <c r="H81" s="45">
        <f t="shared" si="10"/>
        <v>0</v>
      </c>
      <c r="I81" s="51">
        <f t="shared" si="11"/>
        <v>0</v>
      </c>
      <c r="J81" s="30" t="s">
        <v>1359</v>
      </c>
      <c r="K81" s="889"/>
      <c r="L81" s="30"/>
      <c r="M81" s="30"/>
      <c r="N81" s="30"/>
    </row>
    <row r="82" spans="1:14">
      <c r="A82" s="48">
        <f t="shared" si="12"/>
        <v>233</v>
      </c>
      <c r="B82" s="137" t="s">
        <v>1354</v>
      </c>
      <c r="C82" s="49">
        <v>0</v>
      </c>
      <c r="D82" s="199">
        <f>SUMIF('COST REPORT'!$A$9:$A$998,'Project Budget Summary'!A82,'COST REPORT'!$F$9:$F$998)-SUMIFS('COST REPORT'!$F$9:$F$998,'COST REPORT'!$A$9:$A$998,'Project Budget Summary'!A82,'COST REPORT'!$I$9:$I$998,"close")</f>
        <v>0</v>
      </c>
      <c r="E82" s="50">
        <f>SUMIF(INPUT!$I$231:$I$522,'Project Budget Summary'!A82,INPUT!$H$231:$H$522)+SUMIFS('COST REPORT'!$F$9:$F$998,'COST REPORT'!$A$9:$A$998,'Project Budget Summary'!A82,'COST REPORT'!$I$9:$I$998,"close")-SUMIFS('COST REPORT'!$F$9:$F$998,'COST REPORT'!$A$9:$A$998,'Project Budget Summary'!A82,'COST REPORT'!$I$9:$I$998,"close",'COST REPORT'!$J$9:$J$998,"x")</f>
        <v>0</v>
      </c>
      <c r="F82" s="50">
        <f t="shared" si="9"/>
        <v>0</v>
      </c>
      <c r="G82" s="45">
        <f>SUMIF('COST REPORT'!$A$9:$A$998,'Project Budget Summary'!A82,'COST REPORT'!$G$9:$G$998)</f>
        <v>0</v>
      </c>
      <c r="H82" s="45">
        <f t="shared" si="10"/>
        <v>0</v>
      </c>
      <c r="I82" s="51">
        <f t="shared" si="11"/>
        <v>0</v>
      </c>
      <c r="J82" s="30" t="s">
        <v>1359</v>
      </c>
      <c r="K82" s="889"/>
      <c r="L82" s="30"/>
      <c r="M82" s="30"/>
      <c r="N82" s="30"/>
    </row>
    <row r="83" spans="1:14">
      <c r="A83" s="48">
        <f t="shared" si="12"/>
        <v>234</v>
      </c>
      <c r="B83" s="137" t="s">
        <v>1354</v>
      </c>
      <c r="C83" s="49">
        <v>0</v>
      </c>
      <c r="D83" s="199">
        <f>SUMIF('COST REPORT'!$A$9:$A$998,'Project Budget Summary'!A83,'COST REPORT'!$F$9:$F$998)-SUMIFS('COST REPORT'!$F$9:$F$998,'COST REPORT'!$A$9:$A$998,'Project Budget Summary'!A83,'COST REPORT'!$I$9:$I$998,"close")</f>
        <v>0</v>
      </c>
      <c r="E83" s="50">
        <f>SUMIF(INPUT!$I$231:$I$522,'Project Budget Summary'!A83,INPUT!$H$231:$H$522)+SUMIFS('COST REPORT'!$F$9:$F$998,'COST REPORT'!$A$9:$A$998,'Project Budget Summary'!A83,'COST REPORT'!$I$9:$I$998,"close")-SUMIFS('COST REPORT'!$F$9:$F$998,'COST REPORT'!$A$9:$A$998,'Project Budget Summary'!A83,'COST REPORT'!$I$9:$I$998,"close",'COST REPORT'!$J$9:$J$998,"x")</f>
        <v>0</v>
      </c>
      <c r="F83" s="50">
        <f t="shared" si="9"/>
        <v>0</v>
      </c>
      <c r="G83" s="45">
        <f>SUMIF('COST REPORT'!$A$9:$A$998,'Project Budget Summary'!A83,'COST REPORT'!$G$9:$G$998)</f>
        <v>0</v>
      </c>
      <c r="H83" s="45">
        <f t="shared" si="10"/>
        <v>0</v>
      </c>
      <c r="I83" s="51">
        <f t="shared" si="11"/>
        <v>0</v>
      </c>
      <c r="J83" s="30" t="s">
        <v>1359</v>
      </c>
      <c r="K83" s="889"/>
      <c r="L83" s="30"/>
      <c r="M83" s="30"/>
      <c r="N83" s="30"/>
    </row>
    <row r="84" spans="1:14">
      <c r="A84" s="48">
        <f t="shared" si="12"/>
        <v>235</v>
      </c>
      <c r="B84" s="137" t="s">
        <v>1354</v>
      </c>
      <c r="C84" s="49">
        <v>0</v>
      </c>
      <c r="D84" s="199">
        <f>SUMIF('COST REPORT'!$A$9:$A$998,'Project Budget Summary'!A84,'COST REPORT'!$F$9:$F$998)-SUMIFS('COST REPORT'!$F$9:$F$998,'COST REPORT'!$A$9:$A$998,'Project Budget Summary'!A84,'COST REPORT'!$I$9:$I$998,"close")</f>
        <v>0</v>
      </c>
      <c r="E84" s="50">
        <f>SUMIF(INPUT!$I$231:$I$522,'Project Budget Summary'!A84,INPUT!$H$231:$H$522)+SUMIFS('COST REPORT'!$F$9:$F$998,'COST REPORT'!$A$9:$A$998,'Project Budget Summary'!A84,'COST REPORT'!$I$9:$I$998,"close")-SUMIFS('COST REPORT'!$F$9:$F$998,'COST REPORT'!$A$9:$A$998,'Project Budget Summary'!A84,'COST REPORT'!$I$9:$I$998,"close",'COST REPORT'!$J$9:$J$998,"x")</f>
        <v>0</v>
      </c>
      <c r="F84" s="50">
        <f t="shared" si="9"/>
        <v>0</v>
      </c>
      <c r="G84" s="45">
        <f>SUMIF('COST REPORT'!$A$9:$A$998,'Project Budget Summary'!A84,'COST REPORT'!$G$9:$G$998)</f>
        <v>0</v>
      </c>
      <c r="H84" s="45">
        <f t="shared" si="10"/>
        <v>0</v>
      </c>
      <c r="I84" s="51">
        <f t="shared" si="11"/>
        <v>0</v>
      </c>
      <c r="J84" s="30" t="s">
        <v>1359</v>
      </c>
      <c r="K84" s="889"/>
      <c r="L84" s="30"/>
      <c r="M84" s="30"/>
      <c r="N84" s="30"/>
    </row>
    <row r="85" spans="1:14">
      <c r="A85" s="48">
        <f t="shared" si="12"/>
        <v>236</v>
      </c>
      <c r="B85" s="137" t="s">
        <v>1354</v>
      </c>
      <c r="C85" s="49">
        <v>0</v>
      </c>
      <c r="D85" s="199">
        <f>SUMIF('COST REPORT'!$A$9:$A$998,'Project Budget Summary'!A85,'COST REPORT'!$F$9:$F$998)-SUMIFS('COST REPORT'!$F$9:$F$998,'COST REPORT'!$A$9:$A$998,'Project Budget Summary'!A85,'COST REPORT'!$I$9:$I$998,"close")</f>
        <v>0</v>
      </c>
      <c r="E85" s="50">
        <f>SUMIF(INPUT!$I$231:$I$522,'Project Budget Summary'!A85,INPUT!$H$231:$H$522)+SUMIFS('COST REPORT'!$F$9:$F$998,'COST REPORT'!$A$9:$A$998,'Project Budget Summary'!A85,'COST REPORT'!$I$9:$I$998,"close")-SUMIFS('COST REPORT'!$F$9:$F$998,'COST REPORT'!$A$9:$A$998,'Project Budget Summary'!A85,'COST REPORT'!$I$9:$I$998,"close",'COST REPORT'!$J$9:$J$998,"x")</f>
        <v>0</v>
      </c>
      <c r="F85" s="50">
        <f t="shared" si="9"/>
        <v>0</v>
      </c>
      <c r="G85" s="45">
        <f>SUMIF('COST REPORT'!$A$9:$A$998,'Project Budget Summary'!A85,'COST REPORT'!$G$9:$G$998)</f>
        <v>0</v>
      </c>
      <c r="H85" s="45">
        <f t="shared" si="10"/>
        <v>0</v>
      </c>
      <c r="I85" s="51">
        <f t="shared" si="11"/>
        <v>0</v>
      </c>
      <c r="J85" s="30" t="s">
        <v>1359</v>
      </c>
      <c r="K85" s="889"/>
      <c r="L85" s="30"/>
      <c r="M85" s="30"/>
      <c r="N85" s="30"/>
    </row>
    <row r="86" spans="1:14">
      <c r="A86" s="48">
        <f t="shared" si="12"/>
        <v>237</v>
      </c>
      <c r="B86" s="137" t="s">
        <v>1354</v>
      </c>
      <c r="C86" s="49">
        <v>0</v>
      </c>
      <c r="D86" s="199">
        <f>SUMIF('COST REPORT'!$A$9:$A$998,'Project Budget Summary'!A86,'COST REPORT'!$F$9:$F$998)-SUMIFS('COST REPORT'!$F$9:$F$998,'COST REPORT'!$A$9:$A$998,'Project Budget Summary'!A86,'COST REPORT'!$I$9:$I$998,"close")</f>
        <v>0</v>
      </c>
      <c r="E86" s="50">
        <f>SUMIF(INPUT!$I$231:$I$522,'Project Budget Summary'!A86,INPUT!$H$231:$H$522)+SUMIFS('COST REPORT'!$F$9:$F$998,'COST REPORT'!$A$9:$A$998,'Project Budget Summary'!A86,'COST REPORT'!$I$9:$I$998,"close")-SUMIFS('COST REPORT'!$F$9:$F$998,'COST REPORT'!$A$9:$A$998,'Project Budget Summary'!A86,'COST REPORT'!$I$9:$I$998,"close",'COST REPORT'!$J$9:$J$998,"x")</f>
        <v>0</v>
      </c>
      <c r="F86" s="50">
        <f t="shared" si="9"/>
        <v>0</v>
      </c>
      <c r="G86" s="45">
        <f>SUMIF('COST REPORT'!$A$9:$A$998,'Project Budget Summary'!A86,'COST REPORT'!$G$9:$G$998)</f>
        <v>0</v>
      </c>
      <c r="H86" s="45">
        <f t="shared" si="10"/>
        <v>0</v>
      </c>
      <c r="I86" s="51">
        <f t="shared" si="11"/>
        <v>0</v>
      </c>
      <c r="J86" s="30" t="s">
        <v>1359</v>
      </c>
      <c r="K86" s="889"/>
      <c r="L86" s="30"/>
      <c r="M86" s="30"/>
      <c r="N86" s="30"/>
    </row>
    <row r="87" spans="1:14">
      <c r="A87" s="48">
        <f t="shared" si="12"/>
        <v>238</v>
      </c>
      <c r="B87" s="137" t="s">
        <v>1354</v>
      </c>
      <c r="C87" s="49">
        <v>0</v>
      </c>
      <c r="D87" s="199">
        <f>SUMIF('COST REPORT'!$A$9:$A$998,'Project Budget Summary'!A87,'COST REPORT'!$F$9:$F$998)-SUMIFS('COST REPORT'!$F$9:$F$998,'COST REPORT'!$A$9:$A$998,'Project Budget Summary'!A87,'COST REPORT'!$I$9:$I$998,"close")</f>
        <v>0</v>
      </c>
      <c r="E87" s="50">
        <f>SUMIF(INPUT!$I$231:$I$522,'Project Budget Summary'!A87,INPUT!$H$231:$H$522)+SUMIFS('COST REPORT'!$F$9:$F$998,'COST REPORT'!$A$9:$A$998,'Project Budget Summary'!A87,'COST REPORT'!$I$9:$I$998,"close")-SUMIFS('COST REPORT'!$F$9:$F$998,'COST REPORT'!$A$9:$A$998,'Project Budget Summary'!A87,'COST REPORT'!$I$9:$I$998,"close",'COST REPORT'!$J$9:$J$998,"x")</f>
        <v>0</v>
      </c>
      <c r="F87" s="50">
        <f t="shared" si="9"/>
        <v>0</v>
      </c>
      <c r="G87" s="45">
        <f>SUMIF('COST REPORT'!$A$9:$A$998,'Project Budget Summary'!A87,'COST REPORT'!$G$9:$G$998)</f>
        <v>0</v>
      </c>
      <c r="H87" s="45">
        <f t="shared" si="10"/>
        <v>0</v>
      </c>
      <c r="I87" s="51">
        <f t="shared" si="11"/>
        <v>0</v>
      </c>
      <c r="J87" s="30" t="s">
        <v>1359</v>
      </c>
      <c r="K87" s="889"/>
      <c r="L87" s="30"/>
      <c r="M87" s="30"/>
      <c r="N87" s="30"/>
    </row>
    <row r="88" spans="1:14">
      <c r="A88" s="48">
        <f t="shared" si="12"/>
        <v>239</v>
      </c>
      <c r="B88" s="137" t="s">
        <v>1354</v>
      </c>
      <c r="C88" s="49">
        <v>0</v>
      </c>
      <c r="D88" s="199">
        <f>SUMIF('COST REPORT'!$A$9:$A$998,'Project Budget Summary'!A88,'COST REPORT'!$F$9:$F$998)-SUMIFS('COST REPORT'!$F$9:$F$998,'COST REPORT'!$A$9:$A$998,'Project Budget Summary'!A88,'COST REPORT'!$I$9:$I$998,"close")</f>
        <v>0</v>
      </c>
      <c r="E88" s="50">
        <f>SUMIF(INPUT!$I$231:$I$522,'Project Budget Summary'!A88,INPUT!$H$231:$H$522)+SUMIFS('COST REPORT'!$F$9:$F$998,'COST REPORT'!$A$9:$A$998,'Project Budget Summary'!A88,'COST REPORT'!$I$9:$I$998,"close")-SUMIFS('COST REPORT'!$F$9:$F$998,'COST REPORT'!$A$9:$A$998,'Project Budget Summary'!A88,'COST REPORT'!$I$9:$I$998,"close",'COST REPORT'!$J$9:$J$998,"x")</f>
        <v>0</v>
      </c>
      <c r="F88" s="50">
        <f t="shared" si="9"/>
        <v>0</v>
      </c>
      <c r="G88" s="45">
        <f>SUMIF('COST REPORT'!$A$9:$A$998,'Project Budget Summary'!A88,'COST REPORT'!$G$9:$G$998)</f>
        <v>0</v>
      </c>
      <c r="H88" s="45">
        <f t="shared" si="10"/>
        <v>0</v>
      </c>
      <c r="I88" s="51">
        <f t="shared" si="11"/>
        <v>0</v>
      </c>
      <c r="J88" s="30" t="s">
        <v>1359</v>
      </c>
      <c r="K88" s="889"/>
      <c r="L88" s="30"/>
      <c r="M88" s="30"/>
      <c r="N88" s="30"/>
    </row>
    <row r="89" spans="1:14">
      <c r="A89" s="48">
        <f t="shared" si="12"/>
        <v>240</v>
      </c>
      <c r="B89" s="137" t="s">
        <v>1354</v>
      </c>
      <c r="C89" s="49">
        <v>0</v>
      </c>
      <c r="D89" s="199">
        <f>SUMIF('COST REPORT'!$A$9:$A$998,'Project Budget Summary'!A89,'COST REPORT'!$F$9:$F$998)-SUMIFS('COST REPORT'!$F$9:$F$998,'COST REPORT'!$A$9:$A$998,'Project Budget Summary'!A89,'COST REPORT'!$I$9:$I$998,"close")</f>
        <v>0</v>
      </c>
      <c r="E89" s="50">
        <f>SUMIF(INPUT!$I$231:$I$522,'Project Budget Summary'!A89,INPUT!$H$231:$H$522)+SUMIFS('COST REPORT'!$F$9:$F$998,'COST REPORT'!$A$9:$A$998,'Project Budget Summary'!A89,'COST REPORT'!$I$9:$I$998,"close")-SUMIFS('COST REPORT'!$F$9:$F$998,'COST REPORT'!$A$9:$A$998,'Project Budget Summary'!A89,'COST REPORT'!$I$9:$I$998,"close",'COST REPORT'!$J$9:$J$998,"x")</f>
        <v>0</v>
      </c>
      <c r="F89" s="50">
        <f t="shared" si="9"/>
        <v>0</v>
      </c>
      <c r="G89" s="45">
        <f>SUMIF('COST REPORT'!$A$9:$A$998,'Project Budget Summary'!A89,'COST REPORT'!$G$9:$G$998)</f>
        <v>0</v>
      </c>
      <c r="H89" s="45">
        <f t="shared" si="10"/>
        <v>0</v>
      </c>
      <c r="I89" s="51">
        <f t="shared" si="11"/>
        <v>0</v>
      </c>
      <c r="J89" s="30" t="s">
        <v>1359</v>
      </c>
      <c r="K89" s="889"/>
      <c r="L89" s="30"/>
      <c r="M89" s="30"/>
      <c r="N89" s="30"/>
    </row>
    <row r="90" spans="1:14">
      <c r="A90" s="48">
        <f t="shared" si="12"/>
        <v>241</v>
      </c>
      <c r="B90" s="137" t="s">
        <v>1354</v>
      </c>
      <c r="C90" s="49">
        <v>0</v>
      </c>
      <c r="D90" s="199">
        <f>SUMIF('COST REPORT'!$A$9:$A$998,'Project Budget Summary'!A90,'COST REPORT'!$F$9:$F$998)-SUMIFS('COST REPORT'!$F$9:$F$998,'COST REPORT'!$A$9:$A$998,'Project Budget Summary'!A90,'COST REPORT'!$I$9:$I$998,"close")</f>
        <v>0</v>
      </c>
      <c r="E90" s="50">
        <f>SUMIF(INPUT!$I$231:$I$522,'Project Budget Summary'!A90,INPUT!$H$231:$H$522)+SUMIFS('COST REPORT'!$F$9:$F$998,'COST REPORT'!$A$9:$A$998,'Project Budget Summary'!A90,'COST REPORT'!$I$9:$I$998,"close")-SUMIFS('COST REPORT'!$F$9:$F$998,'COST REPORT'!$A$9:$A$998,'Project Budget Summary'!A90,'COST REPORT'!$I$9:$I$998,"close",'COST REPORT'!$J$9:$J$998,"x")</f>
        <v>0</v>
      </c>
      <c r="F90" s="50">
        <f t="shared" si="9"/>
        <v>0</v>
      </c>
      <c r="G90" s="45">
        <f>SUMIF('COST REPORT'!$A$9:$A$998,'Project Budget Summary'!A90,'COST REPORT'!$G$9:$G$998)</f>
        <v>0</v>
      </c>
      <c r="H90" s="45">
        <f t="shared" si="10"/>
        <v>0</v>
      </c>
      <c r="I90" s="51">
        <f t="shared" si="11"/>
        <v>0</v>
      </c>
      <c r="J90" s="30" t="s">
        <v>1359</v>
      </c>
      <c r="K90" s="889"/>
      <c r="L90" s="30"/>
      <c r="M90" s="30"/>
      <c r="N90" s="30"/>
    </row>
    <row r="91" spans="1:14">
      <c r="A91" s="48">
        <f t="shared" si="12"/>
        <v>242</v>
      </c>
      <c r="B91" s="137" t="s">
        <v>1354</v>
      </c>
      <c r="C91" s="49">
        <v>0</v>
      </c>
      <c r="D91" s="199">
        <f>SUMIF('COST REPORT'!$A$9:$A$998,'Project Budget Summary'!A91,'COST REPORT'!$F$9:$F$998)-SUMIFS('COST REPORT'!$F$9:$F$998,'COST REPORT'!$A$9:$A$998,'Project Budget Summary'!A91,'COST REPORT'!$I$9:$I$998,"close")</f>
        <v>0</v>
      </c>
      <c r="E91" s="50">
        <f>SUMIF(INPUT!$I$231:$I$522,'Project Budget Summary'!A91,INPUT!$H$231:$H$522)+SUMIFS('COST REPORT'!$F$9:$F$998,'COST REPORT'!$A$9:$A$998,'Project Budget Summary'!A91,'COST REPORT'!$I$9:$I$998,"close")-SUMIFS('COST REPORT'!$F$9:$F$998,'COST REPORT'!$A$9:$A$998,'Project Budget Summary'!A91,'COST REPORT'!$I$9:$I$998,"close",'COST REPORT'!$J$9:$J$998,"x")</f>
        <v>0</v>
      </c>
      <c r="F91" s="50">
        <f t="shared" si="9"/>
        <v>0</v>
      </c>
      <c r="G91" s="45">
        <f>SUMIF('COST REPORT'!$A$9:$A$998,'Project Budget Summary'!A91,'COST REPORT'!$G$9:$G$998)</f>
        <v>0</v>
      </c>
      <c r="H91" s="45">
        <f t="shared" si="10"/>
        <v>0</v>
      </c>
      <c r="I91" s="51">
        <f t="shared" si="11"/>
        <v>0</v>
      </c>
      <c r="J91" s="30" t="s">
        <v>1359</v>
      </c>
      <c r="K91" s="889"/>
      <c r="L91" s="30"/>
      <c r="M91" s="30"/>
      <c r="N91" s="30"/>
    </row>
    <row r="92" spans="1:14">
      <c r="A92" s="48">
        <f t="shared" si="12"/>
        <v>243</v>
      </c>
      <c r="B92" s="137" t="s">
        <v>1354</v>
      </c>
      <c r="C92" s="49">
        <v>0</v>
      </c>
      <c r="D92" s="199">
        <f>SUMIF('COST REPORT'!$A$9:$A$998,'Project Budget Summary'!A92,'COST REPORT'!$F$9:$F$998)-SUMIFS('COST REPORT'!$F$9:$F$998,'COST REPORT'!$A$9:$A$998,'Project Budget Summary'!A92,'COST REPORT'!$I$9:$I$998,"close")</f>
        <v>0</v>
      </c>
      <c r="E92" s="50">
        <f>SUMIF(INPUT!$I$231:$I$522,'Project Budget Summary'!A92,INPUT!$H$231:$H$522)+SUMIFS('COST REPORT'!$F$9:$F$998,'COST REPORT'!$A$9:$A$998,'Project Budget Summary'!A92,'COST REPORT'!$I$9:$I$998,"close")-SUMIFS('COST REPORT'!$F$9:$F$998,'COST REPORT'!$A$9:$A$998,'Project Budget Summary'!A92,'COST REPORT'!$I$9:$I$998,"close",'COST REPORT'!$J$9:$J$998,"x")</f>
        <v>0</v>
      </c>
      <c r="F92" s="50">
        <f t="shared" si="9"/>
        <v>0</v>
      </c>
      <c r="G92" s="45">
        <f>SUMIF('COST REPORT'!$A$9:$A$998,'Project Budget Summary'!A92,'COST REPORT'!$G$9:$G$998)</f>
        <v>0</v>
      </c>
      <c r="H92" s="45">
        <f t="shared" si="10"/>
        <v>0</v>
      </c>
      <c r="I92" s="51">
        <f t="shared" si="11"/>
        <v>0</v>
      </c>
      <c r="J92" s="30" t="s">
        <v>1359</v>
      </c>
      <c r="K92" s="889"/>
      <c r="L92" s="30"/>
      <c r="M92" s="30"/>
      <c r="N92" s="30"/>
    </row>
    <row r="93" spans="1:14">
      <c r="A93" s="48">
        <f t="shared" si="12"/>
        <v>244</v>
      </c>
      <c r="B93" s="137" t="s">
        <v>1354</v>
      </c>
      <c r="C93" s="49">
        <v>0</v>
      </c>
      <c r="D93" s="199">
        <f>SUMIF('COST REPORT'!$A$9:$A$998,'Project Budget Summary'!A93,'COST REPORT'!$F$9:$F$998)-SUMIFS('COST REPORT'!$F$9:$F$998,'COST REPORT'!$A$9:$A$998,'Project Budget Summary'!A93,'COST REPORT'!$I$9:$I$998,"close")</f>
        <v>0</v>
      </c>
      <c r="E93" s="50">
        <f>SUMIF(INPUT!$I$231:$I$522,'Project Budget Summary'!A93,INPUT!$H$231:$H$522)+SUMIFS('COST REPORT'!$F$9:$F$998,'COST REPORT'!$A$9:$A$998,'Project Budget Summary'!A93,'COST REPORT'!$I$9:$I$998,"close")-SUMIFS('COST REPORT'!$F$9:$F$998,'COST REPORT'!$A$9:$A$998,'Project Budget Summary'!A93,'COST REPORT'!$I$9:$I$998,"close",'COST REPORT'!$J$9:$J$998,"x")</f>
        <v>0</v>
      </c>
      <c r="F93" s="50">
        <f t="shared" si="9"/>
        <v>0</v>
      </c>
      <c r="G93" s="45">
        <f>SUMIF('COST REPORT'!$A$9:$A$998,'Project Budget Summary'!A93,'COST REPORT'!$G$9:$G$998)</f>
        <v>0</v>
      </c>
      <c r="H93" s="45">
        <f t="shared" si="10"/>
        <v>0</v>
      </c>
      <c r="I93" s="51">
        <f t="shared" si="11"/>
        <v>0</v>
      </c>
      <c r="J93" s="30" t="s">
        <v>1359</v>
      </c>
      <c r="K93" s="889"/>
      <c r="L93" s="30"/>
      <c r="M93" s="30"/>
      <c r="N93" s="30"/>
    </row>
    <row r="94" spans="1:14">
      <c r="A94" s="48">
        <f t="shared" si="12"/>
        <v>245</v>
      </c>
      <c r="B94" s="137" t="s">
        <v>1354</v>
      </c>
      <c r="C94" s="49">
        <v>0</v>
      </c>
      <c r="D94" s="199">
        <f>SUMIF('COST REPORT'!$A$9:$A$998,'Project Budget Summary'!A94,'COST REPORT'!$F$9:$F$998)-SUMIFS('COST REPORT'!$F$9:$F$998,'COST REPORT'!$A$9:$A$998,'Project Budget Summary'!A94,'COST REPORT'!$I$9:$I$998,"close")</f>
        <v>0</v>
      </c>
      <c r="E94" s="50">
        <f>SUMIF(INPUT!$I$231:$I$522,'Project Budget Summary'!A94,INPUT!$H$231:$H$522)+SUMIFS('COST REPORT'!$F$9:$F$998,'COST REPORT'!$A$9:$A$998,'Project Budget Summary'!A94,'COST REPORT'!$I$9:$I$998,"close")-SUMIFS('COST REPORT'!$F$9:$F$998,'COST REPORT'!$A$9:$A$998,'Project Budget Summary'!A94,'COST REPORT'!$I$9:$I$998,"close",'COST REPORT'!$J$9:$J$998,"x")</f>
        <v>0</v>
      </c>
      <c r="F94" s="50">
        <f t="shared" ref="F94:F99" si="13">D94+E94</f>
        <v>0</v>
      </c>
      <c r="G94" s="45">
        <f>SUMIF('COST REPORT'!$A$9:$A$998,'Project Budget Summary'!A94,'COST REPORT'!$G$9:$G$998)</f>
        <v>0</v>
      </c>
      <c r="H94" s="45">
        <f t="shared" ref="H94:H99" si="14">F94-G94</f>
        <v>0</v>
      </c>
      <c r="I94" s="51">
        <f t="shared" ref="I94:I99" si="15">C94-F94</f>
        <v>0</v>
      </c>
      <c r="J94" s="30" t="s">
        <v>1359</v>
      </c>
      <c r="K94" s="889"/>
      <c r="L94" s="30"/>
      <c r="M94" s="30"/>
      <c r="N94" s="30"/>
    </row>
    <row r="95" spans="1:14">
      <c r="A95" s="48">
        <f t="shared" si="12"/>
        <v>246</v>
      </c>
      <c r="B95" s="137" t="s">
        <v>1354</v>
      </c>
      <c r="C95" s="49">
        <v>0</v>
      </c>
      <c r="D95" s="199">
        <f>SUMIF('COST REPORT'!$A$9:$A$998,'Project Budget Summary'!A95,'COST REPORT'!$F$9:$F$998)-SUMIFS('COST REPORT'!$F$9:$F$998,'COST REPORT'!$A$9:$A$998,'Project Budget Summary'!A95,'COST REPORT'!$I$9:$I$998,"close")</f>
        <v>0</v>
      </c>
      <c r="E95" s="50">
        <f>SUMIF(INPUT!$I$231:$I$522,'Project Budget Summary'!A95,INPUT!$H$231:$H$522)+SUMIFS('COST REPORT'!$F$9:$F$998,'COST REPORT'!$A$9:$A$998,'Project Budget Summary'!A95,'COST REPORT'!$I$9:$I$998,"close")-SUMIFS('COST REPORT'!$F$9:$F$998,'COST REPORT'!$A$9:$A$998,'Project Budget Summary'!A95,'COST REPORT'!$I$9:$I$998,"close",'COST REPORT'!$J$9:$J$998,"x")</f>
        <v>0</v>
      </c>
      <c r="F95" s="50">
        <f t="shared" si="13"/>
        <v>0</v>
      </c>
      <c r="G95" s="45">
        <f>SUMIF('COST REPORT'!$A$9:$A$998,'Project Budget Summary'!A95,'COST REPORT'!$G$9:$G$998)</f>
        <v>0</v>
      </c>
      <c r="H95" s="45">
        <f t="shared" si="14"/>
        <v>0</v>
      </c>
      <c r="I95" s="51">
        <f t="shared" si="15"/>
        <v>0</v>
      </c>
      <c r="J95" s="30" t="s">
        <v>1359</v>
      </c>
      <c r="K95" s="889"/>
      <c r="L95" s="30"/>
      <c r="M95" s="30"/>
      <c r="N95" s="30"/>
    </row>
    <row r="96" spans="1:14">
      <c r="A96" s="48">
        <f t="shared" si="12"/>
        <v>247</v>
      </c>
      <c r="B96" s="137" t="s">
        <v>1354</v>
      </c>
      <c r="C96" s="49">
        <v>0</v>
      </c>
      <c r="D96" s="199">
        <f>SUMIF('COST REPORT'!$A$9:$A$998,'Project Budget Summary'!A96,'COST REPORT'!$F$9:$F$998)-SUMIFS('COST REPORT'!$F$9:$F$998,'COST REPORT'!$A$9:$A$998,'Project Budget Summary'!A96,'COST REPORT'!$I$9:$I$998,"close")</f>
        <v>0</v>
      </c>
      <c r="E96" s="50">
        <f>SUMIF(INPUT!$I$231:$I$522,'Project Budget Summary'!A96,INPUT!$H$231:$H$522)+SUMIFS('COST REPORT'!$F$9:$F$998,'COST REPORT'!$A$9:$A$998,'Project Budget Summary'!A96,'COST REPORT'!$I$9:$I$998,"close")-SUMIFS('COST REPORT'!$F$9:$F$998,'COST REPORT'!$A$9:$A$998,'Project Budget Summary'!A96,'COST REPORT'!$I$9:$I$998,"close",'COST REPORT'!$J$9:$J$998,"x")</f>
        <v>0</v>
      </c>
      <c r="F96" s="50">
        <f t="shared" si="13"/>
        <v>0</v>
      </c>
      <c r="G96" s="45">
        <f>SUMIF('COST REPORT'!$A$9:$A$998,'Project Budget Summary'!A96,'COST REPORT'!$G$9:$G$998)</f>
        <v>0</v>
      </c>
      <c r="H96" s="45">
        <f t="shared" si="14"/>
        <v>0</v>
      </c>
      <c r="I96" s="51">
        <f t="shared" si="15"/>
        <v>0</v>
      </c>
      <c r="J96" s="30" t="s">
        <v>1359</v>
      </c>
      <c r="K96" s="889"/>
      <c r="L96" s="30"/>
      <c r="M96" s="30"/>
      <c r="N96" s="30"/>
    </row>
    <row r="97" spans="1:21">
      <c r="A97" s="48">
        <f t="shared" si="12"/>
        <v>248</v>
      </c>
      <c r="B97" s="137" t="s">
        <v>1354</v>
      </c>
      <c r="C97" s="49">
        <v>0</v>
      </c>
      <c r="D97" s="199">
        <f>SUMIF('COST REPORT'!$A$9:$A$998,'Project Budget Summary'!A97,'COST REPORT'!$F$9:$F$998)-SUMIFS('COST REPORT'!$F$9:$F$998,'COST REPORT'!$A$9:$A$998,'Project Budget Summary'!A97,'COST REPORT'!$I$9:$I$998,"close")</f>
        <v>0</v>
      </c>
      <c r="E97" s="50">
        <f>SUMIF(INPUT!$I$231:$I$522,'Project Budget Summary'!A97,INPUT!$H$231:$H$522)+SUMIFS('COST REPORT'!$F$9:$F$998,'COST REPORT'!$A$9:$A$998,'Project Budget Summary'!A97,'COST REPORT'!$I$9:$I$998,"close")-SUMIFS('COST REPORT'!$F$9:$F$998,'COST REPORT'!$A$9:$A$998,'Project Budget Summary'!A97,'COST REPORT'!$I$9:$I$998,"close",'COST REPORT'!$J$9:$J$998,"x")</f>
        <v>0</v>
      </c>
      <c r="F97" s="50">
        <f t="shared" si="13"/>
        <v>0</v>
      </c>
      <c r="G97" s="45">
        <f>SUMIF('COST REPORT'!$A$9:$A$998,'Project Budget Summary'!A97,'COST REPORT'!$G$9:$G$998)</f>
        <v>0</v>
      </c>
      <c r="H97" s="45">
        <f t="shared" si="14"/>
        <v>0</v>
      </c>
      <c r="I97" s="51">
        <f t="shared" si="15"/>
        <v>0</v>
      </c>
      <c r="J97" s="30" t="s">
        <v>1359</v>
      </c>
      <c r="K97" s="889"/>
      <c r="L97" s="30"/>
      <c r="M97" s="30"/>
      <c r="N97" s="30"/>
    </row>
    <row r="98" spans="1:21">
      <c r="A98" s="48">
        <f t="shared" si="12"/>
        <v>249</v>
      </c>
      <c r="B98" s="137" t="s">
        <v>1354</v>
      </c>
      <c r="C98" s="49">
        <v>0</v>
      </c>
      <c r="D98" s="199">
        <f>SUMIF('COST REPORT'!$A$9:$A$998,'Project Budget Summary'!A98,'COST REPORT'!$F$9:$F$998)-SUMIFS('COST REPORT'!$F$9:$F$998,'COST REPORT'!$A$9:$A$998,'Project Budget Summary'!A98,'COST REPORT'!$I$9:$I$998,"close")</f>
        <v>0</v>
      </c>
      <c r="E98" s="50">
        <f>SUMIF(INPUT!$I$231:$I$522,'Project Budget Summary'!A98,INPUT!$H$231:$H$522)+SUMIFS('COST REPORT'!$F$9:$F$998,'COST REPORT'!$A$9:$A$998,'Project Budget Summary'!A98,'COST REPORT'!$I$9:$I$998,"close")-SUMIFS('COST REPORT'!$F$9:$F$998,'COST REPORT'!$A$9:$A$998,'Project Budget Summary'!A98,'COST REPORT'!$I$9:$I$998,"close",'COST REPORT'!$J$9:$J$998,"x")</f>
        <v>0</v>
      </c>
      <c r="F98" s="50">
        <f t="shared" si="13"/>
        <v>0</v>
      </c>
      <c r="G98" s="45">
        <f>SUMIF('COST REPORT'!$A$9:$A$998,'Project Budget Summary'!A98,'COST REPORT'!$G$9:$G$998)</f>
        <v>0</v>
      </c>
      <c r="H98" s="45">
        <f t="shared" si="14"/>
        <v>0</v>
      </c>
      <c r="I98" s="51">
        <f t="shared" si="15"/>
        <v>0</v>
      </c>
      <c r="J98" s="30" t="s">
        <v>1359</v>
      </c>
      <c r="K98" s="889"/>
      <c r="L98" s="30"/>
      <c r="M98" s="30"/>
      <c r="N98" s="30"/>
    </row>
    <row r="99" spans="1:21">
      <c r="A99" s="48">
        <f t="shared" si="12"/>
        <v>250</v>
      </c>
      <c r="B99" s="1132" t="s">
        <v>1385</v>
      </c>
      <c r="C99" s="49">
        <v>0</v>
      </c>
      <c r="D99" s="199">
        <f>SUMIF('COST REPORT'!$A$9:$A$998,'Project Budget Summary'!A99,'COST REPORT'!$F$9:$F$998)-SUMIFS('COST REPORT'!$F$9:$F$998,'COST REPORT'!$A$9:$A$998,'Project Budget Summary'!A99,'COST REPORT'!$I$9:$I$998,"close")</f>
        <v>0</v>
      </c>
      <c r="E99" s="50">
        <f>SUMIF(INPUT!$I$231:$I$522,'Project Budget Summary'!A99,INPUT!$H$231:$H$522)+SUMIFS('COST REPORT'!$F$9:$F$998,'COST REPORT'!$A$9:$A$998,'Project Budget Summary'!A99,'COST REPORT'!$I$9:$I$998,"close")-SUMIFS('COST REPORT'!$F$9:$F$998,'COST REPORT'!$A$9:$A$998,'Project Budget Summary'!A99,'COST REPORT'!$I$9:$I$998,"close",'COST REPORT'!$J$9:$J$998,"x")</f>
        <v>0</v>
      </c>
      <c r="F99" s="50">
        <f t="shared" si="13"/>
        <v>0</v>
      </c>
      <c r="G99" s="45">
        <f>SUMIF('COST REPORT'!$A$9:$A$998,'Project Budget Summary'!A99,'COST REPORT'!$G$9:$G$998)</f>
        <v>0</v>
      </c>
      <c r="H99" s="45">
        <f t="shared" si="14"/>
        <v>0</v>
      </c>
      <c r="I99" s="51">
        <f t="shared" si="15"/>
        <v>0</v>
      </c>
      <c r="J99" s="30" t="s">
        <v>1359</v>
      </c>
      <c r="K99" s="889"/>
      <c r="L99" s="30"/>
      <c r="M99" s="30"/>
      <c r="N99" s="30"/>
    </row>
    <row r="100" spans="1:21" ht="13.5" thickBot="1">
      <c r="A100" s="54" t="s">
        <v>1386</v>
      </c>
      <c r="B100" s="55"/>
      <c r="C100" s="56">
        <f>SUM(C49:C99)</f>
        <v>0</v>
      </c>
      <c r="D100" s="56">
        <f t="shared" ref="D100:I100" si="16">SUM(D49:D99)</f>
        <v>0</v>
      </c>
      <c r="E100" s="56">
        <f t="shared" si="16"/>
        <v>0</v>
      </c>
      <c r="F100" s="56">
        <f t="shared" si="16"/>
        <v>0</v>
      </c>
      <c r="G100" s="56">
        <f t="shared" si="16"/>
        <v>0</v>
      </c>
      <c r="H100" s="56">
        <f t="shared" si="16"/>
        <v>0</v>
      </c>
      <c r="I100" s="56">
        <f t="shared" si="16"/>
        <v>0</v>
      </c>
      <c r="J100" s="30"/>
      <c r="K100" s="30"/>
      <c r="L100" s="30"/>
      <c r="M100" s="30"/>
      <c r="N100" s="30"/>
    </row>
    <row r="101" spans="1:21" s="28" customFormat="1">
      <c r="A101" s="243"/>
      <c r="B101" s="243"/>
      <c r="C101" s="286"/>
      <c r="D101" s="286"/>
      <c r="E101" s="287"/>
      <c r="F101" s="287"/>
      <c r="G101" s="286"/>
      <c r="H101" s="286"/>
      <c r="I101" s="286"/>
      <c r="J101" s="30"/>
      <c r="K101" s="30"/>
      <c r="L101" s="30"/>
      <c r="M101" s="30"/>
      <c r="N101" s="30"/>
      <c r="O101" s="80"/>
      <c r="P101" s="80"/>
      <c r="Q101" s="80"/>
      <c r="R101" s="80"/>
      <c r="S101" s="80"/>
      <c r="T101" s="80"/>
      <c r="U101" s="80"/>
    </row>
    <row r="102" spans="1:21" s="28" customFormat="1">
      <c r="A102" s="58" t="s">
        <v>1387</v>
      </c>
      <c r="B102" s="39"/>
      <c r="C102" s="40"/>
      <c r="D102" s="40"/>
      <c r="E102" s="59"/>
      <c r="F102" s="59"/>
      <c r="G102" s="40"/>
      <c r="H102" s="40"/>
      <c r="I102" s="60"/>
      <c r="J102" s="30"/>
      <c r="K102" s="30"/>
      <c r="L102" s="30"/>
      <c r="M102" s="30"/>
      <c r="N102" s="30"/>
      <c r="O102" s="80"/>
      <c r="P102" s="80"/>
      <c r="Q102" s="80"/>
      <c r="R102" s="80"/>
      <c r="S102" s="80"/>
      <c r="T102" s="80"/>
      <c r="U102" s="80"/>
    </row>
    <row r="103" spans="1:21" s="28" customFormat="1">
      <c r="A103" s="48">
        <v>300</v>
      </c>
      <c r="B103" s="44" t="s">
        <v>1388</v>
      </c>
      <c r="C103" s="49">
        <v>0</v>
      </c>
      <c r="D103" s="199">
        <f>SUMIF('COST REPORT'!$A$9:$A$998,'Project Budget Summary'!A103,'COST REPORT'!$F$9:$F$998)-SUMIFS('COST REPORT'!$F$9:$F$998,'COST REPORT'!$A$9:$A$998,'Project Budget Summary'!A103,'COST REPORT'!$I$9:$I$998,"close")</f>
        <v>0</v>
      </c>
      <c r="E103" s="50">
        <f>SUMIF(INPUT!$I$231:$I$522,'Project Budget Summary'!A103,INPUT!$H$231:$H$522)+SUMIFS('COST REPORT'!$F$9:$F$998,'COST REPORT'!$A$9:$A$998,'Project Budget Summary'!A103,'COST REPORT'!$I$9:$I$998,"close")-SUMIFS('COST REPORT'!$F$9:$F$998,'COST REPORT'!$A$9:$A$998,'Project Budget Summary'!A103,'COST REPORT'!$I$9:$I$998,"close",'COST REPORT'!$J$9:$J$998,"x")</f>
        <v>0</v>
      </c>
      <c r="F103" s="50">
        <f>D103+E103</f>
        <v>0</v>
      </c>
      <c r="G103" s="45">
        <f>SUMIF('COST REPORT'!$A$9:$A$998,'Project Budget Summary'!A103,'COST REPORT'!$G$9:$G$998)</f>
        <v>0</v>
      </c>
      <c r="H103" s="45">
        <f>F103-G103</f>
        <v>0</v>
      </c>
      <c r="I103" s="51">
        <f>C103-F103</f>
        <v>0</v>
      </c>
      <c r="J103" s="30" t="s">
        <v>1359</v>
      </c>
      <c r="K103" s="889"/>
      <c r="L103" s="30"/>
      <c r="M103" s="30"/>
      <c r="N103" s="30"/>
      <c r="O103" s="80"/>
      <c r="P103" s="80"/>
      <c r="Q103" s="80"/>
      <c r="R103" s="80"/>
      <c r="S103" s="80"/>
      <c r="T103" s="80"/>
      <c r="U103" s="80"/>
    </row>
    <row r="104" spans="1:21" s="28" customFormat="1">
      <c r="A104" s="48">
        <f>A103+1</f>
        <v>301</v>
      </c>
      <c r="B104" s="44" t="s">
        <v>1389</v>
      </c>
      <c r="C104" s="49">
        <v>0</v>
      </c>
      <c r="D104" s="199">
        <f>SUMIF('COST REPORT'!$A$9:$A$998,'Project Budget Summary'!A104,'COST REPORT'!$F$9:$F$998)-SUMIFS('COST REPORT'!$F$9:$F$998,'COST REPORT'!$A$9:$A$998,'Project Budget Summary'!A104,'COST REPORT'!$I$9:$I$998,"close")</f>
        <v>0</v>
      </c>
      <c r="E104" s="50">
        <f>SUMIF(INPUT!$I$231:$I$522,'Project Budget Summary'!A104,INPUT!$H$231:$H$522)+SUMIFS('COST REPORT'!$F$9:$F$998,'COST REPORT'!$A$9:$A$998,'Project Budget Summary'!A104,'COST REPORT'!$I$9:$I$998,"close")-SUMIFS('COST REPORT'!$F$9:$F$998,'COST REPORT'!$A$9:$A$998,'Project Budget Summary'!A104,'COST REPORT'!$I$9:$I$998,"close",'COST REPORT'!$J$9:$J$998,"x")</f>
        <v>0</v>
      </c>
      <c r="F104" s="50">
        <f t="shared" ref="F104:F110" si="17">D104+E104</f>
        <v>0</v>
      </c>
      <c r="G104" s="45">
        <f>SUMIF('COST REPORT'!$A$9:$A$998,'Project Budget Summary'!A104,'COST REPORT'!$G$9:$G$998)</f>
        <v>0</v>
      </c>
      <c r="H104" s="45">
        <f t="shared" ref="H104:H110" si="18">F104-G104</f>
        <v>0</v>
      </c>
      <c r="I104" s="51">
        <f t="shared" ref="I104:I110" si="19">C104-F104</f>
        <v>0</v>
      </c>
      <c r="J104" s="30" t="s">
        <v>1390</v>
      </c>
      <c r="K104" s="889"/>
      <c r="L104" s="30"/>
      <c r="M104" s="30"/>
      <c r="N104" s="30"/>
      <c r="O104" s="80"/>
      <c r="P104" s="80"/>
      <c r="Q104" s="80"/>
      <c r="R104" s="80"/>
      <c r="S104" s="80"/>
      <c r="T104" s="80"/>
      <c r="U104" s="80"/>
    </row>
    <row r="105" spans="1:21" s="28" customFormat="1">
      <c r="A105" s="48">
        <f t="shared" ref="A105:A110" si="20">A104+1</f>
        <v>302</v>
      </c>
      <c r="B105" s="44" t="s">
        <v>1391</v>
      </c>
      <c r="C105" s="49">
        <v>0</v>
      </c>
      <c r="D105" s="199">
        <f>SUMIF('COST REPORT'!$A$9:$A$998,'Project Budget Summary'!A105,'COST REPORT'!$F$9:$F$998)-SUMIFS('COST REPORT'!$F$9:$F$998,'COST REPORT'!$A$9:$A$998,'Project Budget Summary'!A105,'COST REPORT'!$I$9:$I$998,"close")</f>
        <v>0</v>
      </c>
      <c r="E105" s="50">
        <f>SUMIF(INPUT!$I$231:$I$522,'Project Budget Summary'!A105,INPUT!$H$231:$H$522)+SUMIFS('COST REPORT'!$F$9:$F$998,'COST REPORT'!$A$9:$A$998,'Project Budget Summary'!A105,'COST REPORT'!$I$9:$I$998,"close")-SUMIFS('COST REPORT'!$F$9:$F$998,'COST REPORT'!$A$9:$A$998,'Project Budget Summary'!A105,'COST REPORT'!$I$9:$I$998,"close",'COST REPORT'!$J$9:$J$998,"x")</f>
        <v>0</v>
      </c>
      <c r="F105" s="50">
        <f t="shared" si="17"/>
        <v>0</v>
      </c>
      <c r="G105" s="45">
        <f>SUMIF('COST REPORT'!$A$9:$A$998,'Project Budget Summary'!A105,'COST REPORT'!$G$9:$G$998)</f>
        <v>0</v>
      </c>
      <c r="H105" s="45">
        <f t="shared" si="18"/>
        <v>0</v>
      </c>
      <c r="I105" s="51">
        <f t="shared" si="19"/>
        <v>0</v>
      </c>
      <c r="J105" s="30" t="s">
        <v>1390</v>
      </c>
      <c r="K105" s="889"/>
      <c r="L105" s="30"/>
      <c r="M105" s="30"/>
      <c r="N105" s="30"/>
      <c r="O105" s="80"/>
      <c r="P105" s="80"/>
      <c r="Q105" s="80"/>
      <c r="R105" s="80"/>
      <c r="S105" s="80"/>
      <c r="T105" s="80"/>
      <c r="U105" s="80"/>
    </row>
    <row r="106" spans="1:21" s="28" customFormat="1">
      <c r="A106" s="48">
        <f t="shared" si="20"/>
        <v>303</v>
      </c>
      <c r="B106" s="61" t="s">
        <v>1392</v>
      </c>
      <c r="C106" s="49">
        <v>0</v>
      </c>
      <c r="D106" s="199">
        <f>SUMIF('COST REPORT'!$A$9:$A$998,'Project Budget Summary'!A106,'COST REPORT'!$F$9:$F$998)-SUMIFS('COST REPORT'!$F$9:$F$998,'COST REPORT'!$A$9:$A$998,'Project Budget Summary'!A106,'COST REPORT'!$I$9:$I$998,"close")</f>
        <v>0</v>
      </c>
      <c r="E106" s="50">
        <f>SUMIF(INPUT!$I$231:$I$522,'Project Budget Summary'!A106,INPUT!$H$231:$H$522)+SUMIFS('COST REPORT'!$F$9:$F$998,'COST REPORT'!$A$9:$A$998,'Project Budget Summary'!A106,'COST REPORT'!$I$9:$I$998,"close")-SUMIFS('COST REPORT'!$F$9:$F$998,'COST REPORT'!$A$9:$A$998,'Project Budget Summary'!A106,'COST REPORT'!$I$9:$I$998,"close",'COST REPORT'!$J$9:$J$998,"x")</f>
        <v>0</v>
      </c>
      <c r="F106" s="50">
        <f t="shared" si="17"/>
        <v>0</v>
      </c>
      <c r="G106" s="45">
        <f>SUMIF('COST REPORT'!$A$9:$A$998,'Project Budget Summary'!A106,'COST REPORT'!$G$9:$G$998)</f>
        <v>0</v>
      </c>
      <c r="H106" s="45">
        <f t="shared" si="18"/>
        <v>0</v>
      </c>
      <c r="I106" s="51">
        <f t="shared" si="19"/>
        <v>0</v>
      </c>
      <c r="J106" s="30" t="s">
        <v>1390</v>
      </c>
      <c r="K106" s="889"/>
      <c r="L106" s="30"/>
      <c r="M106" s="30"/>
      <c r="N106" s="30"/>
      <c r="O106" s="80"/>
      <c r="P106" s="80"/>
      <c r="Q106" s="80"/>
      <c r="R106" s="80"/>
      <c r="S106" s="80"/>
      <c r="T106" s="80"/>
      <c r="U106" s="80"/>
    </row>
    <row r="107" spans="1:21" s="28" customFormat="1">
      <c r="A107" s="48">
        <f t="shared" si="20"/>
        <v>304</v>
      </c>
      <c r="B107" s="138" t="s">
        <v>1393</v>
      </c>
      <c r="C107" s="49">
        <v>0</v>
      </c>
      <c r="D107" s="199">
        <f>SUMIF('COST REPORT'!$A$9:$A$998,'Project Budget Summary'!A107,'COST REPORT'!$F$9:$F$998)-SUMIFS('COST REPORT'!$F$9:$F$998,'COST REPORT'!$A$9:$A$998,'Project Budget Summary'!A107,'COST REPORT'!$I$9:$I$998,"close")</f>
        <v>0</v>
      </c>
      <c r="E107" s="50">
        <f>SUMIF(INPUT!$I$231:$I$522,'Project Budget Summary'!A107,INPUT!$H$231:$H$522)+SUMIFS('COST REPORT'!$F$9:$F$998,'COST REPORT'!$A$9:$A$998,'Project Budget Summary'!A107,'COST REPORT'!$I$9:$I$998,"close")-SUMIFS('COST REPORT'!$F$9:$F$998,'COST REPORT'!$A$9:$A$998,'Project Budget Summary'!A107,'COST REPORT'!$I$9:$I$998,"close",'COST REPORT'!$J$9:$J$998,"x")</f>
        <v>0</v>
      </c>
      <c r="F107" s="50">
        <f t="shared" si="17"/>
        <v>0</v>
      </c>
      <c r="G107" s="45">
        <f>SUMIF('COST REPORT'!$A$9:$A$998,'Project Budget Summary'!A107,'COST REPORT'!$G$9:$G$998)</f>
        <v>0</v>
      </c>
      <c r="H107" s="45">
        <f t="shared" si="18"/>
        <v>0</v>
      </c>
      <c r="I107" s="51">
        <f t="shared" si="19"/>
        <v>0</v>
      </c>
      <c r="J107" s="30" t="s">
        <v>1359</v>
      </c>
      <c r="K107" s="889"/>
      <c r="L107" s="30"/>
      <c r="M107" s="30"/>
      <c r="N107" s="30"/>
      <c r="O107" s="80"/>
      <c r="P107" s="80"/>
      <c r="Q107" s="80"/>
      <c r="R107" s="80"/>
      <c r="S107" s="80"/>
      <c r="T107" s="80"/>
      <c r="U107" s="80"/>
    </row>
    <row r="108" spans="1:21" s="28" customFormat="1">
      <c r="A108" s="48">
        <f t="shared" si="20"/>
        <v>305</v>
      </c>
      <c r="B108" s="138" t="s">
        <v>1394</v>
      </c>
      <c r="C108" s="49">
        <v>0</v>
      </c>
      <c r="D108" s="199">
        <f>SUMIF('COST REPORT'!$A$9:$A$998,'Project Budget Summary'!A108,'COST REPORT'!$F$9:$F$998)-SUMIFS('COST REPORT'!$F$9:$F$998,'COST REPORT'!$A$9:$A$998,'Project Budget Summary'!A108,'COST REPORT'!$I$9:$I$998,"close")</f>
        <v>0</v>
      </c>
      <c r="E108" s="50">
        <f>SUMIF(INPUT!$I$231:$I$522,'Project Budget Summary'!A108,INPUT!$H$231:$H$522)+SUMIFS('COST REPORT'!$F$9:$F$998,'COST REPORT'!$A$9:$A$998,'Project Budget Summary'!A108,'COST REPORT'!$I$9:$I$998,"close")-SUMIFS('COST REPORT'!$F$9:$F$998,'COST REPORT'!$A$9:$A$998,'Project Budget Summary'!A108,'COST REPORT'!$I$9:$I$998,"close",'COST REPORT'!$J$9:$J$998,"x")</f>
        <v>0</v>
      </c>
      <c r="F108" s="50">
        <f t="shared" si="17"/>
        <v>0</v>
      </c>
      <c r="G108" s="45">
        <f>SUMIF('COST REPORT'!$A$9:$A$998,'Project Budget Summary'!A108,'COST REPORT'!$G$9:$G$998)</f>
        <v>0</v>
      </c>
      <c r="H108" s="45">
        <f t="shared" si="18"/>
        <v>0</v>
      </c>
      <c r="I108" s="51">
        <f t="shared" si="19"/>
        <v>0</v>
      </c>
      <c r="J108" s="30" t="s">
        <v>1390</v>
      </c>
      <c r="K108" s="889"/>
      <c r="L108" s="30"/>
      <c r="M108" s="30"/>
      <c r="N108" s="30"/>
      <c r="O108" s="80"/>
      <c r="P108" s="80"/>
      <c r="Q108" s="80"/>
      <c r="R108" s="80"/>
      <c r="S108" s="80"/>
      <c r="T108" s="80"/>
      <c r="U108" s="80"/>
    </row>
    <row r="109" spans="1:21" s="28" customFormat="1">
      <c r="A109" s="48">
        <f t="shared" si="20"/>
        <v>306</v>
      </c>
      <c r="B109" s="138" t="s">
        <v>1394</v>
      </c>
      <c r="C109" s="49">
        <v>0</v>
      </c>
      <c r="D109" s="199">
        <f>SUMIF('COST REPORT'!$A$9:$A$998,'Project Budget Summary'!A109,'COST REPORT'!$F$9:$F$998)-SUMIFS('COST REPORT'!$F$9:$F$998,'COST REPORT'!$A$9:$A$998,'Project Budget Summary'!A109,'COST REPORT'!$I$9:$I$998,"close")</f>
        <v>0</v>
      </c>
      <c r="E109" s="50">
        <f>SUMIF(INPUT!$I$231:$I$522,'Project Budget Summary'!A109,INPUT!$H$231:$H$522)+SUMIFS('COST REPORT'!$F$9:$F$998,'COST REPORT'!$A$9:$A$998,'Project Budget Summary'!A109,'COST REPORT'!$I$9:$I$998,"close")-SUMIFS('COST REPORT'!$F$9:$F$998,'COST REPORT'!$A$9:$A$998,'Project Budget Summary'!A109,'COST REPORT'!$I$9:$I$998,"close",'COST REPORT'!$J$9:$J$998,"x")</f>
        <v>0</v>
      </c>
      <c r="F109" s="50">
        <f t="shared" si="17"/>
        <v>0</v>
      </c>
      <c r="G109" s="45">
        <f>SUMIF('COST REPORT'!$A$9:$A$998,'Project Budget Summary'!A109,'COST REPORT'!$G$9:$G$998)</f>
        <v>0</v>
      </c>
      <c r="H109" s="45">
        <f t="shared" si="18"/>
        <v>0</v>
      </c>
      <c r="I109" s="51">
        <f t="shared" si="19"/>
        <v>0</v>
      </c>
      <c r="J109" s="30" t="s">
        <v>1390</v>
      </c>
      <c r="K109" s="889"/>
      <c r="L109" s="30"/>
      <c r="M109" s="30"/>
      <c r="N109" s="30"/>
      <c r="O109" s="80"/>
      <c r="P109" s="80"/>
      <c r="Q109" s="80"/>
      <c r="R109" s="80"/>
      <c r="S109" s="80"/>
      <c r="T109" s="80"/>
      <c r="U109" s="80"/>
    </row>
    <row r="110" spans="1:21" s="28" customFormat="1">
      <c r="A110" s="48">
        <f t="shared" si="20"/>
        <v>307</v>
      </c>
      <c r="B110" s="138" t="s">
        <v>1394</v>
      </c>
      <c r="C110" s="49">
        <v>0</v>
      </c>
      <c r="D110" s="199">
        <f>SUMIF('COST REPORT'!$A$9:$A$998,'Project Budget Summary'!A110,'COST REPORT'!$F$9:$F$998)-SUMIFS('COST REPORT'!$F$9:$F$998,'COST REPORT'!$A$9:$A$998,'Project Budget Summary'!A110,'COST REPORT'!$I$9:$I$998,"close")</f>
        <v>0</v>
      </c>
      <c r="E110" s="50">
        <f>SUMIF(INPUT!$I$231:$I$522,'Project Budget Summary'!A110,INPUT!$H$231:$H$522)+SUMIFS('COST REPORT'!$F$9:$F$998,'COST REPORT'!$A$9:$A$998,'Project Budget Summary'!A110,'COST REPORT'!$I$9:$I$998,"close")-SUMIFS('COST REPORT'!$F$9:$F$998,'COST REPORT'!$A$9:$A$998,'Project Budget Summary'!A110,'COST REPORT'!$I$9:$I$998,"close",'COST REPORT'!$J$9:$J$998,"x")</f>
        <v>0</v>
      </c>
      <c r="F110" s="50">
        <f t="shared" si="17"/>
        <v>0</v>
      </c>
      <c r="G110" s="45">
        <f>SUMIF('COST REPORT'!$A$9:$A$998,'Project Budget Summary'!A110,'COST REPORT'!$G$9:$G$998)</f>
        <v>0</v>
      </c>
      <c r="H110" s="45">
        <f t="shared" si="18"/>
        <v>0</v>
      </c>
      <c r="I110" s="51">
        <f t="shared" si="19"/>
        <v>0</v>
      </c>
      <c r="J110" s="30" t="s">
        <v>1390</v>
      </c>
      <c r="K110" s="889"/>
      <c r="L110" s="30"/>
      <c r="M110" s="30"/>
      <c r="N110" s="30"/>
      <c r="O110" s="80"/>
      <c r="P110" s="80"/>
      <c r="Q110" s="80"/>
      <c r="R110" s="80"/>
      <c r="S110" s="80"/>
      <c r="T110" s="80"/>
      <c r="U110" s="80"/>
    </row>
    <row r="111" spans="1:21" s="28" customFormat="1" ht="13.5" thickBot="1">
      <c r="A111" s="54" t="s">
        <v>1395</v>
      </c>
      <c r="B111" s="55"/>
      <c r="C111" s="56">
        <f>SUM(C103:C110)</f>
        <v>0</v>
      </c>
      <c r="D111" s="56">
        <f t="shared" ref="D111:I111" si="21">SUM(D103:D110)</f>
        <v>0</v>
      </c>
      <c r="E111" s="56">
        <f t="shared" si="21"/>
        <v>0</v>
      </c>
      <c r="F111" s="56">
        <f t="shared" si="21"/>
        <v>0</v>
      </c>
      <c r="G111" s="56">
        <f t="shared" si="21"/>
        <v>0</v>
      </c>
      <c r="H111" s="56">
        <f t="shared" si="21"/>
        <v>0</v>
      </c>
      <c r="I111" s="56">
        <f t="shared" si="21"/>
        <v>0</v>
      </c>
      <c r="J111" s="30"/>
      <c r="K111" s="30"/>
      <c r="L111" s="30"/>
      <c r="M111" s="30"/>
      <c r="N111" s="30"/>
      <c r="O111" s="80"/>
      <c r="P111" s="80"/>
      <c r="Q111" s="80"/>
      <c r="R111" s="80"/>
      <c r="S111" s="80"/>
      <c r="T111" s="80"/>
      <c r="U111" s="80"/>
    </row>
    <row r="112" spans="1:21" s="28" customFormat="1">
      <c r="A112" s="243"/>
      <c r="B112" s="243"/>
      <c r="C112" s="286"/>
      <c r="D112" s="286"/>
      <c r="E112" s="287"/>
      <c r="F112" s="287"/>
      <c r="G112" s="286"/>
      <c r="H112" s="286"/>
      <c r="I112" s="286"/>
      <c r="J112" s="30"/>
      <c r="K112" s="30"/>
      <c r="L112" s="30"/>
      <c r="M112" s="30"/>
      <c r="N112" s="30"/>
      <c r="O112" s="80"/>
      <c r="P112" s="80"/>
      <c r="Q112" s="80"/>
      <c r="R112" s="80"/>
      <c r="S112" s="80"/>
      <c r="T112" s="80"/>
      <c r="U112" s="80"/>
    </row>
    <row r="113" spans="1:21" s="28" customFormat="1">
      <c r="A113" s="58" t="s">
        <v>1396</v>
      </c>
      <c r="B113" s="39"/>
      <c r="C113" s="40"/>
      <c r="D113" s="40"/>
      <c r="E113" s="59"/>
      <c r="F113" s="59"/>
      <c r="G113" s="40"/>
      <c r="H113" s="40"/>
      <c r="I113" s="60"/>
      <c r="J113" s="30"/>
      <c r="K113" s="30"/>
      <c r="L113" s="30"/>
      <c r="M113" s="30"/>
      <c r="N113" s="30"/>
      <c r="O113" s="80"/>
      <c r="P113" s="80"/>
      <c r="Q113" s="80"/>
      <c r="R113" s="80"/>
      <c r="S113" s="80"/>
      <c r="T113" s="80"/>
      <c r="U113" s="80"/>
    </row>
    <row r="114" spans="1:21" s="28" customFormat="1">
      <c r="A114" s="48">
        <v>400</v>
      </c>
      <c r="B114" s="44" t="s">
        <v>1397</v>
      </c>
      <c r="C114" s="49">
        <v>0</v>
      </c>
      <c r="D114" s="199">
        <f>SUMIF('COST REPORT'!$A$9:$A$998,'Project Budget Summary'!A114,'COST REPORT'!$F$9:$F$998)-SUMIFS('COST REPORT'!$F$9:$F$998,'COST REPORT'!$A$9:$A$998,'Project Budget Summary'!A114,'COST REPORT'!$I$9:$I$998,"close")</f>
        <v>0</v>
      </c>
      <c r="E114" s="50">
        <f>SUMIF(INPUT!$I$231:$I$522,'Project Budget Summary'!A114,INPUT!$H$231:$H$522)+SUMIFS('COST REPORT'!$F$9:$F$998,'COST REPORT'!$A$9:$A$998,'Project Budget Summary'!A114,'COST REPORT'!$I$9:$I$998,"close")-SUMIFS('COST REPORT'!$F$9:$F$998,'COST REPORT'!$A$9:$A$998,'Project Budget Summary'!A114,'COST REPORT'!$I$9:$I$998,"close",'COST REPORT'!$J$9:$J$998,"x")</f>
        <v>0</v>
      </c>
      <c r="F114" s="50">
        <f>D114+E114</f>
        <v>0</v>
      </c>
      <c r="G114" s="45">
        <f>SUMIF('COST REPORT'!$A$9:$A$998,'Project Budget Summary'!A114,'COST REPORT'!$G$9:$G$998)</f>
        <v>0</v>
      </c>
      <c r="H114" s="45">
        <f>F114-G114</f>
        <v>0</v>
      </c>
      <c r="I114" s="51">
        <f>C114-F114</f>
        <v>0</v>
      </c>
      <c r="J114" s="30" t="s">
        <v>1390</v>
      </c>
      <c r="K114" s="889"/>
      <c r="L114" s="30"/>
      <c r="M114" s="30"/>
      <c r="N114" s="30"/>
      <c r="O114" s="80"/>
      <c r="P114" s="80"/>
      <c r="Q114" s="80"/>
      <c r="R114" s="80"/>
      <c r="S114" s="80"/>
      <c r="T114" s="80"/>
      <c r="U114" s="80"/>
    </row>
    <row r="115" spans="1:21" s="28" customFormat="1">
      <c r="A115" s="48">
        <f>A114+1</f>
        <v>401</v>
      </c>
      <c r="B115" s="44" t="s">
        <v>1398</v>
      </c>
      <c r="C115" s="49">
        <v>0</v>
      </c>
      <c r="D115" s="199">
        <f>SUMIF('COST REPORT'!$A$9:$A$998,'Project Budget Summary'!A115,'COST REPORT'!$F$9:$F$998)-SUMIFS('COST REPORT'!$F$9:$F$998,'COST REPORT'!$A$9:$A$998,'Project Budget Summary'!A115,'COST REPORT'!$I$9:$I$998,"close")</f>
        <v>0</v>
      </c>
      <c r="E115" s="50">
        <f>SUMIF(INPUT!$I$231:$I$522,'Project Budget Summary'!A115,INPUT!$H$231:$H$522)+SUMIFS('COST REPORT'!$F$9:$F$998,'COST REPORT'!$A$9:$A$998,'Project Budget Summary'!A115,'COST REPORT'!$I$9:$I$998,"close")-SUMIFS('COST REPORT'!$F$9:$F$998,'COST REPORT'!$A$9:$A$998,'Project Budget Summary'!A115,'COST REPORT'!$I$9:$I$998,"close",'COST REPORT'!$J$9:$J$998,"x")</f>
        <v>0</v>
      </c>
      <c r="F115" s="50">
        <f t="shared" ref="F115:F139" si="22">D115+E115</f>
        <v>0</v>
      </c>
      <c r="G115" s="45">
        <f>SUMIF('COST REPORT'!$A$9:$A$998,'Project Budget Summary'!A115,'COST REPORT'!$G$9:$G$998)</f>
        <v>0</v>
      </c>
      <c r="H115" s="45">
        <f t="shared" ref="H115:H139" si="23">F115-G115</f>
        <v>0</v>
      </c>
      <c r="I115" s="51">
        <f t="shared" ref="I115:I139" si="24">C115-F115</f>
        <v>0</v>
      </c>
      <c r="J115" s="30" t="s">
        <v>1390</v>
      </c>
      <c r="K115" s="889"/>
      <c r="L115" s="30"/>
      <c r="M115" s="30"/>
      <c r="N115" s="30"/>
      <c r="O115" s="80"/>
      <c r="P115" s="80"/>
      <c r="Q115" s="80"/>
      <c r="R115" s="80"/>
      <c r="S115" s="80"/>
      <c r="T115" s="80"/>
      <c r="U115" s="80"/>
    </row>
    <row r="116" spans="1:21" s="28" customFormat="1">
      <c r="A116" s="48">
        <v>402</v>
      </c>
      <c r="B116" s="44" t="s">
        <v>1399</v>
      </c>
      <c r="C116" s="49">
        <v>0</v>
      </c>
      <c r="D116" s="199">
        <f>SUMIF('COST REPORT'!$A$9:$A$998,'Project Budget Summary'!A116,'COST REPORT'!$F$9:$F$998)-SUMIFS('COST REPORT'!$F$9:$F$998,'COST REPORT'!$A$9:$A$998,'Project Budget Summary'!A116,'COST REPORT'!$I$9:$I$998,"close")</f>
        <v>0</v>
      </c>
      <c r="E116" s="50">
        <f>SUMIF(INPUT!$I$231:$I$522,'Project Budget Summary'!A116,INPUT!$H$231:$H$522)+SUMIFS('COST REPORT'!$F$9:$F$998,'COST REPORT'!$A$9:$A$998,'Project Budget Summary'!A116,'COST REPORT'!$I$9:$I$998,"close")-SUMIFS('COST REPORT'!$F$9:$F$998,'COST REPORT'!$A$9:$A$998,'Project Budget Summary'!A116,'COST REPORT'!$I$9:$I$998,"close",'COST REPORT'!$J$9:$J$998,"x")</f>
        <v>0</v>
      </c>
      <c r="F116" s="50">
        <f t="shared" si="22"/>
        <v>0</v>
      </c>
      <c r="G116" s="45">
        <f>SUMIF('COST REPORT'!$A$9:$A$998,'Project Budget Summary'!A116,'COST REPORT'!$G$9:$G$998)</f>
        <v>0</v>
      </c>
      <c r="H116" s="45">
        <f t="shared" si="23"/>
        <v>0</v>
      </c>
      <c r="I116" s="51">
        <f t="shared" si="24"/>
        <v>0</v>
      </c>
      <c r="J116" s="30" t="s">
        <v>1390</v>
      </c>
      <c r="K116" s="889"/>
      <c r="L116" s="30"/>
      <c r="M116" s="30"/>
      <c r="N116" s="30"/>
      <c r="O116" s="80"/>
      <c r="P116" s="80"/>
      <c r="Q116" s="80"/>
      <c r="R116" s="80"/>
      <c r="S116" s="80"/>
      <c r="T116" s="80"/>
      <c r="U116" s="80"/>
    </row>
    <row r="117" spans="1:21" s="28" customFormat="1">
      <c r="A117" s="48">
        <v>403</v>
      </c>
      <c r="B117" s="44" t="s">
        <v>1400</v>
      </c>
      <c r="C117" s="49">
        <v>0</v>
      </c>
      <c r="D117" s="199">
        <f>SUMIF('COST REPORT'!$A$9:$A$998,'Project Budget Summary'!A117,'COST REPORT'!$F$9:$F$998)-SUMIFS('COST REPORT'!$F$9:$F$998,'COST REPORT'!$A$9:$A$998,'Project Budget Summary'!A117,'COST REPORT'!$I$9:$I$998,"close")</f>
        <v>0</v>
      </c>
      <c r="E117" s="50">
        <f>SUMIF(INPUT!$I$231:$I$522,'Project Budget Summary'!A117,INPUT!$H$231:$H$522)+SUMIFS('COST REPORT'!$F$9:$F$998,'COST REPORT'!$A$9:$A$998,'Project Budget Summary'!A117,'COST REPORT'!$I$9:$I$998,"close")-SUMIFS('COST REPORT'!$F$9:$F$998,'COST REPORT'!$A$9:$A$998,'Project Budget Summary'!A117,'COST REPORT'!$I$9:$I$998,"close",'COST REPORT'!$J$9:$J$998,"x")</f>
        <v>0</v>
      </c>
      <c r="F117" s="50">
        <f t="shared" si="22"/>
        <v>0</v>
      </c>
      <c r="G117" s="45">
        <f>SUMIF('COST REPORT'!$A$9:$A$998,'Project Budget Summary'!A117,'COST REPORT'!$G$9:$G$998)</f>
        <v>0</v>
      </c>
      <c r="H117" s="45">
        <f t="shared" si="23"/>
        <v>0</v>
      </c>
      <c r="I117" s="51">
        <f t="shared" si="24"/>
        <v>0</v>
      </c>
      <c r="J117" s="30" t="s">
        <v>1390</v>
      </c>
      <c r="K117" s="889"/>
      <c r="L117" s="30"/>
      <c r="M117" s="30"/>
      <c r="N117" s="30"/>
      <c r="O117" s="80"/>
      <c r="P117" s="80"/>
      <c r="Q117" s="80"/>
      <c r="R117" s="80"/>
      <c r="S117" s="80"/>
      <c r="T117" s="80"/>
      <c r="U117" s="80"/>
    </row>
    <row r="118" spans="1:21" s="28" customFormat="1">
      <c r="A118" s="48">
        <v>404</v>
      </c>
      <c r="B118" s="44" t="s">
        <v>1401</v>
      </c>
      <c r="C118" s="49">
        <v>0</v>
      </c>
      <c r="D118" s="199">
        <f>SUMIF('COST REPORT'!$A$9:$A$998,'Project Budget Summary'!A118,'COST REPORT'!$F$9:$F$998)-SUMIFS('COST REPORT'!$F$9:$F$998,'COST REPORT'!$A$9:$A$998,'Project Budget Summary'!A118,'COST REPORT'!$I$9:$I$998,"close")</f>
        <v>0</v>
      </c>
      <c r="E118" s="50">
        <f>SUMIF(INPUT!$I$231:$I$522,'Project Budget Summary'!A118,INPUT!$H$231:$H$522)+SUMIFS('COST REPORT'!$F$9:$F$998,'COST REPORT'!$A$9:$A$998,'Project Budget Summary'!A118,'COST REPORT'!$I$9:$I$998,"close")-SUMIFS('COST REPORT'!$F$9:$F$998,'COST REPORT'!$A$9:$A$998,'Project Budget Summary'!A118,'COST REPORT'!$I$9:$I$998,"close",'COST REPORT'!$J$9:$J$998,"x")</f>
        <v>0</v>
      </c>
      <c r="F118" s="50">
        <f>D118+E118</f>
        <v>0</v>
      </c>
      <c r="G118" s="45">
        <f>SUMIF('COST REPORT'!$A$9:$A$998,'Project Budget Summary'!A118,'COST REPORT'!$G$9:$G$998)</f>
        <v>0</v>
      </c>
      <c r="H118" s="45">
        <f>F118-G118</f>
        <v>0</v>
      </c>
      <c r="I118" s="51">
        <f>C118-F118</f>
        <v>0</v>
      </c>
      <c r="J118" s="30" t="s">
        <v>1390</v>
      </c>
      <c r="K118" s="889"/>
      <c r="L118" s="30"/>
      <c r="M118" s="30"/>
      <c r="N118" s="30"/>
      <c r="O118" s="80"/>
      <c r="P118" s="80"/>
      <c r="Q118" s="80"/>
      <c r="R118" s="80"/>
      <c r="S118" s="80"/>
      <c r="T118" s="80"/>
      <c r="U118" s="80"/>
    </row>
    <row r="119" spans="1:21" s="28" customFormat="1">
      <c r="A119" s="48">
        <v>405</v>
      </c>
      <c r="B119" s="44" t="s">
        <v>1402</v>
      </c>
      <c r="C119" s="49">
        <v>0</v>
      </c>
      <c r="D119" s="199">
        <f>SUMIF('COST REPORT'!$A$9:$A$998,'Project Budget Summary'!A119,'COST REPORT'!$F$9:$F$998)-SUMIFS('COST REPORT'!$F$9:$F$998,'COST REPORT'!$A$9:$A$998,'Project Budget Summary'!A119,'COST REPORT'!$I$9:$I$998,"close")</f>
        <v>0</v>
      </c>
      <c r="E119" s="50">
        <f>SUMIF(INPUT!$I$231:$I$522,'Project Budget Summary'!A119,INPUT!$H$231:$H$522)+SUMIFS('COST REPORT'!$F$9:$F$998,'COST REPORT'!$A$9:$A$998,'Project Budget Summary'!A119,'COST REPORT'!$I$9:$I$998,"close")-SUMIFS('COST REPORT'!$F$9:$F$998,'COST REPORT'!$A$9:$A$998,'Project Budget Summary'!A119,'COST REPORT'!$I$9:$I$998,"close",'COST REPORT'!$J$9:$J$998,"x")</f>
        <v>0</v>
      </c>
      <c r="F119" s="50">
        <f>D119+E119</f>
        <v>0</v>
      </c>
      <c r="G119" s="45">
        <f>SUMIF('COST REPORT'!$A$9:$A$998,'Project Budget Summary'!A119,'COST REPORT'!$G$9:$G$998)</f>
        <v>0</v>
      </c>
      <c r="H119" s="45">
        <f>F119-G119</f>
        <v>0</v>
      </c>
      <c r="I119" s="51">
        <f>C119-F119</f>
        <v>0</v>
      </c>
      <c r="J119" s="30" t="s">
        <v>1390</v>
      </c>
      <c r="K119" s="889"/>
      <c r="L119" s="30"/>
      <c r="M119" s="30"/>
      <c r="O119" s="80"/>
      <c r="P119" s="80"/>
      <c r="Q119" s="80"/>
      <c r="R119" s="80"/>
      <c r="S119" s="80"/>
      <c r="T119" s="80"/>
      <c r="U119" s="80"/>
    </row>
    <row r="120" spans="1:21" s="28" customFormat="1">
      <c r="A120" s="48">
        <v>406</v>
      </c>
      <c r="B120" s="44" t="s">
        <v>1403</v>
      </c>
      <c r="C120" s="49">
        <v>0</v>
      </c>
      <c r="D120" s="199">
        <f>SUMIF('COST REPORT'!$A$9:$A$998,'Project Budget Summary'!A120,'COST REPORT'!$F$9:$F$998)-SUMIFS('COST REPORT'!$F$9:$F$998,'COST REPORT'!$A$9:$A$998,'Project Budget Summary'!A120,'COST REPORT'!$I$9:$I$998,"close")</f>
        <v>0</v>
      </c>
      <c r="E120" s="50">
        <f>SUMIF(INPUT!$I$231:$I$522,'Project Budget Summary'!A120,INPUT!$H$231:$H$522)+SUMIFS('COST REPORT'!$F$9:$F$998,'COST REPORT'!$A$9:$A$998,'Project Budget Summary'!A120,'COST REPORT'!$I$9:$I$998,"close")-SUMIFS('COST REPORT'!$F$9:$F$998,'COST REPORT'!$A$9:$A$998,'Project Budget Summary'!A120,'COST REPORT'!$I$9:$I$998,"close",'COST REPORT'!$J$9:$J$998,"x")</f>
        <v>0</v>
      </c>
      <c r="F120" s="50">
        <f t="shared" si="22"/>
        <v>0</v>
      </c>
      <c r="G120" s="45">
        <f>SUMIF('COST REPORT'!$A$9:$A$998,'Project Budget Summary'!A120,'COST REPORT'!$G$9:$G$998)</f>
        <v>0</v>
      </c>
      <c r="H120" s="45">
        <f t="shared" si="23"/>
        <v>0</v>
      </c>
      <c r="I120" s="51">
        <f t="shared" si="24"/>
        <v>0</v>
      </c>
      <c r="J120" s="30" t="s">
        <v>1404</v>
      </c>
      <c r="K120" s="889"/>
      <c r="L120" s="30"/>
      <c r="M120" s="30"/>
      <c r="O120" s="80"/>
      <c r="P120" s="80"/>
      <c r="Q120" s="80"/>
      <c r="R120" s="80"/>
      <c r="S120" s="80"/>
      <c r="T120" s="80"/>
      <c r="U120" s="80"/>
    </row>
    <row r="121" spans="1:21" s="28" customFormat="1">
      <c r="A121" s="48">
        <v>407</v>
      </c>
      <c r="B121" s="44" t="s">
        <v>1405</v>
      </c>
      <c r="C121" s="49">
        <v>0</v>
      </c>
      <c r="D121" s="199">
        <f>SUMIF('COST REPORT'!$A$9:$A$998,'Project Budget Summary'!A121,'COST REPORT'!$F$9:$F$998)-SUMIFS('COST REPORT'!$F$9:$F$998,'COST REPORT'!$A$9:$A$998,'Project Budget Summary'!A121,'COST REPORT'!$I$9:$I$998,"close")</f>
        <v>0</v>
      </c>
      <c r="E121" s="50">
        <f>SUMIF(INPUT!$I$231:$I$522,'Project Budget Summary'!A121,INPUT!$H$231:$H$522)+SUMIFS('COST REPORT'!$F$9:$F$998,'COST REPORT'!$A$9:$A$998,'Project Budget Summary'!A121,'COST REPORT'!$I$9:$I$998,"close")-SUMIFS('COST REPORT'!$F$9:$F$998,'COST REPORT'!$A$9:$A$998,'Project Budget Summary'!A121,'COST REPORT'!$I$9:$I$998,"close",'COST REPORT'!$J$9:$J$998,"x")</f>
        <v>0</v>
      </c>
      <c r="F121" s="50">
        <f t="shared" si="22"/>
        <v>0</v>
      </c>
      <c r="G121" s="45">
        <f>SUMIF('COST REPORT'!$A$9:$A$998,'Project Budget Summary'!A121,'COST REPORT'!$G$9:$G$998)</f>
        <v>0</v>
      </c>
      <c r="H121" s="45">
        <f t="shared" si="23"/>
        <v>0</v>
      </c>
      <c r="I121" s="51">
        <f t="shared" si="24"/>
        <v>0</v>
      </c>
      <c r="J121" s="30" t="s">
        <v>1390</v>
      </c>
      <c r="K121" s="889"/>
      <c r="L121" s="30"/>
      <c r="M121" s="30"/>
      <c r="O121" s="80"/>
      <c r="P121" s="80"/>
      <c r="Q121" s="80"/>
      <c r="R121" s="80"/>
      <c r="S121" s="80"/>
      <c r="T121" s="80"/>
      <c r="U121" s="80"/>
    </row>
    <row r="122" spans="1:21" s="28" customFormat="1">
      <c r="A122" s="48">
        <v>408</v>
      </c>
      <c r="B122" s="44" t="s">
        <v>1406</v>
      </c>
      <c r="C122" s="49">
        <v>0</v>
      </c>
      <c r="D122" s="199">
        <f>SUMIF('COST REPORT'!$A$9:$A$998,'Project Budget Summary'!A122,'COST REPORT'!$F$9:$F$998)-SUMIFS('COST REPORT'!$F$9:$F$998,'COST REPORT'!$A$9:$A$998,'Project Budget Summary'!A122,'COST REPORT'!$I$9:$I$998,"close")</f>
        <v>0</v>
      </c>
      <c r="E122" s="50">
        <f>SUMIF(INPUT!$I$231:$I$522,'Project Budget Summary'!A122,INPUT!$H$231:$H$522)+SUMIFS('COST REPORT'!$F$9:$F$998,'COST REPORT'!$A$9:$A$998,'Project Budget Summary'!A122,'COST REPORT'!$I$9:$I$998,"close")-SUMIFS('COST REPORT'!$F$9:$F$998,'COST REPORT'!$A$9:$A$998,'Project Budget Summary'!A122,'COST REPORT'!$I$9:$I$998,"close",'COST REPORT'!$J$9:$J$998,"x")</f>
        <v>0</v>
      </c>
      <c r="F122" s="50">
        <f t="shared" si="22"/>
        <v>0</v>
      </c>
      <c r="G122" s="45">
        <f>SUMIF('COST REPORT'!$A$9:$A$998,'Project Budget Summary'!A122,'COST REPORT'!$G$9:$G$998)</f>
        <v>0</v>
      </c>
      <c r="H122" s="45">
        <f t="shared" si="23"/>
        <v>0</v>
      </c>
      <c r="I122" s="51">
        <f t="shared" si="24"/>
        <v>0</v>
      </c>
      <c r="J122" s="30" t="s">
        <v>1390</v>
      </c>
      <c r="K122" s="889"/>
      <c r="L122" s="30"/>
      <c r="M122" s="30"/>
      <c r="O122" s="80"/>
      <c r="P122" s="80"/>
      <c r="Q122" s="80"/>
      <c r="R122" s="80"/>
      <c r="S122" s="80"/>
      <c r="T122" s="80"/>
      <c r="U122" s="80"/>
    </row>
    <row r="123" spans="1:21" s="28" customFormat="1">
      <c r="A123" s="48">
        <v>409</v>
      </c>
      <c r="B123" s="44" t="s">
        <v>1407</v>
      </c>
      <c r="C123" s="49">
        <v>0</v>
      </c>
      <c r="D123" s="199">
        <f>SUMIF('COST REPORT'!$A$9:$A$998,'Project Budget Summary'!A123,'COST REPORT'!$F$9:$F$998)-SUMIFS('COST REPORT'!$F$9:$F$998,'COST REPORT'!$A$9:$A$998,'Project Budget Summary'!A123,'COST REPORT'!$I$9:$I$998,"close")</f>
        <v>0</v>
      </c>
      <c r="E123" s="50">
        <f>SUMIF(INPUT!$I$231:$I$522,'Project Budget Summary'!A123,INPUT!$H$231:$H$522)+SUMIFS('COST REPORT'!$F$9:$F$998,'COST REPORT'!$A$9:$A$998,'Project Budget Summary'!A123,'COST REPORT'!$I$9:$I$998,"close")-SUMIFS('COST REPORT'!$F$9:$F$998,'COST REPORT'!$A$9:$A$998,'Project Budget Summary'!A123,'COST REPORT'!$I$9:$I$998,"close",'COST REPORT'!$J$9:$J$998,"x")</f>
        <v>0</v>
      </c>
      <c r="F123" s="50">
        <f t="shared" si="22"/>
        <v>0</v>
      </c>
      <c r="G123" s="45">
        <f>SUMIF('COST REPORT'!$A$9:$A$998,'Project Budget Summary'!A123,'COST REPORT'!$G$9:$G$998)</f>
        <v>0</v>
      </c>
      <c r="H123" s="45">
        <f t="shared" si="23"/>
        <v>0</v>
      </c>
      <c r="I123" s="51">
        <f t="shared" si="24"/>
        <v>0</v>
      </c>
      <c r="J123" s="30" t="s">
        <v>1390</v>
      </c>
      <c r="K123" s="889"/>
      <c r="L123" s="30"/>
      <c r="M123" s="30"/>
      <c r="O123" s="80"/>
      <c r="P123" s="80"/>
      <c r="Q123" s="80"/>
      <c r="R123" s="80"/>
      <c r="S123" s="80"/>
      <c r="T123" s="80"/>
      <c r="U123" s="80"/>
    </row>
    <row r="124" spans="1:21" s="28" customFormat="1">
      <c r="A124" s="48">
        <v>410</v>
      </c>
      <c r="B124" s="44" t="s">
        <v>1408</v>
      </c>
      <c r="C124" s="49">
        <v>0</v>
      </c>
      <c r="D124" s="199">
        <f>SUMIF('COST REPORT'!$A$9:$A$998,'Project Budget Summary'!A124,'COST REPORT'!$F$9:$F$998)-SUMIFS('COST REPORT'!$F$9:$F$998,'COST REPORT'!$A$9:$A$998,'Project Budget Summary'!A124,'COST REPORT'!$I$9:$I$998,"close")</f>
        <v>0</v>
      </c>
      <c r="E124" s="50">
        <f>SUMIF(INPUT!$I$231:$I$522,'Project Budget Summary'!A124,INPUT!$H$231:$H$522)+SUMIFS('COST REPORT'!$F$9:$F$998,'COST REPORT'!$A$9:$A$998,'Project Budget Summary'!A124,'COST REPORT'!$I$9:$I$998,"close")-SUMIFS('COST REPORT'!$F$9:$F$998,'COST REPORT'!$A$9:$A$998,'Project Budget Summary'!A124,'COST REPORT'!$I$9:$I$998,"close",'COST REPORT'!$J$9:$J$998,"x")</f>
        <v>0</v>
      </c>
      <c r="F124" s="50">
        <f t="shared" si="22"/>
        <v>0</v>
      </c>
      <c r="G124" s="45">
        <f>SUMIF('COST REPORT'!$A$9:$A$998,'Project Budget Summary'!A124,'COST REPORT'!$G$9:$G$998)</f>
        <v>0</v>
      </c>
      <c r="H124" s="45">
        <f t="shared" si="23"/>
        <v>0</v>
      </c>
      <c r="I124" s="51">
        <f t="shared" si="24"/>
        <v>0</v>
      </c>
      <c r="J124" s="30" t="s">
        <v>1390</v>
      </c>
      <c r="K124" s="889"/>
      <c r="L124" s="30"/>
      <c r="M124" s="30"/>
      <c r="O124" s="80"/>
      <c r="P124" s="80"/>
      <c r="Q124" s="80"/>
      <c r="R124" s="80"/>
      <c r="S124" s="80"/>
      <c r="T124" s="80"/>
      <c r="U124" s="80"/>
    </row>
    <row r="125" spans="1:21" s="28" customFormat="1">
      <c r="A125" s="48">
        <v>411</v>
      </c>
      <c r="B125" s="44" t="s">
        <v>1409</v>
      </c>
      <c r="C125" s="49">
        <v>0</v>
      </c>
      <c r="D125" s="199">
        <f>SUMIF('COST REPORT'!$A$9:$A$998,'Project Budget Summary'!A125,'COST REPORT'!$F$9:$F$998)-SUMIFS('COST REPORT'!$F$9:$F$998,'COST REPORT'!$A$9:$A$998,'Project Budget Summary'!A125,'COST REPORT'!$I$9:$I$998,"close")</f>
        <v>0</v>
      </c>
      <c r="E125" s="50">
        <f>SUMIF(INPUT!$I$231:$I$522,'Project Budget Summary'!A125,INPUT!$H$231:$H$522)+SUMIFS('COST REPORT'!$F$9:$F$998,'COST REPORT'!$A$9:$A$998,'Project Budget Summary'!A125,'COST REPORT'!$I$9:$I$998,"close")-SUMIFS('COST REPORT'!$F$9:$F$998,'COST REPORT'!$A$9:$A$998,'Project Budget Summary'!A125,'COST REPORT'!$I$9:$I$998,"close",'COST REPORT'!$J$9:$J$998,"x")</f>
        <v>0</v>
      </c>
      <c r="F125" s="50">
        <f t="shared" si="22"/>
        <v>0</v>
      </c>
      <c r="G125" s="45">
        <f>SUMIF('COST REPORT'!$A$9:$A$998,'Project Budget Summary'!A125,'COST REPORT'!$G$9:$G$998)</f>
        <v>0</v>
      </c>
      <c r="H125" s="45">
        <f t="shared" si="23"/>
        <v>0</v>
      </c>
      <c r="I125" s="51">
        <f t="shared" si="24"/>
        <v>0</v>
      </c>
      <c r="J125" s="30" t="s">
        <v>1390</v>
      </c>
      <c r="K125" s="889"/>
      <c r="L125" s="30"/>
      <c r="M125" s="30"/>
      <c r="O125" s="80"/>
      <c r="P125" s="80"/>
      <c r="Q125" s="80"/>
      <c r="R125" s="80"/>
      <c r="S125" s="80"/>
      <c r="T125" s="80"/>
      <c r="U125" s="80"/>
    </row>
    <row r="126" spans="1:21" s="28" customFormat="1">
      <c r="A126" s="48">
        <v>412</v>
      </c>
      <c r="B126" s="44" t="s">
        <v>1410</v>
      </c>
      <c r="C126" s="49">
        <v>0</v>
      </c>
      <c r="D126" s="199">
        <f>SUMIF('COST REPORT'!$A$9:$A$998,'Project Budget Summary'!A126,'COST REPORT'!$F$9:$F$998)-SUMIFS('COST REPORT'!$F$9:$F$998,'COST REPORT'!$A$9:$A$998,'Project Budget Summary'!A126,'COST REPORT'!$I$9:$I$998,"close")</f>
        <v>0</v>
      </c>
      <c r="E126" s="50">
        <f>SUMIF(INPUT!$I$231:$I$522,'Project Budget Summary'!A126,INPUT!$H$231:$H$522)+SUMIFS('COST REPORT'!$F$9:$F$998,'COST REPORT'!$A$9:$A$998,'Project Budget Summary'!A126,'COST REPORT'!$I$9:$I$998,"close")-SUMIFS('COST REPORT'!$F$9:$F$998,'COST REPORT'!$A$9:$A$998,'Project Budget Summary'!A126,'COST REPORT'!$I$9:$I$998,"close",'COST REPORT'!$J$9:$J$998,"x")</f>
        <v>0</v>
      </c>
      <c r="F126" s="50">
        <f t="shared" si="22"/>
        <v>0</v>
      </c>
      <c r="G126" s="45">
        <f>SUMIF('COST REPORT'!$A$9:$A$998,'Project Budget Summary'!A126,'COST REPORT'!$G$9:$G$998)</f>
        <v>0</v>
      </c>
      <c r="H126" s="45">
        <f t="shared" si="23"/>
        <v>0</v>
      </c>
      <c r="I126" s="51">
        <f t="shared" si="24"/>
        <v>0</v>
      </c>
      <c r="J126" s="30" t="s">
        <v>1390</v>
      </c>
      <c r="K126" s="889"/>
      <c r="L126" s="30"/>
      <c r="M126" s="30"/>
      <c r="O126" s="80"/>
      <c r="P126" s="80"/>
      <c r="Q126" s="80"/>
      <c r="R126" s="80"/>
      <c r="S126" s="80"/>
      <c r="T126" s="80"/>
      <c r="U126" s="80"/>
    </row>
    <row r="127" spans="1:21" s="28" customFormat="1">
      <c r="A127" s="48">
        <v>413</v>
      </c>
      <c r="B127" s="44" t="s">
        <v>1411</v>
      </c>
      <c r="C127" s="49">
        <v>0</v>
      </c>
      <c r="D127" s="199">
        <f>SUMIF('COST REPORT'!$A$9:$A$998,'Project Budget Summary'!A127,'COST REPORT'!$F$9:$F$998)-SUMIFS('COST REPORT'!$F$9:$F$998,'COST REPORT'!$A$9:$A$998,'Project Budget Summary'!A127,'COST REPORT'!$I$9:$I$998,"close")</f>
        <v>0</v>
      </c>
      <c r="E127" s="50">
        <f>SUMIF(INPUT!$I$231:$I$522,'Project Budget Summary'!A127,INPUT!$H$231:$H$522)+SUMIFS('COST REPORT'!$F$9:$F$998,'COST REPORT'!$A$9:$A$998,'Project Budget Summary'!A127,'COST REPORT'!$I$9:$I$998,"close")-SUMIFS('COST REPORT'!$F$9:$F$998,'COST REPORT'!$A$9:$A$998,'Project Budget Summary'!A127,'COST REPORT'!$I$9:$I$998,"close",'COST REPORT'!$J$9:$J$998,"x")</f>
        <v>0</v>
      </c>
      <c r="F127" s="50">
        <f t="shared" si="22"/>
        <v>0</v>
      </c>
      <c r="G127" s="45">
        <f>SUMIF('COST REPORT'!$A$9:$A$998,'Project Budget Summary'!A127,'COST REPORT'!$G$9:$G$998)</f>
        <v>0</v>
      </c>
      <c r="H127" s="45">
        <f t="shared" si="23"/>
        <v>0</v>
      </c>
      <c r="I127" s="51">
        <f t="shared" si="24"/>
        <v>0</v>
      </c>
      <c r="J127" s="30" t="s">
        <v>1390</v>
      </c>
      <c r="K127" s="889"/>
      <c r="L127" s="30"/>
      <c r="M127" s="30"/>
      <c r="O127" s="80"/>
      <c r="P127" s="80"/>
      <c r="Q127" s="80"/>
      <c r="R127" s="80"/>
      <c r="S127" s="80"/>
      <c r="T127" s="80"/>
      <c r="U127" s="80"/>
    </row>
    <row r="128" spans="1:21" s="28" customFormat="1">
      <c r="A128" s="48">
        <v>414</v>
      </c>
      <c r="B128" s="44" t="s">
        <v>1412</v>
      </c>
      <c r="C128" s="49">
        <v>0</v>
      </c>
      <c r="D128" s="199">
        <f>SUMIF('COST REPORT'!$A$9:$A$998,'Project Budget Summary'!A128,'COST REPORT'!$F$9:$F$998)-SUMIFS('COST REPORT'!$F$9:$F$998,'COST REPORT'!$A$9:$A$998,'Project Budget Summary'!A128,'COST REPORT'!$I$9:$I$998,"close")</f>
        <v>0</v>
      </c>
      <c r="E128" s="50">
        <f>SUMIF(INPUT!$I$231:$I$522,'Project Budget Summary'!A128,INPUT!$H$231:$H$522)+SUMIFS('COST REPORT'!$F$9:$F$998,'COST REPORT'!$A$9:$A$998,'Project Budget Summary'!A128,'COST REPORT'!$I$9:$I$998,"close")-SUMIFS('COST REPORT'!$F$9:$F$998,'COST REPORT'!$A$9:$A$998,'Project Budget Summary'!A128,'COST REPORT'!$I$9:$I$998,"close",'COST REPORT'!$J$9:$J$998,"x")</f>
        <v>0</v>
      </c>
      <c r="F128" s="50">
        <f t="shared" si="22"/>
        <v>0</v>
      </c>
      <c r="G128" s="45">
        <f>SUMIF('COST REPORT'!$A$9:$A$998,'Project Budget Summary'!A128,'COST REPORT'!$G$9:$G$998)</f>
        <v>0</v>
      </c>
      <c r="H128" s="45">
        <f t="shared" si="23"/>
        <v>0</v>
      </c>
      <c r="I128" s="51">
        <f t="shared" si="24"/>
        <v>0</v>
      </c>
      <c r="J128" s="30" t="s">
        <v>1390</v>
      </c>
      <c r="K128" s="889"/>
      <c r="L128" s="30"/>
      <c r="M128" s="30"/>
      <c r="O128" s="80"/>
      <c r="P128" s="80"/>
      <c r="Q128" s="80"/>
      <c r="R128" s="80"/>
      <c r="S128" s="80"/>
      <c r="T128" s="80"/>
      <c r="U128" s="80"/>
    </row>
    <row r="129" spans="1:21" s="28" customFormat="1">
      <c r="A129" s="48">
        <v>415</v>
      </c>
      <c r="B129" s="44" t="s">
        <v>1413</v>
      </c>
      <c r="C129" s="49">
        <v>0</v>
      </c>
      <c r="D129" s="199">
        <f>SUMIF('COST REPORT'!$A$9:$A$998,'Project Budget Summary'!A129,'COST REPORT'!$F$9:$F$998)-SUMIFS('COST REPORT'!$F$9:$F$998,'COST REPORT'!$A$9:$A$998,'Project Budget Summary'!A129,'COST REPORT'!$I$9:$I$998,"close")</f>
        <v>0</v>
      </c>
      <c r="E129" s="50">
        <f>SUMIF(INPUT!$I$231:$I$522,'Project Budget Summary'!A129,INPUT!$H$231:$H$522)+SUMIFS('COST REPORT'!$F$9:$F$998,'COST REPORT'!$A$9:$A$998,'Project Budget Summary'!A129,'COST REPORT'!$I$9:$I$998,"close")-SUMIFS('COST REPORT'!$F$9:$F$998,'COST REPORT'!$A$9:$A$998,'Project Budget Summary'!A129,'COST REPORT'!$I$9:$I$998,"close",'COST REPORT'!$J$9:$J$998,"x")</f>
        <v>0</v>
      </c>
      <c r="F129" s="50">
        <f t="shared" si="22"/>
        <v>0</v>
      </c>
      <c r="G129" s="45">
        <f>SUMIF('COST REPORT'!$A$9:$A$998,'Project Budget Summary'!A129,'COST REPORT'!$G$9:$G$998)</f>
        <v>0</v>
      </c>
      <c r="H129" s="45">
        <f t="shared" si="23"/>
        <v>0</v>
      </c>
      <c r="I129" s="51">
        <f t="shared" si="24"/>
        <v>0</v>
      </c>
      <c r="J129" s="30" t="s">
        <v>1390</v>
      </c>
      <c r="K129" s="889"/>
      <c r="L129" s="30"/>
      <c r="M129" s="30"/>
      <c r="O129" s="80"/>
      <c r="P129" s="80"/>
      <c r="Q129" s="80"/>
      <c r="R129" s="80"/>
      <c r="S129" s="80"/>
      <c r="T129" s="80"/>
      <c r="U129" s="80"/>
    </row>
    <row r="130" spans="1:21" s="28" customFormat="1">
      <c r="A130" s="48">
        <v>416</v>
      </c>
      <c r="B130" s="750" t="s">
        <v>1414</v>
      </c>
      <c r="C130" s="49">
        <v>0</v>
      </c>
      <c r="D130" s="199">
        <f>SUMIF('COST REPORT'!$A$9:$A$998,'Project Budget Summary'!A130,'COST REPORT'!$F$9:$F$998)-SUMIFS('COST REPORT'!$F$9:$F$998,'COST REPORT'!$A$9:$A$998,'Project Budget Summary'!A130,'COST REPORT'!$I$9:$I$998,"close")</f>
        <v>0</v>
      </c>
      <c r="E130" s="50">
        <f>SUMIF(INPUT!$I$231:$I$522,'Project Budget Summary'!A130,INPUT!$H$231:$H$522)+SUMIFS('COST REPORT'!$F$9:$F$998,'COST REPORT'!$A$9:$A$998,'Project Budget Summary'!A130,'COST REPORT'!$I$9:$I$998,"close")-SUMIFS('COST REPORT'!$F$9:$F$998,'COST REPORT'!$A$9:$A$998,'Project Budget Summary'!A130,'COST REPORT'!$I$9:$I$998,"close",'COST REPORT'!$J$9:$J$998,"x")</f>
        <v>0</v>
      </c>
      <c r="F130" s="50">
        <f t="shared" si="22"/>
        <v>0</v>
      </c>
      <c r="G130" s="45">
        <f>SUMIF('COST REPORT'!$A$9:$A$998,'Project Budget Summary'!A130,'COST REPORT'!$G$9:$G$998)</f>
        <v>0</v>
      </c>
      <c r="H130" s="45">
        <f t="shared" si="23"/>
        <v>0</v>
      </c>
      <c r="I130" s="51">
        <f t="shared" si="24"/>
        <v>0</v>
      </c>
      <c r="J130" s="30" t="s">
        <v>1390</v>
      </c>
      <c r="K130" s="889"/>
      <c r="L130" s="30"/>
      <c r="M130" s="30"/>
      <c r="O130" s="80"/>
      <c r="P130" s="80"/>
      <c r="Q130" s="80"/>
      <c r="R130" s="80"/>
      <c r="S130" s="80"/>
      <c r="T130" s="80"/>
      <c r="U130" s="80"/>
    </row>
    <row r="131" spans="1:21" s="28" customFormat="1">
      <c r="A131" s="48">
        <v>417</v>
      </c>
      <c r="B131" s="137" t="s">
        <v>1415</v>
      </c>
      <c r="C131" s="49">
        <v>0</v>
      </c>
      <c r="D131" s="199">
        <f>SUMIF('COST REPORT'!$A$9:$A$998,'Project Budget Summary'!A131,'COST REPORT'!$F$9:$F$998)-SUMIFS('COST REPORT'!$F$9:$F$998,'COST REPORT'!$A$9:$A$998,'Project Budget Summary'!A131,'COST REPORT'!$I$9:$I$998,"close")</f>
        <v>0</v>
      </c>
      <c r="E131" s="50">
        <f>SUMIF(INPUT!$I$231:$I$522,'Project Budget Summary'!A131,INPUT!$H$231:$H$522)+SUMIFS('COST REPORT'!$F$9:$F$998,'COST REPORT'!$A$9:$A$998,'Project Budget Summary'!A131,'COST REPORT'!$I$9:$I$998,"close")-SUMIFS('COST REPORT'!$F$9:$F$998,'COST REPORT'!$A$9:$A$998,'Project Budget Summary'!A131,'COST REPORT'!$I$9:$I$998,"close",'COST REPORT'!$J$9:$J$998,"x")</f>
        <v>0</v>
      </c>
      <c r="F131" s="50">
        <f t="shared" si="22"/>
        <v>0</v>
      </c>
      <c r="G131" s="45">
        <f>SUMIF('COST REPORT'!$A$9:$A$998,'Project Budget Summary'!A131,'COST REPORT'!$G$9:$G$998)</f>
        <v>0</v>
      </c>
      <c r="H131" s="45">
        <f t="shared" si="23"/>
        <v>0</v>
      </c>
      <c r="I131" s="51">
        <f t="shared" si="24"/>
        <v>0</v>
      </c>
      <c r="J131" s="30" t="s">
        <v>1390</v>
      </c>
      <c r="K131" s="889"/>
      <c r="L131" s="30"/>
      <c r="M131" s="30"/>
      <c r="O131" s="80"/>
      <c r="P131" s="80"/>
      <c r="Q131" s="80"/>
      <c r="R131" s="80"/>
      <c r="S131" s="80"/>
      <c r="T131" s="80"/>
      <c r="U131" s="80"/>
    </row>
    <row r="132" spans="1:21" s="28" customFormat="1">
      <c r="A132" s="48">
        <v>418</v>
      </c>
      <c r="B132" s="137" t="s">
        <v>1416</v>
      </c>
      <c r="C132" s="49">
        <v>0</v>
      </c>
      <c r="D132" s="199">
        <f>SUMIF('COST REPORT'!$A$9:$A$998,'Project Budget Summary'!A132,'COST REPORT'!$F$9:$F$998)-SUMIFS('COST REPORT'!$F$9:$F$998,'COST REPORT'!$A$9:$A$998,'Project Budget Summary'!A132,'COST REPORT'!$I$9:$I$998,"close")</f>
        <v>0</v>
      </c>
      <c r="E132" s="50">
        <f>SUMIF(INPUT!$I$231:$I$522,'Project Budget Summary'!A132,INPUT!$H$231:$H$522)+SUMIFS('COST REPORT'!$F$9:$F$998,'COST REPORT'!$A$9:$A$998,'Project Budget Summary'!A132,'COST REPORT'!$I$9:$I$998,"close")-SUMIFS('COST REPORT'!$F$9:$F$998,'COST REPORT'!$A$9:$A$998,'Project Budget Summary'!A132,'COST REPORT'!$I$9:$I$998,"close",'COST REPORT'!$J$9:$J$998,"x")</f>
        <v>0</v>
      </c>
      <c r="F132" s="50">
        <f t="shared" si="22"/>
        <v>0</v>
      </c>
      <c r="G132" s="45">
        <f>SUMIF('COST REPORT'!$A$9:$A$998,'Project Budget Summary'!A132,'COST REPORT'!$G$9:$G$998)</f>
        <v>0</v>
      </c>
      <c r="H132" s="45">
        <f t="shared" si="23"/>
        <v>0</v>
      </c>
      <c r="I132" s="51">
        <f t="shared" si="24"/>
        <v>0</v>
      </c>
      <c r="J132" s="30" t="s">
        <v>1390</v>
      </c>
      <c r="K132" s="889"/>
      <c r="L132" s="30"/>
      <c r="M132" s="30"/>
      <c r="O132" s="80"/>
      <c r="P132" s="80"/>
      <c r="Q132" s="80"/>
      <c r="R132" s="80"/>
      <c r="S132" s="80"/>
      <c r="T132" s="80"/>
      <c r="U132" s="80"/>
    </row>
    <row r="133" spans="1:21" s="28" customFormat="1">
      <c r="A133" s="48">
        <v>419</v>
      </c>
      <c r="B133" s="137" t="s">
        <v>1416</v>
      </c>
      <c r="C133" s="49">
        <v>0</v>
      </c>
      <c r="D133" s="199">
        <f>SUMIF('COST REPORT'!$A$9:$A$998,'Project Budget Summary'!A133,'COST REPORT'!$F$9:$F$998)-SUMIFS('COST REPORT'!$F$9:$F$998,'COST REPORT'!$A$9:$A$998,'Project Budget Summary'!A133,'COST REPORT'!$I$9:$I$998,"close")</f>
        <v>0</v>
      </c>
      <c r="E133" s="50">
        <f>SUMIF(INPUT!$I$231:$I$522,'Project Budget Summary'!A133,INPUT!$H$231:$H$522)+SUMIFS('COST REPORT'!$F$9:$F$998,'COST REPORT'!$A$9:$A$998,'Project Budget Summary'!A133,'COST REPORT'!$I$9:$I$998,"close")-SUMIFS('COST REPORT'!$F$9:$F$998,'COST REPORT'!$A$9:$A$998,'Project Budget Summary'!A133,'COST REPORT'!$I$9:$I$998,"close",'COST REPORT'!$J$9:$J$998,"x")</f>
        <v>0</v>
      </c>
      <c r="F133" s="50">
        <f t="shared" si="22"/>
        <v>0</v>
      </c>
      <c r="G133" s="45">
        <f>SUMIF('COST REPORT'!$A$9:$A$998,'Project Budget Summary'!A133,'COST REPORT'!$G$9:$G$998)</f>
        <v>0</v>
      </c>
      <c r="H133" s="45">
        <f t="shared" si="23"/>
        <v>0</v>
      </c>
      <c r="I133" s="51">
        <f t="shared" si="24"/>
        <v>0</v>
      </c>
      <c r="J133" s="30" t="s">
        <v>1390</v>
      </c>
      <c r="K133" s="889"/>
      <c r="L133" s="30"/>
      <c r="M133" s="30"/>
      <c r="O133" s="80"/>
      <c r="P133" s="80"/>
      <c r="Q133" s="80"/>
      <c r="R133" s="80"/>
      <c r="S133" s="80"/>
      <c r="T133" s="80"/>
      <c r="U133" s="80"/>
    </row>
    <row r="134" spans="1:21" s="28" customFormat="1">
      <c r="A134" s="48">
        <v>420</v>
      </c>
      <c r="B134" s="137" t="s">
        <v>1416</v>
      </c>
      <c r="C134" s="49">
        <v>0</v>
      </c>
      <c r="D134" s="199">
        <f>SUMIF('COST REPORT'!$A$9:$A$998,'Project Budget Summary'!A134,'COST REPORT'!$F$9:$F$998)-SUMIFS('COST REPORT'!$F$9:$F$998,'COST REPORT'!$A$9:$A$998,'Project Budget Summary'!A134,'COST REPORT'!$I$9:$I$998,"close")</f>
        <v>0</v>
      </c>
      <c r="E134" s="50">
        <f>SUMIF(INPUT!$I$231:$I$522,'Project Budget Summary'!A134,INPUT!$H$231:$H$522)+SUMIFS('COST REPORT'!$F$9:$F$998,'COST REPORT'!$A$9:$A$998,'Project Budget Summary'!A134,'COST REPORT'!$I$9:$I$998,"close")-SUMIFS('COST REPORT'!$F$9:$F$998,'COST REPORT'!$A$9:$A$998,'Project Budget Summary'!A134,'COST REPORT'!$I$9:$I$998,"close",'COST REPORT'!$J$9:$J$998,"x")</f>
        <v>0</v>
      </c>
      <c r="F134" s="50">
        <f>D134+E134</f>
        <v>0</v>
      </c>
      <c r="G134" s="45">
        <f>SUMIF('COST REPORT'!$A$9:$A$998,'Project Budget Summary'!A134,'COST REPORT'!$G$9:$G$998)</f>
        <v>0</v>
      </c>
      <c r="H134" s="45">
        <f>F134-G134</f>
        <v>0</v>
      </c>
      <c r="I134" s="51">
        <f>C134-F134</f>
        <v>0</v>
      </c>
      <c r="J134" s="30" t="s">
        <v>1390</v>
      </c>
      <c r="K134" s="889"/>
      <c r="L134" s="30"/>
      <c r="M134" s="30"/>
      <c r="N134" s="30"/>
      <c r="O134" s="80"/>
      <c r="P134" s="80"/>
      <c r="Q134" s="80"/>
      <c r="R134" s="80"/>
      <c r="S134" s="80"/>
      <c r="T134" s="80"/>
      <c r="U134" s="80"/>
    </row>
    <row r="135" spans="1:21" s="28" customFormat="1">
      <c r="A135" s="48">
        <v>421</v>
      </c>
      <c r="B135" s="137" t="s">
        <v>1416</v>
      </c>
      <c r="C135" s="49">
        <v>0</v>
      </c>
      <c r="D135" s="199">
        <f>SUMIF('COST REPORT'!$A$9:$A$998,'Project Budget Summary'!A135,'COST REPORT'!$F$9:$F$998)-SUMIFS('COST REPORT'!$F$9:$F$998,'COST REPORT'!$A$9:$A$998,'Project Budget Summary'!A135,'COST REPORT'!$I$9:$I$998,"close")</f>
        <v>0</v>
      </c>
      <c r="E135" s="50">
        <f>SUMIF(INPUT!$I$231:$I$522,'Project Budget Summary'!A135,INPUT!$H$231:$H$522)+SUMIFS('COST REPORT'!$F$9:$F$998,'COST REPORT'!$A$9:$A$998,'Project Budget Summary'!A135,'COST REPORT'!$I$9:$I$998,"close")-SUMIFS('COST REPORT'!$F$9:$F$998,'COST REPORT'!$A$9:$A$998,'Project Budget Summary'!A135,'COST REPORT'!$I$9:$I$998,"close",'COST REPORT'!$J$9:$J$998,"x")</f>
        <v>0</v>
      </c>
      <c r="F135" s="50">
        <f>D135+E135</f>
        <v>0</v>
      </c>
      <c r="G135" s="45">
        <f>SUMIF('COST REPORT'!$A$9:$A$998,'Project Budget Summary'!A135,'COST REPORT'!$G$9:$G$998)</f>
        <v>0</v>
      </c>
      <c r="H135" s="45">
        <f>F135-G135</f>
        <v>0</v>
      </c>
      <c r="I135" s="51">
        <f>C135-F135</f>
        <v>0</v>
      </c>
      <c r="J135" s="30" t="s">
        <v>1390</v>
      </c>
      <c r="K135" s="889"/>
      <c r="L135" s="30"/>
      <c r="M135" s="30"/>
      <c r="N135" s="30"/>
      <c r="O135" s="80"/>
      <c r="P135" s="80"/>
      <c r="Q135" s="80"/>
      <c r="R135" s="80"/>
      <c r="S135" s="80"/>
      <c r="T135" s="80"/>
      <c r="U135" s="80"/>
    </row>
    <row r="136" spans="1:21" s="28" customFormat="1">
      <c r="A136" s="48">
        <v>422</v>
      </c>
      <c r="B136" s="137" t="s">
        <v>1416</v>
      </c>
      <c r="C136" s="49">
        <v>0</v>
      </c>
      <c r="D136" s="199">
        <f>SUMIF('COST REPORT'!$A$9:$A$998,'Project Budget Summary'!A136,'COST REPORT'!$F$9:$F$998)-SUMIFS('COST REPORT'!$F$9:$F$998,'COST REPORT'!$A$9:$A$998,'Project Budget Summary'!A136,'COST REPORT'!$I$9:$I$998,"close")</f>
        <v>0</v>
      </c>
      <c r="E136" s="50">
        <f>SUMIF(INPUT!$I$231:$I$522,'Project Budget Summary'!A136,INPUT!$H$231:$H$522)+SUMIFS('COST REPORT'!$F$9:$F$998,'COST REPORT'!$A$9:$A$998,'Project Budget Summary'!A136,'COST REPORT'!$I$9:$I$998,"close")-SUMIFS('COST REPORT'!$F$9:$F$998,'COST REPORT'!$A$9:$A$998,'Project Budget Summary'!A136,'COST REPORT'!$I$9:$I$998,"close",'COST REPORT'!$J$9:$J$998,"x")</f>
        <v>0</v>
      </c>
      <c r="F136" s="50">
        <f>D136+E136</f>
        <v>0</v>
      </c>
      <c r="G136" s="45">
        <f>SUMIF('COST REPORT'!$A$9:$A$998,'Project Budget Summary'!A136,'COST REPORT'!$G$9:$G$998)</f>
        <v>0</v>
      </c>
      <c r="H136" s="45">
        <f>F136-G136</f>
        <v>0</v>
      </c>
      <c r="I136" s="51">
        <f>C136-F136</f>
        <v>0</v>
      </c>
      <c r="J136" s="30" t="s">
        <v>1390</v>
      </c>
      <c r="K136" s="889"/>
      <c r="L136" s="30"/>
      <c r="M136" s="30"/>
      <c r="N136" s="30"/>
      <c r="O136" s="80"/>
      <c r="P136" s="80"/>
      <c r="Q136" s="80"/>
      <c r="R136" s="80"/>
      <c r="S136" s="80"/>
      <c r="T136" s="80"/>
      <c r="U136" s="80"/>
    </row>
    <row r="137" spans="1:21" s="28" customFormat="1">
      <c r="A137" s="48">
        <v>423</v>
      </c>
      <c r="B137" s="137" t="s">
        <v>1416</v>
      </c>
      <c r="C137" s="49">
        <v>0</v>
      </c>
      <c r="D137" s="199">
        <f>SUMIF('COST REPORT'!$A$9:$A$998,'Project Budget Summary'!A137,'COST REPORT'!$F$9:$F$998)-SUMIFS('COST REPORT'!$F$9:$F$998,'COST REPORT'!$A$9:$A$998,'Project Budget Summary'!A137,'COST REPORT'!$I$9:$I$998,"close")</f>
        <v>0</v>
      </c>
      <c r="E137" s="50">
        <f>SUMIF(INPUT!$I$231:$I$522,'Project Budget Summary'!A137,INPUT!$H$231:$H$522)+SUMIFS('COST REPORT'!$F$9:$F$998,'COST REPORT'!$A$9:$A$998,'Project Budget Summary'!A137,'COST REPORT'!$I$9:$I$998,"close")-SUMIFS('COST REPORT'!$F$9:$F$998,'COST REPORT'!$A$9:$A$998,'Project Budget Summary'!A137,'COST REPORT'!$I$9:$I$998,"close",'COST REPORT'!$J$9:$J$998,"x")</f>
        <v>0</v>
      </c>
      <c r="F137" s="50">
        <f>D137+E137</f>
        <v>0</v>
      </c>
      <c r="G137" s="45">
        <f>SUMIF('COST REPORT'!$A$9:$A$998,'Project Budget Summary'!A137,'COST REPORT'!$G$9:$G$998)</f>
        <v>0</v>
      </c>
      <c r="H137" s="45">
        <f>F137-G137</f>
        <v>0</v>
      </c>
      <c r="I137" s="51">
        <f>C137-F137</f>
        <v>0</v>
      </c>
      <c r="J137" s="30" t="s">
        <v>1390</v>
      </c>
      <c r="K137" s="889"/>
      <c r="L137" s="30"/>
      <c r="M137" s="30"/>
      <c r="N137" s="30"/>
      <c r="O137" s="80"/>
      <c r="P137" s="80"/>
      <c r="Q137" s="80"/>
      <c r="R137" s="80"/>
      <c r="S137" s="80"/>
      <c r="T137" s="80"/>
      <c r="U137" s="80"/>
    </row>
    <row r="138" spans="1:21" s="28" customFormat="1">
      <c r="A138" s="48">
        <v>424</v>
      </c>
      <c r="B138" s="137" t="s">
        <v>1416</v>
      </c>
      <c r="C138" s="49">
        <v>0</v>
      </c>
      <c r="D138" s="199">
        <f>SUMIF('COST REPORT'!$A$9:$A$998,'Project Budget Summary'!A138,'COST REPORT'!$F$9:$F$998)-SUMIFS('COST REPORT'!$F$9:$F$998,'COST REPORT'!$A$9:$A$998,'Project Budget Summary'!A138,'COST REPORT'!$I$9:$I$998,"close")</f>
        <v>0</v>
      </c>
      <c r="E138" s="50">
        <f>SUMIF(INPUT!$I$231:$I$522,'Project Budget Summary'!A138,INPUT!$H$231:$H$522)+SUMIFS('COST REPORT'!$F$9:$F$998,'COST REPORT'!$A$9:$A$998,'Project Budget Summary'!A138,'COST REPORT'!$I$9:$I$998,"close")-SUMIFS('COST REPORT'!$F$9:$F$998,'COST REPORT'!$A$9:$A$998,'Project Budget Summary'!A138,'COST REPORT'!$I$9:$I$998,"close",'COST REPORT'!$J$9:$J$998,"x")</f>
        <v>0</v>
      </c>
      <c r="F138" s="50">
        <f t="shared" si="22"/>
        <v>0</v>
      </c>
      <c r="G138" s="45">
        <f>SUMIF('COST REPORT'!$A$9:$A$998,'Project Budget Summary'!A138,'COST REPORT'!$G$9:$G$998)</f>
        <v>0</v>
      </c>
      <c r="H138" s="45">
        <f t="shared" si="23"/>
        <v>0</v>
      </c>
      <c r="I138" s="51">
        <f t="shared" si="24"/>
        <v>0</v>
      </c>
      <c r="J138" s="30" t="s">
        <v>1390</v>
      </c>
      <c r="K138" s="889"/>
      <c r="L138" s="30"/>
      <c r="M138" s="30"/>
      <c r="N138" s="30"/>
      <c r="O138" s="80"/>
      <c r="P138" s="80"/>
      <c r="Q138" s="80"/>
      <c r="R138" s="80"/>
      <c r="S138" s="80"/>
      <c r="T138" s="80"/>
      <c r="U138" s="80"/>
    </row>
    <row r="139" spans="1:21" s="28" customFormat="1">
      <c r="A139" s="48">
        <v>425</v>
      </c>
      <c r="B139" s="1132" t="s">
        <v>1417</v>
      </c>
      <c r="C139" s="53">
        <v>0</v>
      </c>
      <c r="D139" s="199">
        <f>SUMIF('COST REPORT'!$A$9:$A$998,'Project Budget Summary'!A139,'COST REPORT'!$F$9:$F$998)-SUMIFS('COST REPORT'!$F$9:$F$998,'COST REPORT'!$A$9:$A$998,'Project Budget Summary'!A139,'COST REPORT'!$I$9:$I$998,"close")</f>
        <v>0</v>
      </c>
      <c r="E139" s="50">
        <f>SUMIF(INPUT!$I$231:$I$522,'Project Budget Summary'!A139,INPUT!$H$231:$H$522)+SUMIFS('COST REPORT'!$F$9:$F$998,'COST REPORT'!$A$9:$A$998,'Project Budget Summary'!A139,'COST REPORT'!$I$9:$I$998,"close")-SUMIFS('COST REPORT'!$F$9:$F$998,'COST REPORT'!$A$9:$A$998,'Project Budget Summary'!A139,'COST REPORT'!$I$9:$I$998,"close",'COST REPORT'!$J$9:$J$998,"x")</f>
        <v>0</v>
      </c>
      <c r="F139" s="50">
        <f t="shared" si="22"/>
        <v>0</v>
      </c>
      <c r="G139" s="45">
        <f>SUMIF('COST REPORT'!$A$9:$A$998,'Project Budget Summary'!A139,'COST REPORT'!$G$9:$G$998)</f>
        <v>0</v>
      </c>
      <c r="H139" s="45">
        <f t="shared" si="23"/>
        <v>0</v>
      </c>
      <c r="I139" s="51">
        <f t="shared" si="24"/>
        <v>0</v>
      </c>
      <c r="J139" s="30" t="s">
        <v>1390</v>
      </c>
      <c r="K139" s="889"/>
      <c r="L139" s="30"/>
      <c r="M139" s="30"/>
      <c r="N139" s="30"/>
      <c r="O139" s="80"/>
      <c r="P139" s="80"/>
      <c r="Q139" s="80"/>
      <c r="R139" s="80"/>
      <c r="S139" s="80"/>
      <c r="T139" s="80"/>
      <c r="U139" s="80"/>
    </row>
    <row r="140" spans="1:21" s="28" customFormat="1" ht="13.5" thickBot="1">
      <c r="A140" s="54" t="s">
        <v>1418</v>
      </c>
      <c r="B140" s="55"/>
      <c r="C140" s="56">
        <f>SUM(C114:C139)</f>
        <v>0</v>
      </c>
      <c r="D140" s="56">
        <f t="shared" ref="D140:I140" si="25">SUM(D114:D139)</f>
        <v>0</v>
      </c>
      <c r="E140" s="56">
        <f t="shared" si="25"/>
        <v>0</v>
      </c>
      <c r="F140" s="56">
        <f t="shared" si="25"/>
        <v>0</v>
      </c>
      <c r="G140" s="56">
        <f t="shared" si="25"/>
        <v>0</v>
      </c>
      <c r="H140" s="56">
        <f t="shared" si="25"/>
        <v>0</v>
      </c>
      <c r="I140" s="56">
        <f t="shared" si="25"/>
        <v>0</v>
      </c>
      <c r="J140" s="30"/>
      <c r="K140" s="30"/>
      <c r="L140" s="30"/>
      <c r="M140" s="30"/>
      <c r="N140" s="30"/>
      <c r="O140" s="80"/>
      <c r="P140" s="80"/>
      <c r="Q140" s="80"/>
      <c r="R140" s="80"/>
      <c r="S140" s="80"/>
      <c r="T140" s="80"/>
      <c r="U140" s="80"/>
    </row>
    <row r="141" spans="1:21" s="28" customFormat="1">
      <c r="A141" s="243"/>
      <c r="B141" s="243"/>
      <c r="C141" s="286"/>
      <c r="D141" s="286"/>
      <c r="E141" s="287"/>
      <c r="F141" s="287"/>
      <c r="G141" s="286"/>
      <c r="H141" s="286"/>
      <c r="I141" s="286"/>
      <c r="J141" s="30"/>
      <c r="K141" s="30"/>
      <c r="L141" s="30"/>
      <c r="M141" s="30"/>
      <c r="N141" s="30"/>
      <c r="O141" s="80"/>
      <c r="P141" s="80"/>
      <c r="Q141" s="80"/>
      <c r="R141" s="80"/>
      <c r="S141" s="80"/>
      <c r="T141" s="80"/>
      <c r="U141" s="80"/>
    </row>
    <row r="142" spans="1:21" s="28" customFormat="1">
      <c r="A142" s="58" t="s">
        <v>1419</v>
      </c>
      <c r="B142" s="39"/>
      <c r="C142" s="40"/>
      <c r="D142" s="40"/>
      <c r="E142" s="59"/>
      <c r="F142" s="59"/>
      <c r="G142" s="40"/>
      <c r="H142" s="40"/>
      <c r="I142" s="60"/>
      <c r="J142" s="30"/>
      <c r="K142" s="30"/>
      <c r="L142" s="30"/>
      <c r="M142" s="30"/>
      <c r="N142" s="30"/>
      <c r="O142" s="80"/>
      <c r="P142" s="80"/>
      <c r="Q142" s="80"/>
      <c r="R142" s="80"/>
      <c r="S142" s="80"/>
      <c r="T142" s="80"/>
      <c r="U142" s="80"/>
    </row>
    <row r="143" spans="1:21" s="28" customFormat="1">
      <c r="A143" s="48">
        <v>500</v>
      </c>
      <c r="B143" s="44" t="s">
        <v>1420</v>
      </c>
      <c r="C143" s="49">
        <v>0</v>
      </c>
      <c r="D143" s="199">
        <f>SUMIF('COST REPORT'!$A$9:$A$998,'Project Budget Summary'!A143,'COST REPORT'!$F$9:$F$998)-SUMIFS('COST REPORT'!$F$9:$F$998,'COST REPORT'!$A$9:$A$998,'Project Budget Summary'!A143,'COST REPORT'!$I$9:$I$998,"close")</f>
        <v>0</v>
      </c>
      <c r="E143" s="50">
        <f>SUMIF(INPUT!$I$231:$I$522,'Project Budget Summary'!A143,INPUT!$H$231:$H$522)+SUMIFS('COST REPORT'!$F$9:$F$998,'COST REPORT'!$A$9:$A$998,'Project Budget Summary'!A143,'COST REPORT'!$I$9:$I$998,"close")-SUMIFS('COST REPORT'!$F$9:$F$998,'COST REPORT'!$A$9:$A$998,'Project Budget Summary'!A143,'COST REPORT'!$I$9:$I$998,"close",'COST REPORT'!$J$9:$J$998,"x")</f>
        <v>0</v>
      </c>
      <c r="F143" s="50">
        <f>D143+E143</f>
        <v>0</v>
      </c>
      <c r="G143" s="45">
        <f>SUMIF('COST REPORT'!$A$9:$A$998,'Project Budget Summary'!A143,'COST REPORT'!$G$9:$G$998)</f>
        <v>0</v>
      </c>
      <c r="H143" s="45">
        <f>F143-G143</f>
        <v>0</v>
      </c>
      <c r="I143" s="51">
        <f>C143-F143</f>
        <v>0</v>
      </c>
      <c r="J143" s="30" t="s">
        <v>1421</v>
      </c>
      <c r="K143" s="889"/>
      <c r="L143" s="30"/>
      <c r="M143" s="30"/>
      <c r="N143" s="30"/>
      <c r="O143" s="260" t="s">
        <v>1422</v>
      </c>
      <c r="P143" s="80"/>
      <c r="Q143" s="80"/>
      <c r="R143" s="80"/>
      <c r="S143" s="80"/>
      <c r="T143" s="80"/>
      <c r="U143" s="80"/>
    </row>
    <row r="144" spans="1:21" s="28" customFormat="1">
      <c r="A144" s="48">
        <f>A143+1</f>
        <v>501</v>
      </c>
      <c r="B144" s="44" t="s">
        <v>1423</v>
      </c>
      <c r="C144" s="49">
        <v>0</v>
      </c>
      <c r="D144" s="199">
        <f>SUMIF('COST REPORT'!$A$9:$A$998,'Project Budget Summary'!A144,'COST REPORT'!$F$9:$F$998)-SUMIFS('COST REPORT'!$F$9:$F$998,'COST REPORT'!$A$9:$A$998,'Project Budget Summary'!A144,'COST REPORT'!$I$9:$I$998,"close")</f>
        <v>0</v>
      </c>
      <c r="E144" s="50">
        <f>SUMIF(INPUT!$I$231:$I$522,'Project Budget Summary'!A144,INPUT!$H$231:$H$522)+SUMIFS('COST REPORT'!$F$9:$F$998,'COST REPORT'!$A$9:$A$998,'Project Budget Summary'!A144,'COST REPORT'!$I$9:$I$998,"close")-SUMIFS('COST REPORT'!$F$9:$F$998,'COST REPORT'!$A$9:$A$998,'Project Budget Summary'!A144,'COST REPORT'!$I$9:$I$998,"close",'COST REPORT'!$J$9:$J$998,"x")</f>
        <v>0</v>
      </c>
      <c r="F144" s="50">
        <f>D144+E144</f>
        <v>0</v>
      </c>
      <c r="G144" s="45">
        <f>SUMIF('COST REPORT'!$A$9:$A$998,'Project Budget Summary'!A144,'COST REPORT'!$G$9:$G$998)</f>
        <v>0</v>
      </c>
      <c r="H144" s="45">
        <f>F144-G144</f>
        <v>0</v>
      </c>
      <c r="I144" s="51">
        <f>C144-F144</f>
        <v>0</v>
      </c>
      <c r="J144" s="30" t="s">
        <v>1421</v>
      </c>
      <c r="K144" s="889"/>
      <c r="L144" s="30"/>
      <c r="M144" s="30"/>
      <c r="N144" s="30"/>
      <c r="O144" s="80"/>
      <c r="P144" s="80"/>
      <c r="Q144" s="80"/>
      <c r="R144" s="80"/>
      <c r="S144" s="80"/>
      <c r="T144" s="80"/>
      <c r="U144" s="80"/>
    </row>
    <row r="145" spans="1:21" s="28" customFormat="1">
      <c r="A145" s="48">
        <f t="shared" ref="A145:A173" si="26">A144+1</f>
        <v>502</v>
      </c>
      <c r="B145" s="44" t="s">
        <v>1424</v>
      </c>
      <c r="C145" s="49">
        <v>0</v>
      </c>
      <c r="D145" s="199">
        <f>SUMIF('COST REPORT'!$A$9:$A$998,'Project Budget Summary'!A145,'COST REPORT'!$F$9:$F$998)-SUMIFS('COST REPORT'!$F$9:$F$998,'COST REPORT'!$A$9:$A$998,'Project Budget Summary'!A145,'COST REPORT'!$I$9:$I$998,"close")</f>
        <v>0</v>
      </c>
      <c r="E145" s="50">
        <f>SUMIF(INPUT!$I$231:$I$522,'Project Budget Summary'!A145,INPUT!$H$231:$H$522)+SUMIFS('COST REPORT'!$F$9:$F$998,'COST REPORT'!$A$9:$A$998,'Project Budget Summary'!A145,'COST REPORT'!$I$9:$I$998,"close")-SUMIFS('COST REPORT'!$F$9:$F$998,'COST REPORT'!$A$9:$A$998,'Project Budget Summary'!A145,'COST REPORT'!$I$9:$I$998,"close",'COST REPORT'!$J$9:$J$998,"x")</f>
        <v>0</v>
      </c>
      <c r="F145" s="50">
        <f>D145+E145</f>
        <v>0</v>
      </c>
      <c r="G145" s="45">
        <f>SUMIF('COST REPORT'!$A$9:$A$998,'Project Budget Summary'!A145,'COST REPORT'!$G$9:$G$998)</f>
        <v>0</v>
      </c>
      <c r="H145" s="45">
        <f>F145-G145</f>
        <v>0</v>
      </c>
      <c r="I145" s="51">
        <f>C145-F145</f>
        <v>0</v>
      </c>
      <c r="J145" s="30" t="s">
        <v>1421</v>
      </c>
      <c r="K145" s="889"/>
      <c r="L145" s="30"/>
      <c r="M145" s="30"/>
      <c r="N145" s="30"/>
      <c r="O145" s="80"/>
      <c r="P145" s="80"/>
      <c r="Q145" s="80"/>
      <c r="R145" s="80"/>
      <c r="S145" s="80"/>
      <c r="T145" s="80"/>
      <c r="U145" s="80"/>
    </row>
    <row r="146" spans="1:21" s="28" customFormat="1">
      <c r="A146" s="48">
        <f t="shared" si="26"/>
        <v>503</v>
      </c>
      <c r="B146" s="44" t="s">
        <v>1425</v>
      </c>
      <c r="C146" s="49">
        <v>0</v>
      </c>
      <c r="D146" s="199">
        <f>SUMIF('COST REPORT'!$A$9:$A$998,'Project Budget Summary'!A146,'COST REPORT'!$F$9:$F$998)-SUMIFS('COST REPORT'!$F$9:$F$998,'COST REPORT'!$A$9:$A$998,'Project Budget Summary'!A146,'COST REPORT'!$I$9:$I$998,"close")</f>
        <v>0</v>
      </c>
      <c r="E146" s="50">
        <f>SUMIF(INPUT!$I$231:$I$522,'Project Budget Summary'!A146,INPUT!$H$231:$H$522)+SUMIFS('COST REPORT'!$F$9:$F$998,'COST REPORT'!$A$9:$A$998,'Project Budget Summary'!A146,'COST REPORT'!$I$9:$I$998,"close")-SUMIFS('COST REPORT'!$F$9:$F$998,'COST REPORT'!$A$9:$A$998,'Project Budget Summary'!A146,'COST REPORT'!$I$9:$I$998,"close",'COST REPORT'!$J$9:$J$998,"x")</f>
        <v>0</v>
      </c>
      <c r="F146" s="50">
        <f t="shared" ref="F146:F156" si="27">D146+E146</f>
        <v>0</v>
      </c>
      <c r="G146" s="45">
        <f>SUMIF('COST REPORT'!$A$9:$A$998,'Project Budget Summary'!A146,'COST REPORT'!$G$9:$G$998)</f>
        <v>0</v>
      </c>
      <c r="H146" s="45">
        <f t="shared" ref="H146:H156" si="28">F146-G146</f>
        <v>0</v>
      </c>
      <c r="I146" s="51">
        <f t="shared" ref="I146:I156" si="29">C146-F146</f>
        <v>0</v>
      </c>
      <c r="J146" s="30" t="s">
        <v>1421</v>
      </c>
      <c r="K146" s="889"/>
      <c r="L146" s="30"/>
      <c r="M146" s="30"/>
      <c r="N146" s="30"/>
      <c r="O146" s="80"/>
      <c r="P146" s="80"/>
      <c r="Q146" s="80"/>
      <c r="R146" s="80"/>
      <c r="S146" s="80"/>
      <c r="T146" s="80"/>
      <c r="U146" s="80"/>
    </row>
    <row r="147" spans="1:21" s="28" customFormat="1">
      <c r="A147" s="48">
        <f t="shared" si="26"/>
        <v>504</v>
      </c>
      <c r="B147" s="44" t="s">
        <v>1426</v>
      </c>
      <c r="C147" s="49">
        <v>0</v>
      </c>
      <c r="D147" s="199">
        <f>SUMIF('COST REPORT'!$A$9:$A$998,'Project Budget Summary'!A147,'COST REPORT'!$F$9:$F$998)-SUMIFS('COST REPORT'!$F$9:$F$998,'COST REPORT'!$A$9:$A$998,'Project Budget Summary'!A147,'COST REPORT'!$I$9:$I$998,"close")</f>
        <v>0</v>
      </c>
      <c r="E147" s="50">
        <f>SUMIF(INPUT!$I$231:$I$522,'Project Budget Summary'!A147,INPUT!$H$231:$H$522)+SUMIFS('COST REPORT'!$F$9:$F$998,'COST REPORT'!$A$9:$A$998,'Project Budget Summary'!A147,'COST REPORT'!$I$9:$I$998,"close")-SUMIFS('COST REPORT'!$F$9:$F$998,'COST REPORT'!$A$9:$A$998,'Project Budget Summary'!A147,'COST REPORT'!$I$9:$I$998,"close",'COST REPORT'!$J$9:$J$998,"x")</f>
        <v>0</v>
      </c>
      <c r="F147" s="50">
        <f t="shared" si="27"/>
        <v>0</v>
      </c>
      <c r="G147" s="45">
        <f>SUMIF('COST REPORT'!$A$9:$A$998,'Project Budget Summary'!A147,'COST REPORT'!$G$9:$G$998)</f>
        <v>0</v>
      </c>
      <c r="H147" s="45">
        <f t="shared" si="28"/>
        <v>0</v>
      </c>
      <c r="I147" s="51">
        <f t="shared" si="29"/>
        <v>0</v>
      </c>
      <c r="J147" s="30" t="s">
        <v>1421</v>
      </c>
      <c r="K147" s="889"/>
      <c r="L147" s="30"/>
      <c r="M147" s="30"/>
      <c r="N147" s="30"/>
      <c r="O147" s="80"/>
      <c r="P147" s="80"/>
      <c r="Q147" s="80"/>
      <c r="R147" s="80"/>
      <c r="S147" s="80"/>
      <c r="T147" s="80"/>
      <c r="U147" s="80"/>
    </row>
    <row r="148" spans="1:21" s="28" customFormat="1">
      <c r="A148" s="48">
        <f t="shared" si="26"/>
        <v>505</v>
      </c>
      <c r="B148" s="44" t="s">
        <v>1427</v>
      </c>
      <c r="C148" s="49">
        <v>0</v>
      </c>
      <c r="D148" s="199">
        <f>SUMIF('COST REPORT'!$A$9:$A$998,'Project Budget Summary'!A148,'COST REPORT'!$F$9:$F$998)-SUMIFS('COST REPORT'!$F$9:$F$998,'COST REPORT'!$A$9:$A$998,'Project Budget Summary'!A148,'COST REPORT'!$I$9:$I$998,"close")</f>
        <v>0</v>
      </c>
      <c r="E148" s="50">
        <f>SUMIF(INPUT!$I$231:$I$522,'Project Budget Summary'!A148,INPUT!$H$231:$H$522)+SUMIFS('COST REPORT'!$F$9:$F$998,'COST REPORT'!$A$9:$A$998,'Project Budget Summary'!A148,'COST REPORT'!$I$9:$I$998,"close")-SUMIFS('COST REPORT'!$F$9:$F$998,'COST REPORT'!$A$9:$A$998,'Project Budget Summary'!A148,'COST REPORT'!$I$9:$I$998,"close",'COST REPORT'!$J$9:$J$998,"x")</f>
        <v>0</v>
      </c>
      <c r="F148" s="50">
        <f t="shared" si="27"/>
        <v>0</v>
      </c>
      <c r="G148" s="45">
        <f>SUMIF('COST REPORT'!$A$9:$A$998,'Project Budget Summary'!A148,'COST REPORT'!$G$9:$G$998)</f>
        <v>0</v>
      </c>
      <c r="H148" s="45">
        <f t="shared" si="28"/>
        <v>0</v>
      </c>
      <c r="I148" s="51">
        <f t="shared" si="29"/>
        <v>0</v>
      </c>
      <c r="J148" s="30" t="s">
        <v>1421</v>
      </c>
      <c r="K148" s="889"/>
      <c r="L148" s="30"/>
      <c r="M148" s="30"/>
      <c r="N148" s="30"/>
      <c r="O148" s="80"/>
      <c r="P148" s="80"/>
      <c r="Q148" s="80"/>
      <c r="R148" s="80"/>
      <c r="S148" s="80"/>
      <c r="T148" s="80"/>
      <c r="U148" s="80"/>
    </row>
    <row r="149" spans="1:21" s="28" customFormat="1">
      <c r="A149" s="48">
        <f t="shared" si="26"/>
        <v>506</v>
      </c>
      <c r="B149" s="44" t="s">
        <v>1428</v>
      </c>
      <c r="C149" s="49">
        <v>0</v>
      </c>
      <c r="D149" s="199">
        <f>SUMIF('COST REPORT'!$A$9:$A$998,'Project Budget Summary'!A149,'COST REPORT'!$F$9:$F$998)-SUMIFS('COST REPORT'!$F$9:$F$998,'COST REPORT'!$A$9:$A$998,'Project Budget Summary'!A149,'COST REPORT'!$I$9:$I$998,"close")</f>
        <v>0</v>
      </c>
      <c r="E149" s="50">
        <f>SUMIF(INPUT!$I$231:$I$522,'Project Budget Summary'!A149,INPUT!$H$231:$H$522)+SUMIFS('COST REPORT'!$F$9:$F$998,'COST REPORT'!$A$9:$A$998,'Project Budget Summary'!A149,'COST REPORT'!$I$9:$I$998,"close")-SUMIFS('COST REPORT'!$F$9:$F$998,'COST REPORT'!$A$9:$A$998,'Project Budget Summary'!A149,'COST REPORT'!$I$9:$I$998,"close",'COST REPORT'!$J$9:$J$998,"x")</f>
        <v>0</v>
      </c>
      <c r="F149" s="50">
        <f>D149+E149</f>
        <v>0</v>
      </c>
      <c r="G149" s="45">
        <f>SUMIF('COST REPORT'!$A$9:$A$998,'Project Budget Summary'!A149,'COST REPORT'!$G$9:$G$998)</f>
        <v>0</v>
      </c>
      <c r="H149" s="45">
        <f>F149-G149</f>
        <v>0</v>
      </c>
      <c r="I149" s="51">
        <f>C149-F149</f>
        <v>0</v>
      </c>
      <c r="J149" s="30" t="s">
        <v>1421</v>
      </c>
      <c r="K149" s="889"/>
      <c r="L149" s="30"/>
      <c r="M149" s="30"/>
      <c r="N149" s="30"/>
      <c r="O149" s="80"/>
      <c r="P149" s="80"/>
      <c r="Q149" s="80"/>
      <c r="R149" s="80"/>
      <c r="S149" s="80"/>
      <c r="T149" s="80"/>
      <c r="U149" s="80"/>
    </row>
    <row r="150" spans="1:21" s="28" customFormat="1">
      <c r="A150" s="48">
        <f t="shared" si="26"/>
        <v>507</v>
      </c>
      <c r="B150" s="44" t="s">
        <v>1429</v>
      </c>
      <c r="C150" s="49">
        <v>0</v>
      </c>
      <c r="D150" s="199">
        <f>SUMIF('COST REPORT'!$A$9:$A$998,'Project Budget Summary'!A150,'COST REPORT'!$F$9:$F$998)-SUMIFS('COST REPORT'!$F$9:$F$998,'COST REPORT'!$A$9:$A$998,'Project Budget Summary'!A150,'COST REPORT'!$I$9:$I$998,"close")</f>
        <v>0</v>
      </c>
      <c r="E150" s="50">
        <f>SUMIF(INPUT!$I$231:$I$522,'Project Budget Summary'!A150,INPUT!$H$231:$H$522)+SUMIFS('COST REPORT'!$F$9:$F$998,'COST REPORT'!$A$9:$A$998,'Project Budget Summary'!A150,'COST REPORT'!$I$9:$I$998,"close")-SUMIFS('COST REPORT'!$F$9:$F$998,'COST REPORT'!$A$9:$A$998,'Project Budget Summary'!A150,'COST REPORT'!$I$9:$I$998,"close",'COST REPORT'!$J$9:$J$998,"x")</f>
        <v>0</v>
      </c>
      <c r="F150" s="50">
        <f t="shared" si="27"/>
        <v>0</v>
      </c>
      <c r="G150" s="45">
        <f>SUMIF('COST REPORT'!$A$9:$A$998,'Project Budget Summary'!A150,'COST REPORT'!$G$9:$G$998)</f>
        <v>0</v>
      </c>
      <c r="H150" s="45">
        <f t="shared" si="28"/>
        <v>0</v>
      </c>
      <c r="I150" s="51">
        <f t="shared" si="29"/>
        <v>0</v>
      </c>
      <c r="J150" s="30" t="s">
        <v>1421</v>
      </c>
      <c r="K150" s="889"/>
      <c r="L150" s="30"/>
      <c r="M150" s="30"/>
      <c r="N150" s="30"/>
      <c r="O150" s="80"/>
      <c r="P150" s="80"/>
      <c r="Q150" s="80"/>
      <c r="R150" s="80"/>
      <c r="S150" s="80"/>
      <c r="T150" s="80"/>
      <c r="U150" s="80"/>
    </row>
    <row r="151" spans="1:21" s="28" customFormat="1">
      <c r="A151" s="48">
        <f t="shared" si="26"/>
        <v>508</v>
      </c>
      <c r="B151" s="44" t="s">
        <v>761</v>
      </c>
      <c r="C151" s="49">
        <v>0</v>
      </c>
      <c r="D151" s="199">
        <f>SUMIF('COST REPORT'!$A$9:$A$998,'Project Budget Summary'!A151,'COST REPORT'!$F$9:$F$998)-SUMIFS('COST REPORT'!$F$9:$F$998,'COST REPORT'!$A$9:$A$998,'Project Budget Summary'!A151,'COST REPORT'!$I$9:$I$998,"close")</f>
        <v>0</v>
      </c>
      <c r="E151" s="50">
        <f>SUMIF(INPUT!$I$231:$I$522,'Project Budget Summary'!A151,INPUT!$H$231:$H$522)+SUMIFS('COST REPORT'!$F$9:$F$998,'COST REPORT'!$A$9:$A$998,'Project Budget Summary'!A151,'COST REPORT'!$I$9:$I$998,"close")-SUMIFS('COST REPORT'!$F$9:$F$998,'COST REPORT'!$A$9:$A$998,'Project Budget Summary'!A151,'COST REPORT'!$I$9:$I$998,"close",'COST REPORT'!$J$9:$J$998,"x")</f>
        <v>0</v>
      </c>
      <c r="F151" s="50">
        <f t="shared" si="27"/>
        <v>0</v>
      </c>
      <c r="G151" s="45">
        <f>SUMIF('COST REPORT'!$A$9:$A$998,'Project Budget Summary'!A151,'COST REPORT'!$G$9:$G$998)</f>
        <v>0</v>
      </c>
      <c r="H151" s="45">
        <f t="shared" si="28"/>
        <v>0</v>
      </c>
      <c r="I151" s="51">
        <f t="shared" si="29"/>
        <v>0</v>
      </c>
      <c r="J151" s="30" t="s">
        <v>1421</v>
      </c>
      <c r="K151" s="889"/>
      <c r="L151" s="30"/>
      <c r="M151" s="30"/>
      <c r="N151" s="30"/>
      <c r="O151" s="80"/>
      <c r="P151" s="80"/>
      <c r="Q151" s="80"/>
      <c r="R151" s="80"/>
      <c r="S151" s="80"/>
      <c r="T151" s="80"/>
      <c r="U151" s="80"/>
    </row>
    <row r="152" spans="1:21" s="28" customFormat="1">
      <c r="A152" s="48">
        <f t="shared" si="26"/>
        <v>509</v>
      </c>
      <c r="B152" s="44" t="s">
        <v>1430</v>
      </c>
      <c r="C152" s="49">
        <v>0</v>
      </c>
      <c r="D152" s="199">
        <f>SUMIF('COST REPORT'!$A$9:$A$998,'Project Budget Summary'!A152,'COST REPORT'!$F$9:$F$998)-SUMIFS('COST REPORT'!$F$9:$F$998,'COST REPORT'!$A$9:$A$998,'Project Budget Summary'!A152,'COST REPORT'!$I$9:$I$998,"close")</f>
        <v>0</v>
      </c>
      <c r="E152" s="50">
        <f>SUMIF(INPUT!$I$231:$I$522,'Project Budget Summary'!A152,INPUT!$H$231:$H$522)+SUMIFS('COST REPORT'!$F$9:$F$998,'COST REPORT'!$A$9:$A$998,'Project Budget Summary'!A152,'COST REPORT'!$I$9:$I$998,"close")-SUMIFS('COST REPORT'!$F$9:$F$998,'COST REPORT'!$A$9:$A$998,'Project Budget Summary'!A152,'COST REPORT'!$I$9:$I$998,"close",'COST REPORT'!$J$9:$J$998,"x")</f>
        <v>0</v>
      </c>
      <c r="F152" s="50">
        <f t="shared" si="27"/>
        <v>0</v>
      </c>
      <c r="G152" s="45">
        <f>SUMIF('COST REPORT'!$A$9:$A$998,'Project Budget Summary'!A152,'COST REPORT'!$G$9:$G$998)</f>
        <v>0</v>
      </c>
      <c r="H152" s="45">
        <f t="shared" si="28"/>
        <v>0</v>
      </c>
      <c r="I152" s="51">
        <f t="shared" si="29"/>
        <v>0</v>
      </c>
      <c r="J152" s="30" t="s">
        <v>1421</v>
      </c>
      <c r="K152" s="889"/>
      <c r="L152" s="30"/>
      <c r="M152" s="30"/>
      <c r="N152" s="30"/>
      <c r="O152" s="80"/>
      <c r="P152" s="80"/>
      <c r="Q152" s="80"/>
      <c r="R152" s="80"/>
      <c r="S152" s="80"/>
      <c r="T152" s="80"/>
      <c r="U152" s="80"/>
    </row>
    <row r="153" spans="1:21" s="28" customFormat="1">
      <c r="A153" s="48">
        <f t="shared" si="26"/>
        <v>510</v>
      </c>
      <c r="B153" s="44" t="s">
        <v>1431</v>
      </c>
      <c r="C153" s="49">
        <v>0</v>
      </c>
      <c r="D153" s="199">
        <f>SUMIF('COST REPORT'!$A$9:$A$998,'Project Budget Summary'!A153,'COST REPORT'!$F$9:$F$998)-SUMIFS('COST REPORT'!$F$9:$F$998,'COST REPORT'!$A$9:$A$998,'Project Budget Summary'!A153,'COST REPORT'!$I$9:$I$998,"close")</f>
        <v>0</v>
      </c>
      <c r="E153" s="50">
        <f>SUMIF(INPUT!$I$231:$I$522,'Project Budget Summary'!A153,INPUT!$H$231:$H$522)+SUMIFS('COST REPORT'!$F$9:$F$998,'COST REPORT'!$A$9:$A$998,'Project Budget Summary'!A153,'COST REPORT'!$I$9:$I$998,"close")-SUMIFS('COST REPORT'!$F$9:$F$998,'COST REPORT'!$A$9:$A$998,'Project Budget Summary'!A153,'COST REPORT'!$I$9:$I$998,"close",'COST REPORT'!$J$9:$J$998,"x")</f>
        <v>0</v>
      </c>
      <c r="F153" s="50">
        <f t="shared" si="27"/>
        <v>0</v>
      </c>
      <c r="G153" s="45">
        <f>SUMIF('COST REPORT'!$A$9:$A$998,'Project Budget Summary'!A153,'COST REPORT'!$G$9:$G$998)</f>
        <v>0</v>
      </c>
      <c r="H153" s="45">
        <f t="shared" si="28"/>
        <v>0</v>
      </c>
      <c r="I153" s="51">
        <f t="shared" si="29"/>
        <v>0</v>
      </c>
      <c r="J153" s="30" t="s">
        <v>1421</v>
      </c>
      <c r="K153" s="889"/>
      <c r="L153" s="30"/>
      <c r="M153" s="3"/>
      <c r="N153" s="30"/>
      <c r="O153" s="80"/>
      <c r="P153" s="80"/>
      <c r="Q153" s="80"/>
      <c r="R153" s="80"/>
      <c r="S153" s="80"/>
      <c r="T153" s="80"/>
      <c r="U153" s="80"/>
    </row>
    <row r="154" spans="1:21" s="28" customFormat="1">
      <c r="A154" s="48">
        <f t="shared" si="26"/>
        <v>511</v>
      </c>
      <c r="B154" s="44" t="s">
        <v>700</v>
      </c>
      <c r="C154" s="49">
        <v>0</v>
      </c>
      <c r="D154" s="199">
        <f>SUMIF('COST REPORT'!$A$9:$A$998,'Project Budget Summary'!A154,'COST REPORT'!$F$9:$F$998)-SUMIFS('COST REPORT'!$F$9:$F$998,'COST REPORT'!$A$9:$A$998,'Project Budget Summary'!A154,'COST REPORT'!$I$9:$I$998,"close")</f>
        <v>0</v>
      </c>
      <c r="E154" s="50">
        <f>SUMIF(INPUT!$I$231:$I$522,'Project Budget Summary'!A154,INPUT!$H$231:$H$522)+SUMIFS('COST REPORT'!$F$9:$F$998,'COST REPORT'!$A$9:$A$998,'Project Budget Summary'!A154,'COST REPORT'!$I$9:$I$998,"close")-SUMIFS('COST REPORT'!$F$9:$F$998,'COST REPORT'!$A$9:$A$998,'Project Budget Summary'!A154,'COST REPORT'!$I$9:$I$998,"close",'COST REPORT'!$J$9:$J$998,"x")</f>
        <v>0</v>
      </c>
      <c r="F154" s="50">
        <f t="shared" si="27"/>
        <v>0</v>
      </c>
      <c r="G154" s="45">
        <f>SUMIF('COST REPORT'!$A$9:$A$998,'Project Budget Summary'!A154,'COST REPORT'!$G$9:$G$998)</f>
        <v>0</v>
      </c>
      <c r="H154" s="45">
        <f t="shared" si="28"/>
        <v>0</v>
      </c>
      <c r="I154" s="51">
        <f t="shared" si="29"/>
        <v>0</v>
      </c>
      <c r="J154" s="30" t="s">
        <v>1421</v>
      </c>
      <c r="K154" s="889"/>
      <c r="L154" s="30"/>
      <c r="N154" s="1071"/>
      <c r="O154" s="80"/>
      <c r="P154" s="80"/>
      <c r="Q154" s="80"/>
      <c r="R154" s="80"/>
      <c r="S154" s="80"/>
      <c r="T154" s="80"/>
      <c r="U154" s="80"/>
    </row>
    <row r="155" spans="1:21" s="28" customFormat="1">
      <c r="A155" s="48">
        <f t="shared" si="26"/>
        <v>512</v>
      </c>
      <c r="B155" s="44" t="s">
        <v>1432</v>
      </c>
      <c r="C155" s="49">
        <v>0</v>
      </c>
      <c r="D155" s="199">
        <f>SUMIF('COST REPORT'!$A$9:$A$998,'Project Budget Summary'!A155,'COST REPORT'!$F$9:$F$998)-SUMIFS('COST REPORT'!$F$9:$F$998,'COST REPORT'!$A$9:$A$998,'Project Budget Summary'!A155,'COST REPORT'!$I$9:$I$998,"close")</f>
        <v>0</v>
      </c>
      <c r="E155" s="50">
        <f>SUMIF(INPUT!$I$231:$I$522,'Project Budget Summary'!A155,INPUT!$H$231:$H$522)+SUMIFS('COST REPORT'!$F$9:$F$998,'COST REPORT'!$A$9:$A$998,'Project Budget Summary'!A155,'COST REPORT'!$I$9:$I$998,"close")-SUMIFS('COST REPORT'!$F$9:$F$998,'COST REPORT'!$A$9:$A$998,'Project Budget Summary'!A155,'COST REPORT'!$I$9:$I$998,"close",'COST REPORT'!$J$9:$J$998,"x")</f>
        <v>0</v>
      </c>
      <c r="F155" s="50">
        <f t="shared" si="27"/>
        <v>0</v>
      </c>
      <c r="G155" s="45">
        <f>SUMIF('COST REPORT'!$A$9:$A$998,'Project Budget Summary'!A155,'COST REPORT'!$G$9:$G$998)</f>
        <v>0</v>
      </c>
      <c r="H155" s="45">
        <f t="shared" si="28"/>
        <v>0</v>
      </c>
      <c r="I155" s="51">
        <f t="shared" si="29"/>
        <v>0</v>
      </c>
      <c r="J155" s="30" t="s">
        <v>1421</v>
      </c>
      <c r="K155" s="889"/>
      <c r="L155" s="30"/>
      <c r="N155" s="30"/>
      <c r="O155" s="80"/>
      <c r="P155" s="80"/>
      <c r="Q155" s="80"/>
      <c r="R155" s="80"/>
      <c r="S155" s="80"/>
      <c r="T155" s="80"/>
      <c r="U155" s="80"/>
    </row>
    <row r="156" spans="1:21" s="28" customFormat="1">
      <c r="A156" s="48">
        <f t="shared" si="26"/>
        <v>513</v>
      </c>
      <c r="B156" s="44" t="s">
        <v>1433</v>
      </c>
      <c r="C156" s="49">
        <v>0</v>
      </c>
      <c r="D156" s="199">
        <f>SUMIF('COST REPORT'!$A$9:$A$998,'Project Budget Summary'!A156,'COST REPORT'!$F$9:$F$998)-SUMIFS('COST REPORT'!$F$9:$F$998,'COST REPORT'!$A$9:$A$998,'Project Budget Summary'!A156,'COST REPORT'!$I$9:$I$998,"close")</f>
        <v>0</v>
      </c>
      <c r="E156" s="50">
        <f>SUMIF(INPUT!$I$231:$I$522,'Project Budget Summary'!A156,INPUT!$H$231:$H$522)+SUMIFS('COST REPORT'!$F$9:$F$998,'COST REPORT'!$A$9:$A$998,'Project Budget Summary'!A156,'COST REPORT'!$I$9:$I$998,"close")-SUMIFS('COST REPORT'!$F$9:$F$998,'COST REPORT'!$A$9:$A$998,'Project Budget Summary'!A156,'COST REPORT'!$I$9:$I$998,"close",'COST REPORT'!$J$9:$J$998,"x")</f>
        <v>0</v>
      </c>
      <c r="F156" s="50">
        <f t="shared" si="27"/>
        <v>0</v>
      </c>
      <c r="G156" s="45">
        <f>SUMIF('COST REPORT'!$A$9:$A$998,'Project Budget Summary'!A156,'COST REPORT'!$G$9:$G$998)</f>
        <v>0</v>
      </c>
      <c r="H156" s="45">
        <f t="shared" si="28"/>
        <v>0</v>
      </c>
      <c r="I156" s="51">
        <f t="shared" si="29"/>
        <v>0</v>
      </c>
      <c r="J156" s="30" t="s">
        <v>1421</v>
      </c>
      <c r="K156" s="889"/>
      <c r="L156" s="30"/>
      <c r="N156" s="30"/>
      <c r="O156" s="80"/>
      <c r="P156" s="80"/>
      <c r="Q156" s="80"/>
      <c r="R156" s="80"/>
      <c r="S156" s="80"/>
      <c r="T156" s="80"/>
      <c r="U156" s="80"/>
    </row>
    <row r="157" spans="1:21" s="28" customFormat="1">
      <c r="A157" s="48">
        <f t="shared" si="26"/>
        <v>514</v>
      </c>
      <c r="B157" s="44" t="s">
        <v>1434</v>
      </c>
      <c r="C157" s="49">
        <v>0</v>
      </c>
      <c r="D157" s="199">
        <f>SUMIF('COST REPORT'!$A$9:$A$998,'Project Budget Summary'!A157,'COST REPORT'!$F$9:$F$998)-SUMIFS('COST REPORT'!$F$9:$F$998,'COST REPORT'!$A$9:$A$998,'Project Budget Summary'!A157,'COST REPORT'!$I$9:$I$998,"close")</f>
        <v>0</v>
      </c>
      <c r="E157" s="50">
        <f>SUMIF(INPUT!$I$231:$I$522,'Project Budget Summary'!A157,INPUT!$H$231:$H$522)+SUMIFS('COST REPORT'!$F$9:$F$998,'COST REPORT'!$A$9:$A$998,'Project Budget Summary'!A157,'COST REPORT'!$I$9:$I$998,"close")-SUMIFS('COST REPORT'!$F$9:$F$998,'COST REPORT'!$A$9:$A$998,'Project Budget Summary'!A157,'COST REPORT'!$I$9:$I$998,"close",'COST REPORT'!$J$9:$J$998,"x")</f>
        <v>0</v>
      </c>
      <c r="F157" s="50">
        <f>D157+E157</f>
        <v>0</v>
      </c>
      <c r="G157" s="45">
        <f>SUMIF('COST REPORT'!$A$9:$A$998,'Project Budget Summary'!A157,'COST REPORT'!$G$9:$G$998)</f>
        <v>0</v>
      </c>
      <c r="H157" s="45">
        <f>F157-G157</f>
        <v>0</v>
      </c>
      <c r="I157" s="51">
        <f>C157-F157</f>
        <v>0</v>
      </c>
      <c r="J157" s="30" t="s">
        <v>1421</v>
      </c>
      <c r="K157" s="889"/>
      <c r="L157" s="30"/>
      <c r="N157" s="30"/>
      <c r="O157" s="80"/>
      <c r="P157" s="80"/>
      <c r="Q157" s="80"/>
      <c r="R157" s="80"/>
      <c r="S157" s="80"/>
      <c r="T157" s="80"/>
      <c r="U157" s="80"/>
    </row>
    <row r="158" spans="1:21" s="28" customFormat="1">
      <c r="A158" s="48">
        <f t="shared" si="26"/>
        <v>515</v>
      </c>
      <c r="B158" s="44" t="s">
        <v>1435</v>
      </c>
      <c r="C158" s="49">
        <v>0</v>
      </c>
      <c r="D158" s="199">
        <f>SUMIF('COST REPORT'!$A$9:$A$998,'Project Budget Summary'!A158,'COST REPORT'!$F$9:$F$998)-SUMIFS('COST REPORT'!$F$9:$F$998,'COST REPORT'!$A$9:$A$998,'Project Budget Summary'!A158,'COST REPORT'!$I$9:$I$998,"close")</f>
        <v>0</v>
      </c>
      <c r="E158" s="50">
        <f>SUMIF(INPUT!$I$231:$I$522,'Project Budget Summary'!A158,INPUT!$H$231:$H$522)+SUMIFS('COST REPORT'!$F$9:$F$998,'COST REPORT'!$A$9:$A$998,'Project Budget Summary'!A158,'COST REPORT'!$I$9:$I$998,"close")-SUMIFS('COST REPORT'!$F$9:$F$998,'COST REPORT'!$A$9:$A$998,'Project Budget Summary'!A158,'COST REPORT'!$I$9:$I$998,"close",'COST REPORT'!$J$9:$J$998,"x")</f>
        <v>0</v>
      </c>
      <c r="F158" s="50">
        <f>D158+E158</f>
        <v>0</v>
      </c>
      <c r="G158" s="45">
        <f>SUMIF('COST REPORT'!$A$9:$A$998,'Project Budget Summary'!A158,'COST REPORT'!$G$9:$G$998)</f>
        <v>0</v>
      </c>
      <c r="H158" s="45">
        <f>F158-G158</f>
        <v>0</v>
      </c>
      <c r="I158" s="51">
        <f>C158-F158</f>
        <v>0</v>
      </c>
      <c r="J158" s="30" t="s">
        <v>1421</v>
      </c>
      <c r="K158" s="889"/>
      <c r="L158" s="30"/>
      <c r="N158" s="30"/>
      <c r="O158" s="80"/>
      <c r="P158" s="80"/>
      <c r="Q158" s="80"/>
      <c r="R158" s="80"/>
      <c r="S158" s="80"/>
      <c r="T158" s="80"/>
      <c r="U158" s="80"/>
    </row>
    <row r="159" spans="1:21" s="28" customFormat="1">
      <c r="A159" s="48">
        <f t="shared" si="26"/>
        <v>516</v>
      </c>
      <c r="B159" s="44" t="s">
        <v>1436</v>
      </c>
      <c r="C159" s="49">
        <v>0</v>
      </c>
      <c r="D159" s="199">
        <f>SUMIF('COST REPORT'!$A$9:$A$998,'Project Budget Summary'!A159,'COST REPORT'!$F$9:$F$998)-SUMIFS('COST REPORT'!$F$9:$F$998,'COST REPORT'!$A$9:$A$998,'Project Budget Summary'!A159,'COST REPORT'!$I$9:$I$998,"close")</f>
        <v>0</v>
      </c>
      <c r="E159" s="50">
        <f>SUMIF(INPUT!$I$231:$I$522,'Project Budget Summary'!A159,INPUT!$H$231:$H$522)+SUMIFS('COST REPORT'!$F$9:$F$998,'COST REPORT'!$A$9:$A$998,'Project Budget Summary'!A159,'COST REPORT'!$I$9:$I$998,"close")-SUMIFS('COST REPORT'!$F$9:$F$998,'COST REPORT'!$A$9:$A$998,'Project Budget Summary'!A159,'COST REPORT'!$I$9:$I$998,"close",'COST REPORT'!$J$9:$J$998,"x")</f>
        <v>0</v>
      </c>
      <c r="F159" s="50">
        <f>D159+E159</f>
        <v>0</v>
      </c>
      <c r="G159" s="45">
        <f>SUMIF('COST REPORT'!$A$9:$A$998,'Project Budget Summary'!A159,'COST REPORT'!$G$9:$G$998)</f>
        <v>0</v>
      </c>
      <c r="H159" s="45">
        <f>F159-G159</f>
        <v>0</v>
      </c>
      <c r="I159" s="51">
        <f>C159-F159</f>
        <v>0</v>
      </c>
      <c r="J159" s="30" t="s">
        <v>1421</v>
      </c>
      <c r="K159" s="889"/>
      <c r="L159" s="30"/>
      <c r="N159" s="30"/>
      <c r="O159" s="79"/>
      <c r="P159" s="79"/>
      <c r="Q159" s="79"/>
      <c r="R159" s="79"/>
      <c r="S159" s="79"/>
      <c r="T159" s="79"/>
      <c r="U159" s="80"/>
    </row>
    <row r="160" spans="1:21" s="28" customFormat="1">
      <c r="A160" s="48">
        <f t="shared" si="26"/>
        <v>517</v>
      </c>
      <c r="B160" s="44" t="s">
        <v>1437</v>
      </c>
      <c r="C160" s="49">
        <v>0</v>
      </c>
      <c r="D160" s="199">
        <f>SUMIF('COST REPORT'!$A$9:$A$998,'Project Budget Summary'!A160,'COST REPORT'!$F$9:$F$998)-SUMIFS('COST REPORT'!$F$9:$F$998,'COST REPORT'!$A$9:$A$998,'Project Budget Summary'!A160,'COST REPORT'!$I$9:$I$998,"close")</f>
        <v>0</v>
      </c>
      <c r="E160" s="50">
        <f>SUMIF(INPUT!$I$231:$I$522,'Project Budget Summary'!A160,INPUT!$H$231:$H$522)+SUMIFS('COST REPORT'!$F$9:$F$998,'COST REPORT'!$A$9:$A$998,'Project Budget Summary'!A160,'COST REPORT'!$I$9:$I$998,"close")-SUMIFS('COST REPORT'!$F$9:$F$998,'COST REPORT'!$A$9:$A$998,'Project Budget Summary'!A160,'COST REPORT'!$I$9:$I$998,"close",'COST REPORT'!$J$9:$J$998,"x")</f>
        <v>0</v>
      </c>
      <c r="F160" s="50">
        <f>D160+E160</f>
        <v>0</v>
      </c>
      <c r="G160" s="45">
        <f>SUMIF('COST REPORT'!$A$9:$A$998,'Project Budget Summary'!A160,'COST REPORT'!$G$9:$G$998)</f>
        <v>0</v>
      </c>
      <c r="H160" s="45">
        <f>F160-G160</f>
        <v>0</v>
      </c>
      <c r="I160" s="51">
        <f>C160-F160</f>
        <v>0</v>
      </c>
      <c r="J160" s="30" t="s">
        <v>1421</v>
      </c>
      <c r="K160" s="889"/>
      <c r="L160" s="30"/>
      <c r="N160" s="30"/>
      <c r="O160" s="79"/>
      <c r="P160" s="79"/>
      <c r="Q160" s="79"/>
      <c r="R160" s="79"/>
      <c r="S160" s="79"/>
      <c r="T160" s="79"/>
      <c r="U160" s="80"/>
    </row>
    <row r="161" spans="1:21" s="28" customFormat="1">
      <c r="A161" s="48">
        <f t="shared" si="26"/>
        <v>518</v>
      </c>
      <c r="B161" s="44" t="s">
        <v>1438</v>
      </c>
      <c r="C161" s="49">
        <v>0</v>
      </c>
      <c r="D161" s="199">
        <f>SUMIF('COST REPORT'!$A$9:$A$998,'Project Budget Summary'!A161,'COST REPORT'!$F$9:$F$998)-SUMIFS('COST REPORT'!$F$9:$F$998,'COST REPORT'!$A$9:$A$998,'Project Budget Summary'!A161,'COST REPORT'!$I$9:$I$998,"close")</f>
        <v>0</v>
      </c>
      <c r="E161" s="50">
        <f>SUMIF(INPUT!$I$231:$I$522,'Project Budget Summary'!A161,INPUT!$H$231:$H$522)+SUMIFS('COST REPORT'!$F$9:$F$998,'COST REPORT'!$A$9:$A$998,'Project Budget Summary'!A161,'COST REPORT'!$I$9:$I$998,"close")-SUMIFS('COST REPORT'!$F$9:$F$998,'COST REPORT'!$A$9:$A$998,'Project Budget Summary'!A161,'COST REPORT'!$I$9:$I$998,"close",'COST REPORT'!$J$9:$J$998,"x")</f>
        <v>0</v>
      </c>
      <c r="F161" s="50">
        <f>D161+E161</f>
        <v>0</v>
      </c>
      <c r="G161" s="45">
        <f>SUMIF('COST REPORT'!$A$9:$A$998,'Project Budget Summary'!A161,'COST REPORT'!$G$9:$G$998)</f>
        <v>0</v>
      </c>
      <c r="H161" s="45">
        <f>F161-G161</f>
        <v>0</v>
      </c>
      <c r="I161" s="51">
        <f>C161-F161</f>
        <v>0</v>
      </c>
      <c r="J161" s="30" t="s">
        <v>1421</v>
      </c>
      <c r="K161" s="889"/>
      <c r="L161" s="30"/>
      <c r="N161" s="30"/>
      <c r="O161" s="2588"/>
      <c r="P161" s="2589"/>
      <c r="Q161" s="2589"/>
      <c r="R161" s="2589"/>
      <c r="S161" s="2589"/>
      <c r="T161" s="2589"/>
      <c r="U161" s="80"/>
    </row>
    <row r="162" spans="1:21" s="28" customFormat="1">
      <c r="A162" s="48">
        <f t="shared" si="26"/>
        <v>519</v>
      </c>
      <c r="B162" s="44" t="s">
        <v>1439</v>
      </c>
      <c r="C162" s="49">
        <v>0</v>
      </c>
      <c r="D162" s="199">
        <f>SUMIF('COST REPORT'!$A$9:$A$998,'Project Budget Summary'!A162,'COST REPORT'!$F$9:$F$998)-SUMIFS('COST REPORT'!$F$9:$F$998,'COST REPORT'!$A$9:$A$998,'Project Budget Summary'!A162,'COST REPORT'!$I$9:$I$998,"close")</f>
        <v>0</v>
      </c>
      <c r="E162" s="50">
        <f>SUMIF(INPUT!$I$231:$I$522,'Project Budget Summary'!A162,INPUT!$H$231:$H$522)+SUMIFS('COST REPORT'!$F$9:$F$998,'COST REPORT'!$A$9:$A$998,'Project Budget Summary'!A162,'COST REPORT'!$I$9:$I$998,"close")-SUMIFS('COST REPORT'!$F$9:$F$998,'COST REPORT'!$A$9:$A$998,'Project Budget Summary'!A162,'COST REPORT'!$I$9:$I$998,"close",'COST REPORT'!$J$9:$J$998,"x")</f>
        <v>0</v>
      </c>
      <c r="F162" s="50">
        <f t="shared" ref="F162:F170" si="30">D162+E162</f>
        <v>0</v>
      </c>
      <c r="G162" s="45">
        <f>SUMIF('COST REPORT'!$A$9:$A$998,'Project Budget Summary'!A162,'COST REPORT'!$G$9:$G$998)</f>
        <v>0</v>
      </c>
      <c r="H162" s="45">
        <f t="shared" ref="H162:H170" si="31">F162-G162</f>
        <v>0</v>
      </c>
      <c r="I162" s="51">
        <f t="shared" ref="I162:I170" si="32">C162-F162</f>
        <v>0</v>
      </c>
      <c r="J162" s="30" t="s">
        <v>1421</v>
      </c>
      <c r="K162" s="889"/>
      <c r="L162" s="30"/>
      <c r="N162" s="30"/>
      <c r="O162" s="2423"/>
      <c r="P162" s="2424"/>
      <c r="Q162" s="2424"/>
      <c r="R162" s="2424"/>
      <c r="S162" s="2424"/>
      <c r="T162" s="2424"/>
      <c r="U162" s="80"/>
    </row>
    <row r="163" spans="1:21" s="28" customFormat="1">
      <c r="A163" s="48">
        <f t="shared" si="26"/>
        <v>520</v>
      </c>
      <c r="B163" s="44" t="s">
        <v>1440</v>
      </c>
      <c r="C163" s="49">
        <v>0</v>
      </c>
      <c r="D163" s="199">
        <f>SUMIF('COST REPORT'!$A$9:$A$998,'Project Budget Summary'!A163,'COST REPORT'!$F$9:$F$998)-SUMIFS('COST REPORT'!$F$9:$F$998,'COST REPORT'!$A$9:$A$998,'Project Budget Summary'!A163,'COST REPORT'!$I$9:$I$998,"close")</f>
        <v>0</v>
      </c>
      <c r="E163" s="50">
        <f>SUMIF(INPUT!$I$231:$I$522,'Project Budget Summary'!A163,INPUT!$H$231:$H$522)+SUMIFS('COST REPORT'!$F$9:$F$998,'COST REPORT'!$A$9:$A$998,'Project Budget Summary'!A163,'COST REPORT'!$I$9:$I$998,"close")-SUMIFS('COST REPORT'!$F$9:$F$998,'COST REPORT'!$A$9:$A$998,'Project Budget Summary'!A163,'COST REPORT'!$I$9:$I$998,"close",'COST REPORT'!$J$9:$J$998,"x")</f>
        <v>0</v>
      </c>
      <c r="F163" s="50">
        <f>D163+E163</f>
        <v>0</v>
      </c>
      <c r="G163" s="45">
        <f>SUMIF('COST REPORT'!$A$9:$A$998,'Project Budget Summary'!A163,'COST REPORT'!$G$9:$G$998)</f>
        <v>0</v>
      </c>
      <c r="H163" s="45">
        <f>F163-G163</f>
        <v>0</v>
      </c>
      <c r="I163" s="51">
        <f>C163-F163</f>
        <v>0</v>
      </c>
      <c r="J163" s="30" t="s">
        <v>1421</v>
      </c>
      <c r="K163" s="889"/>
      <c r="L163" s="30"/>
      <c r="N163" s="30"/>
      <c r="O163" s="2423"/>
      <c r="P163" s="2424"/>
      <c r="Q163" s="2424"/>
      <c r="R163" s="2424"/>
      <c r="S163" s="2424"/>
      <c r="T163" s="2424"/>
      <c r="U163" s="80"/>
    </row>
    <row r="164" spans="1:21" s="28" customFormat="1">
      <c r="A164" s="48">
        <f t="shared" si="26"/>
        <v>521</v>
      </c>
      <c r="B164" s="44" t="s">
        <v>1441</v>
      </c>
      <c r="C164" s="49">
        <v>0</v>
      </c>
      <c r="D164" s="199">
        <f>SUMIF('COST REPORT'!$A$9:$A$998,'Project Budget Summary'!A164,'COST REPORT'!$F$9:$F$998)-SUMIFS('COST REPORT'!$F$9:$F$998,'COST REPORT'!$A$9:$A$998,'Project Budget Summary'!A164,'COST REPORT'!$I$9:$I$998,"close")</f>
        <v>0</v>
      </c>
      <c r="E164" s="50">
        <f>SUMIF(INPUT!$I$231:$I$522,'Project Budget Summary'!A164,INPUT!$H$231:$H$522)+SUMIFS('COST REPORT'!$F$9:$F$998,'COST REPORT'!$A$9:$A$998,'Project Budget Summary'!A164,'COST REPORT'!$I$9:$I$998,"close")-SUMIFS('COST REPORT'!$F$9:$F$998,'COST REPORT'!$A$9:$A$998,'Project Budget Summary'!A164,'COST REPORT'!$I$9:$I$998,"close",'COST REPORT'!$J$9:$J$998,"x")</f>
        <v>0</v>
      </c>
      <c r="F164" s="50">
        <f>D164+E164</f>
        <v>0</v>
      </c>
      <c r="G164" s="45">
        <f>SUMIF('COST REPORT'!$A$9:$A$998,'Project Budget Summary'!A164,'COST REPORT'!$G$9:$G$998)</f>
        <v>0</v>
      </c>
      <c r="H164" s="45">
        <f>F164-G164</f>
        <v>0</v>
      </c>
      <c r="I164" s="51">
        <f>C164-F164</f>
        <v>0</v>
      </c>
      <c r="J164" s="30" t="s">
        <v>1421</v>
      </c>
      <c r="K164" s="889"/>
      <c r="L164" s="30"/>
      <c r="N164" s="30"/>
      <c r="O164" s="2423"/>
      <c r="P164" s="2424"/>
      <c r="Q164" s="2424"/>
      <c r="R164" s="2424"/>
      <c r="S164" s="2424"/>
      <c r="T164" s="2424"/>
      <c r="U164" s="80"/>
    </row>
    <row r="165" spans="1:21" s="28" customFormat="1">
      <c r="A165" s="48">
        <f t="shared" si="26"/>
        <v>522</v>
      </c>
      <c r="B165" s="995" t="s">
        <v>1442</v>
      </c>
      <c r="C165" s="49">
        <v>0</v>
      </c>
      <c r="D165" s="199">
        <f>SUMIF('COST REPORT'!$A$9:$A$998,'Project Budget Summary'!A165,'COST REPORT'!$F$9:$F$998)-SUMIFS('COST REPORT'!$F$9:$F$998,'COST REPORT'!$A$9:$A$998,'Project Budget Summary'!A165,'COST REPORT'!$I$9:$I$998,"close")</f>
        <v>0</v>
      </c>
      <c r="E165" s="50">
        <f>SUMIF(INPUT!$I$231:$I$522,'Project Budget Summary'!A165,INPUT!$H$231:$H$522)+SUMIFS('COST REPORT'!$F$9:$F$998,'COST REPORT'!$A$9:$A$998,'Project Budget Summary'!A165,'COST REPORT'!$I$9:$I$998,"close")-SUMIFS('COST REPORT'!$F$9:$F$998,'COST REPORT'!$A$9:$A$998,'Project Budget Summary'!A165,'COST REPORT'!$I$9:$I$998,"close",'COST REPORT'!$J$9:$J$998,"x")</f>
        <v>0</v>
      </c>
      <c r="F165" s="50">
        <f t="shared" si="30"/>
        <v>0</v>
      </c>
      <c r="G165" s="45">
        <f>SUMIF('COST REPORT'!$A$9:$A$998,'Project Budget Summary'!A165,'COST REPORT'!$G$9:$G$998)</f>
        <v>0</v>
      </c>
      <c r="H165" s="45">
        <f t="shared" si="31"/>
        <v>0</v>
      </c>
      <c r="I165" s="51">
        <f t="shared" si="32"/>
        <v>0</v>
      </c>
      <c r="J165" s="30" t="s">
        <v>1421</v>
      </c>
      <c r="K165" s="889"/>
      <c r="L165" s="30"/>
      <c r="N165" s="30"/>
      <c r="O165" s="139"/>
      <c r="P165" s="198"/>
      <c r="Q165" s="198"/>
      <c r="R165" s="198"/>
      <c r="S165" s="198"/>
      <c r="T165" s="198"/>
      <c r="U165" s="80"/>
    </row>
    <row r="166" spans="1:21" s="28" customFormat="1">
      <c r="A166" s="48">
        <f t="shared" si="26"/>
        <v>523</v>
      </c>
      <c r="B166" s="995" t="s">
        <v>1227</v>
      </c>
      <c r="C166" s="49">
        <v>0</v>
      </c>
      <c r="D166" s="199">
        <f>SUMIF('COST REPORT'!$A$9:$A$998,'Project Budget Summary'!A166,'COST REPORT'!$F$9:$F$998)-SUMIFS('COST REPORT'!$F$9:$F$998,'COST REPORT'!$A$9:$A$998,'Project Budget Summary'!A166,'COST REPORT'!$I$9:$I$998,"close")</f>
        <v>0</v>
      </c>
      <c r="E166" s="50">
        <f>SUMIF(INPUT!$I$231:$I$522,'Project Budget Summary'!A166,INPUT!$H$231:$H$522)+SUMIFS('COST REPORT'!$F$9:$F$998,'COST REPORT'!$A$9:$A$998,'Project Budget Summary'!A166,'COST REPORT'!$I$9:$I$998,"close")-SUMIFS('COST REPORT'!$F$9:$F$998,'COST REPORT'!$A$9:$A$998,'Project Budget Summary'!A166,'COST REPORT'!$I$9:$I$998,"close",'COST REPORT'!$J$9:$J$998,"x")</f>
        <v>0</v>
      </c>
      <c r="F166" s="50">
        <f>D166+E166</f>
        <v>0</v>
      </c>
      <c r="G166" s="45">
        <f>SUMIF('COST REPORT'!$A$9:$A$998,'Project Budget Summary'!A166,'COST REPORT'!$G$9:$G$998)</f>
        <v>0</v>
      </c>
      <c r="H166" s="45">
        <f>F166-G166</f>
        <v>0</v>
      </c>
      <c r="I166" s="51">
        <f>C166-F166</f>
        <v>0</v>
      </c>
      <c r="J166" s="30" t="s">
        <v>1421</v>
      </c>
      <c r="K166" s="889"/>
      <c r="L166" s="30"/>
      <c r="M166" s="30"/>
      <c r="N166" s="30"/>
      <c r="O166" s="139"/>
      <c r="P166" s="198"/>
      <c r="Q166" s="198"/>
      <c r="R166" s="198"/>
      <c r="S166" s="198"/>
      <c r="T166" s="198"/>
      <c r="U166" s="80"/>
    </row>
    <row r="167" spans="1:21" s="28" customFormat="1">
      <c r="A167" s="48">
        <f t="shared" si="26"/>
        <v>524</v>
      </c>
      <c r="B167" s="138" t="s">
        <v>1354</v>
      </c>
      <c r="C167" s="49">
        <v>0</v>
      </c>
      <c r="D167" s="199">
        <f>SUMIF('COST REPORT'!$A$9:$A$998,'Project Budget Summary'!A167,'COST REPORT'!$F$9:$F$998)-SUMIFS('COST REPORT'!$F$9:$F$998,'COST REPORT'!$A$9:$A$998,'Project Budget Summary'!A167,'COST REPORT'!$I$9:$I$998,"close")</f>
        <v>0</v>
      </c>
      <c r="E167" s="50">
        <f>SUMIF(INPUT!$I$231:$I$522,'Project Budget Summary'!A167,INPUT!$H$231:$H$522)+SUMIFS('COST REPORT'!$F$9:$F$998,'COST REPORT'!$A$9:$A$998,'Project Budget Summary'!A167,'COST REPORT'!$I$9:$I$998,"close")-SUMIFS('COST REPORT'!$F$9:$F$998,'COST REPORT'!$A$9:$A$998,'Project Budget Summary'!A167,'COST REPORT'!$I$9:$I$998,"close",'COST REPORT'!$J$9:$J$998,"x")</f>
        <v>0</v>
      </c>
      <c r="F167" s="50">
        <f t="shared" si="30"/>
        <v>0</v>
      </c>
      <c r="G167" s="45">
        <f>SUMIF('COST REPORT'!$A$9:$A$998,'Project Budget Summary'!A167,'COST REPORT'!$G$9:$G$998)</f>
        <v>0</v>
      </c>
      <c r="H167" s="45">
        <f t="shared" si="31"/>
        <v>0</v>
      </c>
      <c r="I167" s="51">
        <f t="shared" si="32"/>
        <v>0</v>
      </c>
      <c r="J167" s="30" t="s">
        <v>1421</v>
      </c>
      <c r="K167" s="889"/>
      <c r="L167" s="30"/>
      <c r="M167" s="30"/>
      <c r="N167" s="30"/>
      <c r="O167" s="139"/>
      <c r="P167" s="198"/>
      <c r="Q167" s="198"/>
      <c r="R167" s="198"/>
      <c r="S167" s="198"/>
      <c r="T167" s="198"/>
      <c r="U167" s="80"/>
    </row>
    <row r="168" spans="1:21" s="28" customFormat="1">
      <c r="A168" s="48">
        <f t="shared" si="26"/>
        <v>525</v>
      </c>
      <c r="B168" s="138" t="s">
        <v>1354</v>
      </c>
      <c r="C168" s="49">
        <v>0</v>
      </c>
      <c r="D168" s="199">
        <f>SUMIF('COST REPORT'!$A$9:$A$998,'Project Budget Summary'!A168,'COST REPORT'!$F$9:$F$998)-SUMIFS('COST REPORT'!$F$9:$F$998,'COST REPORT'!$A$9:$A$998,'Project Budget Summary'!A168,'COST REPORT'!$I$9:$I$998,"close")</f>
        <v>0</v>
      </c>
      <c r="E168" s="50">
        <f>SUMIF(INPUT!$I$231:$I$522,'Project Budget Summary'!A168,INPUT!$H$231:$H$522)+SUMIFS('COST REPORT'!$F$9:$F$998,'COST REPORT'!$A$9:$A$998,'Project Budget Summary'!A168,'COST REPORT'!$I$9:$I$998,"close")-SUMIFS('COST REPORT'!$F$9:$F$998,'COST REPORT'!$A$9:$A$998,'Project Budget Summary'!A168,'COST REPORT'!$I$9:$I$998,"close",'COST REPORT'!$J$9:$J$998,"x")</f>
        <v>0</v>
      </c>
      <c r="F168" s="50">
        <f t="shared" si="30"/>
        <v>0</v>
      </c>
      <c r="G168" s="45">
        <f>SUMIF('COST REPORT'!$A$9:$A$998,'Project Budget Summary'!A168,'COST REPORT'!$G$9:$G$998)</f>
        <v>0</v>
      </c>
      <c r="H168" s="45">
        <f t="shared" si="31"/>
        <v>0</v>
      </c>
      <c r="I168" s="51">
        <f t="shared" si="32"/>
        <v>0</v>
      </c>
      <c r="J168" s="30" t="s">
        <v>1421</v>
      </c>
      <c r="K168" s="889"/>
      <c r="L168" s="30"/>
      <c r="M168" s="30"/>
      <c r="N168" s="30"/>
      <c r="O168" s="139"/>
      <c r="P168" s="198"/>
      <c r="Q168" s="198"/>
      <c r="R168" s="198"/>
      <c r="S168" s="198"/>
      <c r="T168" s="198"/>
      <c r="U168" s="80"/>
    </row>
    <row r="169" spans="1:21" s="28" customFormat="1">
      <c r="A169" s="48">
        <f t="shared" si="26"/>
        <v>526</v>
      </c>
      <c r="B169" s="138" t="s">
        <v>1354</v>
      </c>
      <c r="C169" s="49">
        <v>0</v>
      </c>
      <c r="D169" s="199">
        <f>SUMIF('COST REPORT'!$A$9:$A$998,'Project Budget Summary'!A169,'COST REPORT'!$F$9:$F$998)-SUMIFS('COST REPORT'!$F$9:$F$998,'COST REPORT'!$A$9:$A$998,'Project Budget Summary'!A169,'COST REPORT'!$I$9:$I$998,"close")</f>
        <v>0</v>
      </c>
      <c r="E169" s="50">
        <f>SUMIF(INPUT!$I$231:$I$522,'Project Budget Summary'!A169,INPUT!$H$231:$H$522)+SUMIFS('COST REPORT'!$F$9:$F$998,'COST REPORT'!$A$9:$A$998,'Project Budget Summary'!A169,'COST REPORT'!$I$9:$I$998,"close")-SUMIFS('COST REPORT'!$F$9:$F$998,'COST REPORT'!$A$9:$A$998,'Project Budget Summary'!A169,'COST REPORT'!$I$9:$I$998,"close",'COST REPORT'!$J$9:$J$998,"x")</f>
        <v>0</v>
      </c>
      <c r="F169" s="50">
        <f t="shared" si="30"/>
        <v>0</v>
      </c>
      <c r="G169" s="45">
        <f>SUMIF('COST REPORT'!$A$9:$A$998,'Project Budget Summary'!A169,'COST REPORT'!$G$9:$G$998)</f>
        <v>0</v>
      </c>
      <c r="H169" s="45">
        <f t="shared" si="31"/>
        <v>0</v>
      </c>
      <c r="I169" s="51">
        <f t="shared" si="32"/>
        <v>0</v>
      </c>
      <c r="J169" s="30" t="s">
        <v>1421</v>
      </c>
      <c r="K169" s="889"/>
      <c r="L169" s="30"/>
      <c r="M169" s="30"/>
      <c r="N169" s="30"/>
      <c r="O169" s="139"/>
      <c r="P169" s="198"/>
      <c r="Q169" s="198"/>
      <c r="R169" s="198"/>
      <c r="S169" s="198"/>
      <c r="T169" s="198"/>
      <c r="U169" s="80"/>
    </row>
    <row r="170" spans="1:21" s="28" customFormat="1">
      <c r="A170" s="48">
        <f t="shared" si="26"/>
        <v>527</v>
      </c>
      <c r="B170" s="138" t="s">
        <v>1354</v>
      </c>
      <c r="C170" s="49">
        <v>0</v>
      </c>
      <c r="D170" s="199">
        <f>SUMIF('COST REPORT'!$A$9:$A$998,'Project Budget Summary'!A170,'COST REPORT'!$F$9:$F$998)-SUMIFS('COST REPORT'!$F$9:$F$998,'COST REPORT'!$A$9:$A$998,'Project Budget Summary'!A170,'COST REPORT'!$I$9:$I$998,"close")</f>
        <v>0</v>
      </c>
      <c r="E170" s="50">
        <f>SUMIF(INPUT!$I$231:$I$522,'Project Budget Summary'!A170,INPUT!$H$231:$H$522)+SUMIFS('COST REPORT'!$F$9:$F$998,'COST REPORT'!$A$9:$A$998,'Project Budget Summary'!A170,'COST REPORT'!$I$9:$I$998,"close")-SUMIFS('COST REPORT'!$F$9:$F$998,'COST REPORT'!$A$9:$A$998,'Project Budget Summary'!A170,'COST REPORT'!$I$9:$I$998,"close",'COST REPORT'!$J$9:$J$998,"x")</f>
        <v>0</v>
      </c>
      <c r="F170" s="50">
        <f t="shared" si="30"/>
        <v>0</v>
      </c>
      <c r="G170" s="45">
        <f>SUMIF('COST REPORT'!$A$9:$A$998,'Project Budget Summary'!A170,'COST REPORT'!$G$9:$G$998)</f>
        <v>0</v>
      </c>
      <c r="H170" s="45">
        <f t="shared" si="31"/>
        <v>0</v>
      </c>
      <c r="I170" s="51">
        <f t="shared" si="32"/>
        <v>0</v>
      </c>
      <c r="J170" s="30" t="s">
        <v>1421</v>
      </c>
      <c r="K170" s="889"/>
      <c r="L170" s="30"/>
      <c r="M170" s="30"/>
      <c r="N170" s="30"/>
      <c r="O170" s="139"/>
      <c r="P170" s="198"/>
      <c r="Q170" s="198"/>
      <c r="R170" s="198"/>
      <c r="S170" s="198"/>
      <c r="T170" s="198"/>
      <c r="U170" s="80"/>
    </row>
    <row r="171" spans="1:21" s="28" customFormat="1">
      <c r="A171" s="48">
        <f t="shared" si="26"/>
        <v>528</v>
      </c>
      <c r="B171" s="138" t="s">
        <v>1354</v>
      </c>
      <c r="C171" s="49">
        <v>0</v>
      </c>
      <c r="D171" s="199">
        <f>SUMIF('COST REPORT'!$A$9:$A$998,'Project Budget Summary'!A171,'COST REPORT'!$F$9:$F$998)-SUMIFS('COST REPORT'!$F$9:$F$998,'COST REPORT'!$A$9:$A$998,'Project Budget Summary'!A171,'COST REPORT'!$I$9:$I$998,"close")</f>
        <v>0</v>
      </c>
      <c r="E171" s="50">
        <f>SUMIF(INPUT!$I$231:$I$522,'Project Budget Summary'!A171,INPUT!$H$231:$H$522)+SUMIFS('COST REPORT'!$F$9:$F$998,'COST REPORT'!$A$9:$A$998,'Project Budget Summary'!A171,'COST REPORT'!$I$9:$I$998,"close")-SUMIFS('COST REPORT'!$F$9:$F$998,'COST REPORT'!$A$9:$A$998,'Project Budget Summary'!A171,'COST REPORT'!$I$9:$I$998,"close",'COST REPORT'!$J$9:$J$998,"x")</f>
        <v>0</v>
      </c>
      <c r="F171" s="50">
        <f>D171+E171</f>
        <v>0</v>
      </c>
      <c r="G171" s="45">
        <f>SUMIF('COST REPORT'!$A$9:$A$998,'Project Budget Summary'!A171,'COST REPORT'!$G$9:$G$998)</f>
        <v>0</v>
      </c>
      <c r="H171" s="45">
        <f>F171-G171</f>
        <v>0</v>
      </c>
      <c r="I171" s="51">
        <f>C171-F171</f>
        <v>0</v>
      </c>
      <c r="J171" s="30" t="s">
        <v>1421</v>
      </c>
      <c r="K171" s="889"/>
      <c r="L171" s="30"/>
      <c r="M171" s="30"/>
      <c r="N171" s="30"/>
      <c r="O171" s="139"/>
      <c r="P171" s="198"/>
      <c r="Q171" s="198"/>
      <c r="R171" s="198"/>
      <c r="S171" s="198"/>
      <c r="T171" s="198"/>
      <c r="U171" s="80"/>
    </row>
    <row r="172" spans="1:21" s="28" customFormat="1">
      <c r="A172" s="48">
        <f t="shared" si="26"/>
        <v>529</v>
      </c>
      <c r="B172" s="138" t="s">
        <v>1354</v>
      </c>
      <c r="C172" s="49">
        <v>0</v>
      </c>
      <c r="D172" s="199">
        <f>SUMIF('COST REPORT'!$A$9:$A$998,'Project Budget Summary'!A172,'COST REPORT'!$F$9:$F$998)-SUMIFS('COST REPORT'!$F$9:$F$998,'COST REPORT'!$A$9:$A$998,'Project Budget Summary'!A172,'COST REPORT'!$I$9:$I$998,"close")</f>
        <v>0</v>
      </c>
      <c r="E172" s="50">
        <f>SUMIF(INPUT!$I$231:$I$522,'Project Budget Summary'!A172,INPUT!$H$231:$H$522)+SUMIFS('COST REPORT'!$F$9:$F$998,'COST REPORT'!$A$9:$A$998,'Project Budget Summary'!A172,'COST REPORT'!$I$9:$I$998,"close")-SUMIFS('COST REPORT'!$F$9:$F$998,'COST REPORT'!$A$9:$A$998,'Project Budget Summary'!A172,'COST REPORT'!$I$9:$I$998,"close",'COST REPORT'!$J$9:$J$998,"x")</f>
        <v>0</v>
      </c>
      <c r="F172" s="50">
        <f>D172+E172</f>
        <v>0</v>
      </c>
      <c r="G172" s="45">
        <f>SUMIF('COST REPORT'!$A$9:$A$998,'Project Budget Summary'!A172,'COST REPORT'!$G$9:$G$998)</f>
        <v>0</v>
      </c>
      <c r="H172" s="45">
        <f>F172-G172</f>
        <v>0</v>
      </c>
      <c r="I172" s="51">
        <f>C172-F172</f>
        <v>0</v>
      </c>
      <c r="J172" s="30" t="s">
        <v>1421</v>
      </c>
      <c r="K172" s="889"/>
      <c r="L172" s="30"/>
      <c r="M172" s="30"/>
      <c r="N172" s="30"/>
      <c r="O172" s="139"/>
      <c r="P172" s="198"/>
      <c r="Q172" s="198"/>
      <c r="R172" s="198"/>
      <c r="S172" s="198"/>
      <c r="T172" s="198"/>
      <c r="U172" s="80"/>
    </row>
    <row r="173" spans="1:21" s="28" customFormat="1">
      <c r="A173" s="48">
        <f t="shared" si="26"/>
        <v>530</v>
      </c>
      <c r="B173" s="138" t="s">
        <v>1354</v>
      </c>
      <c r="C173" s="49">
        <v>0</v>
      </c>
      <c r="D173" s="199">
        <f>SUMIF('COST REPORT'!$A$9:$A$998,'Project Budget Summary'!A173,'COST REPORT'!$F$9:$F$998)-SUMIFS('COST REPORT'!$F$9:$F$998,'COST REPORT'!$A$9:$A$998,'Project Budget Summary'!A173,'COST REPORT'!$I$9:$I$998,"close")</f>
        <v>0</v>
      </c>
      <c r="E173" s="50">
        <f>SUMIF(INPUT!$I$231:$I$522,'Project Budget Summary'!A173,INPUT!$H$231:$H$522)+SUMIFS('COST REPORT'!$F$9:$F$998,'COST REPORT'!$A$9:$A$998,'Project Budget Summary'!A173,'COST REPORT'!$I$9:$I$998,"close")-SUMIFS('COST REPORT'!$F$9:$F$998,'COST REPORT'!$A$9:$A$998,'Project Budget Summary'!A173,'COST REPORT'!$I$9:$I$998,"close",'COST REPORT'!$J$9:$J$998,"x")</f>
        <v>0</v>
      </c>
      <c r="F173" s="50">
        <f>D173+E173</f>
        <v>0</v>
      </c>
      <c r="G173" s="45">
        <f>SUMIF('COST REPORT'!$A$9:$A$998,'Project Budget Summary'!A173,'COST REPORT'!$G$9:$G$998)</f>
        <v>0</v>
      </c>
      <c r="H173" s="45">
        <f>F173-G173</f>
        <v>0</v>
      </c>
      <c r="I173" s="51">
        <f>C173-F173</f>
        <v>0</v>
      </c>
      <c r="J173" s="30" t="s">
        <v>1421</v>
      </c>
      <c r="K173" s="889"/>
      <c r="L173" s="30"/>
      <c r="M173" s="30"/>
      <c r="N173" s="30"/>
      <c r="O173" s="80"/>
      <c r="P173" s="80"/>
      <c r="Q173" s="80"/>
      <c r="R173" s="80"/>
      <c r="S173" s="80"/>
      <c r="T173" s="80"/>
      <c r="U173" s="80"/>
    </row>
    <row r="174" spans="1:21" s="28" customFormat="1" ht="13.5" thickBot="1">
      <c r="A174" s="54" t="s">
        <v>1443</v>
      </c>
      <c r="B174" s="55"/>
      <c r="C174" s="56">
        <f>SUM(C143:C173)</f>
        <v>0</v>
      </c>
      <c r="D174" s="56">
        <f t="shared" ref="D174:I174" si="33">SUM(D143:D173)</f>
        <v>0</v>
      </c>
      <c r="E174" s="56">
        <f t="shared" si="33"/>
        <v>0</v>
      </c>
      <c r="F174" s="56">
        <f t="shared" si="33"/>
        <v>0</v>
      </c>
      <c r="G174" s="56">
        <f t="shared" si="33"/>
        <v>0</v>
      </c>
      <c r="H174" s="56">
        <f t="shared" si="33"/>
        <v>0</v>
      </c>
      <c r="I174" s="56">
        <f t="shared" si="33"/>
        <v>0</v>
      </c>
      <c r="J174" s="998"/>
      <c r="K174" s="57"/>
      <c r="L174" s="57"/>
      <c r="M174" s="57"/>
      <c r="N174" s="57"/>
      <c r="O174" s="80"/>
      <c r="P174" s="80"/>
      <c r="Q174" s="80"/>
      <c r="R174" s="80"/>
      <c r="S174" s="80"/>
      <c r="T174" s="80"/>
      <c r="U174" s="80"/>
    </row>
    <row r="175" spans="1:21" s="28" customFormat="1" ht="13.5" thickBot="1">
      <c r="A175" s="57"/>
      <c r="B175" s="57"/>
      <c r="C175" s="755"/>
      <c r="D175" s="755"/>
      <c r="E175" s="755"/>
      <c r="F175" s="755"/>
      <c r="G175" s="755"/>
      <c r="H175" s="755"/>
      <c r="I175" s="755"/>
      <c r="J175" s="57"/>
      <c r="K175" s="57"/>
      <c r="L175" s="57"/>
      <c r="M175" s="57"/>
      <c r="N175" s="57"/>
      <c r="O175" s="80"/>
      <c r="P175" s="80"/>
      <c r="Q175" s="80"/>
      <c r="R175" s="80"/>
      <c r="S175" s="80"/>
      <c r="T175" s="80"/>
      <c r="U175" s="80"/>
    </row>
    <row r="176" spans="1:21" s="28" customFormat="1" ht="13.5" thickBot="1">
      <c r="A176" s="760">
        <v>600</v>
      </c>
      <c r="B176" s="758" t="s">
        <v>1444</v>
      </c>
      <c r="C176" s="759">
        <v>0</v>
      </c>
      <c r="D176" s="759">
        <v>0</v>
      </c>
      <c r="E176" s="756">
        <f>SUMIF(INPUT!$I$231:$I$522,'Project Budget Summary'!A176,INPUT!$H$231:$H$522)+SUMIFS('COST REPORT'!$F$9:$F$998,'COST REPORT'!$A$9:$A$998,'Project Budget Summary'!A176,'COST REPORT'!$I$9:$I$998,"close")-SUMIFS('COST REPORT'!$F$9:$F$998,'COST REPORT'!$A$9:$A$998,'Project Budget Summary'!A176,'COST REPORT'!$I$9:$I$998,"close",'COST REPORT'!$J$9:$J$998,"x")</f>
        <v>0</v>
      </c>
      <c r="F176" s="756">
        <f>D176+E176</f>
        <v>0</v>
      </c>
      <c r="G176" s="759">
        <v>0</v>
      </c>
      <c r="H176" s="757">
        <f>F176-G176</f>
        <v>0</v>
      </c>
      <c r="I176" s="761">
        <f>C176-F176</f>
        <v>0</v>
      </c>
      <c r="J176" s="57"/>
      <c r="K176" s="57"/>
      <c r="L176" s="57"/>
      <c r="M176" s="57"/>
      <c r="N176" s="57"/>
      <c r="O176" s="80"/>
      <c r="P176" s="80"/>
      <c r="Q176" s="80"/>
      <c r="R176" s="80"/>
      <c r="S176" s="80"/>
      <c r="T176" s="80"/>
      <c r="U176" s="80"/>
    </row>
    <row r="177" spans="1:21" s="28" customFormat="1">
      <c r="A177" s="243"/>
      <c r="B177" s="243"/>
      <c r="C177" s="286"/>
      <c r="D177" s="286"/>
      <c r="E177" s="287"/>
      <c r="F177" s="287"/>
      <c r="G177" s="286"/>
      <c r="H177" s="286"/>
      <c r="I177" s="286"/>
      <c r="O177" s="80"/>
      <c r="P177" s="80"/>
      <c r="Q177" s="80"/>
      <c r="R177" s="80"/>
      <c r="S177" s="80"/>
      <c r="T177" s="80"/>
      <c r="U177" s="80"/>
    </row>
    <row r="178" spans="1:21" s="28" customFormat="1" ht="13.5" thickBot="1">
      <c r="A178" s="62" t="s">
        <v>1445</v>
      </c>
      <c r="B178" s="63"/>
      <c r="C178" s="64">
        <f>C22+C46+C100+C111+C140+C174+C176</f>
        <v>0</v>
      </c>
      <c r="D178" s="64">
        <f t="shared" ref="D178:I178" si="34">D22+D46+D100+D111+D140+D174+D176</f>
        <v>0</v>
      </c>
      <c r="E178" s="64">
        <f t="shared" si="34"/>
        <v>0</v>
      </c>
      <c r="F178" s="64">
        <f t="shared" si="34"/>
        <v>0</v>
      </c>
      <c r="G178" s="64">
        <f t="shared" si="34"/>
        <v>0</v>
      </c>
      <c r="H178" s="64">
        <f t="shared" si="34"/>
        <v>0</v>
      </c>
      <c r="I178" s="64">
        <f t="shared" si="34"/>
        <v>0</v>
      </c>
      <c r="O178" s="80"/>
      <c r="P178" s="80"/>
      <c r="Q178" s="80"/>
      <c r="R178" s="80"/>
      <c r="S178" s="80"/>
      <c r="T178" s="80"/>
      <c r="U178" s="80"/>
    </row>
    <row r="179" spans="1:21" s="28" customFormat="1" ht="13.5" thickTop="1">
      <c r="A179" s="283"/>
      <c r="B179" s="283"/>
      <c r="C179" s="284"/>
      <c r="D179" s="284"/>
      <c r="E179" s="285"/>
      <c r="F179" s="285"/>
      <c r="G179" s="284"/>
      <c r="H179" s="284"/>
      <c r="I179" s="284"/>
      <c r="O179" s="80"/>
      <c r="P179" s="80"/>
      <c r="Q179" s="80"/>
      <c r="R179" s="80"/>
      <c r="S179" s="80"/>
      <c r="T179" s="80"/>
      <c r="U179" s="80"/>
    </row>
    <row r="180" spans="1:21" s="28" customFormat="1" ht="25.5">
      <c r="A180" s="58" t="s">
        <v>566</v>
      </c>
      <c r="B180" s="39"/>
      <c r="C180" s="354" t="s">
        <v>1446</v>
      </c>
      <c r="D180" s="282" t="s">
        <v>1447</v>
      </c>
      <c r="E180" s="282" t="s">
        <v>1342</v>
      </c>
      <c r="F180" s="282" t="s">
        <v>1448</v>
      </c>
      <c r="G180" s="282"/>
      <c r="H180" s="40"/>
      <c r="I180" s="892" t="s">
        <v>1449</v>
      </c>
      <c r="Q180" s="80"/>
      <c r="R180" s="80"/>
      <c r="S180" s="80"/>
      <c r="T180" s="80"/>
      <c r="U180" s="80"/>
    </row>
    <row r="181" spans="1:21" s="28" customFormat="1">
      <c r="A181" s="663">
        <v>1</v>
      </c>
      <c r="B181" s="664" t="s">
        <v>332</v>
      </c>
      <c r="C181" s="670">
        <f>F181+I181</f>
        <v>299227500</v>
      </c>
      <c r="D181" s="671">
        <v>0</v>
      </c>
      <c r="E181" s="672">
        <f>SUMIF(INPUT!$I$222:$I$224,'Project Budget Summary'!A181,INPUT!$G$222:$G$224)</f>
        <v>220991091</v>
      </c>
      <c r="F181" s="672">
        <f>D181+E181</f>
        <v>220991091</v>
      </c>
      <c r="G181" s="671"/>
      <c r="H181" s="671"/>
      <c r="I181" s="665">
        <f>SUMIF(INPUT!$I$222:$I$224,'Project Budget Summary'!A181,INPUT!$Q$222:$Q$224)</f>
        <v>78236409</v>
      </c>
      <c r="J181" s="238"/>
      <c r="O181" s="80"/>
      <c r="P181" s="80"/>
      <c r="Q181" s="80"/>
      <c r="R181" s="80"/>
      <c r="S181" s="80"/>
      <c r="T181" s="80"/>
      <c r="U181" s="80"/>
    </row>
    <row r="182" spans="1:21" s="28" customFormat="1">
      <c r="A182" s="666">
        <v>2</v>
      </c>
      <c r="B182" s="667" t="s">
        <v>569</v>
      </c>
      <c r="C182" s="673">
        <f>F182+I182</f>
        <v>7672500</v>
      </c>
      <c r="D182" s="674">
        <v>0</v>
      </c>
      <c r="E182" s="675">
        <f>SUMIF(INPUT!$I$222:$I$224,'Project Budget Summary'!A182,INPUT!$G$222:$G$224)</f>
        <v>7672500</v>
      </c>
      <c r="F182" s="675">
        <f t="shared" ref="F182:F189" si="35">D182+E182</f>
        <v>7672500</v>
      </c>
      <c r="G182" s="674"/>
      <c r="H182" s="674"/>
      <c r="I182" s="668">
        <f>SUMIF(INPUT!$I$222:$I$224,'Project Budget Summary'!A182,INPUT!$Q$222:$Q$224)</f>
        <v>0</v>
      </c>
      <c r="J182" s="238"/>
      <c r="O182" s="80"/>
      <c r="P182" s="80"/>
      <c r="Q182" s="80"/>
      <c r="R182" s="80"/>
      <c r="S182" s="80"/>
      <c r="T182" s="80"/>
      <c r="U182" s="80"/>
    </row>
    <row r="183" spans="1:21" s="28" customFormat="1">
      <c r="A183" s="666">
        <v>3</v>
      </c>
      <c r="B183" s="667" t="s">
        <v>334</v>
      </c>
      <c r="C183" s="673">
        <f>F183+I183</f>
        <v>0</v>
      </c>
      <c r="D183" s="674">
        <v>0</v>
      </c>
      <c r="E183" s="675">
        <f>SUMIF(INPUT!$I$222:$I$224,'Project Budget Summary'!A183,INPUT!$G$222:$G$224)</f>
        <v>0</v>
      </c>
      <c r="F183" s="675">
        <f t="shared" si="35"/>
        <v>0</v>
      </c>
      <c r="G183" s="674"/>
      <c r="H183" s="674"/>
      <c r="I183" s="668">
        <f>SUMIF(INPUT!$I$222:$I$224,'Project Budget Summary'!A183,INPUT!$Q$222:$Q$224)</f>
        <v>0</v>
      </c>
      <c r="J183" s="238"/>
      <c r="O183" s="80"/>
      <c r="P183" s="80"/>
      <c r="Q183" s="80"/>
      <c r="R183" s="80"/>
      <c r="S183" s="80"/>
      <c r="T183" s="80"/>
      <c r="U183" s="80"/>
    </row>
    <row r="184" spans="1:21" s="28" customFormat="1">
      <c r="A184" s="666">
        <v>4</v>
      </c>
      <c r="B184" s="667" t="s">
        <v>810</v>
      </c>
      <c r="C184" s="676">
        <v>0</v>
      </c>
      <c r="D184" s="677"/>
      <c r="E184" s="675">
        <f>SUMIF(INPUT!$I$222:$I$224,'Project Budget Summary'!A184,INPUT!$G$222:$G$224)</f>
        <v>0</v>
      </c>
      <c r="F184" s="675">
        <f t="shared" si="35"/>
        <v>0</v>
      </c>
      <c r="G184" s="674"/>
      <c r="H184" s="674"/>
      <c r="I184" s="669">
        <f>C184-F184</f>
        <v>0</v>
      </c>
      <c r="J184" s="238"/>
      <c r="O184" s="80"/>
      <c r="P184" s="80"/>
      <c r="Q184" s="80"/>
      <c r="R184" s="80"/>
      <c r="S184" s="80"/>
      <c r="T184" s="80"/>
      <c r="U184" s="80"/>
    </row>
    <row r="185" spans="1:21" s="28" customFormat="1">
      <c r="A185" s="666">
        <v>5</v>
      </c>
      <c r="B185" s="667" t="s">
        <v>834</v>
      </c>
      <c r="C185" s="676">
        <v>0</v>
      </c>
      <c r="D185" s="677"/>
      <c r="E185" s="678">
        <f>SUMIF(INPUT!$I$244:$I$522,'Project Budget Summary'!A185,INPUT!$G$244:$G$522)</f>
        <v>0</v>
      </c>
      <c r="F185" s="675">
        <f t="shared" si="35"/>
        <v>0</v>
      </c>
      <c r="G185" s="674"/>
      <c r="H185" s="674"/>
      <c r="I185" s="669">
        <f t="shared" ref="I185:I190" si="36">C185-F185</f>
        <v>0</v>
      </c>
      <c r="J185" s="238"/>
      <c r="O185" s="80"/>
      <c r="P185" s="80"/>
      <c r="Q185" s="80"/>
      <c r="R185" s="80"/>
      <c r="S185" s="80"/>
      <c r="T185" s="80"/>
      <c r="U185" s="80"/>
    </row>
    <row r="186" spans="1:21" s="28" customFormat="1">
      <c r="A186" s="666">
        <v>6</v>
      </c>
      <c r="B186" s="1959" t="s">
        <v>1416</v>
      </c>
      <c r="C186" s="1054">
        <f>E186</f>
        <v>0</v>
      </c>
      <c r="D186" s="1055"/>
      <c r="E186" s="678">
        <f>SUMIF(INPUT!$I$244:$I$522,'Project Budget Summary'!A186,INPUT!$G$244:$G$522)</f>
        <v>0</v>
      </c>
      <c r="F186" s="675">
        <f t="shared" si="35"/>
        <v>0</v>
      </c>
      <c r="G186" s="674"/>
      <c r="H186" s="674"/>
      <c r="I186" s="669">
        <f t="shared" si="36"/>
        <v>0</v>
      </c>
      <c r="J186" s="238"/>
      <c r="O186" s="80"/>
      <c r="P186" s="80"/>
      <c r="Q186" s="80"/>
      <c r="R186" s="80"/>
      <c r="S186" s="80"/>
      <c r="T186" s="80"/>
      <c r="U186" s="80"/>
    </row>
    <row r="187" spans="1:21" s="28" customFormat="1">
      <c r="A187" s="666">
        <v>7</v>
      </c>
      <c r="B187" s="667" t="s">
        <v>997</v>
      </c>
      <c r="C187" s="673">
        <f>F187+I187</f>
        <v>0</v>
      </c>
      <c r="D187" s="674"/>
      <c r="E187" s="678">
        <f>SUMIF(INPUT!$I$244:$I$522,'Project Budget Summary'!A187,INPUT!$G$244:$G$522)</f>
        <v>0</v>
      </c>
      <c r="F187" s="675">
        <f t="shared" si="35"/>
        <v>0</v>
      </c>
      <c r="G187" s="674"/>
      <c r="H187" s="674"/>
      <c r="I187" s="669">
        <v>0</v>
      </c>
      <c r="J187" s="238"/>
      <c r="O187" s="80"/>
      <c r="P187" s="80"/>
      <c r="Q187" s="80"/>
      <c r="R187" s="80"/>
      <c r="S187" s="80"/>
      <c r="T187" s="80"/>
      <c r="U187" s="80"/>
    </row>
    <row r="188" spans="1:21" s="28" customFormat="1">
      <c r="A188" s="666">
        <v>8</v>
      </c>
      <c r="B188" s="667" t="s">
        <v>1450</v>
      </c>
      <c r="C188" s="676">
        <v>0</v>
      </c>
      <c r="D188" s="677"/>
      <c r="E188" s="678">
        <f>SUMIF(INPUT!$I$244:$I$522,'Project Budget Summary'!A188,INPUT!$G$244:$G$522)</f>
        <v>0</v>
      </c>
      <c r="F188" s="675">
        <f>D188+E188</f>
        <v>0</v>
      </c>
      <c r="G188" s="674"/>
      <c r="H188" s="674"/>
      <c r="I188" s="669">
        <f t="shared" si="36"/>
        <v>0</v>
      </c>
      <c r="J188" s="238"/>
      <c r="O188" s="80"/>
      <c r="P188" s="80"/>
      <c r="Q188" s="80"/>
      <c r="R188" s="80"/>
      <c r="S188" s="80"/>
      <c r="T188" s="80"/>
      <c r="U188" s="80"/>
    </row>
    <row r="189" spans="1:21" s="28" customFormat="1">
      <c r="A189" s="666">
        <v>9</v>
      </c>
      <c r="B189" s="667" t="s">
        <v>1451</v>
      </c>
      <c r="C189" s="676">
        <v>0</v>
      </c>
      <c r="D189" s="677"/>
      <c r="E189" s="678">
        <f>SUMIF(INPUT!$I$244:$I$522,'Project Budget Summary'!A189,INPUT!$G$244:$G$522)</f>
        <v>0</v>
      </c>
      <c r="F189" s="675">
        <f t="shared" si="35"/>
        <v>0</v>
      </c>
      <c r="G189" s="674"/>
      <c r="H189" s="674"/>
      <c r="I189" s="669">
        <f t="shared" si="36"/>
        <v>0</v>
      </c>
      <c r="J189" s="238"/>
      <c r="O189" s="80"/>
      <c r="P189" s="80"/>
      <c r="Q189" s="80"/>
      <c r="R189" s="80"/>
      <c r="S189" s="80"/>
      <c r="T189" s="80"/>
      <c r="U189" s="80"/>
    </row>
    <row r="190" spans="1:21" s="28" customFormat="1" ht="13.5" thickBot="1">
      <c r="A190" s="1048">
        <v>10</v>
      </c>
      <c r="B190" s="1061" t="s">
        <v>1416</v>
      </c>
      <c r="C190" s="676">
        <v>0</v>
      </c>
      <c r="D190" s="677"/>
      <c r="E190" s="678">
        <f>SUMIF(INPUT!$I$244:$I$522,'Project Budget Summary'!A190,INPUT!$G$244:$G$522)</f>
        <v>0</v>
      </c>
      <c r="F190" s="675">
        <f>D190+E190</f>
        <v>0</v>
      </c>
      <c r="G190" s="674"/>
      <c r="H190" s="674"/>
      <c r="I190" s="669">
        <f t="shared" si="36"/>
        <v>0</v>
      </c>
      <c r="J190" s="238"/>
      <c r="O190" s="80" t="s">
        <v>1452</v>
      </c>
      <c r="P190" s="80"/>
      <c r="Q190" s="80"/>
      <c r="R190" s="80"/>
      <c r="S190" s="80"/>
      <c r="T190" s="80"/>
      <c r="U190" s="80"/>
    </row>
    <row r="191" spans="1:21" s="28" customFormat="1" ht="13.5" thickBot="1">
      <c r="A191" s="1049">
        <v>11</v>
      </c>
      <c r="B191" s="667" t="s">
        <v>1453</v>
      </c>
      <c r="C191" s="673">
        <f>F191+I191</f>
        <v>-306900000</v>
      </c>
      <c r="D191" s="674">
        <f>D178-(SUM(D181:D190))</f>
        <v>0</v>
      </c>
      <c r="E191" s="674">
        <f>E178-(SUM(E181:E190))</f>
        <v>-228663591</v>
      </c>
      <c r="F191" s="675">
        <f>D191+E191</f>
        <v>-228663591</v>
      </c>
      <c r="G191" s="674"/>
      <c r="H191" s="674"/>
      <c r="I191" s="669">
        <f>(I178+G178)-SUM(I181:I190)</f>
        <v>-78236409</v>
      </c>
      <c r="J191" s="238"/>
      <c r="O191" s="263">
        <f>I178-I192</f>
        <v>0</v>
      </c>
      <c r="P191" s="262" t="s">
        <v>1454</v>
      </c>
      <c r="Q191" s="80"/>
      <c r="R191" s="80"/>
      <c r="S191" s="80"/>
      <c r="T191" s="80"/>
      <c r="U191" s="80"/>
    </row>
    <row r="192" spans="1:21" s="57" customFormat="1">
      <c r="A192" s="660"/>
      <c r="B192" s="661" t="s">
        <v>1455</v>
      </c>
      <c r="C192" s="679">
        <f>SUM(C181:C191)</f>
        <v>0</v>
      </c>
      <c r="D192" s="680">
        <f>SUM(D181:D191)</f>
        <v>0</v>
      </c>
      <c r="E192" s="680">
        <f>SUM(E181:E191)</f>
        <v>0</v>
      </c>
      <c r="F192" s="680">
        <f>SUM(F181:F191)</f>
        <v>0</v>
      </c>
      <c r="G192" s="680"/>
      <c r="H192" s="680"/>
      <c r="I192" s="662">
        <f>SUM(I181:I191)</f>
        <v>0</v>
      </c>
      <c r="J192" s="238"/>
      <c r="O192" s="80"/>
      <c r="P192" s="80"/>
      <c r="Q192" s="80"/>
      <c r="R192" s="80"/>
      <c r="S192" s="80"/>
      <c r="T192" s="80"/>
      <c r="U192" s="80"/>
    </row>
    <row r="193" spans="1:21" s="57" customFormat="1">
      <c r="C193" s="755"/>
      <c r="D193" s="755"/>
      <c r="E193" s="755"/>
      <c r="F193" s="755"/>
      <c r="G193" s="755"/>
      <c r="H193" s="755"/>
      <c r="I193" s="998"/>
      <c r="J193" s="238"/>
      <c r="O193" s="80"/>
      <c r="P193" s="80"/>
      <c r="Q193" s="80"/>
      <c r="R193" s="80"/>
      <c r="S193" s="80"/>
      <c r="T193" s="80"/>
      <c r="U193" s="80"/>
    </row>
    <row r="194" spans="1:21" s="57" customFormat="1" ht="13.5" thickBot="1">
      <c r="A194" s="1006"/>
      <c r="B194" s="1006" t="s">
        <v>1456</v>
      </c>
      <c r="C194" s="1062"/>
      <c r="D194" s="1062"/>
      <c r="E194" s="1062"/>
      <c r="F194" s="1062"/>
      <c r="G194" s="1062"/>
      <c r="H194" s="1062"/>
      <c r="I194" s="1063">
        <f>(INPUT!H299+'Project Budget Summary'!I192-'Project Budget Summary'!I178)</f>
        <v>0</v>
      </c>
      <c r="J194" s="238"/>
      <c r="O194" s="260" t="s">
        <v>1457</v>
      </c>
      <c r="P194" s="80"/>
      <c r="Q194" s="80"/>
      <c r="R194" s="80"/>
      <c r="S194" s="80"/>
      <c r="T194" s="80"/>
      <c r="U194" s="80"/>
    </row>
    <row r="195" spans="1:21" s="28" customFormat="1">
      <c r="C195" s="29"/>
      <c r="D195" s="29"/>
      <c r="E195" s="29"/>
      <c r="F195" s="29"/>
      <c r="G195" s="29"/>
      <c r="H195" s="29"/>
      <c r="I195" s="29"/>
      <c r="O195" s="80"/>
      <c r="P195" s="80"/>
      <c r="Q195" s="80"/>
      <c r="R195" s="80"/>
      <c r="S195" s="80"/>
      <c r="T195" s="80"/>
      <c r="U195" s="80"/>
    </row>
    <row r="196" spans="1:21" s="28" customFormat="1">
      <c r="B196" s="67" t="s">
        <v>1458</v>
      </c>
      <c r="C196" s="29"/>
      <c r="D196" s="29"/>
      <c r="E196" s="29"/>
      <c r="F196" s="29"/>
      <c r="G196" s="1051" t="s">
        <v>1459</v>
      </c>
      <c r="H196" s="29"/>
      <c r="I196" s="29"/>
      <c r="O196" s="80"/>
      <c r="P196" s="80"/>
      <c r="Q196" s="80"/>
      <c r="R196" s="80"/>
      <c r="S196" s="80"/>
      <c r="T196" s="80"/>
      <c r="U196" s="80"/>
    </row>
    <row r="197" spans="1:21" s="28" customFormat="1">
      <c r="B197" s="28" t="s">
        <v>1460</v>
      </c>
      <c r="C197" s="29">
        <f>E192</f>
        <v>0</v>
      </c>
      <c r="D197" s="29"/>
      <c r="E197" s="29"/>
      <c r="F197" s="29"/>
      <c r="G197" s="29" t="s">
        <v>1378</v>
      </c>
      <c r="H197" s="29"/>
      <c r="I197" s="29">
        <f>I45</f>
        <v>0</v>
      </c>
      <c r="O197" s="80"/>
      <c r="P197" s="80"/>
      <c r="Q197" s="80"/>
      <c r="R197" s="80"/>
      <c r="S197" s="80"/>
      <c r="T197" s="80"/>
      <c r="U197" s="80"/>
    </row>
    <row r="198" spans="1:21" s="28" customFormat="1">
      <c r="B198" s="28" t="s">
        <v>373</v>
      </c>
      <c r="C198" s="29">
        <f>INPUT!H299</f>
        <v>0</v>
      </c>
      <c r="D198" s="29"/>
      <c r="E198" s="29"/>
      <c r="F198" s="29"/>
      <c r="G198" s="29" t="s">
        <v>1461</v>
      </c>
      <c r="H198" s="29"/>
      <c r="I198" s="29">
        <f>I99</f>
        <v>0</v>
      </c>
      <c r="O198" s="80"/>
      <c r="P198" s="80"/>
      <c r="Q198" s="80"/>
      <c r="R198" s="80"/>
      <c r="S198" s="80"/>
      <c r="T198" s="80"/>
      <c r="U198" s="80"/>
    </row>
    <row r="199" spans="1:21" s="28" customFormat="1" ht="13.5" thickBot="1">
      <c r="B199" s="28" t="s">
        <v>1462</v>
      </c>
      <c r="C199" s="29">
        <f>INPUT!H435</f>
        <v>0</v>
      </c>
      <c r="D199" s="29"/>
      <c r="E199" s="29"/>
      <c r="F199" s="29"/>
      <c r="G199" s="1072" t="s">
        <v>1463</v>
      </c>
      <c r="H199" s="1072"/>
      <c r="I199" s="1072">
        <f>SUM(I197:I198)</f>
        <v>0</v>
      </c>
      <c r="O199" s="80"/>
      <c r="P199" s="80"/>
      <c r="Q199" s="80"/>
      <c r="R199" s="80"/>
      <c r="S199" s="80"/>
      <c r="T199" s="80"/>
      <c r="U199" s="80"/>
    </row>
    <row r="200" spans="1:21" s="28" customFormat="1" ht="13.5" thickBot="1">
      <c r="B200" s="28" t="s">
        <v>433</v>
      </c>
      <c r="C200" s="29">
        <f>INPUT!H425</f>
        <v>0</v>
      </c>
      <c r="D200" s="29"/>
      <c r="E200" s="29"/>
      <c r="F200" s="29"/>
      <c r="G200" s="1073" t="s">
        <v>1464</v>
      </c>
      <c r="H200" s="1073"/>
      <c r="I200" s="1074">
        <f>IFERROR(I199/(SUMIF(J25:J173,"HC",I25:I173)),0)</f>
        <v>0</v>
      </c>
      <c r="O200" s="80" t="s">
        <v>1465</v>
      </c>
      <c r="P200" s="1080">
        <v>0.1</v>
      </c>
      <c r="Q200" s="1113" t="str">
        <f>IF(I200&lt;P200,"HC CONTINGENCY INADEQUATE.","")</f>
        <v>HC CONTINGENCY INADEQUATE.</v>
      </c>
      <c r="R200" s="80"/>
      <c r="S200" s="80"/>
      <c r="T200" s="80"/>
      <c r="U200" s="80"/>
    </row>
    <row r="201" spans="1:21" s="28" customFormat="1" ht="13.5" thickBot="1">
      <c r="B201" s="1052" t="s">
        <v>1466</v>
      </c>
      <c r="C201" s="1053">
        <f>SUM(C197:C200)</f>
        <v>0</v>
      </c>
      <c r="D201" s="29" t="str">
        <f>IF(C201&lt;&gt;INPUT!D541,"OFF BALANCE - MUST BALANCE TO CELL D477 IN INPUT WORKSHEET","")</f>
        <v>OFF BALANCE - MUST BALANCE TO CELL D477 IN INPUT WORKSHEET</v>
      </c>
      <c r="E201" s="29"/>
      <c r="F201" s="29"/>
      <c r="G201" s="29"/>
      <c r="H201" s="29"/>
      <c r="I201" s="29"/>
      <c r="O201" s="80"/>
      <c r="P201" s="1081"/>
      <c r="Q201" s="1113"/>
      <c r="R201" s="80"/>
      <c r="S201" s="80"/>
      <c r="T201" s="80"/>
      <c r="U201" s="80"/>
    </row>
    <row r="202" spans="1:21" s="28" customFormat="1" ht="14.25" thickTop="1" thickBot="1">
      <c r="C202" s="29"/>
      <c r="D202" s="29"/>
      <c r="E202" s="29"/>
      <c r="F202" s="29"/>
      <c r="G202" s="1072" t="s">
        <v>1467</v>
      </c>
      <c r="H202" s="1072"/>
      <c r="I202" s="1072">
        <f>I139</f>
        <v>0</v>
      </c>
      <c r="O202" s="80" t="s">
        <v>1468</v>
      </c>
      <c r="P202" s="1080">
        <v>0.05</v>
      </c>
      <c r="Q202" s="1113" t="str">
        <f>IF(I203&lt;P202,"SOFT COST CONTINGENCY INADEQUATE.", "")</f>
        <v>SOFT COST CONTINGENCY INADEQUATE.</v>
      </c>
      <c r="R202" s="80"/>
      <c r="S202" s="80"/>
      <c r="T202" s="80"/>
      <c r="U202" s="80"/>
    </row>
    <row r="203" spans="1:21" s="28" customFormat="1" ht="13.5" thickBot="1">
      <c r="B203" s="28" t="s">
        <v>1469</v>
      </c>
      <c r="C203" s="29">
        <f>E181+E182+E183</f>
        <v>228663591</v>
      </c>
      <c r="D203" s="29"/>
      <c r="E203" s="29"/>
      <c r="F203" s="29"/>
      <c r="G203" s="1073" t="s">
        <v>1470</v>
      </c>
      <c r="H203" s="1073"/>
      <c r="I203" s="1074">
        <f>IFERROR(I202/(SUMIF(J25:J173,"SC",I25:I173)),0)</f>
        <v>0</v>
      </c>
      <c r="O203" s="80"/>
      <c r="P203" s="80"/>
      <c r="Q203" s="80"/>
      <c r="R203" s="80"/>
      <c r="S203" s="80"/>
      <c r="T203" s="80"/>
      <c r="U203" s="80"/>
    </row>
    <row r="204" spans="1:21" s="28" customFormat="1">
      <c r="B204" s="28" t="s">
        <v>1471</v>
      </c>
      <c r="C204" s="29">
        <f>SUM(INPUT!G360:G372)</f>
        <v>0</v>
      </c>
      <c r="D204" s="29"/>
      <c r="E204" s="29"/>
      <c r="F204" s="29"/>
      <c r="G204" s="29"/>
      <c r="H204" s="29"/>
      <c r="I204" s="29"/>
      <c r="O204" s="260" t="s">
        <v>1472</v>
      </c>
      <c r="P204" s="80"/>
      <c r="Q204" s="80"/>
      <c r="R204" s="80"/>
      <c r="S204" s="80"/>
      <c r="T204" s="80"/>
      <c r="U204" s="80"/>
    </row>
    <row r="205" spans="1:21" s="28" customFormat="1">
      <c r="B205" s="28" t="s">
        <v>1473</v>
      </c>
      <c r="C205" s="29">
        <f>SUM(E184:E190)</f>
        <v>0</v>
      </c>
      <c r="D205" s="29"/>
      <c r="E205" s="29"/>
      <c r="F205" s="29"/>
      <c r="G205" s="29" t="s">
        <v>1474</v>
      </c>
      <c r="H205" s="29"/>
      <c r="I205" s="29"/>
      <c r="O205" s="80"/>
      <c r="P205" s="80"/>
      <c r="Q205" s="80"/>
      <c r="R205" s="80"/>
      <c r="S205" s="80"/>
      <c r="T205" s="80"/>
      <c r="U205" s="80"/>
    </row>
    <row r="206" spans="1:21" s="28" customFormat="1" ht="13.5" thickBot="1">
      <c r="B206" s="1052" t="s">
        <v>1475</v>
      </c>
      <c r="C206" s="1053">
        <f>SUM(C203:C205)</f>
        <v>228663591</v>
      </c>
      <c r="D206" s="29"/>
      <c r="E206" s="29"/>
      <c r="F206" s="29"/>
      <c r="G206" s="29"/>
      <c r="H206" s="29"/>
      <c r="I206" s="29"/>
      <c r="O206" s="80"/>
      <c r="P206" s="80"/>
      <c r="Q206" s="80"/>
      <c r="R206" s="80"/>
      <c r="S206" s="80"/>
      <c r="T206" s="80"/>
      <c r="U206" s="80"/>
    </row>
    <row r="207" spans="1:21" s="28" customFormat="1" ht="13.5" thickTop="1">
      <c r="B207" s="57"/>
      <c r="C207" s="755"/>
      <c r="D207" s="29"/>
      <c r="E207" s="29"/>
      <c r="F207" s="29"/>
      <c r="G207" s="29"/>
      <c r="H207" s="29"/>
      <c r="I207" s="29"/>
      <c r="O207" s="80"/>
      <c r="P207" s="80"/>
      <c r="Q207" s="80"/>
      <c r="R207" s="80"/>
      <c r="S207" s="80"/>
      <c r="T207" s="80"/>
      <c r="U207" s="80"/>
    </row>
    <row r="208" spans="1:21" s="28" customFormat="1">
      <c r="C208" s="29"/>
      <c r="D208" s="29"/>
      <c r="E208" s="30"/>
      <c r="F208" s="30"/>
      <c r="G208" s="29"/>
      <c r="H208" s="29"/>
      <c r="O208" s="80"/>
      <c r="P208" s="80"/>
      <c r="Q208" s="80"/>
      <c r="R208" s="80"/>
      <c r="S208" s="80"/>
      <c r="T208" s="80"/>
      <c r="U208" s="80"/>
    </row>
    <row r="209" spans="2:21" s="28" customFormat="1" ht="15.75">
      <c r="B209" s="1114" t="s">
        <v>1476</v>
      </c>
      <c r="C209" s="29"/>
      <c r="D209" s="29"/>
      <c r="E209" s="30"/>
      <c r="F209" s="30"/>
      <c r="G209" s="29"/>
      <c r="H209" s="29"/>
      <c r="O209" s="80"/>
      <c r="P209" s="80"/>
      <c r="Q209" s="80"/>
      <c r="R209" s="80"/>
      <c r="S209" s="80"/>
      <c r="T209" s="80"/>
      <c r="U209" s="80"/>
    </row>
    <row r="210" spans="2:21" s="28" customFormat="1">
      <c r="B210" s="67" t="s">
        <v>1477</v>
      </c>
      <c r="C210" s="29"/>
      <c r="D210" s="29"/>
      <c r="E210" s="30"/>
      <c r="F210" s="30"/>
      <c r="G210" s="29"/>
      <c r="H210" s="29"/>
      <c r="O210" s="80"/>
      <c r="P210" s="80"/>
      <c r="Q210" s="80"/>
      <c r="R210" s="80"/>
      <c r="S210" s="80"/>
      <c r="T210" s="80"/>
      <c r="U210" s="80"/>
    </row>
    <row r="211" spans="2:21">
      <c r="G211" s="988" t="s">
        <v>663</v>
      </c>
      <c r="H211" s="988"/>
    </row>
    <row r="212" spans="2:21" ht="38.25">
      <c r="C212" s="979" t="s">
        <v>1478</v>
      </c>
      <c r="D212" s="979" t="s">
        <v>1479</v>
      </c>
      <c r="E212" s="978" t="s">
        <v>1480</v>
      </c>
      <c r="F212" s="978" t="s">
        <v>1481</v>
      </c>
      <c r="G212" s="979" t="s">
        <v>244</v>
      </c>
      <c r="H212" s="977" t="s">
        <v>572</v>
      </c>
      <c r="I212" s="121"/>
    </row>
    <row r="213" spans="2:21">
      <c r="B213" s="3" t="s">
        <v>1482</v>
      </c>
      <c r="E213" s="987">
        <f>C213-D213</f>
        <v>0</v>
      </c>
      <c r="F213" s="980"/>
      <c r="G213" s="65">
        <f>ROUND((E213*F213),0)</f>
        <v>0</v>
      </c>
      <c r="H213" s="65">
        <f>E213-G213</f>
        <v>0</v>
      </c>
    </row>
    <row r="214" spans="2:21">
      <c r="B214" s="3" t="s">
        <v>1483</v>
      </c>
      <c r="E214" s="987">
        <f>C214-D214</f>
        <v>0</v>
      </c>
      <c r="F214" s="980"/>
      <c r="G214" s="65">
        <f>ROUND((E214*F214),0)</f>
        <v>0</v>
      </c>
      <c r="H214" s="65">
        <f>E214-G214</f>
        <v>0</v>
      </c>
    </row>
    <row r="215" spans="2:21">
      <c r="B215" s="3" t="s">
        <v>1484</v>
      </c>
      <c r="E215" s="987">
        <f>C215-D215</f>
        <v>0</v>
      </c>
      <c r="F215" s="980"/>
      <c r="G215" s="65">
        <f>ROUND((E215*F215),0)</f>
        <v>0</v>
      </c>
      <c r="H215" s="65">
        <f>E215-G215</f>
        <v>0</v>
      </c>
    </row>
    <row r="216" spans="2:21">
      <c r="B216" s="982" t="s">
        <v>294</v>
      </c>
      <c r="C216" s="983">
        <f>SUM(C213:C215)</f>
        <v>0</v>
      </c>
      <c r="D216" s="983">
        <f>SUM(D213:D215)</f>
        <v>0</v>
      </c>
      <c r="E216" s="986">
        <f>SUM(E213:E215)</f>
        <v>0</v>
      </c>
      <c r="F216" s="984"/>
      <c r="G216" s="983">
        <f>SUM(G213:G215)</f>
        <v>0</v>
      </c>
      <c r="H216" s="983">
        <f>SUM(H213:H215)</f>
        <v>0</v>
      </c>
      <c r="I216" s="985"/>
    </row>
    <row r="217" spans="2:21">
      <c r="C217" s="987"/>
      <c r="D217" s="987"/>
      <c r="G217" s="987"/>
      <c r="H217" s="987"/>
    </row>
    <row r="218" spans="2:21">
      <c r="C218" s="987" t="s">
        <v>11</v>
      </c>
      <c r="D218" s="987" t="s">
        <v>1485</v>
      </c>
      <c r="E218" s="66" t="s">
        <v>22</v>
      </c>
      <c r="F218" s="66" t="s">
        <v>322</v>
      </c>
      <c r="G218" s="987"/>
      <c r="H218" s="987"/>
    </row>
    <row r="219" spans="2:21">
      <c r="B219" s="3" t="s">
        <v>1486</v>
      </c>
    </row>
    <row r="220" spans="2:21">
      <c r="B220" s="3" t="s">
        <v>1487</v>
      </c>
      <c r="F220" s="989"/>
    </row>
    <row r="221" spans="2:21">
      <c r="B221" s="3" t="s">
        <v>1488</v>
      </c>
    </row>
    <row r="222" spans="2:21">
      <c r="B222" s="3" t="s">
        <v>1489</v>
      </c>
    </row>
    <row r="223" spans="2:21">
      <c r="B223" s="3" t="s">
        <v>1490</v>
      </c>
    </row>
    <row r="224" spans="2:21">
      <c r="B224" s="3" t="s">
        <v>548</v>
      </c>
    </row>
    <row r="225" spans="2:9">
      <c r="B225" s="2" t="s">
        <v>1491</v>
      </c>
      <c r="C225" s="981"/>
      <c r="D225" s="981"/>
      <c r="E225" s="217"/>
      <c r="F225" s="217"/>
      <c r="G225" s="981"/>
      <c r="H225" s="981"/>
      <c r="I225" s="2"/>
    </row>
  </sheetData>
  <sortState xmlns:xlrd2="http://schemas.microsoft.com/office/spreadsheetml/2017/richdata2" ref="M153:M165">
    <sortCondition ref="M153:M165"/>
  </sortState>
  <mergeCells count="5">
    <mergeCell ref="O1:V3"/>
    <mergeCell ref="O161:T161"/>
    <mergeCell ref="O5:V7"/>
    <mergeCell ref="O9:V10"/>
    <mergeCell ref="O24:V25"/>
  </mergeCells>
  <pageMargins left="0.7" right="0.7" top="0.75" bottom="0.75" header="0.3" footer="0.3"/>
  <pageSetup scale="71" fitToHeight="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0000"/>
    <pageSetUpPr fitToPage="1"/>
  </sheetPr>
  <dimension ref="A1:G564"/>
  <sheetViews>
    <sheetView workbookViewId="0">
      <selection activeCell="B2" sqref="B2"/>
    </sheetView>
  </sheetViews>
  <sheetFormatPr defaultRowHeight="15"/>
  <cols>
    <col min="1" max="1" width="9.42578125" style="135"/>
    <col min="2" max="2" width="52.42578125" customWidth="1"/>
    <col min="3" max="3" width="7.5703125" style="181" customWidth="1"/>
    <col min="4" max="4" width="5.5703125" customWidth="1"/>
    <col min="5" max="5" width="8.42578125" customWidth="1"/>
    <col min="6" max="6" width="48.5703125" customWidth="1"/>
    <col min="7" max="7" width="6.42578125" customWidth="1"/>
  </cols>
  <sheetData>
    <row r="1" spans="1:7">
      <c r="A1" s="155" t="s">
        <v>1492</v>
      </c>
      <c r="B1" s="20"/>
      <c r="D1" s="20"/>
      <c r="E1" s="20"/>
      <c r="F1" s="20"/>
      <c r="G1" s="20"/>
    </row>
    <row r="2" spans="1:7">
      <c r="A2" s="100"/>
      <c r="B2" s="20"/>
      <c r="D2" s="20"/>
      <c r="E2" s="20"/>
      <c r="F2" s="20"/>
      <c r="G2" s="20"/>
    </row>
    <row r="3" spans="1:7">
      <c r="A3" s="100"/>
      <c r="B3" s="20"/>
      <c r="D3" s="20"/>
      <c r="E3" s="20"/>
      <c r="F3" s="20"/>
      <c r="G3" s="20"/>
    </row>
    <row r="4" spans="1:7">
      <c r="A4" s="149" t="s">
        <v>1493</v>
      </c>
      <c r="B4" s="150"/>
      <c r="D4" s="20"/>
      <c r="E4" s="153" t="s">
        <v>1494</v>
      </c>
      <c r="F4" s="154"/>
      <c r="G4" s="20"/>
    </row>
    <row r="5" spans="1:7" s="353" customFormat="1" ht="19.5" customHeight="1" thickBot="1">
      <c r="A5" s="349" t="s">
        <v>1495</v>
      </c>
      <c r="B5" s="350"/>
      <c r="C5" s="1039"/>
      <c r="D5" s="351"/>
      <c r="E5" s="352" t="s">
        <v>1496</v>
      </c>
      <c r="F5" s="350"/>
      <c r="G5" s="351"/>
    </row>
    <row r="6" spans="1:7">
      <c r="A6" s="163" t="str">
        <f>'Project Budget Summary'!A10</f>
        <v>Land Acquisition</v>
      </c>
      <c r="B6" s="164"/>
      <c r="C6" s="1040" t="s">
        <v>1497</v>
      </c>
      <c r="D6" s="20"/>
      <c r="E6" s="163" t="s">
        <v>663</v>
      </c>
      <c r="F6" s="164"/>
      <c r="G6" s="20"/>
    </row>
    <row r="7" spans="1:7">
      <c r="A7" s="166">
        <f>'Project Budget Summary'!A11</f>
        <v>100</v>
      </c>
      <c r="B7" s="167" t="str">
        <f>VLOOKUP(A7,'Project Budget Summary'!$A$11:$B$173,2,FALSE)</f>
        <v>Property/Land Acquisition</v>
      </c>
      <c r="C7" s="181" t="str">
        <f>VLOOKUP(A7,'Project Budget Summary'!$A$11:$J$173,10,FALSE)</f>
        <v>Acq.</v>
      </c>
      <c r="D7" s="20"/>
      <c r="E7" s="355"/>
      <c r="F7" s="356"/>
      <c r="G7" s="20"/>
    </row>
    <row r="8" spans="1:7">
      <c r="A8" s="166">
        <f>'Project Budget Summary'!A12</f>
        <v>101</v>
      </c>
      <c r="B8" s="167" t="str">
        <f>VLOOKUP(A8,'Project Budget Summary'!$A$11:$B$173,2,FALSE)</f>
        <v>Acquisition Closing Costs</v>
      </c>
      <c r="C8" s="181" t="str">
        <f>VLOOKUP(A8,'Project Budget Summary'!$A$11:$J$173,10,FALSE)</f>
        <v>Acq.</v>
      </c>
      <c r="D8" s="20"/>
      <c r="E8" s="357">
        <f>'S&amp;U Recon'!A12</f>
        <v>1</v>
      </c>
      <c r="F8" s="358" t="str">
        <f>IF(VLOOKUP(E8,'S&amp;U Recon'!$A$12:$B$21,2,FALSE)="","",VLOOKUP(E8,'S&amp;U Recon'!$A$12:$B$21,2,FALSE))</f>
        <v>ACORE First Mortgage</v>
      </c>
      <c r="G8" s="20"/>
    </row>
    <row r="9" spans="1:7">
      <c r="A9" s="166">
        <f>'Project Budget Summary'!A13</f>
        <v>102</v>
      </c>
      <c r="B9" s="167" t="str">
        <f>VLOOKUP(A9,'Project Budget Summary'!$A$11:$B$173,2,FALSE)</f>
        <v>Acquisition Administrative Costs</v>
      </c>
      <c r="C9" s="181" t="str">
        <f>VLOOKUP(A9,'Project Budget Summary'!$A$11:$J$173,10,FALSE)</f>
        <v>Acq.</v>
      </c>
      <c r="D9" s="20"/>
      <c r="E9" s="357">
        <f>'S&amp;U Recon'!A13</f>
        <v>2</v>
      </c>
      <c r="F9" s="358" t="str">
        <f>IF(VLOOKUP(E9,'S&amp;U Recon'!$A$12:$B$21,2,FALSE)="","",VLOOKUP(E9,'S&amp;U Recon'!$A$12:$B$21,2,FALSE))</f>
        <v>ACORE Mezzanine</v>
      </c>
      <c r="G9" s="20"/>
    </row>
    <row r="10" spans="1:7">
      <c r="A10" s="166">
        <f>'Project Budget Summary'!A14</f>
        <v>103</v>
      </c>
      <c r="B10" s="167" t="str">
        <f>VLOOKUP(A10,'Project Budget Summary'!$A$11:$B$173,2,FALSE)</f>
        <v>Other [Define]</v>
      </c>
      <c r="C10" s="181" t="str">
        <f>VLOOKUP(A10,'Project Budget Summary'!$A$11:$J$173,10,FALSE)</f>
        <v>Acq.</v>
      </c>
      <c r="D10" s="20"/>
      <c r="E10" s="357">
        <f>'S&amp;U Recon'!A14</f>
        <v>3</v>
      </c>
      <c r="F10" s="358" t="str">
        <f>IF(VLOOKUP(E10,'S&amp;U Recon'!$A$12:$B$21,2,FALSE)="","",VLOOKUP(E10,'S&amp;U Recon'!$A$12:$B$21,2,FALSE))</f>
        <v>ACORE Preferred Equity</v>
      </c>
      <c r="G10" s="20"/>
    </row>
    <row r="11" spans="1:7">
      <c r="A11" s="166">
        <f>'Project Budget Summary'!A15</f>
        <v>104</v>
      </c>
      <c r="B11" s="167" t="str">
        <f>VLOOKUP(A11,'Project Budget Summary'!$A$11:$B$173,2,FALSE)</f>
        <v>Other [Define]</v>
      </c>
      <c r="C11" s="181" t="str">
        <f>VLOOKUP(A11,'Project Budget Summary'!$A$11:$J$173,10,FALSE)</f>
        <v>Acq.</v>
      </c>
      <c r="D11" s="20"/>
      <c r="E11" s="357">
        <f>'S&amp;U Recon'!A15</f>
        <v>4</v>
      </c>
      <c r="F11" s="358" t="str">
        <f>IF(VLOOKUP(E11,'S&amp;U Recon'!$A$12:$B$21,2,FALSE)="","",VLOOKUP(E11,'S&amp;U Recon'!$A$12:$B$21,2,FALSE))</f>
        <v>Application Deposit</v>
      </c>
      <c r="G11" s="20"/>
    </row>
    <row r="12" spans="1:7">
      <c r="A12" s="166">
        <f>'Project Budget Summary'!A16</f>
        <v>105</v>
      </c>
      <c r="B12" s="167" t="str">
        <f>VLOOKUP(A12,'Project Budget Summary'!$A$11:$B$173,2,FALSE)</f>
        <v>Other [Define]</v>
      </c>
      <c r="C12" s="181" t="str">
        <f>VLOOKUP(A12,'Project Budget Summary'!$A$11:$J$173,10,FALSE)</f>
        <v>Acq.</v>
      </c>
      <c r="D12" s="20"/>
      <c r="E12" s="357">
        <f>'S&amp;U Recon'!A16</f>
        <v>5</v>
      </c>
      <c r="F12" s="358" t="str">
        <f>IF(VLOOKUP(E12,'S&amp;U Recon'!$A$12:$B$21,2,FALSE)="","",VLOOKUP(E12,'S&amp;U Recon'!$A$12:$B$21,2,FALSE))</f>
        <v>Prorations (Equity Neutral)</v>
      </c>
      <c r="G12" s="20"/>
    </row>
    <row r="13" spans="1:7">
      <c r="A13" s="166">
        <f>'Project Budget Summary'!A17</f>
        <v>106</v>
      </c>
      <c r="B13" s="167" t="str">
        <f>VLOOKUP(A13,'Project Budget Summary'!$A$11:$B$173,2,FALSE)</f>
        <v>Other [Define]</v>
      </c>
      <c r="C13" s="181" t="str">
        <f>VLOOKUP(A13,'Project Budget Summary'!$A$11:$J$173,10,FALSE)</f>
        <v>Acq.</v>
      </c>
      <c r="D13" s="20"/>
      <c r="E13" s="357">
        <f>'S&amp;U Recon'!A17</f>
        <v>6</v>
      </c>
      <c r="F13" s="358" t="str">
        <f>IF(VLOOKUP(E13,'S&amp;U Recon'!$A$12:$B$21,2,FALSE)="","",VLOOKUP(E13,'S&amp;U Recon'!$A$12:$B$21,2,FALSE))</f>
        <v/>
      </c>
      <c r="G13" s="20"/>
    </row>
    <row r="14" spans="1:7">
      <c r="A14" s="166">
        <f>'Project Budget Summary'!A18</f>
        <v>107</v>
      </c>
      <c r="B14" s="167" t="str">
        <f>VLOOKUP(A14,'Project Budget Summary'!$A$11:$B$173,2,FALSE)</f>
        <v>Other [Define]</v>
      </c>
      <c r="C14" s="181" t="str">
        <f>VLOOKUP(A14,'Project Budget Summary'!$A$11:$J$173,10,FALSE)</f>
        <v>Acq.</v>
      </c>
      <c r="D14" s="20"/>
      <c r="E14" s="357">
        <f>'S&amp;U Recon'!A18</f>
        <v>7</v>
      </c>
      <c r="F14" s="358" t="str">
        <f>IF(VLOOKUP(E14,'S&amp;U Recon'!$A$12:$B$21,2,FALSE)="","",VLOOKUP(E14,'S&amp;U Recon'!$A$12:$B$21,2,FALSE))</f>
        <v/>
      </c>
      <c r="G14" s="20"/>
    </row>
    <row r="15" spans="1:7">
      <c r="A15" s="166">
        <f>'Project Budget Summary'!A19</f>
        <v>108</v>
      </c>
      <c r="B15" s="167" t="str">
        <f>VLOOKUP(A15,'Project Budget Summary'!$A$11:$B$173,2,FALSE)</f>
        <v>Other [Define]</v>
      </c>
      <c r="C15" s="181" t="str">
        <f>VLOOKUP(A15,'Project Budget Summary'!$A$11:$J$173,10,FALSE)</f>
        <v>Acq.</v>
      </c>
      <c r="D15" s="20"/>
      <c r="E15" s="357">
        <f>'S&amp;U Recon'!A19</f>
        <v>8</v>
      </c>
      <c r="F15" s="358" t="str">
        <f>IF(VLOOKUP(E15,'S&amp;U Recon'!$A$12:$B$21,2,FALSE)="","",VLOOKUP(E15,'S&amp;U Recon'!$A$12:$B$21,2,FALSE))</f>
        <v/>
      </c>
      <c r="G15" s="20"/>
    </row>
    <row r="16" spans="1:7">
      <c r="A16" s="166">
        <f>'Project Budget Summary'!A20</f>
        <v>109</v>
      </c>
      <c r="B16" s="167" t="str">
        <f>VLOOKUP(A16,'Project Budget Summary'!$A$11:$B$173,2,FALSE)</f>
        <v>Other [Define]</v>
      </c>
      <c r="C16" s="181" t="str">
        <f>VLOOKUP(A16,'Project Budget Summary'!$A$11:$J$173,10,FALSE)</f>
        <v>Acq.</v>
      </c>
      <c r="D16" s="20"/>
      <c r="E16" s="357">
        <f>'S&amp;U Recon'!A20</f>
        <v>9</v>
      </c>
      <c r="F16" s="358" t="str">
        <f>IF(VLOOKUP(E16,'S&amp;U Recon'!$A$12:$B$21,2,FALSE)="","",VLOOKUP(E16,'S&amp;U Recon'!$A$12:$B$21,2,FALSE))</f>
        <v>Construction Draw Reserve</v>
      </c>
      <c r="G16" s="20"/>
    </row>
    <row r="17" spans="1:7" ht="15.75" thickBot="1">
      <c r="A17" s="166">
        <f>'Project Budget Summary'!A21</f>
        <v>110</v>
      </c>
      <c r="B17" s="167" t="str">
        <f>VLOOKUP(A17,'Project Budget Summary'!$A$11:$B$173,2,FALSE)</f>
        <v>Other [Define]</v>
      </c>
      <c r="C17" s="181" t="str">
        <f>VLOOKUP(A17,'Project Budget Summary'!$A$11:$J$173,10,FALSE)</f>
        <v>Acq.</v>
      </c>
      <c r="D17" s="20"/>
      <c r="E17" s="359">
        <f>'S&amp;U Recon'!A21</f>
        <v>10</v>
      </c>
      <c r="F17" s="360" t="str">
        <f>IF(VLOOKUP(E17,'S&amp;U Recon'!$A$12:$B$21,2,FALSE)="","",VLOOKUP(E17,'S&amp;U Recon'!$A$12:$B$21,2,FALSE))</f>
        <v>Borrower Equity</v>
      </c>
      <c r="G17" s="20"/>
    </row>
    <row r="18" spans="1:7">
      <c r="A18" s="170" t="str">
        <f>'Project Budget Summary'!A48</f>
        <v>Owner Hard Costs  (NAP of the Construction Contract / GMP)</v>
      </c>
      <c r="B18" s="167"/>
      <c r="D18" s="20"/>
      <c r="E18" s="20"/>
      <c r="F18" s="20"/>
      <c r="G18" s="20"/>
    </row>
    <row r="19" spans="1:7">
      <c r="A19" s="166">
        <f>'Project Budget Summary'!A49</f>
        <v>200</v>
      </c>
      <c r="B19" s="167" t="str">
        <f>VLOOKUP(A19,'Project Budget Summary'!$A$11:$B$173,2,FALSE)</f>
        <v>FF&amp;E</v>
      </c>
      <c r="C19" s="181" t="str">
        <f>VLOOKUP(A19,'Project Budget Summary'!$A$11:$J$173,10,FALSE)</f>
        <v>HC</v>
      </c>
      <c r="D19" s="20"/>
      <c r="E19" s="20"/>
      <c r="F19" s="20"/>
      <c r="G19" s="20"/>
    </row>
    <row r="20" spans="1:7">
      <c r="A20" s="166">
        <f>'Project Budget Summary'!A50</f>
        <v>201</v>
      </c>
      <c r="B20" s="167" t="str">
        <f>VLOOKUP(A20,'Project Budget Summary'!$A$11:$B$173,2,FALSE)</f>
        <v>Pre-Development / Owner Hard Costs</v>
      </c>
      <c r="C20" s="181" t="str">
        <f>VLOOKUP(A20,'Project Budget Summary'!$A$11:$J$173,10,FALSE)</f>
        <v>HC</v>
      </c>
      <c r="D20" s="20"/>
      <c r="E20" s="20"/>
      <c r="F20" s="20"/>
      <c r="G20" s="20"/>
    </row>
    <row r="21" spans="1:7">
      <c r="A21" s="166">
        <f>'Project Budget Summary'!A51</f>
        <v>202</v>
      </c>
      <c r="B21" s="167" t="str">
        <f>VLOOKUP(A21,'Project Budget Summary'!$A$11:$B$173,2,FALSE)</f>
        <v>Environmental Abatement</v>
      </c>
      <c r="C21" s="181" t="str">
        <f>VLOOKUP(A21,'Project Budget Summary'!$A$11:$J$173,10,FALSE)</f>
        <v>HC</v>
      </c>
      <c r="D21" s="20"/>
      <c r="E21" s="20"/>
      <c r="F21" s="20"/>
      <c r="G21" s="20"/>
    </row>
    <row r="22" spans="1:7">
      <c r="A22" s="166">
        <f>'Project Budget Summary'!A52</f>
        <v>203</v>
      </c>
      <c r="B22" s="167" t="str">
        <f>VLOOKUP(A22,'Project Budget Summary'!$A$11:$B$173,2,FALSE)</f>
        <v>Misc. Owner Hard Costs</v>
      </c>
      <c r="C22" s="181" t="str">
        <f>VLOOKUP(A22,'Project Budget Summary'!$A$11:$J$173,10,FALSE)</f>
        <v>HC</v>
      </c>
      <c r="D22" s="20"/>
      <c r="E22" s="20"/>
      <c r="F22" s="20"/>
      <c r="G22" s="20"/>
    </row>
    <row r="23" spans="1:7">
      <c r="A23" s="166">
        <f>'Project Budget Summary'!A53</f>
        <v>204</v>
      </c>
      <c r="B23" s="167" t="str">
        <f>VLOOKUP(A23,'Project Budget Summary'!$A$11:$B$173,2,FALSE)</f>
        <v>Other [Define]</v>
      </c>
      <c r="C23" s="181" t="str">
        <f>VLOOKUP(A23,'Project Budget Summary'!$A$11:$J$173,10,FALSE)</f>
        <v>HC</v>
      </c>
      <c r="D23" s="20"/>
      <c r="E23" s="20"/>
      <c r="F23" s="20"/>
      <c r="G23" s="20"/>
    </row>
    <row r="24" spans="1:7" ht="15.75" thickBot="1">
      <c r="A24" s="166">
        <f>'Project Budget Summary'!A54</f>
        <v>205</v>
      </c>
      <c r="B24" s="167" t="str">
        <f>VLOOKUP(A24,'Project Budget Summary'!$A$11:$B$173,2,FALSE)</f>
        <v>Other [Define]</v>
      </c>
      <c r="C24" s="181" t="str">
        <f>VLOOKUP(A24,'Project Budget Summary'!$A$11:$J$173,10,FALSE)</f>
        <v>HC</v>
      </c>
      <c r="D24" s="20"/>
      <c r="E24" s="20"/>
      <c r="F24" s="20"/>
      <c r="G24" s="20"/>
    </row>
    <row r="25" spans="1:7">
      <c r="A25" s="166">
        <f>'Project Budget Summary'!A55</f>
        <v>206</v>
      </c>
      <c r="B25" s="167" t="str">
        <f>VLOOKUP(A25,'Project Budget Summary'!$A$11:$B$173,2,FALSE)</f>
        <v>Other [Define]</v>
      </c>
      <c r="C25" s="181" t="str">
        <f>VLOOKUP(A25,'Project Budget Summary'!$A$11:$J$173,10,FALSE)</f>
        <v>HC</v>
      </c>
      <c r="D25" s="20"/>
      <c r="E25" s="163" t="s">
        <v>1498</v>
      </c>
      <c r="F25" s="164"/>
      <c r="G25" s="20"/>
    </row>
    <row r="26" spans="1:7">
      <c r="A26" s="166">
        <f>'Project Budget Summary'!A56</f>
        <v>207</v>
      </c>
      <c r="B26" s="167" t="str">
        <f>VLOOKUP(A26,'Project Budget Summary'!$A$11:$B$173,2,FALSE)</f>
        <v>Other [Define]</v>
      </c>
      <c r="C26" s="181" t="str">
        <f>VLOOKUP(A26,'Project Budget Summary'!$A$11:$J$173,10,FALSE)</f>
        <v>HC</v>
      </c>
      <c r="D26" s="20"/>
      <c r="E26" s="166">
        <f>'S&amp;U Recon'!A29</f>
        <v>11</v>
      </c>
      <c r="F26" s="167" t="str">
        <f>IF(VLOOKUP(E26,'S&amp;U Recon'!$A$14:$B$48,2,FALSE)="","",VLOOKUP(E26,'S&amp;U Recon'!$A$14:$B$48,2,FALSE))</f>
        <v>Acquisition Costs</v>
      </c>
      <c r="G26" s="20"/>
    </row>
    <row r="27" spans="1:7">
      <c r="A27" s="166">
        <f>'Project Budget Summary'!A57</f>
        <v>208</v>
      </c>
      <c r="B27" s="167" t="str">
        <f>VLOOKUP(A27,'Project Budget Summary'!$A$11:$B$173,2,FALSE)</f>
        <v>Other [Define]</v>
      </c>
      <c r="C27" s="181" t="str">
        <f>VLOOKUP(A27,'Project Budget Summary'!$A$11:$J$173,10,FALSE)</f>
        <v>HC</v>
      </c>
      <c r="D27" s="20"/>
      <c r="E27" s="166">
        <f>'S&amp;U Recon'!A30</f>
        <v>12</v>
      </c>
      <c r="F27" s="167" t="str">
        <f>IF(VLOOKUP(E27,'S&amp;U Recon'!$A$14:$B$48,2,FALSE)="","",VLOOKUP(E27,'S&amp;U Recon'!$A$14:$B$48,2,FALSE))</f>
        <v>Closing Costs</v>
      </c>
      <c r="G27" s="20"/>
    </row>
    <row r="28" spans="1:7">
      <c r="A28" s="166">
        <f>'Project Budget Summary'!A58</f>
        <v>209</v>
      </c>
      <c r="B28" s="167" t="str">
        <f>VLOOKUP(A28,'Project Budget Summary'!$A$11:$B$173,2,FALSE)</f>
        <v>Other [Define]</v>
      </c>
      <c r="C28" s="181" t="str">
        <f>VLOOKUP(A28,'Project Budget Summary'!$A$11:$J$173,10,FALSE)</f>
        <v>HC</v>
      </c>
      <c r="D28" s="20"/>
      <c r="E28" s="166">
        <f>'S&amp;U Recon'!A31</f>
        <v>13</v>
      </c>
      <c r="F28" s="167" t="str">
        <f>IF(VLOOKUP(E28,'S&amp;U Recon'!$A$14:$B$48,2,FALSE)="","",VLOOKUP(E28,'S&amp;U Recon'!$A$14:$B$48,2,FALSE))</f>
        <v>Stub Interest</v>
      </c>
      <c r="G28" s="20"/>
    </row>
    <row r="29" spans="1:7">
      <c r="A29" s="166">
        <f>'Project Budget Summary'!A59</f>
        <v>210</v>
      </c>
      <c r="B29" s="167" t="str">
        <f>VLOOKUP(A29,'Project Budget Summary'!$A$11:$B$173,2,FALSE)</f>
        <v>Other [Define]</v>
      </c>
      <c r="C29" s="181" t="str">
        <f>VLOOKUP(A29,'Project Budget Summary'!$A$11:$J$173,10,FALSE)</f>
        <v>HC</v>
      </c>
      <c r="D29" s="20"/>
      <c r="E29" s="166">
        <f>'S&amp;U Recon'!A32</f>
        <v>14</v>
      </c>
      <c r="F29" s="167" t="str">
        <f>IF(VLOOKUP(E29,'S&amp;U Recon'!$A$14:$B$48,2,FALSE)="","",VLOOKUP(E29,'S&amp;U Recon'!$A$14:$B$48,2,FALSE))</f>
        <v>Taxes &amp; Insurance</v>
      </c>
      <c r="G29" s="20"/>
    </row>
    <row r="30" spans="1:7">
      <c r="A30" s="166">
        <f>'Project Budget Summary'!A60</f>
        <v>211</v>
      </c>
      <c r="B30" s="167" t="str">
        <f>VLOOKUP(A30,'Project Budget Summary'!$A$11:$B$173,2,FALSE)</f>
        <v>Other [Define]</v>
      </c>
      <c r="C30" s="181" t="str">
        <f>VLOOKUP(A30,'Project Budget Summary'!$A$11:$J$173,10,FALSE)</f>
        <v>HC</v>
      </c>
      <c r="D30" s="20"/>
      <c r="E30" s="166">
        <f>'S&amp;U Recon'!A33</f>
        <v>15</v>
      </c>
      <c r="F30" s="167" t="str">
        <f>IF(VLOOKUP(E30,'S&amp;U Recon'!$A$14:$B$48,2,FALSE)="","",VLOOKUP(E30,'S&amp;U Recon'!$A$14:$B$48,2,FALSE))</f>
        <v>FF&amp;E Reserve</v>
      </c>
      <c r="G30" s="20"/>
    </row>
    <row r="31" spans="1:7">
      <c r="A31" s="166">
        <f>'Project Budget Summary'!A61</f>
        <v>212</v>
      </c>
      <c r="B31" s="167" t="str">
        <f>VLOOKUP(A31,'Project Budget Summary'!$A$11:$B$173,2,FALSE)</f>
        <v>Other [Define]</v>
      </c>
      <c r="C31" s="181" t="str">
        <f>VLOOKUP(A31,'Project Budget Summary'!$A$11:$J$173,10,FALSE)</f>
        <v>HC</v>
      </c>
      <c r="D31" s="20"/>
      <c r="E31" s="166">
        <f>'S&amp;U Recon'!A34</f>
        <v>16</v>
      </c>
      <c r="F31" s="167" t="str">
        <f>IF(VLOOKUP(E31,'S&amp;U Recon'!$A$14:$B$48,2,FALSE)="","",VLOOKUP(E31,'S&amp;U Recon'!$A$14:$B$48,2,FALSE))</f>
        <v>TIs &amp; LCs Reserve</v>
      </c>
      <c r="G31" s="20"/>
    </row>
    <row r="32" spans="1:7">
      <c r="A32" s="166">
        <f>'Project Budget Summary'!A62</f>
        <v>213</v>
      </c>
      <c r="B32" s="167" t="str">
        <f>VLOOKUP(A32,'Project Budget Summary'!$A$11:$B$173,2,FALSE)</f>
        <v>Other [Define]</v>
      </c>
      <c r="C32" s="181" t="str">
        <f>VLOOKUP(A32,'Project Budget Summary'!$A$11:$J$173,10,FALSE)</f>
        <v>HC</v>
      </c>
      <c r="D32" s="20"/>
      <c r="E32" s="166">
        <f>'S&amp;U Recon'!A35</f>
        <v>17</v>
      </c>
      <c r="F32" s="167" t="str">
        <f>IF(VLOOKUP(E32,'S&amp;U Recon'!$A$14:$B$48,2,FALSE)="","",VLOOKUP(E32,'S&amp;U Recon'!$A$14:$B$48,2,FALSE))</f>
        <v>Interest &amp; Carry Reserve</v>
      </c>
      <c r="G32" s="20"/>
    </row>
    <row r="33" spans="1:7">
      <c r="A33" s="166">
        <f>'Project Budget Summary'!A63</f>
        <v>214</v>
      </c>
      <c r="B33" s="167" t="str">
        <f>VLOOKUP(A33,'Project Budget Summary'!$A$11:$B$173,2,FALSE)</f>
        <v>Other [Define]</v>
      </c>
      <c r="C33" s="181" t="str">
        <f>VLOOKUP(A33,'Project Budget Summary'!$A$11:$J$173,10,FALSE)</f>
        <v>HC</v>
      </c>
      <c r="D33" s="20"/>
      <c r="E33" s="166">
        <f>'S&amp;U Recon'!A36</f>
        <v>18</v>
      </c>
      <c r="F33" s="167" t="str">
        <f>IF(VLOOKUP(E33,'S&amp;U Recon'!$A$14:$B$48,2,FALSE)="","",VLOOKUP(E33,'S&amp;U Recon'!$A$14:$B$48,2,FALSE))</f>
        <v>Ground Rent Reserve</v>
      </c>
      <c r="G33" s="20"/>
    </row>
    <row r="34" spans="1:7">
      <c r="A34" s="166">
        <f>'Project Budget Summary'!A64</f>
        <v>215</v>
      </c>
      <c r="B34" s="167" t="str">
        <f>VLOOKUP(A34,'Project Budget Summary'!$A$11:$B$173,2,FALSE)</f>
        <v>Other [Define]</v>
      </c>
      <c r="C34" s="181" t="str">
        <f>VLOOKUP(A34,'Project Budget Summary'!$A$11:$J$173,10,FALSE)</f>
        <v>HC</v>
      </c>
      <c r="D34" s="20"/>
      <c r="E34" s="166">
        <f>'S&amp;U Recon'!A37</f>
        <v>19</v>
      </c>
      <c r="F34" s="167" t="str">
        <f>IF(VLOOKUP(E34,'S&amp;U Recon'!$A$14:$B$48,2,FALSE)="","",VLOOKUP(E34,'S&amp;U Recon'!$A$14:$B$48,2,FALSE))</f>
        <v>Construction Costs - Hard</v>
      </c>
      <c r="G34" s="20"/>
    </row>
    <row r="35" spans="1:7">
      <c r="A35" s="166">
        <f>'Project Budget Summary'!A65</f>
        <v>216</v>
      </c>
      <c r="B35" s="167" t="str">
        <f>VLOOKUP(A35,'Project Budget Summary'!$A$11:$B$173,2,FALSE)</f>
        <v>Other [Define]</v>
      </c>
      <c r="C35" s="181" t="str">
        <f>VLOOKUP(A35,'Project Budget Summary'!$A$11:$J$173,10,FALSE)</f>
        <v>HC</v>
      </c>
      <c r="D35" s="20"/>
      <c r="E35" s="166">
        <f>'S&amp;U Recon'!A38</f>
        <v>20</v>
      </c>
      <c r="F35" s="167" t="str">
        <f>IF(VLOOKUP(E35,'S&amp;U Recon'!$A$14:$B$48,2,FALSE)="","",VLOOKUP(E35,'S&amp;U Recon'!$A$14:$B$48,2,FALSE))</f>
        <v>Construction Costs - Contingency Hard</v>
      </c>
      <c r="G35" s="20"/>
    </row>
    <row r="36" spans="1:7">
      <c r="A36" s="166">
        <f>'Project Budget Summary'!A66</f>
        <v>217</v>
      </c>
      <c r="B36" s="167" t="str">
        <f>VLOOKUP(A36,'Project Budget Summary'!$A$11:$B$173,2,FALSE)</f>
        <v>Other [Define]</v>
      </c>
      <c r="C36" s="181" t="str">
        <f>VLOOKUP(A36,'Project Budget Summary'!$A$11:$J$173,10,FALSE)</f>
        <v>HC</v>
      </c>
      <c r="D36" s="20"/>
      <c r="E36" s="166">
        <f>'S&amp;U Recon'!A39</f>
        <v>21</v>
      </c>
      <c r="F36" s="167" t="str">
        <f>IF(VLOOKUP(E36,'S&amp;U Recon'!$A$14:$B$48,2,FALSE)="","",VLOOKUP(E36,'S&amp;U Recon'!$A$14:$B$48,2,FALSE))</f>
        <v>Construction Costs - Soft</v>
      </c>
      <c r="G36" s="20"/>
    </row>
    <row r="37" spans="1:7">
      <c r="A37" s="166">
        <f>'Project Budget Summary'!A67</f>
        <v>218</v>
      </c>
      <c r="B37" s="167" t="str">
        <f>VLOOKUP(A37,'Project Budget Summary'!$A$11:$B$173,2,FALSE)</f>
        <v>Other [Define]</v>
      </c>
      <c r="C37" s="181" t="str">
        <f>VLOOKUP(A37,'Project Budget Summary'!$A$11:$J$173,10,FALSE)</f>
        <v>HC</v>
      </c>
      <c r="D37" s="20"/>
      <c r="E37" s="166">
        <f>'S&amp;U Recon'!A40</f>
        <v>22</v>
      </c>
      <c r="F37" s="167" t="str">
        <f>IF(VLOOKUP(E37,'S&amp;U Recon'!$A$14:$B$48,2,FALSE)="","",VLOOKUP(E37,'S&amp;U Recon'!$A$14:$B$48,2,FALSE))</f>
        <v xml:space="preserve">Construction Costs - Contingency Soft </v>
      </c>
      <c r="G37" s="20"/>
    </row>
    <row r="38" spans="1:7">
      <c r="A38" s="166">
        <f>'Project Budget Summary'!A68</f>
        <v>219</v>
      </c>
      <c r="B38" s="167" t="str">
        <f>VLOOKUP(A38,'Project Budget Summary'!$A$11:$B$173,2,FALSE)</f>
        <v>Other [Define]</v>
      </c>
      <c r="C38" s="181" t="str">
        <f>VLOOKUP(A38,'Project Budget Summary'!$A$11:$J$173,10,FALSE)</f>
        <v>HC</v>
      </c>
      <c r="D38" s="20"/>
      <c r="E38" s="166">
        <v>23</v>
      </c>
      <c r="F38" s="167" t="str">
        <f>IF(VLOOKUP(E38,'S&amp;U Recon'!$A$14:$B$48,2,FALSE)="","",VLOOKUP(E38,'S&amp;U Recon'!$A$14:$B$48,2,FALSE))</f>
        <v>Tenant Improvements (Hard Costs)</v>
      </c>
      <c r="G38" s="20"/>
    </row>
    <row r="39" spans="1:7">
      <c r="A39" s="166">
        <f>'Project Budget Summary'!A69</f>
        <v>220</v>
      </c>
      <c r="B39" s="167" t="str">
        <f>VLOOKUP(A39,'Project Budget Summary'!$A$11:$B$173,2,FALSE)</f>
        <v>Other [Define]</v>
      </c>
      <c r="C39" s="181" t="str">
        <f>VLOOKUP(A39,'Project Budget Summary'!$A$11:$J$173,10,FALSE)</f>
        <v>HC</v>
      </c>
      <c r="D39" s="20"/>
      <c r="E39" s="166">
        <v>24</v>
      </c>
      <c r="F39" s="167" t="str">
        <f>IF(VLOOKUP(E39,'S&amp;U Recon'!$A$14:$B$48,2,FALSE)="","",VLOOKUP(E39,'S&amp;U Recon'!$A$14:$B$48,2,FALSE))</f>
        <v>Leasing Costs - LCs (Soft Costs)</v>
      </c>
      <c r="G39" s="20"/>
    </row>
    <row r="40" spans="1:7">
      <c r="A40" s="166">
        <f>'Project Budget Summary'!A70</f>
        <v>221</v>
      </c>
      <c r="B40" s="167" t="str">
        <f>VLOOKUP(A40,'Project Budget Summary'!$A$11:$B$173,2,FALSE)</f>
        <v>Other [Define]</v>
      </c>
      <c r="C40" s="181" t="str">
        <f>VLOOKUP(A40,'Project Budget Summary'!$A$11:$J$173,10,FALSE)</f>
        <v>HC</v>
      </c>
      <c r="D40" s="20"/>
      <c r="E40" s="166">
        <v>25</v>
      </c>
      <c r="F40" s="167" t="str">
        <f>IF(VLOOKUP(E40,'S&amp;U Recon'!$A$14:$B$48,2,FALSE)="","",VLOOKUP(E40,'S&amp;U Recon'!$A$14:$B$48,2,FALSE))</f>
        <v>Loan Payoff - First Mortgage</v>
      </c>
      <c r="G40" s="20"/>
    </row>
    <row r="41" spans="1:7">
      <c r="A41" s="166">
        <f>'Project Budget Summary'!A71</f>
        <v>222</v>
      </c>
      <c r="B41" s="167" t="str">
        <f>VLOOKUP(A41,'Project Budget Summary'!$A$11:$B$173,2,FALSE)</f>
        <v>Other [Define]</v>
      </c>
      <c r="C41" s="181" t="str">
        <f>VLOOKUP(A41,'Project Budget Summary'!$A$11:$J$173,10,FALSE)</f>
        <v>HC</v>
      </c>
      <c r="D41" s="20"/>
      <c r="E41" s="166">
        <v>26</v>
      </c>
      <c r="F41" s="167" t="str">
        <f>IF(VLOOKUP(E41,'S&amp;U Recon'!$A$14:$B$48,2,FALSE)="","",VLOOKUP(E41,'S&amp;U Recon'!$A$14:$B$48,2,FALSE))</f>
        <v>Loan Payoff - Sub Debt / Mezz</v>
      </c>
      <c r="G41" s="20"/>
    </row>
    <row r="42" spans="1:7">
      <c r="A42" s="166">
        <f>'Project Budget Summary'!A72</f>
        <v>223</v>
      </c>
      <c r="B42" s="167" t="str">
        <f>VLOOKUP(A42,'Project Budget Summary'!$A$11:$B$173,2,FALSE)</f>
        <v>Other [Define]</v>
      </c>
      <c r="C42" s="181" t="str">
        <f>VLOOKUP(A42,'Project Budget Summary'!$A$11:$J$173,10,FALSE)</f>
        <v>HC</v>
      </c>
      <c r="D42" s="20"/>
      <c r="E42" s="166">
        <v>27</v>
      </c>
      <c r="F42" s="167" t="str">
        <f>IF(VLOOKUP(E42,'S&amp;U Recon'!$A$14:$B$48,2,FALSE)="","",VLOOKUP(E42,'S&amp;U Recon'!$A$14:$B$48,2,FALSE))</f>
        <v/>
      </c>
      <c r="G42" s="20"/>
    </row>
    <row r="43" spans="1:7">
      <c r="A43" s="166">
        <f>'Project Budget Summary'!A73</f>
        <v>224</v>
      </c>
      <c r="B43" s="167" t="str">
        <f>VLOOKUP(A43,'Project Budget Summary'!$A$11:$B$173,2,FALSE)</f>
        <v>Other [Define]</v>
      </c>
      <c r="C43" s="181" t="str">
        <f>VLOOKUP(A43,'Project Budget Summary'!$A$11:$J$173,10,FALSE)</f>
        <v>HC</v>
      </c>
      <c r="D43" s="20"/>
      <c r="E43" s="166">
        <v>28</v>
      </c>
      <c r="F43" s="167" t="str">
        <f>IF(VLOOKUP(E43,'S&amp;U Recon'!$A$14:$B$48,2,FALSE)="","",VLOOKUP(E43,'S&amp;U Recon'!$A$14:$B$48,2,FALSE))</f>
        <v/>
      </c>
      <c r="G43" s="20"/>
    </row>
    <row r="44" spans="1:7">
      <c r="A44" s="166">
        <f>'Project Budget Summary'!A74</f>
        <v>225</v>
      </c>
      <c r="B44" s="167" t="str">
        <f>VLOOKUP(A44,'Project Budget Summary'!$A$11:$B$173,2,FALSE)</f>
        <v>Other [Define]</v>
      </c>
      <c r="C44" s="181" t="str">
        <f>VLOOKUP(A44,'Project Budget Summary'!$A$11:$J$173,10,FALSE)</f>
        <v>HC</v>
      </c>
      <c r="D44" s="20"/>
      <c r="E44" s="166">
        <v>29</v>
      </c>
      <c r="F44" s="167" t="str">
        <f>IF(VLOOKUP(E44,'S&amp;U Recon'!$A$14:$B$48,2,FALSE)="","",VLOOKUP(E44,'S&amp;U Recon'!$A$14:$B$48,2,FALSE))</f>
        <v>Return of Equity</v>
      </c>
      <c r="G44" s="20"/>
    </row>
    <row r="45" spans="1:7" ht="15.75" thickBot="1">
      <c r="A45" s="166">
        <f>'Project Budget Summary'!A75</f>
        <v>226</v>
      </c>
      <c r="B45" s="167" t="str">
        <f>VLOOKUP(A45,'Project Budget Summary'!$A$11:$B$173,2,FALSE)</f>
        <v>Other [Define]</v>
      </c>
      <c r="C45" s="181" t="str">
        <f>VLOOKUP(A45,'Project Budget Summary'!$A$11:$J$173,10,FALSE)</f>
        <v>HC</v>
      </c>
      <c r="D45" s="20"/>
      <c r="E45" s="168">
        <v>30</v>
      </c>
      <c r="F45" s="169" t="str">
        <f>IF(VLOOKUP(E45,'S&amp;U Recon'!$A$14:$B$48,2,FALSE)="","",VLOOKUP(E45,'S&amp;U Recon'!$A$14:$B$48,2,FALSE))</f>
        <v>Construction Draw Reserve</v>
      </c>
      <c r="G45" s="20"/>
    </row>
    <row r="46" spans="1:7">
      <c r="A46" s="166">
        <f>'Project Budget Summary'!A76</f>
        <v>227</v>
      </c>
      <c r="B46" s="167" t="str">
        <f>VLOOKUP(A46,'Project Budget Summary'!$A$11:$B$173,2,FALSE)</f>
        <v>Other [Define]</v>
      </c>
      <c r="C46" s="181" t="str">
        <f>VLOOKUP(A46,'Project Budget Summary'!$A$11:$J$173,10,FALSE)</f>
        <v>HC</v>
      </c>
      <c r="D46" s="20"/>
      <c r="E46" s="392"/>
      <c r="F46" s="392"/>
      <c r="G46" s="20"/>
    </row>
    <row r="47" spans="1:7">
      <c r="A47" s="166">
        <f>'Project Budget Summary'!A77</f>
        <v>228</v>
      </c>
      <c r="B47" s="167" t="str">
        <f>VLOOKUP(A47,'Project Budget Summary'!$A$11:$B$173,2,FALSE)</f>
        <v>Other [Define]</v>
      </c>
      <c r="C47" s="181" t="str">
        <f>VLOOKUP(A47,'Project Budget Summary'!$A$11:$J$173,10,FALSE)</f>
        <v>HC</v>
      </c>
      <c r="D47" s="20"/>
      <c r="G47" s="20"/>
    </row>
    <row r="48" spans="1:7">
      <c r="A48" s="166">
        <f>'Project Budget Summary'!A78</f>
        <v>229</v>
      </c>
      <c r="B48" s="167" t="str">
        <f>VLOOKUP(A48,'Project Budget Summary'!$A$11:$B$173,2,FALSE)</f>
        <v>Other [Define]</v>
      </c>
      <c r="C48" s="181" t="str">
        <f>VLOOKUP(A48,'Project Budget Summary'!$A$11:$J$173,10,FALSE)</f>
        <v>HC</v>
      </c>
      <c r="D48" s="20"/>
      <c r="G48" s="20"/>
    </row>
    <row r="49" spans="1:7">
      <c r="A49" s="166">
        <f>'Project Budget Summary'!A79</f>
        <v>230</v>
      </c>
      <c r="B49" s="167" t="str">
        <f>VLOOKUP(A49,'Project Budget Summary'!$A$11:$B$173,2,FALSE)</f>
        <v>Other [Define]</v>
      </c>
      <c r="C49" s="181" t="str">
        <f>VLOOKUP(A49,'Project Budget Summary'!$A$11:$J$173,10,FALSE)</f>
        <v>HC</v>
      </c>
      <c r="D49" s="20"/>
      <c r="G49" s="20"/>
    </row>
    <row r="50" spans="1:7">
      <c r="A50" s="166">
        <f>'Project Budget Summary'!A80</f>
        <v>231</v>
      </c>
      <c r="B50" s="167" t="str">
        <f>VLOOKUP(A50,'Project Budget Summary'!$A$11:$B$173,2,FALSE)</f>
        <v>Other [Define]</v>
      </c>
      <c r="C50" s="181" t="str">
        <f>VLOOKUP(A50,'Project Budget Summary'!$A$11:$J$173,10,FALSE)</f>
        <v>HC</v>
      </c>
      <c r="D50" s="20"/>
      <c r="G50" s="20"/>
    </row>
    <row r="51" spans="1:7">
      <c r="A51" s="166">
        <f>'Project Budget Summary'!A81</f>
        <v>232</v>
      </c>
      <c r="B51" s="167" t="str">
        <f>VLOOKUP(A51,'Project Budget Summary'!$A$11:$B$173,2,FALSE)</f>
        <v>Other [Define]</v>
      </c>
      <c r="C51" s="181" t="str">
        <f>VLOOKUP(A51,'Project Budget Summary'!$A$11:$J$173,10,FALSE)</f>
        <v>HC</v>
      </c>
      <c r="D51" s="20"/>
      <c r="G51" s="20"/>
    </row>
    <row r="52" spans="1:7">
      <c r="A52" s="166">
        <f>'Project Budget Summary'!A82</f>
        <v>233</v>
      </c>
      <c r="B52" s="167" t="str">
        <f>VLOOKUP(A52,'Project Budget Summary'!$A$11:$B$173,2,FALSE)</f>
        <v>Other [Define]</v>
      </c>
      <c r="C52" s="181" t="str">
        <f>VLOOKUP(A52,'Project Budget Summary'!$A$11:$J$173,10,FALSE)</f>
        <v>HC</v>
      </c>
      <c r="D52" s="20"/>
      <c r="G52" s="20"/>
    </row>
    <row r="53" spans="1:7">
      <c r="A53" s="166">
        <f>'Project Budget Summary'!A83</f>
        <v>234</v>
      </c>
      <c r="B53" s="167" t="str">
        <f>VLOOKUP(A53,'Project Budget Summary'!$A$11:$B$173,2,FALSE)</f>
        <v>Other [Define]</v>
      </c>
      <c r="C53" s="181" t="str">
        <f>VLOOKUP(A53,'Project Budget Summary'!$A$11:$J$173,10,FALSE)</f>
        <v>HC</v>
      </c>
      <c r="D53" s="20"/>
      <c r="G53" s="20"/>
    </row>
    <row r="54" spans="1:7">
      <c r="A54" s="166">
        <f>'Project Budget Summary'!A84</f>
        <v>235</v>
      </c>
      <c r="B54" s="167" t="str">
        <f>VLOOKUP(A54,'Project Budget Summary'!$A$11:$B$173,2,FALSE)</f>
        <v>Other [Define]</v>
      </c>
      <c r="C54" s="181" t="str">
        <f>VLOOKUP(A54,'Project Budget Summary'!$A$11:$J$173,10,FALSE)</f>
        <v>HC</v>
      </c>
      <c r="D54" s="20"/>
      <c r="G54" s="20"/>
    </row>
    <row r="55" spans="1:7">
      <c r="A55" s="166">
        <f>'Project Budget Summary'!A85</f>
        <v>236</v>
      </c>
      <c r="B55" s="167" t="str">
        <f>VLOOKUP(A55,'Project Budget Summary'!$A$11:$B$173,2,FALSE)</f>
        <v>Other [Define]</v>
      </c>
      <c r="C55" s="181" t="str">
        <f>VLOOKUP(A55,'Project Budget Summary'!$A$11:$J$173,10,FALSE)</f>
        <v>HC</v>
      </c>
      <c r="D55" s="20"/>
      <c r="G55" s="20"/>
    </row>
    <row r="56" spans="1:7">
      <c r="A56" s="166">
        <f>'Project Budget Summary'!A86</f>
        <v>237</v>
      </c>
      <c r="B56" s="167" t="str">
        <f>VLOOKUP(A56,'Project Budget Summary'!$A$11:$B$173,2,FALSE)</f>
        <v>Other [Define]</v>
      </c>
      <c r="C56" s="181" t="str">
        <f>VLOOKUP(A56,'Project Budget Summary'!$A$11:$J$173,10,FALSE)</f>
        <v>HC</v>
      </c>
      <c r="D56" s="20"/>
      <c r="G56" s="20"/>
    </row>
    <row r="57" spans="1:7">
      <c r="A57" s="166">
        <f>'Project Budget Summary'!A87</f>
        <v>238</v>
      </c>
      <c r="B57" s="167" t="str">
        <f>VLOOKUP(A57,'Project Budget Summary'!$A$11:$B$173,2,FALSE)</f>
        <v>Other [Define]</v>
      </c>
      <c r="C57" s="181" t="str">
        <f>VLOOKUP(A57,'Project Budget Summary'!$A$11:$J$173,10,FALSE)</f>
        <v>HC</v>
      </c>
      <c r="D57" s="20"/>
      <c r="G57" s="20"/>
    </row>
    <row r="58" spans="1:7">
      <c r="A58" s="166">
        <f>'Project Budget Summary'!A88</f>
        <v>239</v>
      </c>
      <c r="B58" s="167" t="str">
        <f>VLOOKUP(A58,'Project Budget Summary'!$A$11:$B$173,2,FALSE)</f>
        <v>Other [Define]</v>
      </c>
      <c r="C58" s="181" t="str">
        <f>VLOOKUP(A58,'Project Budget Summary'!$A$11:$J$173,10,FALSE)</f>
        <v>HC</v>
      </c>
      <c r="D58" s="20"/>
      <c r="G58" s="20"/>
    </row>
    <row r="59" spans="1:7">
      <c r="A59" s="166">
        <f>'Project Budget Summary'!A89</f>
        <v>240</v>
      </c>
      <c r="B59" s="167" t="str">
        <f>VLOOKUP(A59,'Project Budget Summary'!$A$11:$B$173,2,FALSE)</f>
        <v>Other [Define]</v>
      </c>
      <c r="C59" s="181" t="str">
        <f>VLOOKUP(A59,'Project Budget Summary'!$A$11:$J$173,10,FALSE)</f>
        <v>HC</v>
      </c>
      <c r="D59" s="20"/>
      <c r="G59" s="20"/>
    </row>
    <row r="60" spans="1:7">
      <c r="A60" s="166">
        <f>'Project Budget Summary'!A90</f>
        <v>241</v>
      </c>
      <c r="B60" s="167" t="str">
        <f>VLOOKUP(A60,'Project Budget Summary'!$A$11:$B$173,2,FALSE)</f>
        <v>Other [Define]</v>
      </c>
      <c r="C60" s="181" t="str">
        <f>VLOOKUP(A60,'Project Budget Summary'!$A$11:$J$173,10,FALSE)</f>
        <v>HC</v>
      </c>
      <c r="D60" s="20"/>
      <c r="G60" s="20"/>
    </row>
    <row r="61" spans="1:7">
      <c r="A61" s="166">
        <f>'Project Budget Summary'!A91</f>
        <v>242</v>
      </c>
      <c r="B61" s="167" t="str">
        <f>VLOOKUP(A61,'Project Budget Summary'!$A$11:$B$173,2,FALSE)</f>
        <v>Other [Define]</v>
      </c>
      <c r="C61" s="181" t="str">
        <f>VLOOKUP(A61,'Project Budget Summary'!$A$11:$J$173,10,FALSE)</f>
        <v>HC</v>
      </c>
      <c r="D61" s="20"/>
      <c r="G61" s="20"/>
    </row>
    <row r="62" spans="1:7">
      <c r="A62" s="166">
        <f>'Project Budget Summary'!A92</f>
        <v>243</v>
      </c>
      <c r="B62" s="167" t="str">
        <f>VLOOKUP(A62,'Project Budget Summary'!$A$11:$B$173,2,FALSE)</f>
        <v>Other [Define]</v>
      </c>
      <c r="C62" s="181" t="str">
        <f>VLOOKUP(A62,'Project Budget Summary'!$A$11:$J$173,10,FALSE)</f>
        <v>HC</v>
      </c>
      <c r="D62" s="20"/>
      <c r="G62" s="20"/>
    </row>
    <row r="63" spans="1:7">
      <c r="A63" s="166">
        <f>'Project Budget Summary'!A93</f>
        <v>244</v>
      </c>
      <c r="B63" s="167" t="str">
        <f>VLOOKUP(A63,'Project Budget Summary'!$A$11:$B$173,2,FALSE)</f>
        <v>Other [Define]</v>
      </c>
      <c r="C63" s="181" t="str">
        <f>VLOOKUP(A63,'Project Budget Summary'!$A$11:$J$173,10,FALSE)</f>
        <v>HC</v>
      </c>
      <c r="D63" s="20"/>
      <c r="G63" s="20"/>
    </row>
    <row r="64" spans="1:7">
      <c r="A64" s="166">
        <f>'Project Budget Summary'!A94</f>
        <v>245</v>
      </c>
      <c r="B64" s="167" t="str">
        <f>VLOOKUP(A64,'Project Budget Summary'!$A$11:$B$173,2,FALSE)</f>
        <v>Other [Define]</v>
      </c>
      <c r="C64" s="181" t="str">
        <f>VLOOKUP(A64,'Project Budget Summary'!$A$11:$J$173,10,FALSE)</f>
        <v>HC</v>
      </c>
      <c r="D64" s="20"/>
      <c r="G64" s="20"/>
    </row>
    <row r="65" spans="1:7">
      <c r="A65" s="166">
        <f>'Project Budget Summary'!A95</f>
        <v>246</v>
      </c>
      <c r="B65" s="167" t="str">
        <f>VLOOKUP(A65,'Project Budget Summary'!$A$11:$B$173,2,FALSE)</f>
        <v>Other [Define]</v>
      </c>
      <c r="C65" s="181" t="str">
        <f>VLOOKUP(A65,'Project Budget Summary'!$A$11:$J$173,10,FALSE)</f>
        <v>HC</v>
      </c>
      <c r="D65" s="20"/>
      <c r="G65" s="20"/>
    </row>
    <row r="66" spans="1:7">
      <c r="A66" s="166">
        <f>'Project Budget Summary'!A96</f>
        <v>247</v>
      </c>
      <c r="B66" s="167" t="str">
        <f>VLOOKUP(A66,'Project Budget Summary'!$A$11:$B$173,2,FALSE)</f>
        <v>Other [Define]</v>
      </c>
      <c r="C66" s="181" t="str">
        <f>VLOOKUP(A66,'Project Budget Summary'!$A$11:$J$173,10,FALSE)</f>
        <v>HC</v>
      </c>
      <c r="D66" s="20"/>
      <c r="G66" s="20"/>
    </row>
    <row r="67" spans="1:7">
      <c r="A67" s="166">
        <f>'Project Budget Summary'!A97</f>
        <v>248</v>
      </c>
      <c r="B67" s="167" t="str">
        <f>VLOOKUP(A67,'Project Budget Summary'!$A$11:$B$173,2,FALSE)</f>
        <v>Other [Define]</v>
      </c>
      <c r="C67" s="181" t="str">
        <f>VLOOKUP(A67,'Project Budget Summary'!$A$11:$J$173,10,FALSE)</f>
        <v>HC</v>
      </c>
      <c r="D67" s="20"/>
      <c r="G67" s="20"/>
    </row>
    <row r="68" spans="1:7">
      <c r="A68" s="166">
        <f>'Project Budget Summary'!A98</f>
        <v>249</v>
      </c>
      <c r="B68" s="167" t="str">
        <f>VLOOKUP(A68,'Project Budget Summary'!$A$11:$B$173,2,FALSE)</f>
        <v>Other [Define]</v>
      </c>
      <c r="C68" s="181" t="str">
        <f>VLOOKUP(A68,'Project Budget Summary'!$A$11:$J$173,10,FALSE)</f>
        <v>HC</v>
      </c>
      <c r="D68" s="20"/>
      <c r="G68" s="20"/>
    </row>
    <row r="69" spans="1:7">
      <c r="A69" s="166">
        <f>'Project Budget Summary'!A99</f>
        <v>250</v>
      </c>
      <c r="B69" s="167" t="str">
        <f>VLOOKUP(A69,'Project Budget Summary'!$A$11:$B$173,2,FALSE)</f>
        <v>Owner Hard Cost Contingency</v>
      </c>
      <c r="C69" s="181" t="str">
        <f>VLOOKUP(A69,'Project Budget Summary'!$A$11:$J$173,10,FALSE)</f>
        <v>HC</v>
      </c>
      <c r="D69" s="20"/>
      <c r="G69" s="20"/>
    </row>
    <row r="70" spans="1:7">
      <c r="A70" s="170" t="str">
        <f>'Project Budget Summary'!A102</f>
        <v>Leasing Costs</v>
      </c>
      <c r="B70" s="167"/>
      <c r="D70" s="20"/>
      <c r="G70" s="20"/>
    </row>
    <row r="71" spans="1:7">
      <c r="A71" s="166">
        <f>'Project Budget Summary'!A103</f>
        <v>300</v>
      </c>
      <c r="B71" s="167" t="str">
        <f>VLOOKUP(A71,'Project Budget Summary'!$A$11:$B$173,2,FALSE)</f>
        <v>Tenant Improvements (Hard Cost)</v>
      </c>
      <c r="C71" s="181" t="str">
        <f>VLOOKUP(A71,'Project Budget Summary'!$A$11:$J$173,10,FALSE)</f>
        <v>HC</v>
      </c>
      <c r="D71" s="20"/>
      <c r="G71" s="20"/>
    </row>
    <row r="72" spans="1:7">
      <c r="A72" s="166">
        <f>'Project Budget Summary'!A104</f>
        <v>301</v>
      </c>
      <c r="B72" s="167" t="str">
        <f>VLOOKUP(A72,'Project Budget Summary'!$A$11:$B$173,2,FALSE)</f>
        <v>Leasing Commissions (Soft Cost)</v>
      </c>
      <c r="C72" s="181" t="str">
        <f>VLOOKUP(A72,'Project Budget Summary'!$A$11:$J$173,10,FALSE)</f>
        <v>SC</v>
      </c>
      <c r="D72" s="20"/>
      <c r="G72" s="20"/>
    </row>
    <row r="73" spans="1:7">
      <c r="A73" s="166">
        <f>'Project Budget Summary'!A105</f>
        <v>302</v>
      </c>
      <c r="B73" s="167" t="str">
        <f>VLOOKUP(A73,'Project Budget Summary'!$A$11:$B$173,2,FALSE)</f>
        <v>Lease Buy-Outs (Soft Cost)</v>
      </c>
      <c r="C73" s="181" t="str">
        <f>VLOOKUP(A73,'Project Budget Summary'!$A$11:$J$173,10,FALSE)</f>
        <v>SC</v>
      </c>
      <c r="D73" s="20"/>
      <c r="G73" s="20"/>
    </row>
    <row r="74" spans="1:7">
      <c r="A74" s="166">
        <f>'Project Budget Summary'!A106</f>
        <v>303</v>
      </c>
      <c r="B74" s="167" t="str">
        <f>VLOOKUP(A74,'Project Budget Summary'!$A$11:$B$173,2,FALSE)</f>
        <v>Rent Concessions (Soft Cost)</v>
      </c>
      <c r="C74" s="181" t="str">
        <f>VLOOKUP(A74,'Project Budget Summary'!$A$11:$J$173,10,FALSE)</f>
        <v>SC</v>
      </c>
      <c r="D74" s="20"/>
      <c r="G74" s="20"/>
    </row>
    <row r="75" spans="1:7">
      <c r="A75" s="166">
        <f>'Project Budget Summary'!A107</f>
        <v>304</v>
      </c>
      <c r="B75" s="167" t="str">
        <f>VLOOKUP(A75,'Project Budget Summary'!$A$11:$B$173,2,FALSE)</f>
        <v>Other [Define] (Hard Cost)</v>
      </c>
      <c r="C75" s="181" t="str">
        <f>VLOOKUP(A75,'Project Budget Summary'!$A$11:$J$173,10,FALSE)</f>
        <v>HC</v>
      </c>
      <c r="D75" s="20"/>
      <c r="G75" s="20"/>
    </row>
    <row r="76" spans="1:7">
      <c r="A76" s="166">
        <f>'Project Budget Summary'!A108</f>
        <v>305</v>
      </c>
      <c r="B76" s="167" t="str">
        <f>VLOOKUP(A76,'Project Budget Summary'!$A$11:$B$173,2,FALSE)</f>
        <v>Other [Define] (Soft Cost)</v>
      </c>
      <c r="C76" s="181" t="str">
        <f>VLOOKUP(A76,'Project Budget Summary'!$A$11:$J$173,10,FALSE)</f>
        <v>SC</v>
      </c>
      <c r="D76" s="20"/>
      <c r="G76" s="20"/>
    </row>
    <row r="77" spans="1:7">
      <c r="A77" s="166">
        <f>'Project Budget Summary'!A109</f>
        <v>306</v>
      </c>
      <c r="B77" s="167" t="str">
        <f>VLOOKUP(A77,'Project Budget Summary'!$A$11:$B$173,2,FALSE)</f>
        <v>Other [Define] (Soft Cost)</v>
      </c>
      <c r="C77" s="181" t="str">
        <f>VLOOKUP(A77,'Project Budget Summary'!$A$11:$J$173,10,FALSE)</f>
        <v>SC</v>
      </c>
      <c r="D77" s="20"/>
      <c r="G77" s="20"/>
    </row>
    <row r="78" spans="1:7">
      <c r="A78" s="166">
        <f>'Project Budget Summary'!A110</f>
        <v>307</v>
      </c>
      <c r="B78" s="167" t="str">
        <f>VLOOKUP(A78,'Project Budget Summary'!$A$11:$B$173,2,FALSE)</f>
        <v>Other [Define] (Soft Cost)</v>
      </c>
      <c r="C78" s="181" t="str">
        <f>VLOOKUP(A78,'Project Budget Summary'!$A$11:$J$173,10,FALSE)</f>
        <v>SC</v>
      </c>
      <c r="D78" s="20"/>
      <c r="G78" s="20"/>
    </row>
    <row r="79" spans="1:7">
      <c r="A79" s="170" t="str">
        <f>'Project Budget Summary'!A113</f>
        <v>Soft / Indirect  Costs (NAP of the Construction Contract)</v>
      </c>
      <c r="B79" s="167"/>
      <c r="D79" s="20"/>
      <c r="G79" s="20"/>
    </row>
    <row r="80" spans="1:7">
      <c r="A80" s="166">
        <f>'Project Budget Summary'!A114</f>
        <v>400</v>
      </c>
      <c r="B80" s="167" t="str">
        <f>VLOOKUP(A80,'Project Budget Summary'!$A$11:$B$173,2,FALSE)</f>
        <v>Accounting</v>
      </c>
      <c r="C80" s="181" t="str">
        <f>VLOOKUP(A80,'Project Budget Summary'!$A$11:$J$173,10,FALSE)</f>
        <v>SC</v>
      </c>
      <c r="D80" s="20"/>
      <c r="G80" s="20"/>
    </row>
    <row r="81" spans="1:7">
      <c r="A81" s="166">
        <f>'Project Budget Summary'!A115</f>
        <v>401</v>
      </c>
      <c r="B81" s="167" t="str">
        <f>VLOOKUP(A81,'Project Budget Summary'!$A$11:$B$173,2,FALSE)</f>
        <v>Architectural</v>
      </c>
      <c r="C81" s="181" t="str">
        <f>VLOOKUP(A81,'Project Budget Summary'!$A$11:$J$173,10,FALSE)</f>
        <v>SC</v>
      </c>
      <c r="D81" s="20"/>
      <c r="G81" s="20"/>
    </row>
    <row r="82" spans="1:7">
      <c r="A82" s="166">
        <f>'Project Budget Summary'!A116</f>
        <v>402</v>
      </c>
      <c r="B82" s="167" t="str">
        <f>VLOOKUP(A82,'Project Budget Summary'!$A$11:$B$173,2,FALSE)</f>
        <v>Borrower Legal Fees</v>
      </c>
      <c r="C82" s="181" t="str">
        <f>VLOOKUP(A82,'Project Budget Summary'!$A$11:$J$173,10,FALSE)</f>
        <v>SC</v>
      </c>
      <c r="D82" s="20"/>
      <c r="G82" s="20"/>
    </row>
    <row r="83" spans="1:7">
      <c r="A83" s="166">
        <f>'Project Budget Summary'!A117</f>
        <v>403</v>
      </c>
      <c r="B83" s="167" t="str">
        <f>VLOOKUP(A83,'Project Budget Summary'!$A$11:$B$173,2,FALSE)</f>
        <v>Building Permits &amp; Fees</v>
      </c>
      <c r="C83" s="181" t="str">
        <f>VLOOKUP(A83,'Project Budget Summary'!$A$11:$J$173,10,FALSE)</f>
        <v>SC</v>
      </c>
      <c r="D83" s="20"/>
      <c r="G83" s="20"/>
    </row>
    <row r="84" spans="1:7">
      <c r="A84" s="166">
        <f>'Project Budget Summary'!A118</f>
        <v>404</v>
      </c>
      <c r="B84" s="167" t="str">
        <f>VLOOKUP(A84,'Project Budget Summary'!$A$11:$B$173,2,FALSE)</f>
        <v>Construction Management Fees</v>
      </c>
      <c r="C84" s="181" t="str">
        <f>VLOOKUP(A84,'Project Budget Summary'!$A$11:$J$173,10,FALSE)</f>
        <v>SC</v>
      </c>
      <c r="D84" s="20"/>
      <c r="G84" s="20"/>
    </row>
    <row r="85" spans="1:7">
      <c r="A85" s="166">
        <f>'Project Budget Summary'!A119</f>
        <v>405</v>
      </c>
      <c r="B85" s="167" t="str">
        <f>VLOOKUP(A85,'Project Budget Summary'!$A$11:$B$173,2,FALSE)</f>
        <v xml:space="preserve">Construction Staging </v>
      </c>
      <c r="C85" s="181" t="str">
        <f>VLOOKUP(A85,'Project Budget Summary'!$A$11:$J$173,10,FALSE)</f>
        <v>SC</v>
      </c>
      <c r="D85" s="20"/>
      <c r="G85" s="20"/>
    </row>
    <row r="86" spans="1:7">
      <c r="A86" s="166">
        <f>'Project Budget Summary'!A120</f>
        <v>406</v>
      </c>
      <c r="B86" s="167" t="str">
        <f>VLOOKUP(A86,'Project Budget Summary'!$A$11:$B$173,2,FALSE)</f>
        <v>Developer Fees (Profit)</v>
      </c>
      <c r="C86" s="181" t="str">
        <f>VLOOKUP(A86,'Project Budget Summary'!$A$11:$J$173,10,FALSE)</f>
        <v>Devel. Fee</v>
      </c>
      <c r="D86" s="20"/>
      <c r="G86" s="20"/>
    </row>
    <row r="87" spans="1:7">
      <c r="A87" s="166">
        <f>'Project Budget Summary'!A121</f>
        <v>407</v>
      </c>
      <c r="B87" s="167" t="str">
        <f>VLOOKUP(A87,'Project Budget Summary'!$A$11:$B$173,2,FALSE)</f>
        <v>Developer Overhead &amp; Office Expenses</v>
      </c>
      <c r="C87" s="181" t="str">
        <f>VLOOKUP(A87,'Project Budget Summary'!$A$11:$J$173,10,FALSE)</f>
        <v>SC</v>
      </c>
      <c r="D87" s="20"/>
      <c r="G87" s="20"/>
    </row>
    <row r="88" spans="1:7">
      <c r="A88" s="166">
        <f>'Project Budget Summary'!A122</f>
        <v>408</v>
      </c>
      <c r="B88" s="167" t="str">
        <f>VLOOKUP(A88,'Project Budget Summary'!$A$11:$B$173,2,FALSE)</f>
        <v>Leasing Office</v>
      </c>
      <c r="C88" s="181" t="str">
        <f>VLOOKUP(A88,'Project Budget Summary'!$A$11:$J$173,10,FALSE)</f>
        <v>SC</v>
      </c>
      <c r="D88" s="20"/>
      <c r="G88" s="20"/>
    </row>
    <row r="89" spans="1:7">
      <c r="A89" s="166">
        <f>'Project Budget Summary'!A123</f>
        <v>409</v>
      </c>
      <c r="B89" s="167" t="str">
        <f>VLOOKUP(A89,'Project Budget Summary'!$A$11:$B$173,2,FALSE)</f>
        <v>Legal &amp; Professional</v>
      </c>
      <c r="C89" s="181" t="str">
        <f>VLOOKUP(A89,'Project Budget Summary'!$A$11:$J$173,10,FALSE)</f>
        <v>SC</v>
      </c>
      <c r="D89" s="20"/>
      <c r="E89" s="100"/>
      <c r="F89" s="20"/>
      <c r="G89" s="20"/>
    </row>
    <row r="90" spans="1:7">
      <c r="A90" s="166">
        <f>'Project Budget Summary'!A124</f>
        <v>410</v>
      </c>
      <c r="B90" s="167" t="str">
        <f>VLOOKUP(A90,'Project Budget Summary'!$A$11:$B$173,2,FALSE)</f>
        <v>Lender Legal Fees</v>
      </c>
      <c r="C90" s="181" t="str">
        <f>VLOOKUP(A90,'Project Budget Summary'!$A$11:$J$173,10,FALSE)</f>
        <v>SC</v>
      </c>
      <c r="D90" s="20"/>
      <c r="E90" s="151"/>
      <c r="F90" s="152"/>
      <c r="G90" s="20"/>
    </row>
    <row r="91" spans="1:7">
      <c r="A91" s="166">
        <f>'Project Budget Summary'!A125</f>
        <v>411</v>
      </c>
      <c r="B91" s="167" t="str">
        <f>VLOOKUP(A91,'Project Budget Summary'!$A$11:$B$173,2,FALSE)</f>
        <v>Marketing &amp; Start Up Costs</v>
      </c>
      <c r="C91" s="181" t="str">
        <f>VLOOKUP(A91,'Project Budget Summary'!$A$11:$J$173,10,FALSE)</f>
        <v>SC</v>
      </c>
      <c r="D91" s="20"/>
      <c r="E91" s="151"/>
      <c r="F91" s="152"/>
      <c r="G91" s="20"/>
    </row>
    <row r="92" spans="1:7">
      <c r="A92" s="166">
        <f>'Project Budget Summary'!A126</f>
        <v>412</v>
      </c>
      <c r="B92" s="167" t="str">
        <f>VLOOKUP(A92,'Project Budget Summary'!$A$11:$B$173,2,FALSE)</f>
        <v>OCIP / Insurance</v>
      </c>
      <c r="C92" s="181" t="str">
        <f>VLOOKUP(A92,'Project Budget Summary'!$A$11:$J$173,10,FALSE)</f>
        <v>SC</v>
      </c>
      <c r="D92" s="20"/>
      <c r="E92" s="151"/>
      <c r="F92" s="152"/>
      <c r="G92" s="20"/>
    </row>
    <row r="93" spans="1:7">
      <c r="A93" s="166">
        <f>'Project Budget Summary'!A127</f>
        <v>413</v>
      </c>
      <c r="B93" s="167" t="str">
        <f>VLOOKUP(A93,'Project Budget Summary'!$A$11:$B$173,2,FALSE)</f>
        <v>Other Consultants</v>
      </c>
      <c r="C93" s="181" t="str">
        <f>VLOOKUP(A93,'Project Budget Summary'!$A$11:$J$173,10,FALSE)</f>
        <v>SC</v>
      </c>
      <c r="D93" s="20"/>
      <c r="E93" s="151"/>
      <c r="F93" s="152"/>
      <c r="G93" s="20"/>
    </row>
    <row r="94" spans="1:7">
      <c r="A94" s="166">
        <f>'Project Budget Summary'!A128</f>
        <v>414</v>
      </c>
      <c r="B94" s="167" t="str">
        <f>VLOOKUP(A94,'Project Budget Summary'!$A$11:$B$173,2,FALSE)</f>
        <v>Property Taxes</v>
      </c>
      <c r="C94" s="181" t="str">
        <f>VLOOKUP(A94,'Project Budget Summary'!$A$11:$J$173,10,FALSE)</f>
        <v>SC</v>
      </c>
      <c r="D94" s="20"/>
      <c r="E94" s="151"/>
      <c r="F94" s="152"/>
      <c r="G94" s="20"/>
    </row>
    <row r="95" spans="1:7">
      <c r="A95" s="166">
        <f>'Project Budget Summary'!A129</f>
        <v>415</v>
      </c>
      <c r="B95" s="167" t="str">
        <f>VLOOKUP(A95,'Project Budget Summary'!$A$11:$B$173,2,FALSE)</f>
        <v>Sales Closing Costs</v>
      </c>
      <c r="C95" s="181" t="str">
        <f>VLOOKUP(A95,'Project Budget Summary'!$A$11:$J$173,10,FALSE)</f>
        <v>SC</v>
      </c>
      <c r="D95" s="20"/>
      <c r="E95" s="151"/>
      <c r="F95" s="152"/>
      <c r="G95" s="20"/>
    </row>
    <row r="96" spans="1:7">
      <c r="A96" s="166">
        <f>'Project Budget Summary'!A130</f>
        <v>416</v>
      </c>
      <c r="B96" s="167" t="str">
        <f>VLOOKUP(A96,'Project Budget Summary'!$A$11:$B$173,2,FALSE)</f>
        <v>Sales Commissions</v>
      </c>
      <c r="C96" s="181" t="str">
        <f>VLOOKUP(A96,'Project Budget Summary'!$A$11:$J$173,10,FALSE)</f>
        <v>SC</v>
      </c>
      <c r="D96" s="20"/>
      <c r="E96" s="151"/>
      <c r="F96" s="152"/>
      <c r="G96" s="20"/>
    </row>
    <row r="97" spans="1:7">
      <c r="A97" s="166">
        <f>'Project Budget Summary'!A131</f>
        <v>417</v>
      </c>
      <c r="B97" s="167" t="str">
        <f>VLOOKUP(A97,'Project Budget Summary'!$A$11:$B$173,2,FALSE)</f>
        <v>Other:   Define</v>
      </c>
      <c r="C97" s="181" t="str">
        <f>VLOOKUP(A97,'Project Budget Summary'!$A$11:$J$173,10,FALSE)</f>
        <v>SC</v>
      </c>
      <c r="D97" s="20"/>
      <c r="E97" s="151"/>
      <c r="F97" s="152"/>
      <c r="G97" s="20"/>
    </row>
    <row r="98" spans="1:7">
      <c r="A98" s="166">
        <f>'Project Budget Summary'!A132</f>
        <v>418</v>
      </c>
      <c r="B98" s="167" t="str">
        <f>VLOOKUP(A98,'Project Budget Summary'!$A$11:$B$173,2,FALSE)</f>
        <v>Other: Define</v>
      </c>
      <c r="C98" s="181" t="str">
        <f>VLOOKUP(A98,'Project Budget Summary'!$A$11:$J$173,10,FALSE)</f>
        <v>SC</v>
      </c>
      <c r="D98" s="20"/>
      <c r="E98" s="151"/>
      <c r="F98" s="152"/>
      <c r="G98" s="20"/>
    </row>
    <row r="99" spans="1:7">
      <c r="A99" s="166">
        <f>'Project Budget Summary'!A133</f>
        <v>419</v>
      </c>
      <c r="B99" s="167" t="str">
        <f>VLOOKUP(A99,'Project Budget Summary'!$A$11:$B$173,2,FALSE)</f>
        <v>Other: Define</v>
      </c>
      <c r="C99" s="181" t="str">
        <f>VLOOKUP(A99,'Project Budget Summary'!$A$11:$J$173,10,FALSE)</f>
        <v>SC</v>
      </c>
      <c r="D99" s="20"/>
      <c r="E99" s="151"/>
      <c r="F99" s="152"/>
      <c r="G99" s="20"/>
    </row>
    <row r="100" spans="1:7">
      <c r="A100" s="166">
        <f>'Project Budget Summary'!A134</f>
        <v>420</v>
      </c>
      <c r="B100" s="167" t="str">
        <f>VLOOKUP(A100,'Project Budget Summary'!$A$11:$B$173,2,FALSE)</f>
        <v>Other: Define</v>
      </c>
      <c r="C100" s="181" t="str">
        <f>VLOOKUP(A100,'Project Budget Summary'!$A$11:$J$173,10,FALSE)</f>
        <v>SC</v>
      </c>
      <c r="D100" s="20"/>
      <c r="E100" s="151"/>
      <c r="F100" s="152"/>
      <c r="G100" s="20"/>
    </row>
    <row r="101" spans="1:7">
      <c r="A101" s="166">
        <f>'Project Budget Summary'!A135</f>
        <v>421</v>
      </c>
      <c r="B101" s="167" t="str">
        <f>VLOOKUP(A101,'Project Budget Summary'!$A$11:$B$173,2,FALSE)</f>
        <v>Other: Define</v>
      </c>
      <c r="C101" s="181" t="str">
        <f>VLOOKUP(A101,'Project Budget Summary'!$A$11:$J$173,10,FALSE)</f>
        <v>SC</v>
      </c>
      <c r="D101" s="20"/>
      <c r="E101" s="151"/>
      <c r="F101" s="152"/>
      <c r="G101" s="20"/>
    </row>
    <row r="102" spans="1:7">
      <c r="A102" s="166">
        <f>'Project Budget Summary'!A136</f>
        <v>422</v>
      </c>
      <c r="B102" s="167" t="str">
        <f>VLOOKUP(A102,'Project Budget Summary'!$A$11:$B$173,2,FALSE)</f>
        <v>Other: Define</v>
      </c>
      <c r="C102" s="181" t="str">
        <f>VLOOKUP(A102,'Project Budget Summary'!$A$11:$J$173,10,FALSE)</f>
        <v>SC</v>
      </c>
      <c r="D102" s="20"/>
      <c r="E102" s="151"/>
      <c r="F102" s="152"/>
      <c r="G102" s="20"/>
    </row>
    <row r="103" spans="1:7">
      <c r="A103" s="166">
        <f>'Project Budget Summary'!A137</f>
        <v>423</v>
      </c>
      <c r="B103" s="167" t="str">
        <f>VLOOKUP(A103,'Project Budget Summary'!$A$11:$B$173,2,FALSE)</f>
        <v>Other: Define</v>
      </c>
      <c r="C103" s="181" t="str">
        <f>VLOOKUP(A103,'Project Budget Summary'!$A$11:$J$173,10,FALSE)</f>
        <v>SC</v>
      </c>
      <c r="D103" s="20"/>
      <c r="E103" s="151"/>
      <c r="F103" s="152"/>
      <c r="G103" s="20"/>
    </row>
    <row r="104" spans="1:7">
      <c r="A104" s="166">
        <f>'Project Budget Summary'!A138</f>
        <v>424</v>
      </c>
      <c r="B104" s="167" t="str">
        <f>VLOOKUP(A104,'Project Budget Summary'!$A$11:$B$173,2,FALSE)</f>
        <v>Other: Define</v>
      </c>
      <c r="C104" s="181" t="str">
        <f>VLOOKUP(A104,'Project Budget Summary'!$A$11:$J$173,10,FALSE)</f>
        <v>SC</v>
      </c>
      <c r="D104" s="20"/>
      <c r="E104" s="151"/>
      <c r="F104" s="152"/>
      <c r="G104" s="20"/>
    </row>
    <row r="105" spans="1:7">
      <c r="A105" s="166">
        <f>'Project Budget Summary'!A139</f>
        <v>425</v>
      </c>
      <c r="B105" s="167" t="str">
        <f>VLOOKUP(A105,'Project Budget Summary'!$A$11:$B$173,2,FALSE)</f>
        <v>Soft Cost Contingency</v>
      </c>
      <c r="C105" s="181" t="str">
        <f>VLOOKUP(A105,'Project Budget Summary'!$A$11:$J$173,10,FALSE)</f>
        <v>SC</v>
      </c>
      <c r="D105" s="20"/>
      <c r="E105" s="151"/>
      <c r="F105" s="152"/>
      <c r="G105" s="20"/>
    </row>
    <row r="106" spans="1:7">
      <c r="A106" s="170" t="str">
        <f>'Project Budget Summary'!A142</f>
        <v>Finance Costs</v>
      </c>
      <c r="B106" s="167"/>
      <c r="D106" s="20"/>
      <c r="E106" s="151"/>
      <c r="F106" s="152"/>
      <c r="G106" s="20"/>
    </row>
    <row r="107" spans="1:7">
      <c r="A107" s="166">
        <f>'Project Budget Summary'!A143</f>
        <v>500</v>
      </c>
      <c r="B107" s="167" t="str">
        <f>VLOOKUP(A107,'Project Budget Summary'!$A$11:$B$173,2,FALSE)</f>
        <v>Interest Carry - ACORE</v>
      </c>
      <c r="C107" s="181" t="str">
        <f>VLOOKUP(A107,'Project Budget Summary'!$A$11:$J$173,10,FALSE)</f>
        <v>SC-Finance</v>
      </c>
      <c r="D107" s="20"/>
      <c r="E107" s="151"/>
      <c r="F107" s="152"/>
      <c r="G107" s="20"/>
    </row>
    <row r="108" spans="1:7">
      <c r="A108" s="166">
        <f>'Project Budget Summary'!A144</f>
        <v>501</v>
      </c>
      <c r="B108" s="167" t="str">
        <f>VLOOKUP(A108,'Project Budget Summary'!$A$11:$B$173,2,FALSE)</f>
        <v>Interest Carry - Land Acquisition Loan</v>
      </c>
      <c r="C108" s="181" t="str">
        <f>VLOOKUP(A108,'Project Budget Summary'!$A$11:$J$173,10,FALSE)</f>
        <v>SC-Finance</v>
      </c>
      <c r="D108" s="20"/>
      <c r="E108" s="151"/>
      <c r="F108" s="152"/>
      <c r="G108" s="20"/>
    </row>
    <row r="109" spans="1:7">
      <c r="A109" s="166">
        <f>'Project Budget Summary'!A145</f>
        <v>502</v>
      </c>
      <c r="B109" s="167" t="str">
        <f>VLOOKUP(A109,'Project Budget Summary'!$A$11:$B$173,2,FALSE)</f>
        <v>Interest Carry - ACORE (Acq./Senior Loan for NY projects)</v>
      </c>
      <c r="C109" s="181" t="str">
        <f>VLOOKUP(A109,'Project Budget Summary'!$A$11:$J$173,10,FALSE)</f>
        <v>SC-Finance</v>
      </c>
      <c r="D109" s="20"/>
      <c r="E109" s="151"/>
      <c r="F109" s="152"/>
      <c r="G109" s="20"/>
    </row>
    <row r="110" spans="1:7">
      <c r="A110" s="166">
        <f>'Project Budget Summary'!A146</f>
        <v>503</v>
      </c>
      <c r="B110" s="167" t="str">
        <f>VLOOKUP(A110,'Project Budget Summary'!$A$11:$B$173,2,FALSE)</f>
        <v>Interest Carry - ACORE (Building Loan for NY Projects)</v>
      </c>
      <c r="C110" s="181" t="str">
        <f>VLOOKUP(A110,'Project Budget Summary'!$A$11:$J$173,10,FALSE)</f>
        <v>SC-Finance</v>
      </c>
      <c r="D110" s="20"/>
      <c r="E110" s="151"/>
      <c r="F110" s="152"/>
      <c r="G110" s="20"/>
    </row>
    <row r="111" spans="1:7">
      <c r="A111" s="166">
        <f>'Project Budget Summary'!A147</f>
        <v>504</v>
      </c>
      <c r="B111" s="167" t="str">
        <f>VLOOKUP(A111,'Project Budget Summary'!$A$11:$B$173,2,FALSE)</f>
        <v>Interest Carry - ACORE (Project Loan for NY Projects)</v>
      </c>
      <c r="C111" s="181" t="str">
        <f>VLOOKUP(A111,'Project Budget Summary'!$A$11:$J$173,10,FALSE)</f>
        <v>SC-Finance</v>
      </c>
      <c r="D111" s="20"/>
      <c r="E111" s="151"/>
      <c r="F111" s="152"/>
      <c r="G111" s="20"/>
    </row>
    <row r="112" spans="1:7">
      <c r="A112" s="166">
        <f>'Project Budget Summary'!A148</f>
        <v>505</v>
      </c>
      <c r="B112" s="167" t="str">
        <f>VLOOKUP(A112,'Project Budget Summary'!$A$11:$B$173,2,FALSE)</f>
        <v>Interest Carry - Mezz Financing</v>
      </c>
      <c r="C112" s="181" t="str">
        <f>VLOOKUP(A112,'Project Budget Summary'!$A$11:$J$173,10,FALSE)</f>
        <v>SC-Finance</v>
      </c>
      <c r="D112" s="20"/>
      <c r="E112" s="151"/>
      <c r="F112" s="152"/>
      <c r="G112" s="20"/>
    </row>
    <row r="113" spans="1:7">
      <c r="A113" s="166">
        <f>'Project Budget Summary'!A149</f>
        <v>506</v>
      </c>
      <c r="B113" s="167" t="str">
        <f>VLOOKUP(A113,'Project Budget Summary'!$A$11:$B$173,2,FALSE)</f>
        <v>Interest Carry - Preferred Equity</v>
      </c>
      <c r="C113" s="181" t="str">
        <f>VLOOKUP(A113,'Project Budget Summary'!$A$11:$J$173,10,FALSE)</f>
        <v>SC-Finance</v>
      </c>
      <c r="D113" s="20"/>
      <c r="E113" s="151"/>
      <c r="F113" s="152"/>
      <c r="G113" s="20"/>
    </row>
    <row r="114" spans="1:7">
      <c r="A114" s="166">
        <f>'Project Budget Summary'!A150</f>
        <v>507</v>
      </c>
      <c r="B114" s="167" t="str">
        <f>VLOOKUP(A114,'Project Budget Summary'!$A$11:$B$173,2,FALSE)</f>
        <v>Interest Carry - EB-5 or Other non ACORE Mezz</v>
      </c>
      <c r="C114" s="181" t="str">
        <f>VLOOKUP(A114,'Project Budget Summary'!$A$11:$J$173,10,FALSE)</f>
        <v>SC-Finance</v>
      </c>
      <c r="D114" s="20"/>
      <c r="E114" s="151"/>
      <c r="F114" s="152"/>
      <c r="G114" s="20"/>
    </row>
    <row r="115" spans="1:7">
      <c r="A115" s="166">
        <f>'Project Budget Summary'!A151</f>
        <v>508</v>
      </c>
      <c r="B115" s="167" t="str">
        <f>VLOOKUP(A115,'Project Budget Summary'!$A$11:$B$173,2,FALSE)</f>
        <v>Loan Origination Fee</v>
      </c>
      <c r="C115" s="181" t="str">
        <f>VLOOKUP(A115,'Project Budget Summary'!$A$11:$J$173,10,FALSE)</f>
        <v>SC-Finance</v>
      </c>
      <c r="D115" s="20"/>
      <c r="E115" s="151"/>
      <c r="F115" s="152"/>
      <c r="G115" s="20"/>
    </row>
    <row r="116" spans="1:7">
      <c r="A116" s="166">
        <f>'Project Budget Summary'!A152</f>
        <v>509</v>
      </c>
      <c r="B116" s="167" t="str">
        <f>VLOOKUP(A116,'Project Budget Summary'!$A$11:$B$173,2,FALSE)</f>
        <v>Processing Fee</v>
      </c>
      <c r="C116" s="181" t="str">
        <f>VLOOKUP(A116,'Project Budget Summary'!$A$11:$J$173,10,FALSE)</f>
        <v>SC-Finance</v>
      </c>
      <c r="D116" s="20"/>
      <c r="E116" s="151"/>
      <c r="F116" s="152"/>
      <c r="G116" s="20"/>
    </row>
    <row r="117" spans="1:7">
      <c r="A117" s="166">
        <f>'Project Budget Summary'!A153</f>
        <v>510</v>
      </c>
      <c r="B117" s="167" t="str">
        <f>VLOOKUP(A117,'Project Budget Summary'!$A$11:$B$173,2,FALSE)</f>
        <v>Appraisal  (Building Loan for NY Projects)</v>
      </c>
      <c r="C117" s="181" t="str">
        <f>VLOOKUP(A117,'Project Budget Summary'!$A$11:$J$173,10,FALSE)</f>
        <v>SC-Finance</v>
      </c>
      <c r="D117" s="20"/>
      <c r="E117" s="151"/>
      <c r="F117" s="152"/>
      <c r="G117" s="20"/>
    </row>
    <row r="118" spans="1:7">
      <c r="A118" s="166">
        <f>'Project Budget Summary'!A154</f>
        <v>511</v>
      </c>
      <c r="B118" s="167" t="str">
        <f>VLOOKUP(A118,'Project Budget Summary'!$A$11:$B$173,2,FALSE)</f>
        <v>Broker Fees</v>
      </c>
      <c r="C118" s="181" t="str">
        <f>VLOOKUP(A118,'Project Budget Summary'!$A$11:$J$173,10,FALSE)</f>
        <v>SC-Finance</v>
      </c>
      <c r="D118" s="20"/>
      <c r="E118" s="151"/>
      <c r="F118" s="152"/>
      <c r="G118" s="20"/>
    </row>
    <row r="119" spans="1:7">
      <c r="A119" s="166">
        <f>'Project Budget Summary'!A155</f>
        <v>512</v>
      </c>
      <c r="B119" s="167" t="str">
        <f>VLOOKUP(A119,'Project Budget Summary'!$A$11:$B$173,2,FALSE)</f>
        <v>EB-5 or Other Mezz Fees</v>
      </c>
      <c r="C119" s="181" t="str">
        <f>VLOOKUP(A119,'Project Budget Summary'!$A$11:$J$173,10,FALSE)</f>
        <v>SC-Finance</v>
      </c>
      <c r="D119" s="20"/>
      <c r="E119" s="151"/>
      <c r="F119" s="152"/>
      <c r="G119" s="20"/>
    </row>
    <row r="120" spans="1:7">
      <c r="A120" s="166">
        <f>'Project Budget Summary'!A156</f>
        <v>513</v>
      </c>
      <c r="B120" s="167" t="str">
        <f>VLOOKUP(A120,'Project Budget Summary'!$A$11:$B$173,2,FALSE)</f>
        <v>Exit Fees</v>
      </c>
      <c r="C120" s="181" t="str">
        <f>VLOOKUP(A120,'Project Budget Summary'!$A$11:$J$173,10,FALSE)</f>
        <v>SC-Finance</v>
      </c>
      <c r="D120" s="20"/>
      <c r="E120" s="151"/>
      <c r="F120" s="152"/>
      <c r="G120" s="20"/>
    </row>
    <row r="121" spans="1:7">
      <c r="A121" s="166">
        <f>'Project Budget Summary'!A157</f>
        <v>514</v>
      </c>
      <c r="B121" s="167" t="str">
        <f>VLOOKUP(A121,'Project Budget Summary'!$A$11:$B$173,2,FALSE)</f>
        <v>Lender's Due Diligence, Third Party Reports &amp; Legal</v>
      </c>
      <c r="C121" s="181" t="str">
        <f>VLOOKUP(A121,'Project Budget Summary'!$A$11:$J$173,10,FALSE)</f>
        <v>SC-Finance</v>
      </c>
      <c r="D121" s="20"/>
      <c r="E121" s="151"/>
      <c r="F121" s="152"/>
      <c r="G121" s="20"/>
    </row>
    <row r="122" spans="1:7">
      <c r="A122" s="166">
        <f>'Project Budget Summary'!A158</f>
        <v>515</v>
      </c>
      <c r="B122" s="167" t="str">
        <f>VLOOKUP(A122,'Project Budget Summary'!$A$11:$B$173,2,FALSE)</f>
        <v>Lender Inspection Fees</v>
      </c>
      <c r="C122" s="181" t="str">
        <f>VLOOKUP(A122,'Project Budget Summary'!$A$11:$J$173,10,FALSE)</f>
        <v>SC-Finance</v>
      </c>
      <c r="D122" s="20"/>
      <c r="E122" s="151"/>
      <c r="F122" s="152"/>
      <c r="G122" s="20"/>
    </row>
    <row r="123" spans="1:7">
      <c r="A123" s="166">
        <f>'Project Budget Summary'!A159</f>
        <v>516</v>
      </c>
      <c r="B123" s="167" t="str">
        <f>VLOOKUP(A123,'Project Budget Summary'!$A$11:$B$173,2,FALSE)</f>
        <v>Other Consultants &amp; Inspections</v>
      </c>
      <c r="C123" s="181" t="str">
        <f>VLOOKUP(A123,'Project Budget Summary'!$A$11:$J$173,10,FALSE)</f>
        <v>SC-Finance</v>
      </c>
      <c r="D123" s="20"/>
      <c r="E123" s="151"/>
      <c r="F123" s="152"/>
      <c r="G123" s="20"/>
    </row>
    <row r="124" spans="1:7">
      <c r="A124" s="166">
        <f>'Project Budget Summary'!A160</f>
        <v>517</v>
      </c>
      <c r="B124" s="167" t="str">
        <f>VLOOKUP(A124,'Project Budget Summary'!$A$11:$B$173,2,FALSE)</f>
        <v>Rate Cap &amp; Related Costs</v>
      </c>
      <c r="C124" s="181" t="str">
        <f>VLOOKUP(A124,'Project Budget Summary'!$A$11:$J$173,10,FALSE)</f>
        <v>SC-Finance</v>
      </c>
      <c r="D124" s="20"/>
      <c r="E124" s="151"/>
      <c r="F124" s="152"/>
      <c r="G124" s="20"/>
    </row>
    <row r="125" spans="1:7">
      <c r="A125" s="166">
        <f>'Project Budget Summary'!A161</f>
        <v>518</v>
      </c>
      <c r="B125" s="167" t="str">
        <f>VLOOKUP(A125,'Project Budget Summary'!$A$11:$B$173,2,FALSE)</f>
        <v>Title Fees (Acq. /Senior Loan for NY projects)</v>
      </c>
      <c r="C125" s="181" t="str">
        <f>VLOOKUP(A125,'Project Budget Summary'!$A$11:$J$173,10,FALSE)</f>
        <v>SC-Finance</v>
      </c>
      <c r="D125" s="20"/>
      <c r="E125" s="151"/>
      <c r="F125" s="152"/>
      <c r="G125" s="20"/>
    </row>
    <row r="126" spans="1:7">
      <c r="A126" s="166">
        <f>'Project Budget Summary'!A162</f>
        <v>519</v>
      </c>
      <c r="B126" s="167" t="str">
        <f>VLOOKUP(A126,'Project Budget Summary'!$A$11:$B$173,2,FALSE)</f>
        <v>Title Fees (Building Loan for NY projects)</v>
      </c>
      <c r="C126" s="181" t="str">
        <f>VLOOKUP(A126,'Project Budget Summary'!$A$11:$J$173,10,FALSE)</f>
        <v>SC-Finance</v>
      </c>
      <c r="D126" s="20"/>
      <c r="E126" s="151"/>
      <c r="F126" s="152"/>
      <c r="G126" s="20"/>
    </row>
    <row r="127" spans="1:7">
      <c r="A127" s="166">
        <f>'Project Budget Summary'!A163</f>
        <v>520</v>
      </c>
      <c r="B127" s="167" t="str">
        <f>VLOOKUP(A127,'Project Budget Summary'!$A$11:$B$173,2,FALSE)</f>
        <v>Title Fees (Project Loan for NY projects)</v>
      </c>
      <c r="C127" s="181" t="str">
        <f>VLOOKUP(A127,'Project Budget Summary'!$A$11:$J$173,10,FALSE)</f>
        <v>SC-Finance</v>
      </c>
      <c r="D127" s="20"/>
      <c r="E127" s="151"/>
      <c r="F127" s="152"/>
      <c r="G127" s="20"/>
    </row>
    <row r="128" spans="1:7">
      <c r="A128" s="166">
        <f>'Project Budget Summary'!A164</f>
        <v>521</v>
      </c>
      <c r="B128" s="167" t="str">
        <f>VLOOKUP(A128,'Project Budget Summary'!$A$11:$B$173,2,FALSE)</f>
        <v>Title &amp; Escrow Fees</v>
      </c>
      <c r="C128" s="181" t="str">
        <f>VLOOKUP(A128,'Project Budget Summary'!$A$11:$J$173,10,FALSE)</f>
        <v>SC-Finance</v>
      </c>
      <c r="D128" s="20"/>
      <c r="E128" s="151"/>
      <c r="F128" s="152"/>
      <c r="G128" s="20"/>
    </row>
    <row r="129" spans="1:7">
      <c r="A129" s="166">
        <f>'Project Budget Summary'!A165</f>
        <v>522</v>
      </c>
      <c r="B129" s="167" t="str">
        <f>VLOOKUP(A129,'Project Budget Summary'!$A$11:$B$173,2,FALSE)</f>
        <v>Title, Recording &amp; Other Closing Fees</v>
      </c>
      <c r="C129" s="181" t="str">
        <f>VLOOKUP(A129,'Project Budget Summary'!$A$11:$J$173,10,FALSE)</f>
        <v>SC-Finance</v>
      </c>
      <c r="D129" s="20"/>
      <c r="E129" s="151"/>
      <c r="F129" s="152"/>
      <c r="G129" s="20"/>
    </row>
    <row r="130" spans="1:7">
      <c r="A130" s="166">
        <f>'Project Budget Summary'!A166</f>
        <v>523</v>
      </c>
      <c r="B130" s="167" t="str">
        <f>VLOOKUP(A130,'Project Budget Summary'!$A$11:$B$173,2,FALSE)</f>
        <v>Working Capital</v>
      </c>
      <c r="C130" s="181" t="str">
        <f>VLOOKUP(A130,'Project Budget Summary'!$A$11:$J$173,10,FALSE)</f>
        <v>SC-Finance</v>
      </c>
      <c r="D130" s="20"/>
      <c r="E130" s="151"/>
      <c r="F130" s="152"/>
      <c r="G130" s="20"/>
    </row>
    <row r="131" spans="1:7">
      <c r="A131" s="166">
        <f>'Project Budget Summary'!A167</f>
        <v>524</v>
      </c>
      <c r="B131" s="167" t="str">
        <f>VLOOKUP(A131,'Project Budget Summary'!$A$11:$B$173,2,FALSE)</f>
        <v>Other [Define]</v>
      </c>
      <c r="C131" s="181" t="str">
        <f>VLOOKUP(A131,'Project Budget Summary'!$A$11:$J$173,10,FALSE)</f>
        <v>SC-Finance</v>
      </c>
      <c r="D131" s="20"/>
      <c r="E131" s="151"/>
      <c r="F131" s="152"/>
      <c r="G131" s="20"/>
    </row>
    <row r="132" spans="1:7">
      <c r="A132" s="166">
        <f>'Project Budget Summary'!A168</f>
        <v>525</v>
      </c>
      <c r="B132" s="167" t="str">
        <f>VLOOKUP(A132,'Project Budget Summary'!$A$11:$B$173,2,FALSE)</f>
        <v>Other [Define]</v>
      </c>
      <c r="C132" s="181" t="str">
        <f>VLOOKUP(A132,'Project Budget Summary'!$A$11:$J$173,10,FALSE)</f>
        <v>SC-Finance</v>
      </c>
      <c r="D132" s="20"/>
      <c r="E132" s="151"/>
      <c r="F132" s="152"/>
      <c r="G132" s="20"/>
    </row>
    <row r="133" spans="1:7">
      <c r="A133" s="166">
        <f>'Project Budget Summary'!A169</f>
        <v>526</v>
      </c>
      <c r="B133" s="167" t="str">
        <f>VLOOKUP(A133,'Project Budget Summary'!$A$11:$B$173,2,FALSE)</f>
        <v>Other [Define]</v>
      </c>
      <c r="C133" s="181" t="str">
        <f>VLOOKUP(A133,'Project Budget Summary'!$A$11:$J$173,10,FALSE)</f>
        <v>SC-Finance</v>
      </c>
      <c r="D133" s="20"/>
      <c r="E133" s="151"/>
      <c r="F133" s="152"/>
      <c r="G133" s="20"/>
    </row>
    <row r="134" spans="1:7">
      <c r="A134" s="166">
        <f>'Project Budget Summary'!A170</f>
        <v>527</v>
      </c>
      <c r="B134" s="167" t="str">
        <f>VLOOKUP(A134,'Project Budget Summary'!$A$11:$B$173,2,FALSE)</f>
        <v>Other [Define]</v>
      </c>
      <c r="C134" s="181" t="str">
        <f>VLOOKUP(A134,'Project Budget Summary'!$A$11:$J$173,10,FALSE)</f>
        <v>SC-Finance</v>
      </c>
      <c r="D134" s="20"/>
      <c r="E134" s="151"/>
      <c r="F134" s="152"/>
      <c r="G134" s="20"/>
    </row>
    <row r="135" spans="1:7">
      <c r="A135" s="166">
        <f>'Project Budget Summary'!A171</f>
        <v>528</v>
      </c>
      <c r="B135" s="167" t="str">
        <f>VLOOKUP(A135,'Project Budget Summary'!$A$11:$B$173,2,FALSE)</f>
        <v>Other [Define]</v>
      </c>
      <c r="C135" s="181" t="str">
        <f>VLOOKUP(A135,'Project Budget Summary'!$A$11:$J$173,10,FALSE)</f>
        <v>SC-Finance</v>
      </c>
      <c r="D135" s="20"/>
      <c r="E135" s="151"/>
      <c r="F135" s="152"/>
      <c r="G135" s="20"/>
    </row>
    <row r="136" spans="1:7">
      <c r="A136" s="166">
        <f>'Project Budget Summary'!A172</f>
        <v>529</v>
      </c>
      <c r="B136" s="167" t="str">
        <f>VLOOKUP(A136,'Project Budget Summary'!$A$11:$B$173,2,FALSE)</f>
        <v>Other [Define]</v>
      </c>
      <c r="C136" s="181" t="str">
        <f>VLOOKUP(A136,'Project Budget Summary'!$A$11:$J$173,10,FALSE)</f>
        <v>SC-Finance</v>
      </c>
      <c r="D136" s="20"/>
      <c r="E136" s="151"/>
      <c r="F136" s="152"/>
      <c r="G136" s="20"/>
    </row>
    <row r="137" spans="1:7">
      <c r="A137" s="166">
        <f>'Project Budget Summary'!A173</f>
        <v>530</v>
      </c>
      <c r="B137" s="167" t="str">
        <f>VLOOKUP(A137,'Project Budget Summary'!$A$11:$B$173,2,FALSE)</f>
        <v>Other [Define]</v>
      </c>
      <c r="C137" s="181" t="str">
        <f>VLOOKUP(A137,'Project Budget Summary'!$A$11:$J$173,10,FALSE)</f>
        <v>SC-Finance</v>
      </c>
      <c r="D137" s="20"/>
      <c r="E137" s="151"/>
      <c r="F137" s="152"/>
      <c r="G137" s="20"/>
    </row>
    <row r="138" spans="1:7" ht="15.75" thickBot="1">
      <c r="A138" s="100"/>
      <c r="B138" s="20"/>
      <c r="D138" s="20"/>
      <c r="E138" s="151"/>
      <c r="F138" s="152"/>
      <c r="G138" s="20"/>
    </row>
    <row r="139" spans="1:7" ht="15.75" thickBot="1">
      <c r="A139" s="762">
        <v>600</v>
      </c>
      <c r="B139" s="763" t="str">
        <f>VLOOKUP(A139,'Project Budget Summary'!A11:B176,2,FALSE)</f>
        <v>Construction Draw Reserve for Future Advance</v>
      </c>
      <c r="D139" s="20"/>
      <c r="E139" s="151"/>
      <c r="F139" s="152"/>
      <c r="G139" s="20"/>
    </row>
    <row r="140" spans="1:7">
      <c r="A140" s="20"/>
      <c r="B140" s="157"/>
      <c r="D140" s="20"/>
      <c r="E140" s="151"/>
      <c r="F140" s="152"/>
      <c r="G140" s="20"/>
    </row>
    <row r="141" spans="1:7">
      <c r="A141" s="147" t="s">
        <v>1499</v>
      </c>
      <c r="B141" s="148"/>
      <c r="D141" s="20"/>
      <c r="E141" s="151"/>
      <c r="F141" s="152"/>
      <c r="G141" s="20"/>
    </row>
    <row r="142" spans="1:7" ht="15.75" thickBot="1">
      <c r="A142" s="349" t="s">
        <v>1500</v>
      </c>
      <c r="B142" s="156"/>
      <c r="D142" s="20"/>
      <c r="E142" s="151"/>
      <c r="F142" s="152"/>
      <c r="G142" s="20"/>
    </row>
    <row r="143" spans="1:7" ht="28.5" customHeight="1" thickBot="1">
      <c r="A143" s="161" t="str">
        <f>'Contractor''s Budget Detail'!A8</f>
        <v>General Conditions</v>
      </c>
      <c r="B143" s="162"/>
      <c r="D143" s="20"/>
      <c r="G143" s="20"/>
    </row>
    <row r="144" spans="1:7" ht="15.75" thickBot="1">
      <c r="A144" s="165">
        <f>'Contractor''s Budget Detail'!B9</f>
        <v>1001</v>
      </c>
      <c r="B144" s="160" t="str">
        <f>VLOOKUP(A144,'Contractor''s Budget Detail'!$B$9:$C$461,2,FALSE)</f>
        <v>Architectural Fees (contractor's budget)</v>
      </c>
      <c r="C144" s="181" t="s">
        <v>1359</v>
      </c>
      <c r="D144" s="20"/>
      <c r="G144" s="20"/>
    </row>
    <row r="145" spans="1:7" ht="15.75" thickBot="1">
      <c r="A145" s="165">
        <f>'Contractor''s Budget Detail'!B10</f>
        <v>1002</v>
      </c>
      <c r="B145" s="160" t="str">
        <f>VLOOKUP(A145,'Contractor''s Budget Detail'!$B$9:$C$461,2,FALSE)</f>
        <v>Blue Prints / Documents (contractor's budget)</v>
      </c>
      <c r="C145" s="181" t="s">
        <v>1359</v>
      </c>
      <c r="D145" s="20"/>
      <c r="G145" s="20"/>
    </row>
    <row r="146" spans="1:7" ht="15.75" thickBot="1">
      <c r="A146" s="165">
        <f>'Contractor''s Budget Detail'!B11</f>
        <v>1003</v>
      </c>
      <c r="B146" s="160" t="str">
        <f>VLOOKUP(A146,'Contractor''s Budget Detail'!$B$9:$C$461,2,FALSE)</f>
        <v>Building &amp; Site Permits (contractor's budget)</v>
      </c>
      <c r="C146" s="181" t="s">
        <v>1359</v>
      </c>
      <c r="D146" s="20"/>
      <c r="G146" s="20"/>
    </row>
    <row r="147" spans="1:7" ht="15.75" thickBot="1">
      <c r="A147" s="165">
        <f>'Contractor''s Budget Detail'!B12</f>
        <v>1004</v>
      </c>
      <c r="B147" s="160" t="str">
        <f>VLOOKUP(A147,'Contractor''s Budget Detail'!$B$9:$C$461,2,FALSE)</f>
        <v>Equipment Rental</v>
      </c>
      <c r="C147" s="181" t="s">
        <v>1359</v>
      </c>
      <c r="D147" s="20"/>
      <c r="G147" s="20"/>
    </row>
    <row r="148" spans="1:7" ht="15.75" thickBot="1">
      <c r="A148" s="165">
        <f>'Contractor''s Budget Detail'!B13</f>
        <v>1005</v>
      </c>
      <c r="B148" s="160" t="str">
        <f>VLOOKUP(A148,'Contractor''s Budget Detail'!$B$9:$C$461,2,FALSE)</f>
        <v>Engineering</v>
      </c>
      <c r="C148" s="181" t="s">
        <v>1359</v>
      </c>
      <c r="D148" s="20"/>
      <c r="G148" s="20"/>
    </row>
    <row r="149" spans="1:7" ht="15.75" thickBot="1">
      <c r="A149" s="165">
        <f>'Contractor''s Budget Detail'!B14</f>
        <v>1006</v>
      </c>
      <c r="B149" s="160" t="str">
        <f>VLOOKUP(A149,'Contractor''s Budget Detail'!$B$9:$C$461,2,FALSE)</f>
        <v>Inspections /  Testing in General Conditions Budget</v>
      </c>
      <c r="C149" s="181" t="s">
        <v>1359</v>
      </c>
      <c r="D149" s="20"/>
      <c r="G149" s="20"/>
    </row>
    <row r="150" spans="1:7" ht="15.75" thickBot="1">
      <c r="A150" s="165">
        <f>'Contractor''s Budget Detail'!B15</f>
        <v>1007</v>
      </c>
      <c r="B150" s="160" t="str">
        <f>VLOOKUP(A150,'Contractor''s Budget Detail'!$B$9:$C$461,2,FALSE)</f>
        <v>Telecommunications / Mobile</v>
      </c>
      <c r="C150" s="181" t="s">
        <v>1359</v>
      </c>
      <c r="D150" s="20"/>
      <c r="G150" s="20"/>
    </row>
    <row r="151" spans="1:7" ht="15.75" thickBot="1">
      <c r="A151" s="165">
        <f>'Contractor''s Budget Detail'!B16</f>
        <v>1008</v>
      </c>
      <c r="B151" s="160" t="str">
        <f>VLOOKUP(A151,'Contractor''s Budget Detail'!$B$9:$C$461,2,FALSE)</f>
        <v>Office Equipment / IT / Software / Supplies</v>
      </c>
      <c r="C151" s="181" t="s">
        <v>1359</v>
      </c>
      <c r="D151" s="20"/>
      <c r="G151" s="20"/>
    </row>
    <row r="152" spans="1:7" ht="15.75" thickBot="1">
      <c r="A152" s="165">
        <f>'Contractor''s Budget Detail'!B17</f>
        <v>1009</v>
      </c>
      <c r="B152" s="160" t="str">
        <f>VLOOKUP(A152,'Contractor''s Budget Detail'!$B$9:$C$461,2,FALSE)</f>
        <v>Personnel</v>
      </c>
      <c r="C152" s="181" t="s">
        <v>1359</v>
      </c>
      <c r="D152" s="20"/>
      <c r="G152" s="20"/>
    </row>
    <row r="153" spans="1:7" ht="15.75" thickBot="1">
      <c r="A153" s="165">
        <f>'Contractor''s Budget Detail'!B18</f>
        <v>1010</v>
      </c>
      <c r="B153" s="160" t="str">
        <f>VLOOKUP(A153,'Contractor''s Budget Detail'!$B$9:$C$461,2,FALSE)</f>
        <v>Quality Control</v>
      </c>
      <c r="C153" s="181" t="s">
        <v>1359</v>
      </c>
      <c r="D153" s="20"/>
      <c r="G153" s="20"/>
    </row>
    <row r="154" spans="1:7" ht="15.75" thickBot="1">
      <c r="A154" s="165">
        <f>'Contractor''s Budget Detail'!B19</f>
        <v>1011</v>
      </c>
      <c r="B154" s="160" t="str">
        <f>VLOOKUP(A154,'Contractor''s Budget Detail'!$B$9:$C$461,2,FALSE)</f>
        <v xml:space="preserve">Safety Equipment </v>
      </c>
      <c r="C154" s="181" t="s">
        <v>1359</v>
      </c>
      <c r="D154" s="20"/>
      <c r="G154" s="20"/>
    </row>
    <row r="155" spans="1:7" ht="15.75" thickBot="1">
      <c r="A155" s="165">
        <f>'Contractor''s Budget Detail'!B20</f>
        <v>1012</v>
      </c>
      <c r="B155" s="160" t="str">
        <f>VLOOKUP(A155,'Contractor''s Budget Detail'!$B$9:$C$461,2,FALSE)</f>
        <v>Scheduling</v>
      </c>
      <c r="C155" s="181" t="s">
        <v>1359</v>
      </c>
      <c r="D155" s="20"/>
      <c r="G155" s="20"/>
    </row>
    <row r="156" spans="1:7" ht="15.75" thickBot="1">
      <c r="A156" s="165">
        <f>'Contractor''s Budget Detail'!B21</f>
        <v>1013</v>
      </c>
      <c r="B156" s="160" t="str">
        <f>VLOOKUP(A156,'Contractor''s Budget Detail'!$B$9:$C$461,2,FALSE)</f>
        <v>Sewer Connection Fees</v>
      </c>
      <c r="C156" s="181" t="s">
        <v>1359</v>
      </c>
      <c r="D156" s="20"/>
      <c r="G156" s="20"/>
    </row>
    <row r="157" spans="1:7" ht="15.75" thickBot="1">
      <c r="A157" s="165">
        <f>'Contractor''s Budget Detail'!B22</f>
        <v>1014</v>
      </c>
      <c r="B157" s="160" t="str">
        <f>VLOOKUP(A157,'Contractor''s Budget Detail'!$B$9:$C$461,2,FALSE)</f>
        <v>Shipping</v>
      </c>
      <c r="C157" s="181" t="s">
        <v>1359</v>
      </c>
      <c r="D157" s="20"/>
      <c r="G157" s="20"/>
    </row>
    <row r="158" spans="1:7" ht="15.75" thickBot="1">
      <c r="A158" s="165">
        <f>'Contractor''s Budget Detail'!B23</f>
        <v>1015</v>
      </c>
      <c r="B158" s="160" t="str">
        <f>VLOOKUP(A158,'Contractor''s Budget Detail'!$B$9:$C$461,2,FALSE)</f>
        <v>Site Logistics</v>
      </c>
      <c r="C158" s="181" t="s">
        <v>1359</v>
      </c>
      <c r="D158" s="20"/>
      <c r="G158" s="20"/>
    </row>
    <row r="159" spans="1:7" ht="15.75" thickBot="1">
      <c r="A159" s="165">
        <f>'Contractor''s Budget Detail'!B24</f>
        <v>1016</v>
      </c>
      <c r="B159" s="160" t="str">
        <f>VLOOKUP(A159,'Contractor''s Budget Detail'!$B$9:$C$461,2,FALSE)</f>
        <v>Site Office</v>
      </c>
      <c r="C159" s="181" t="s">
        <v>1359</v>
      </c>
      <c r="D159" s="20"/>
      <c r="G159" s="20"/>
    </row>
    <row r="160" spans="1:7" ht="15.75" thickBot="1">
      <c r="A160" s="165">
        <f>'Contractor''s Budget Detail'!B25</f>
        <v>1017</v>
      </c>
      <c r="B160" s="160" t="str">
        <f>VLOOKUP(A160,'Contractor''s Budget Detail'!$B$9:$C$461,2,FALSE)</f>
        <v>Storage Trailers</v>
      </c>
      <c r="C160" s="181" t="s">
        <v>1359</v>
      </c>
      <c r="D160" s="20"/>
      <c r="G160" s="20"/>
    </row>
    <row r="161" spans="1:7" ht="15.75" thickBot="1">
      <c r="A161" s="165">
        <f>'Contractor''s Budget Detail'!B26</f>
        <v>1018</v>
      </c>
      <c r="B161" s="160" t="str">
        <f>VLOOKUP(A161,'Contractor''s Budget Detail'!$B$9:$C$461,2,FALSE)</f>
        <v>Surveys</v>
      </c>
      <c r="C161" s="181" t="s">
        <v>1359</v>
      </c>
      <c r="D161" s="20"/>
      <c r="G161" s="20"/>
    </row>
    <row r="162" spans="1:7" ht="15.75" thickBot="1">
      <c r="A162" s="165">
        <f>'Contractor''s Budget Detail'!B27</f>
        <v>1019</v>
      </c>
      <c r="B162" s="160" t="str">
        <f>VLOOKUP(A162,'Contractor''s Budget Detail'!$B$9:$C$461,2,FALSE)</f>
        <v>Temporary Conditions / Enclosures</v>
      </c>
      <c r="C162" s="181" t="s">
        <v>1359</v>
      </c>
      <c r="D162" s="20"/>
      <c r="G162" s="20"/>
    </row>
    <row r="163" spans="1:7" ht="15.75" thickBot="1">
      <c r="A163" s="165">
        <f>'Contractor''s Budget Detail'!B28</f>
        <v>1020</v>
      </c>
      <c r="B163" s="160" t="str">
        <f>VLOOKUP(A163,'Contractor''s Budget Detail'!$B$9:$C$461,2,FALSE)</f>
        <v>Temporary Toilets</v>
      </c>
      <c r="C163" s="181" t="s">
        <v>1359</v>
      </c>
      <c r="D163" s="20"/>
      <c r="G163" s="20"/>
    </row>
    <row r="164" spans="1:7" ht="15.75" thickBot="1">
      <c r="A164" s="165">
        <f>'Contractor''s Budget Detail'!B29</f>
        <v>1021</v>
      </c>
      <c r="B164" s="160" t="str">
        <f>VLOOKUP(A164,'Contractor''s Budget Detail'!$B$9:$C$461,2,FALSE)</f>
        <v>Temporary Utilities</v>
      </c>
      <c r="C164" s="181" t="s">
        <v>1359</v>
      </c>
      <c r="D164" s="20"/>
      <c r="G164" s="20"/>
    </row>
    <row r="165" spans="1:7" ht="15.75" thickBot="1">
      <c r="A165" s="165">
        <f>'Contractor''s Budget Detail'!B30</f>
        <v>1022</v>
      </c>
      <c r="B165" s="160" t="str">
        <f>VLOOKUP(A165,'Contractor''s Budget Detail'!$B$9:$C$461,2,FALSE)</f>
        <v>Travel</v>
      </c>
      <c r="C165" s="181" t="s">
        <v>1359</v>
      </c>
      <c r="D165" s="20"/>
      <c r="G165" s="20"/>
    </row>
    <row r="166" spans="1:7" ht="15.75" thickBot="1">
      <c r="A166" s="165">
        <f>'Contractor''s Budget Detail'!B31</f>
        <v>1023</v>
      </c>
      <c r="B166" s="160" t="str">
        <f>VLOOKUP(A166,'Contractor''s Budget Detail'!$B$9:$C$461,2,FALSE)</f>
        <v>Water Connection Fees</v>
      </c>
      <c r="C166" s="181" t="s">
        <v>1359</v>
      </c>
      <c r="D166" s="20"/>
      <c r="G166" s="20"/>
    </row>
    <row r="167" spans="1:7" ht="15.75" thickBot="1">
      <c r="A167" s="165">
        <f>'Contractor''s Budget Detail'!B32</f>
        <v>1024</v>
      </c>
      <c r="B167" s="160" t="str">
        <f>VLOOKUP(A167,'Contractor''s Budget Detail'!$B$9:$C$461,2,FALSE)</f>
        <v>Other - Define</v>
      </c>
      <c r="C167" s="181" t="s">
        <v>1359</v>
      </c>
      <c r="D167" s="20"/>
      <c r="G167" s="20"/>
    </row>
    <row r="168" spans="1:7" ht="15.75" thickBot="1">
      <c r="A168" s="165">
        <f>'Contractor''s Budget Detail'!B33</f>
        <v>1025</v>
      </c>
      <c r="B168" s="160" t="str">
        <f>VLOOKUP(A168,'Contractor''s Budget Detail'!$B$9:$C$461,2,FALSE)</f>
        <v>Other - Define</v>
      </c>
      <c r="C168" s="181" t="s">
        <v>1359</v>
      </c>
      <c r="D168" s="20"/>
      <c r="G168" s="20"/>
    </row>
    <row r="169" spans="1:7" ht="15.75" thickBot="1">
      <c r="A169" s="165">
        <f>'Contractor''s Budget Detail'!B34</f>
        <v>1026</v>
      </c>
      <c r="B169" s="160" t="str">
        <f>VLOOKUP(A169,'Contractor''s Budget Detail'!$B$9:$C$461,2,FALSE)</f>
        <v>Other - Define</v>
      </c>
      <c r="C169" s="181" t="s">
        <v>1359</v>
      </c>
      <c r="D169" s="20"/>
      <c r="G169" s="20"/>
    </row>
    <row r="170" spans="1:7" ht="15.75" thickBot="1">
      <c r="A170" s="165">
        <f>'Contractor''s Budget Detail'!B35</f>
        <v>1027</v>
      </c>
      <c r="B170" s="160" t="str">
        <f>VLOOKUP(A170,'Contractor''s Budget Detail'!$B$9:$C$461,2,FALSE)</f>
        <v>Other - Define</v>
      </c>
      <c r="C170" s="181" t="s">
        <v>1359</v>
      </c>
      <c r="D170" s="20"/>
      <c r="G170" s="20"/>
    </row>
    <row r="171" spans="1:7" ht="15.75" thickBot="1">
      <c r="A171" s="165">
        <f>'Contractor''s Budget Detail'!B36</f>
        <v>1028</v>
      </c>
      <c r="B171" s="160" t="str">
        <f>VLOOKUP(A171,'Contractor''s Budget Detail'!$B$9:$C$461,2,FALSE)</f>
        <v>Other - Define</v>
      </c>
      <c r="C171" s="181" t="s">
        <v>1359</v>
      </c>
      <c r="D171" s="20"/>
      <c r="G171" s="20"/>
    </row>
    <row r="172" spans="1:7" ht="15.75" thickBot="1">
      <c r="A172" s="165">
        <f>'Contractor''s Budget Detail'!B37</f>
        <v>1029</v>
      </c>
      <c r="B172" s="160" t="str">
        <f>VLOOKUP(A172,'Contractor''s Budget Detail'!$B$9:$C$461,2,FALSE)</f>
        <v>Other - Define</v>
      </c>
      <c r="C172" s="181" t="s">
        <v>1359</v>
      </c>
      <c r="D172" s="20"/>
      <c r="G172" s="20"/>
    </row>
    <row r="173" spans="1:7" ht="15.75" thickBot="1">
      <c r="A173" s="165">
        <f>'Contractor''s Budget Detail'!B38</f>
        <v>1030</v>
      </c>
      <c r="B173" s="160" t="str">
        <f>VLOOKUP(A173,'Contractor''s Budget Detail'!$B$9:$C$461,2,FALSE)</f>
        <v>Other - Define</v>
      </c>
      <c r="C173" s="181" t="s">
        <v>1359</v>
      </c>
      <c r="D173" s="20"/>
      <c r="G173" s="20"/>
    </row>
    <row r="174" spans="1:7" ht="15.75" thickBot="1">
      <c r="A174" s="159" t="str">
        <f>'Contractor''s Budget Detail'!A42</f>
        <v>Site Work</v>
      </c>
      <c r="B174" s="160"/>
      <c r="D174" s="20"/>
      <c r="G174" s="20"/>
    </row>
    <row r="175" spans="1:7" ht="15.75" thickBot="1">
      <c r="A175" s="165">
        <f>'Contractor''s Budget Detail'!B43</f>
        <v>2001</v>
      </c>
      <c r="B175" s="160" t="str">
        <f>VLOOKUP(A175,'Contractor''s Budget Detail'!$B$9:$C$461,2,FALSE)</f>
        <v>Backfill - Slurry</v>
      </c>
      <c r="C175" s="181" t="s">
        <v>1359</v>
      </c>
      <c r="D175" s="20"/>
      <c r="G175" s="20"/>
    </row>
    <row r="176" spans="1:7" ht="15.75" thickBot="1">
      <c r="A176" s="165">
        <f>'Contractor''s Budget Detail'!B44</f>
        <v>2002</v>
      </c>
      <c r="B176" s="160" t="str">
        <f>VLOOKUP(A176,'Contractor''s Budget Detail'!$B$9:$C$461,2,FALSE)</f>
        <v>Curbs  / Walks  /Drives / Gutters</v>
      </c>
      <c r="C176" s="181" t="s">
        <v>1359</v>
      </c>
      <c r="D176" s="20"/>
      <c r="G176" s="20"/>
    </row>
    <row r="177" spans="1:7" ht="15.75" thickBot="1">
      <c r="A177" s="165">
        <f>'Contractor''s Budget Detail'!B45</f>
        <v>2003</v>
      </c>
      <c r="B177" s="160" t="str">
        <f>VLOOKUP(A177,'Contractor''s Budget Detail'!$B$9:$C$461,2,FALSE)</f>
        <v>Demolition</v>
      </c>
      <c r="C177" s="181" t="s">
        <v>1359</v>
      </c>
      <c r="D177" s="20"/>
      <c r="G177" s="20"/>
    </row>
    <row r="178" spans="1:7" ht="15.75" thickBot="1">
      <c r="A178" s="165">
        <f>'Contractor''s Budget Detail'!B46</f>
        <v>2004</v>
      </c>
      <c r="B178" s="160" t="str">
        <f>VLOOKUP(A178,'Contractor''s Budget Detail'!$B$9:$C$461,2,FALSE)</f>
        <v>Dewatering / Winterization</v>
      </c>
      <c r="C178" s="181" t="s">
        <v>1359</v>
      </c>
      <c r="D178" s="20"/>
      <c r="G178" s="20"/>
    </row>
    <row r="179" spans="1:7" ht="15.75" thickBot="1">
      <c r="A179" s="165">
        <f>'Contractor''s Budget Detail'!B47</f>
        <v>2005</v>
      </c>
      <c r="B179" s="160" t="str">
        <f>VLOOKUP(A179,'Contractor''s Budget Detail'!$B$9:$C$461,2,FALSE)</f>
        <v>Drilling / Bore / Augered</v>
      </c>
      <c r="C179" s="181" t="s">
        <v>1359</v>
      </c>
      <c r="D179" s="20"/>
      <c r="G179" s="20"/>
    </row>
    <row r="180" spans="1:7" ht="15.75" thickBot="1">
      <c r="A180" s="165">
        <f>'Contractor''s Budget Detail'!B48</f>
        <v>2006</v>
      </c>
      <c r="B180" s="160" t="str">
        <f>VLOOKUP(A180,'Contractor''s Budget Detail'!$B$9:$C$461,2,FALSE)</f>
        <v>Dust Control (water truck, calcium carb., etc.)</v>
      </c>
      <c r="C180" s="181" t="s">
        <v>1359</v>
      </c>
      <c r="D180" s="20"/>
      <c r="G180" s="20"/>
    </row>
    <row r="181" spans="1:7" ht="15.75" thickBot="1">
      <c r="A181" s="165">
        <f>'Contractor''s Budget Detail'!B49</f>
        <v>2007</v>
      </c>
      <c r="B181" s="160" t="str">
        <f>VLOOKUP(A181,'Contractor''s Budget Detail'!$B$9:$C$461,2,FALSE)</f>
        <v>Environmental Abatement</v>
      </c>
      <c r="C181" s="181" t="s">
        <v>1359</v>
      </c>
      <c r="D181" s="20"/>
      <c r="G181" s="20"/>
    </row>
    <row r="182" spans="1:7" ht="15.75" thickBot="1">
      <c r="A182" s="165">
        <f>'Contractor''s Budget Detail'!B50</f>
        <v>2008</v>
      </c>
      <c r="B182" s="160" t="str">
        <f>VLOOKUP(A182,'Contractor''s Budget Detail'!$B$9:$C$461,2,FALSE)</f>
        <v>Erosion Control / Storm Water Prevention Program (SWPPS)</v>
      </c>
      <c r="C182" s="181" t="s">
        <v>1359</v>
      </c>
      <c r="D182" s="20"/>
      <c r="G182" s="20"/>
    </row>
    <row r="183" spans="1:7" ht="15.75" thickBot="1">
      <c r="A183" s="165">
        <f>'Contractor''s Budget Detail'!B51</f>
        <v>2009</v>
      </c>
      <c r="B183" s="160" t="str">
        <f>VLOOKUP(A183,'Contractor''s Budget Detail'!$B$9:$C$461,2,FALSE)</f>
        <v>Fences/Gates</v>
      </c>
      <c r="C183" s="181" t="s">
        <v>1359</v>
      </c>
      <c r="D183" s="20"/>
      <c r="G183" s="20"/>
    </row>
    <row r="184" spans="1:7" ht="15.75" thickBot="1">
      <c r="A184" s="165">
        <f>'Contractor''s Budget Detail'!B53</f>
        <v>2011</v>
      </c>
      <c r="B184" s="160" t="str">
        <f>VLOOKUP(A184,'Contractor''s Budget Detail'!$B$9:$C$461,2,FALSE)</f>
        <v>General Site Labor</v>
      </c>
      <c r="C184" s="181" t="s">
        <v>1359</v>
      </c>
      <c r="D184" s="20"/>
      <c r="E184" s="20"/>
      <c r="F184" s="20"/>
      <c r="G184" s="20"/>
    </row>
    <row r="185" spans="1:7" ht="15.75" thickBot="1">
      <c r="A185" s="165">
        <f>'Contractor''s Budget Detail'!B54</f>
        <v>2012</v>
      </c>
      <c r="B185" s="160" t="str">
        <f>VLOOKUP(A185,'Contractor''s Budget Detail'!$B$9:$C$461,2,FALSE)</f>
        <v>Grading  / Excavation Support Systems</v>
      </c>
      <c r="C185" s="181" t="s">
        <v>1359</v>
      </c>
      <c r="D185" s="20"/>
      <c r="E185" s="20"/>
      <c r="F185" s="20"/>
      <c r="G185" s="20"/>
    </row>
    <row r="186" spans="1:7" ht="15.75" thickBot="1">
      <c r="A186" s="165">
        <f>'Contractor''s Budget Detail'!B55</f>
        <v>2013</v>
      </c>
      <c r="B186" s="160" t="str">
        <f>VLOOKUP(A186,'Contractor''s Budget Detail'!$B$9:$C$461,2,FALSE)</f>
        <v>Grading, Rock &amp; Asphalt Paving</v>
      </c>
      <c r="C186" s="181" t="s">
        <v>1359</v>
      </c>
      <c r="D186" s="20"/>
      <c r="E186" s="20"/>
      <c r="F186" s="20"/>
      <c r="G186" s="20"/>
    </row>
    <row r="187" spans="1:7" ht="15.75" thickBot="1">
      <c r="A187" s="165">
        <f>'Contractor''s Budget Detail'!B56</f>
        <v>2014</v>
      </c>
      <c r="B187" s="160" t="str">
        <f>VLOOKUP(A187,'Contractor''s Budget Detail'!$B$9:$C$461,2,FALSE)</f>
        <v>Hardscapes / Retaining Walls</v>
      </c>
      <c r="C187" s="181" t="s">
        <v>1359</v>
      </c>
      <c r="D187" s="20"/>
      <c r="E187" s="20"/>
      <c r="F187" s="20"/>
      <c r="G187" s="20"/>
    </row>
    <row r="188" spans="1:7" ht="15.75" thickBot="1">
      <c r="A188" s="165">
        <f>'Contractor''s Budget Detail'!B57</f>
        <v>2015</v>
      </c>
      <c r="B188" s="160" t="str">
        <f>VLOOKUP(A188,'Contractor''s Budget Detail'!$B$9:$C$461,2,FALSE)</f>
        <v>Hauling / Spoils Offhaul</v>
      </c>
      <c r="C188" s="181" t="s">
        <v>1359</v>
      </c>
      <c r="D188" s="20"/>
      <c r="E188" s="20"/>
      <c r="F188" s="20"/>
      <c r="G188" s="20"/>
    </row>
    <row r="189" spans="1:7" ht="15.75" thickBot="1">
      <c r="A189" s="165">
        <f>'Contractor''s Budget Detail'!B58</f>
        <v>2016</v>
      </c>
      <c r="B189" s="160" t="str">
        <f>VLOOKUP(A189,'Contractor''s Budget Detail'!$B$9:$C$461,2,FALSE)</f>
        <v>Irrigation</v>
      </c>
      <c r="C189" s="181" t="s">
        <v>1359</v>
      </c>
      <c r="D189" s="20"/>
      <c r="E189" s="20"/>
      <c r="F189" s="20"/>
      <c r="G189" s="20"/>
    </row>
    <row r="190" spans="1:7" ht="15.75" thickBot="1">
      <c r="A190" s="165">
        <f>'Contractor''s Budget Detail'!B59</f>
        <v>2017</v>
      </c>
      <c r="B190" s="160" t="str">
        <f>VLOOKUP(A190,'Contractor''s Budget Detail'!$B$9:$C$461,2,FALSE)</f>
        <v>Joint Trench Utilities</v>
      </c>
      <c r="C190" s="181" t="s">
        <v>1359</v>
      </c>
      <c r="D190" s="20"/>
      <c r="E190" s="20"/>
      <c r="F190" s="20"/>
      <c r="G190" s="20"/>
    </row>
    <row r="191" spans="1:7" ht="15.75" thickBot="1">
      <c r="A191" s="165">
        <f>'Contractor''s Budget Detail'!B60</f>
        <v>2018</v>
      </c>
      <c r="B191" s="160" t="str">
        <f>VLOOKUP(A191,'Contractor''s Budget Detail'!$B$9:$C$461,2,FALSE)</f>
        <v>Landscape</v>
      </c>
      <c r="C191" s="181" t="s">
        <v>1359</v>
      </c>
      <c r="D191" s="20"/>
      <c r="E191" s="20"/>
      <c r="F191" s="20"/>
      <c r="G191" s="20"/>
    </row>
    <row r="192" spans="1:7" ht="15.75" thickBot="1">
      <c r="A192" s="165">
        <f>'Contractor''s Budget Detail'!B61</f>
        <v>2019</v>
      </c>
      <c r="B192" s="160" t="str">
        <f>VLOOKUP(A192,'Contractor''s Budget Detail'!$B$9:$C$461,2,FALSE)</f>
        <v>Paving</v>
      </c>
      <c r="C192" s="181" t="s">
        <v>1359</v>
      </c>
      <c r="D192" s="20"/>
      <c r="E192" s="20"/>
      <c r="F192" s="20"/>
      <c r="G192" s="20"/>
    </row>
    <row r="193" spans="1:7" ht="15.75" thickBot="1">
      <c r="A193" s="165">
        <f>'Contractor''s Budget Detail'!B62</f>
        <v>2020</v>
      </c>
      <c r="B193" s="160" t="str">
        <f>VLOOKUP(A193,'Contractor''s Budget Detail'!$B$9:$C$461,2,FALSE)</f>
        <v>Piles / Caissons</v>
      </c>
      <c r="C193" s="181" t="s">
        <v>1359</v>
      </c>
      <c r="D193" s="20"/>
      <c r="E193" s="20"/>
      <c r="F193" s="20"/>
      <c r="G193" s="20"/>
    </row>
    <row r="194" spans="1:7" ht="15.75" thickBot="1">
      <c r="A194" s="165">
        <f>'Contractor''s Budget Detail'!B63</f>
        <v>2021</v>
      </c>
      <c r="B194" s="160" t="str">
        <f>VLOOKUP(A194,'Contractor''s Budget Detail'!$B$9:$C$461,2,FALSE)</f>
        <v>Playground Equipment</v>
      </c>
      <c r="C194" s="181" t="s">
        <v>1359</v>
      </c>
      <c r="D194" s="20"/>
      <c r="E194" s="20"/>
      <c r="F194" s="20"/>
      <c r="G194" s="20"/>
    </row>
    <row r="195" spans="1:7" ht="15.75" thickBot="1">
      <c r="A195" s="165">
        <f>'Contractor''s Budget Detail'!B64</f>
        <v>2022</v>
      </c>
      <c r="B195" s="160" t="str">
        <f>VLOOKUP(A195,'Contractor''s Budget Detail'!$B$9:$C$461,2,FALSE)</f>
        <v>Ponds &amp; Water Features</v>
      </c>
      <c r="C195" s="181" t="s">
        <v>1359</v>
      </c>
      <c r="D195" s="20"/>
      <c r="E195" s="20"/>
      <c r="F195" s="20"/>
      <c r="G195" s="20"/>
    </row>
    <row r="196" spans="1:7" ht="15.75" thickBot="1">
      <c r="A196" s="165">
        <f>'Contractor''s Budget Detail'!B65</f>
        <v>2023</v>
      </c>
      <c r="B196" s="160" t="str">
        <f>VLOOKUP(A196,'Contractor''s Budget Detail'!$B$9:$C$461,2,FALSE)</f>
        <v>Sanitary</v>
      </c>
      <c r="C196" s="181" t="s">
        <v>1359</v>
      </c>
      <c r="D196" s="20"/>
      <c r="E196" s="20"/>
      <c r="F196" s="20"/>
      <c r="G196" s="20"/>
    </row>
    <row r="197" spans="1:7" ht="15.75" thickBot="1">
      <c r="A197" s="165">
        <f>'Contractor''s Budget Detail'!B66</f>
        <v>2024</v>
      </c>
      <c r="B197" s="160" t="str">
        <f>VLOOKUP(A197,'Contractor''s Budget Detail'!$B$9:$C$461,2,FALSE)</f>
        <v>Shoring / Lagging</v>
      </c>
      <c r="C197" s="181" t="s">
        <v>1359</v>
      </c>
      <c r="D197" s="20"/>
      <c r="E197" s="20"/>
      <c r="F197" s="20"/>
      <c r="G197" s="20"/>
    </row>
    <row r="198" spans="1:7" ht="15.75" thickBot="1">
      <c r="A198" s="165">
        <f>'Contractor''s Budget Detail'!B67</f>
        <v>2025</v>
      </c>
      <c r="B198" s="160" t="str">
        <f>VLOOKUP(A198,'Contractor''s Budget Detail'!$B$9:$C$461,2,FALSE)</f>
        <v>Site &amp; Traffic Signs</v>
      </c>
      <c r="C198" s="181" t="s">
        <v>1359</v>
      </c>
      <c r="D198" s="20"/>
      <c r="E198" s="20"/>
      <c r="F198" s="20"/>
      <c r="G198" s="20"/>
    </row>
    <row r="199" spans="1:7" ht="15.75" thickBot="1">
      <c r="A199" s="165">
        <f>'Contractor''s Budget Detail'!B68</f>
        <v>2026</v>
      </c>
      <c r="B199" s="160" t="str">
        <f>VLOOKUP(A199,'Contractor''s Budget Detail'!$B$9:$C$461,2,FALSE)</f>
        <v>Site Domestic Water</v>
      </c>
      <c r="C199" s="181" t="s">
        <v>1359</v>
      </c>
      <c r="D199" s="20"/>
      <c r="E199" s="20"/>
      <c r="F199" s="20"/>
      <c r="G199" s="20"/>
    </row>
    <row r="200" spans="1:7" ht="15.75" thickBot="1">
      <c r="A200" s="165">
        <f>'Contractor''s Budget Detail'!B69</f>
        <v>2027</v>
      </c>
      <c r="B200" s="160" t="str">
        <f>VLOOKUP(A200,'Contractor''s Budget Detail'!$B$9:$C$461,2,FALSE)</f>
        <v>Site Electrical</v>
      </c>
      <c r="C200" s="181" t="s">
        <v>1359</v>
      </c>
      <c r="D200" s="20"/>
      <c r="E200" s="20"/>
      <c r="F200" s="20"/>
      <c r="G200" s="20"/>
    </row>
    <row r="201" spans="1:7" ht="15.75" thickBot="1">
      <c r="A201" s="165">
        <f>'Contractor''s Budget Detail'!B70</f>
        <v>2028</v>
      </c>
      <c r="B201" s="160" t="str">
        <f>VLOOKUP(A201,'Contractor''s Budget Detail'!$B$9:$C$461,2,FALSE)</f>
        <v>Site Fire Water</v>
      </c>
      <c r="C201" s="181" t="s">
        <v>1359</v>
      </c>
      <c r="D201" s="20"/>
      <c r="E201" s="20"/>
      <c r="F201" s="20"/>
      <c r="G201" s="20"/>
    </row>
    <row r="202" spans="1:7" ht="15.75" thickBot="1">
      <c r="A202" s="165">
        <f>'Contractor''s Budget Detail'!B71</f>
        <v>2029</v>
      </c>
      <c r="B202" s="160" t="str">
        <f>VLOOKUP(A202,'Contractor''s Budget Detail'!$B$9:$C$461,2,FALSE)</f>
        <v>Site Furniture</v>
      </c>
      <c r="C202" s="181" t="s">
        <v>1359</v>
      </c>
      <c r="D202" s="20"/>
      <c r="E202" s="20"/>
      <c r="F202" s="20"/>
      <c r="G202" s="20"/>
    </row>
    <row r="203" spans="1:7" ht="15.75" thickBot="1">
      <c r="A203" s="165">
        <f>'Contractor''s Budget Detail'!B72</f>
        <v>2030</v>
      </c>
      <c r="B203" s="160" t="str">
        <f>VLOOKUP(A203,'Contractor''s Budget Detail'!$B$9:$C$461,2,FALSE)</f>
        <v>Site Low Voltage</v>
      </c>
      <c r="C203" s="181" t="s">
        <v>1359</v>
      </c>
      <c r="D203" s="20"/>
      <c r="E203" s="20"/>
      <c r="F203" s="20"/>
      <c r="G203" s="20"/>
    </row>
    <row r="204" spans="1:7" ht="15.75" thickBot="1">
      <c r="A204" s="165">
        <f>'Contractor''s Budget Detail'!B73</f>
        <v>2031</v>
      </c>
      <c r="B204" s="160" t="str">
        <f>VLOOKUP(A204,'Contractor''s Budget Detail'!$B$9:$C$461,2,FALSE)</f>
        <v>Site Paving</v>
      </c>
      <c r="C204" s="181" t="s">
        <v>1359</v>
      </c>
      <c r="D204" s="20"/>
      <c r="E204" s="20"/>
      <c r="F204" s="20"/>
      <c r="G204" s="20"/>
    </row>
    <row r="205" spans="1:7" ht="15.75" thickBot="1">
      <c r="A205" s="165">
        <f>'Contractor''s Budget Detail'!B74</f>
        <v>2032</v>
      </c>
      <c r="B205" s="160" t="str">
        <f>VLOOKUP(A205,'Contractor''s Budget Detail'!$B$9:$C$461,2,FALSE)</f>
        <v>Site Work</v>
      </c>
      <c r="C205" s="181" t="s">
        <v>1359</v>
      </c>
      <c r="D205" s="20"/>
      <c r="E205" s="20"/>
      <c r="F205" s="20"/>
      <c r="G205" s="20"/>
    </row>
    <row r="206" spans="1:7" ht="15.75" thickBot="1">
      <c r="A206" s="165">
        <f>'Contractor''s Budget Detail'!B75</f>
        <v>2033</v>
      </c>
      <c r="B206" s="160" t="str">
        <f>VLOOKUP(A206,'Contractor''s Budget Detail'!$B$9:$C$461,2,FALSE)</f>
        <v>Soil Stabilization / Retention / Nail Walls</v>
      </c>
      <c r="C206" s="181" t="s">
        <v>1359</v>
      </c>
      <c r="D206" s="20"/>
      <c r="E206" s="20"/>
      <c r="F206" s="20"/>
      <c r="G206" s="20"/>
    </row>
    <row r="207" spans="1:7" ht="15.75" thickBot="1">
      <c r="A207" s="165">
        <f>'Contractor''s Budget Detail'!B76</f>
        <v>2034</v>
      </c>
      <c r="B207" s="160" t="str">
        <f>VLOOKUP(A207,'Contractor''s Budget Detail'!$B$9:$C$461,2,FALSE)</f>
        <v>Soils Testing</v>
      </c>
      <c r="C207" s="181" t="s">
        <v>1359</v>
      </c>
      <c r="D207" s="20"/>
      <c r="E207" s="20"/>
      <c r="F207" s="20"/>
      <c r="G207" s="20"/>
    </row>
    <row r="208" spans="1:7" ht="15.75" thickBot="1">
      <c r="A208" s="165">
        <f>'Contractor''s Budget Detail'!B77</f>
        <v>2035</v>
      </c>
      <c r="B208" s="160" t="str">
        <f>VLOOKUP(A208,'Contractor''s Budget Detail'!$B$9:$C$461,2,FALSE)</f>
        <v>Storm Sewer / Storm Drain</v>
      </c>
      <c r="C208" s="181" t="s">
        <v>1359</v>
      </c>
      <c r="D208" s="20"/>
      <c r="E208" s="20"/>
      <c r="F208" s="20"/>
      <c r="G208" s="20"/>
    </row>
    <row r="209" spans="1:7" ht="15.75" thickBot="1">
      <c r="A209" s="165">
        <f>'Contractor''s Budget Detail'!B78</f>
        <v>2036</v>
      </c>
      <c r="B209" s="160" t="str">
        <f>VLOOKUP(A209,'Contractor''s Budget Detail'!$B$9:$C$461,2,FALSE)</f>
        <v>Stripes / Bumpers / Seal</v>
      </c>
      <c r="C209" s="181" t="s">
        <v>1359</v>
      </c>
      <c r="D209" s="20"/>
      <c r="E209" s="20"/>
      <c r="F209" s="20"/>
      <c r="G209" s="20"/>
    </row>
    <row r="210" spans="1:7" ht="15.75" thickBot="1">
      <c r="A210" s="165">
        <f>'Contractor''s Budget Detail'!B79</f>
        <v>2037</v>
      </c>
      <c r="B210" s="160" t="str">
        <f>VLOOKUP(A210,'Contractor''s Budget Detail'!$B$9:$C$461,2,FALSE)</f>
        <v>Survey &amp; Engineering</v>
      </c>
      <c r="C210" s="181" t="s">
        <v>1359</v>
      </c>
      <c r="D210" s="20"/>
      <c r="E210" s="20"/>
      <c r="F210" s="20"/>
      <c r="G210" s="20"/>
    </row>
    <row r="211" spans="1:7" ht="15.75" thickBot="1">
      <c r="A211" s="165">
        <f>'Contractor''s Budget Detail'!B80</f>
        <v>2038</v>
      </c>
      <c r="B211" s="160" t="str">
        <f>VLOOKUP(A211,'Contractor''s Budget Detail'!$B$9:$C$461,2,FALSE)</f>
        <v>Termite Control</v>
      </c>
      <c r="C211" s="181" t="s">
        <v>1359</v>
      </c>
      <c r="D211" s="20"/>
      <c r="E211" s="20"/>
      <c r="F211" s="20"/>
      <c r="G211" s="20"/>
    </row>
    <row r="212" spans="1:7" ht="15.75" thickBot="1">
      <c r="A212" s="165">
        <f>'Contractor''s Budget Detail'!B81</f>
        <v>2039</v>
      </c>
      <c r="B212" s="160" t="str">
        <f>VLOOKUP(A212,'Contractor''s Budget Detail'!$B$9:$C$461,2,FALSE)</f>
        <v>Traffic Signals / Road Crossings</v>
      </c>
      <c r="C212" s="181" t="s">
        <v>1359</v>
      </c>
      <c r="D212" s="20"/>
      <c r="E212" s="20"/>
      <c r="F212" s="20"/>
      <c r="G212" s="20"/>
    </row>
    <row r="213" spans="1:7" ht="15.75" thickBot="1">
      <c r="A213" s="165">
        <f>'Contractor''s Budget Detail'!B82</f>
        <v>2040</v>
      </c>
      <c r="B213" s="160" t="str">
        <f>VLOOKUP(A213,'Contractor''s Budget Detail'!$B$9:$C$461,2,FALSE)</f>
        <v>Utility Fees</v>
      </c>
      <c r="C213" s="181" t="s">
        <v>1359</v>
      </c>
      <c r="D213" s="20"/>
      <c r="E213" s="20"/>
      <c r="F213" s="20"/>
      <c r="G213" s="20"/>
    </row>
    <row r="214" spans="1:7" ht="15.75" thickBot="1">
      <c r="A214" s="165">
        <f>'Contractor''s Budget Detail'!B83</f>
        <v>2041</v>
      </c>
      <c r="B214" s="160" t="str">
        <f>VLOOKUP(A214,'Contractor''s Budget Detail'!$B$9:$C$461,2,FALSE)</f>
        <v>Water</v>
      </c>
      <c r="C214" s="181" t="s">
        <v>1359</v>
      </c>
      <c r="D214" s="20"/>
      <c r="E214" s="20"/>
      <c r="F214" s="20"/>
      <c r="G214" s="20"/>
    </row>
    <row r="215" spans="1:7" ht="15.75" thickBot="1">
      <c r="A215" s="165">
        <f>'Contractor''s Budget Detail'!B84</f>
        <v>2042</v>
      </c>
      <c r="B215" s="160" t="str">
        <f>VLOOKUP(A215,'Contractor''s Budget Detail'!$B$9:$C$461,2,FALSE)</f>
        <v>Other: Define</v>
      </c>
      <c r="C215" s="181" t="s">
        <v>1359</v>
      </c>
      <c r="D215" s="20"/>
      <c r="E215" s="20"/>
      <c r="F215" s="20"/>
      <c r="G215" s="20"/>
    </row>
    <row r="216" spans="1:7" ht="15.75" thickBot="1">
      <c r="A216" s="165">
        <f>'Contractor''s Budget Detail'!B85</f>
        <v>2043</v>
      </c>
      <c r="B216" s="160" t="str">
        <f>VLOOKUP(A216,'Contractor''s Budget Detail'!$B$9:$C$461,2,FALSE)</f>
        <v>Other: Define</v>
      </c>
      <c r="C216" s="181" t="s">
        <v>1359</v>
      </c>
      <c r="D216" s="20"/>
      <c r="E216" s="20"/>
      <c r="F216" s="20"/>
      <c r="G216" s="20"/>
    </row>
    <row r="217" spans="1:7" ht="15.75" thickBot="1">
      <c r="A217" s="165">
        <f>'Contractor''s Budget Detail'!B86</f>
        <v>2044</v>
      </c>
      <c r="B217" s="160" t="str">
        <f>VLOOKUP(A217,'Contractor''s Budget Detail'!$B$9:$C$461,2,FALSE)</f>
        <v>Other: Define</v>
      </c>
      <c r="C217" s="181" t="s">
        <v>1359</v>
      </c>
      <c r="D217" s="20"/>
      <c r="E217" s="20"/>
      <c r="F217" s="20"/>
      <c r="G217" s="20"/>
    </row>
    <row r="218" spans="1:7" ht="15.75" thickBot="1">
      <c r="A218" s="165">
        <f>'Contractor''s Budget Detail'!B89</f>
        <v>2047</v>
      </c>
      <c r="B218" s="160" t="str">
        <f>VLOOKUP(A218,'Contractor''s Budget Detail'!$B$9:$C$461,2,FALSE)</f>
        <v>Other: Define</v>
      </c>
      <c r="C218" s="181" t="s">
        <v>1359</v>
      </c>
      <c r="D218" s="20"/>
      <c r="E218" s="20"/>
      <c r="F218" s="20"/>
      <c r="G218" s="20"/>
    </row>
    <row r="219" spans="1:7" ht="15.75" thickBot="1">
      <c r="A219" s="165">
        <f>'Contractor''s Budget Detail'!B90</f>
        <v>2048</v>
      </c>
      <c r="B219" s="160" t="str">
        <f>VLOOKUP(A219,'Contractor''s Budget Detail'!$B$9:$C$461,2,FALSE)</f>
        <v>Other: Define</v>
      </c>
      <c r="C219" s="181" t="s">
        <v>1359</v>
      </c>
      <c r="D219" s="20"/>
      <c r="E219" s="20"/>
      <c r="F219" s="20"/>
      <c r="G219" s="20"/>
    </row>
    <row r="220" spans="1:7" ht="15.75" thickBot="1">
      <c r="A220" s="165">
        <f>'Contractor''s Budget Detail'!B91</f>
        <v>2049</v>
      </c>
      <c r="B220" s="160" t="str">
        <f>VLOOKUP(A220,'Contractor''s Budget Detail'!$B$9:$C$461,2,FALSE)</f>
        <v>Other: Define</v>
      </c>
      <c r="C220" s="181" t="s">
        <v>1359</v>
      </c>
      <c r="D220" s="20"/>
      <c r="E220" s="20"/>
      <c r="F220" s="20"/>
      <c r="G220" s="20"/>
    </row>
    <row r="221" spans="1:7" ht="15.75" thickBot="1">
      <c r="A221" s="159" t="str">
        <f>'Contractor''s Budget Detail'!A94</f>
        <v>Concrete</v>
      </c>
      <c r="B221" s="160"/>
      <c r="D221" s="20"/>
      <c r="E221" s="20"/>
      <c r="F221" s="20"/>
      <c r="G221" s="20"/>
    </row>
    <row r="222" spans="1:7" ht="15.75" thickBot="1">
      <c r="A222" s="165">
        <f>'Contractor''s Budget Detail'!B95</f>
        <v>3001</v>
      </c>
      <c r="B222" s="160" t="str">
        <f>VLOOKUP(A222,'Contractor''s Budget Detail'!$B$9:$C$461,2,FALSE)</f>
        <v>Cast-in-Place / Foundations/Slabs</v>
      </c>
      <c r="C222" s="181" t="s">
        <v>1359</v>
      </c>
      <c r="D222" s="20"/>
      <c r="E222" s="20"/>
      <c r="F222" s="20"/>
      <c r="G222" s="20"/>
    </row>
    <row r="223" spans="1:7" ht="15.75" thickBot="1">
      <c r="A223" s="165">
        <f>'Contractor''s Budget Detail'!B96</f>
        <v>3002</v>
      </c>
      <c r="B223" s="160" t="str">
        <f>VLOOKUP(A223,'Contractor''s Budget Detail'!$B$9:$C$461,2,FALSE)</f>
        <v>Concrete</v>
      </c>
      <c r="C223" s="181" t="s">
        <v>1359</v>
      </c>
      <c r="D223" s="20"/>
      <c r="E223" s="20"/>
      <c r="F223" s="20"/>
      <c r="G223" s="20"/>
    </row>
    <row r="224" spans="1:7" ht="15.75" thickBot="1">
      <c r="A224" s="165">
        <f>'Contractor''s Budget Detail'!B97</f>
        <v>3003</v>
      </c>
      <c r="B224" s="160" t="str">
        <f>VLOOKUP(A224,'Contractor''s Budget Detail'!$B$9:$C$461,2,FALSE)</f>
        <v>Concrete Pavers</v>
      </c>
      <c r="C224" s="181" t="s">
        <v>1359</v>
      </c>
      <c r="D224" s="20"/>
      <c r="E224" s="20"/>
      <c r="F224" s="20"/>
      <c r="G224" s="20"/>
    </row>
    <row r="225" spans="1:7" ht="15.75" thickBot="1">
      <c r="A225" s="165">
        <f>'Contractor''s Budget Detail'!B98</f>
        <v>3004</v>
      </c>
      <c r="B225" s="160" t="str">
        <f>VLOOKUP(A225,'Contractor''s Budget Detail'!$B$9:$C$461,2,FALSE)</f>
        <v>Concrete Sealers / Epoxy Cost</v>
      </c>
      <c r="C225" s="181" t="s">
        <v>1359</v>
      </c>
      <c r="D225" s="20"/>
      <c r="E225" s="20"/>
      <c r="F225" s="20"/>
      <c r="G225" s="20"/>
    </row>
    <row r="226" spans="1:7" ht="15.75" thickBot="1">
      <c r="A226" s="165">
        <f>'Contractor''s Budget Detail'!B99</f>
        <v>3005</v>
      </c>
      <c r="B226" s="160" t="str">
        <f>VLOOKUP(A226,'Contractor''s Budget Detail'!$B$9:$C$461,2,FALSE)</f>
        <v>Crane &amp; Operator</v>
      </c>
      <c r="C226" s="181" t="s">
        <v>1359</v>
      </c>
      <c r="D226" s="20"/>
      <c r="E226" s="20"/>
      <c r="F226" s="20"/>
      <c r="G226" s="20"/>
    </row>
    <row r="227" spans="1:7" ht="15.75" thickBot="1">
      <c r="A227" s="165">
        <f>'Contractor''s Budget Detail'!B100</f>
        <v>3006</v>
      </c>
      <c r="B227" s="160" t="str">
        <f>VLOOKUP(A227,'Contractor''s Budget Detail'!$B$9:$C$461,2,FALSE)</f>
        <v>Glass Fiber Reinf. Conc. (GFCR)</v>
      </c>
      <c r="C227" s="181" t="s">
        <v>1359</v>
      </c>
      <c r="D227" s="20"/>
      <c r="E227" s="20"/>
      <c r="F227" s="20"/>
      <c r="G227" s="20"/>
    </row>
    <row r="228" spans="1:7" ht="15.75" thickBot="1">
      <c r="A228" s="165">
        <f>'Contractor''s Budget Detail'!B101</f>
        <v>3007</v>
      </c>
      <c r="B228" s="160" t="str">
        <f>VLOOKUP(A228,'Contractor''s Budget Detail'!$B$9:$C$461,2,FALSE)</f>
        <v>Light Weight Concretre</v>
      </c>
      <c r="C228" s="181" t="s">
        <v>1359</v>
      </c>
      <c r="D228" s="20"/>
      <c r="E228" s="20"/>
      <c r="F228" s="20"/>
      <c r="G228" s="20"/>
    </row>
    <row r="229" spans="1:7" ht="15.75" thickBot="1">
      <c r="A229" s="165">
        <f>'Contractor''s Budget Detail'!B102</f>
        <v>3008</v>
      </c>
      <c r="B229" s="160" t="str">
        <f>VLOOKUP(A229,'Contractor''s Budget Detail'!$B$9:$C$461,2,FALSE)</f>
        <v>Pre-Cast / Tilt-up</v>
      </c>
      <c r="C229" s="181" t="s">
        <v>1359</v>
      </c>
      <c r="D229" s="20"/>
      <c r="E229" s="20"/>
      <c r="F229" s="20"/>
      <c r="G229" s="20"/>
    </row>
    <row r="230" spans="1:7" ht="15.75" thickBot="1">
      <c r="A230" s="165">
        <f>'Contractor''s Budget Detail'!B103</f>
        <v>3009</v>
      </c>
      <c r="B230" s="160" t="str">
        <f>VLOOKUP(A230,'Contractor''s Budget Detail'!$B$9:$C$461,2,FALSE)</f>
        <v>Rebar</v>
      </c>
      <c r="C230" s="181" t="s">
        <v>1359</v>
      </c>
      <c r="D230" s="20"/>
      <c r="E230" s="20"/>
      <c r="F230" s="20"/>
      <c r="G230" s="20"/>
    </row>
    <row r="231" spans="1:7" ht="15.75" thickBot="1">
      <c r="A231" s="165">
        <f>'Contractor''s Budget Detail'!B104</f>
        <v>3010</v>
      </c>
      <c r="B231" s="160" t="str">
        <f>VLOOKUP(A231,'Contractor''s Budget Detail'!$B$9:$C$461,2,FALSE)</f>
        <v>Sandblast</v>
      </c>
      <c r="C231" s="181" t="s">
        <v>1359</v>
      </c>
      <c r="D231" s="20"/>
      <c r="E231" s="20"/>
      <c r="F231" s="20"/>
      <c r="G231" s="20"/>
    </row>
    <row r="232" spans="1:7" ht="15.75" thickBot="1">
      <c r="A232" s="165">
        <f>'Contractor''s Budget Detail'!B105</f>
        <v>3011</v>
      </c>
      <c r="B232" s="160" t="str">
        <f>VLOOKUP(A232,'Contractor''s Budget Detail'!$B$9:$C$461,2,FALSE)</f>
        <v>Other - Define</v>
      </c>
      <c r="C232" s="181" t="s">
        <v>1359</v>
      </c>
      <c r="D232" s="20"/>
      <c r="E232" s="20"/>
      <c r="F232" s="20"/>
      <c r="G232" s="20"/>
    </row>
    <row r="233" spans="1:7" ht="15.75" thickBot="1">
      <c r="A233" s="165">
        <f>'Contractor''s Budget Detail'!B106</f>
        <v>3012</v>
      </c>
      <c r="B233" s="160" t="str">
        <f>VLOOKUP(A233,'Contractor''s Budget Detail'!$B$9:$C$461,2,FALSE)</f>
        <v>Other - Define</v>
      </c>
      <c r="C233" s="181" t="s">
        <v>1359</v>
      </c>
      <c r="D233" s="20"/>
      <c r="E233" s="20"/>
      <c r="F233" s="20"/>
      <c r="G233" s="20"/>
    </row>
    <row r="234" spans="1:7" ht="15.75" thickBot="1">
      <c r="A234" s="165">
        <f>'Contractor''s Budget Detail'!B107</f>
        <v>3013</v>
      </c>
      <c r="B234" s="160" t="str">
        <f>VLOOKUP(A234,'Contractor''s Budget Detail'!$B$9:$C$461,2,FALSE)</f>
        <v>Other - Define</v>
      </c>
      <c r="C234" s="181" t="s">
        <v>1359</v>
      </c>
      <c r="D234" s="20"/>
      <c r="E234" s="20"/>
      <c r="F234" s="20"/>
      <c r="G234" s="20"/>
    </row>
    <row r="235" spans="1:7" ht="15.75" thickBot="1">
      <c r="A235" s="165">
        <f>'Contractor''s Budget Detail'!B108</f>
        <v>3014</v>
      </c>
      <c r="B235" s="160" t="str">
        <f>VLOOKUP(A235,'Contractor''s Budget Detail'!$B$9:$C$461,2,FALSE)</f>
        <v>Other - Define</v>
      </c>
      <c r="C235" s="181" t="s">
        <v>1359</v>
      </c>
      <c r="D235" s="20"/>
      <c r="E235" s="20"/>
      <c r="F235" s="20"/>
      <c r="G235" s="20"/>
    </row>
    <row r="236" spans="1:7" ht="15.75" thickBot="1">
      <c r="A236" s="165">
        <f>'Contractor''s Budget Detail'!B109</f>
        <v>3015</v>
      </c>
      <c r="B236" s="160" t="str">
        <f>VLOOKUP(A236,'Contractor''s Budget Detail'!$B$9:$C$461,2,FALSE)</f>
        <v>Other - Define</v>
      </c>
      <c r="C236" s="181" t="s">
        <v>1359</v>
      </c>
      <c r="D236" s="20"/>
      <c r="E236" s="20"/>
      <c r="F236" s="20"/>
      <c r="G236" s="20"/>
    </row>
    <row r="237" spans="1:7" ht="15.75" thickBot="1">
      <c r="A237" s="165">
        <f>'Contractor''s Budget Detail'!B110</f>
        <v>3016</v>
      </c>
      <c r="B237" s="160" t="str">
        <f>VLOOKUP(A237,'Contractor''s Budget Detail'!$B$9:$C$461,2,FALSE)</f>
        <v>Other - Define</v>
      </c>
      <c r="C237" s="181" t="s">
        <v>1359</v>
      </c>
      <c r="D237" s="20"/>
      <c r="E237" s="20"/>
      <c r="F237" s="20"/>
      <c r="G237" s="20"/>
    </row>
    <row r="238" spans="1:7" ht="15.75" thickBot="1">
      <c r="A238" s="165">
        <f>'Contractor''s Budget Detail'!B111</f>
        <v>3017</v>
      </c>
      <c r="B238" s="160" t="str">
        <f>VLOOKUP(A238,'Contractor''s Budget Detail'!$B$9:$C$461,2,FALSE)</f>
        <v>Other - Define</v>
      </c>
      <c r="C238" s="181" t="s">
        <v>1359</v>
      </c>
      <c r="D238" s="20"/>
      <c r="E238" s="20"/>
      <c r="F238" s="20"/>
      <c r="G238" s="20"/>
    </row>
    <row r="239" spans="1:7" ht="15.75" thickBot="1">
      <c r="A239" s="165">
        <f>'Contractor''s Budget Detail'!B112</f>
        <v>3018</v>
      </c>
      <c r="B239" s="160" t="str">
        <f>VLOOKUP(A239,'Contractor''s Budget Detail'!$B$9:$C$461,2,FALSE)</f>
        <v>Other - Define</v>
      </c>
      <c r="C239" s="181" t="s">
        <v>1359</v>
      </c>
      <c r="D239" s="20"/>
      <c r="E239" s="20"/>
      <c r="F239" s="20"/>
      <c r="G239" s="20"/>
    </row>
    <row r="240" spans="1:7" ht="15.75" thickBot="1">
      <c r="A240" s="159" t="str">
        <f>'Contractor''s Budget Detail'!A115</f>
        <v>Masonry</v>
      </c>
      <c r="B240" s="160"/>
      <c r="D240" s="20"/>
      <c r="E240" s="20"/>
      <c r="F240" s="20"/>
      <c r="G240" s="20"/>
    </row>
    <row r="241" spans="1:7" ht="15.75" thickBot="1">
      <c r="A241" s="165">
        <f>'Contractor''s Budget Detail'!B116</f>
        <v>4001</v>
      </c>
      <c r="B241" s="160" t="str">
        <f>VLOOKUP(A241,'Contractor''s Budget Detail'!$B$9:$C$461,2,FALSE)</f>
        <v>Brick Masonry</v>
      </c>
      <c r="C241" s="181" t="s">
        <v>1359</v>
      </c>
      <c r="D241" s="20"/>
      <c r="E241" s="20"/>
      <c r="F241" s="20"/>
      <c r="G241" s="20"/>
    </row>
    <row r="242" spans="1:7" ht="15.75" thickBot="1">
      <c r="A242" s="165">
        <f>'Contractor''s Budget Detail'!B117</f>
        <v>4002</v>
      </c>
      <c r="B242" s="160" t="str">
        <f>VLOOKUP(A242,'Contractor''s Budget Detail'!$B$9:$C$461,2,FALSE)</f>
        <v>Concrete Masonry Unit (CMU)</v>
      </c>
      <c r="C242" s="181" t="s">
        <v>1359</v>
      </c>
      <c r="D242" s="20"/>
      <c r="E242" s="20"/>
      <c r="F242" s="20"/>
      <c r="G242" s="20"/>
    </row>
    <row r="243" spans="1:7" ht="15.75" thickBot="1">
      <c r="A243" s="165">
        <f>'Contractor''s Budget Detail'!B118</f>
        <v>4003</v>
      </c>
      <c r="B243" s="160" t="str">
        <f>VLOOKUP(A243,'Contractor''s Budget Detail'!$B$9:$C$461,2,FALSE)</f>
        <v>Glass Block</v>
      </c>
      <c r="C243" s="181" t="s">
        <v>1359</v>
      </c>
      <c r="D243" s="20"/>
      <c r="E243" s="20"/>
      <c r="F243" s="20"/>
      <c r="G243" s="20"/>
    </row>
    <row r="244" spans="1:7" ht="15.75" thickBot="1">
      <c r="A244" s="165">
        <f>'Contractor''s Budget Detail'!B119</f>
        <v>4004</v>
      </c>
      <c r="B244" s="160" t="str">
        <f>VLOOKUP(A244,'Contractor''s Budget Detail'!$B$9:$C$461,2,FALSE)</f>
        <v>Masonry</v>
      </c>
      <c r="C244" s="181" t="s">
        <v>1359</v>
      </c>
      <c r="D244" s="20"/>
      <c r="E244" s="20"/>
      <c r="F244" s="20"/>
      <c r="G244" s="20"/>
    </row>
    <row r="245" spans="1:7" ht="15.75" thickBot="1">
      <c r="A245" s="165">
        <f>'Contractor''s Budget Detail'!B120</f>
        <v>4005</v>
      </c>
      <c r="B245" s="160" t="str">
        <f>VLOOKUP(A245,'Contractor''s Budget Detail'!$B$9:$C$461,2,FALSE)</f>
        <v>Planters - CMU</v>
      </c>
      <c r="C245" s="181" t="s">
        <v>1359</v>
      </c>
      <c r="D245" s="20"/>
      <c r="E245" s="20"/>
      <c r="F245" s="20"/>
      <c r="G245" s="20"/>
    </row>
    <row r="246" spans="1:7" ht="15.75" thickBot="1">
      <c r="A246" s="165">
        <f>'Contractor''s Budget Detail'!B121</f>
        <v>4006</v>
      </c>
      <c r="B246" s="160" t="str">
        <f>VLOOKUP(A246,'Contractor''s Budget Detail'!$B$9:$C$461,2,FALSE)</f>
        <v>Rebar</v>
      </c>
      <c r="C246" s="181" t="s">
        <v>1359</v>
      </c>
      <c r="D246" s="20"/>
      <c r="E246" s="20"/>
      <c r="F246" s="20"/>
      <c r="G246" s="20"/>
    </row>
    <row r="247" spans="1:7" ht="15.75" thickBot="1">
      <c r="A247" s="165">
        <f>'Contractor''s Budget Detail'!B122</f>
        <v>4007</v>
      </c>
      <c r="B247" s="160" t="str">
        <f>VLOOKUP(A247,'Contractor''s Budget Detail'!$B$9:$C$461,2,FALSE)</f>
        <v>Stone</v>
      </c>
      <c r="C247" s="181" t="s">
        <v>1359</v>
      </c>
      <c r="D247" s="20"/>
      <c r="E247" s="20"/>
      <c r="F247" s="20"/>
      <c r="G247" s="20"/>
    </row>
    <row r="248" spans="1:7" ht="15.75" thickBot="1">
      <c r="A248" s="165">
        <f>'Contractor''s Budget Detail'!B123</f>
        <v>4008</v>
      </c>
      <c r="B248" s="160" t="str">
        <f>VLOOKUP(A248,'Contractor''s Budget Detail'!$B$9:$C$461,2,FALSE)</f>
        <v>Veneer</v>
      </c>
      <c r="C248" s="181" t="s">
        <v>1359</v>
      </c>
      <c r="D248" s="20"/>
      <c r="E248" s="20"/>
      <c r="F248" s="20"/>
      <c r="G248" s="20"/>
    </row>
    <row r="249" spans="1:7" ht="15.75" thickBot="1">
      <c r="A249" s="165">
        <f>'Contractor''s Budget Detail'!B124</f>
        <v>4009</v>
      </c>
      <c r="B249" s="160" t="str">
        <f>VLOOKUP(A249,'Contractor''s Budget Detail'!$B$9:$C$461,2,FALSE)</f>
        <v>Other - Define</v>
      </c>
      <c r="C249" s="181" t="s">
        <v>1359</v>
      </c>
      <c r="D249" s="20"/>
      <c r="E249" s="20"/>
      <c r="F249" s="20"/>
      <c r="G249" s="20"/>
    </row>
    <row r="250" spans="1:7" ht="15.75" thickBot="1">
      <c r="A250" s="165">
        <f>'Contractor''s Budget Detail'!B125</f>
        <v>4010</v>
      </c>
      <c r="B250" s="160" t="str">
        <f>VLOOKUP(A250,'Contractor''s Budget Detail'!$B$9:$C$461,2,FALSE)</f>
        <v>Other - Define</v>
      </c>
      <c r="C250" s="181" t="s">
        <v>1359</v>
      </c>
      <c r="D250" s="20"/>
      <c r="E250" s="20"/>
      <c r="F250" s="20"/>
      <c r="G250" s="20"/>
    </row>
    <row r="251" spans="1:7" ht="15.75" thickBot="1">
      <c r="A251" s="165">
        <f>'Contractor''s Budget Detail'!B126</f>
        <v>4011</v>
      </c>
      <c r="B251" s="160" t="str">
        <f>VLOOKUP(A251,'Contractor''s Budget Detail'!$B$9:$C$461,2,FALSE)</f>
        <v>Other - Define</v>
      </c>
      <c r="C251" s="181" t="s">
        <v>1359</v>
      </c>
      <c r="D251" s="20"/>
      <c r="E251" s="20"/>
      <c r="F251" s="20"/>
      <c r="G251" s="20"/>
    </row>
    <row r="252" spans="1:7" ht="15.75" thickBot="1">
      <c r="A252" s="165">
        <f>'Contractor''s Budget Detail'!B127</f>
        <v>4012</v>
      </c>
      <c r="B252" s="160" t="str">
        <f>VLOOKUP(A252,'Contractor''s Budget Detail'!$B$9:$C$461,2,FALSE)</f>
        <v>Other - Define</v>
      </c>
      <c r="C252" s="181" t="s">
        <v>1359</v>
      </c>
      <c r="D252" s="20"/>
      <c r="E252" s="20"/>
      <c r="F252" s="20"/>
      <c r="G252" s="20"/>
    </row>
    <row r="253" spans="1:7" ht="15.75" thickBot="1">
      <c r="A253" s="165">
        <f>'Contractor''s Budget Detail'!B128</f>
        <v>4013</v>
      </c>
      <c r="B253" s="160" t="str">
        <f>VLOOKUP(A253,'Contractor''s Budget Detail'!$B$9:$C$461,2,FALSE)</f>
        <v>Other - Define</v>
      </c>
      <c r="C253" s="181" t="s">
        <v>1359</v>
      </c>
      <c r="D253" s="20"/>
      <c r="E253" s="20"/>
      <c r="F253" s="20"/>
      <c r="G253" s="20"/>
    </row>
    <row r="254" spans="1:7" ht="15.75" thickBot="1">
      <c r="A254" s="165">
        <f>'Contractor''s Budget Detail'!B129</f>
        <v>4014</v>
      </c>
      <c r="B254" s="160" t="str">
        <f>VLOOKUP(A254,'Contractor''s Budget Detail'!$B$9:$C$461,2,FALSE)</f>
        <v>Other - Define</v>
      </c>
      <c r="C254" s="181" t="s">
        <v>1359</v>
      </c>
      <c r="D254" s="20"/>
      <c r="E254" s="20"/>
      <c r="F254" s="20"/>
      <c r="G254" s="20"/>
    </row>
    <row r="255" spans="1:7" ht="15.75" thickBot="1">
      <c r="A255" s="165">
        <f>'Contractor''s Budget Detail'!B130</f>
        <v>4015</v>
      </c>
      <c r="B255" s="160" t="str">
        <f>VLOOKUP(A255,'Contractor''s Budget Detail'!$B$9:$C$461,2,FALSE)</f>
        <v>Other - Define</v>
      </c>
      <c r="C255" s="181" t="s">
        <v>1359</v>
      </c>
      <c r="D255" s="20"/>
      <c r="E255" s="20"/>
      <c r="F255" s="20"/>
      <c r="G255" s="20"/>
    </row>
    <row r="256" spans="1:7" ht="15.75" thickBot="1">
      <c r="A256" s="165">
        <f>'Contractor''s Budget Detail'!B131</f>
        <v>4016</v>
      </c>
      <c r="B256" s="160" t="str">
        <f>VLOOKUP(A256,'Contractor''s Budget Detail'!$B$9:$C$461,2,FALSE)</f>
        <v>Other - Define</v>
      </c>
      <c r="C256" s="181" t="s">
        <v>1359</v>
      </c>
      <c r="D256" s="20"/>
      <c r="E256" s="20"/>
      <c r="F256" s="20"/>
      <c r="G256" s="20"/>
    </row>
    <row r="257" spans="1:7" ht="15.75" thickBot="1">
      <c r="A257" s="159" t="str">
        <f>'Contractor''s Budget Detail'!A134</f>
        <v>Metals</v>
      </c>
      <c r="B257" s="160"/>
      <c r="D257" s="20"/>
      <c r="E257" s="20"/>
      <c r="F257" s="20"/>
      <c r="G257" s="20"/>
    </row>
    <row r="258" spans="1:7" ht="15.75" thickBot="1">
      <c r="A258" s="165">
        <f>'Contractor''s Budget Detail'!B135</f>
        <v>5001</v>
      </c>
      <c r="B258" s="160" t="str">
        <f>VLOOKUP(A258,'Contractor''s Budget Detail'!$B$9:$C$461,2,FALSE)</f>
        <v>Aluminum Rails</v>
      </c>
      <c r="C258" s="181" t="s">
        <v>1359</v>
      </c>
      <c r="D258" s="20"/>
      <c r="E258" s="20"/>
      <c r="F258" s="20"/>
      <c r="G258" s="20"/>
    </row>
    <row r="259" spans="1:7" ht="15.75" thickBot="1">
      <c r="A259" s="165">
        <f>'Contractor''s Budget Detail'!B136</f>
        <v>5002</v>
      </c>
      <c r="B259" s="160" t="str">
        <f>VLOOKUP(A259,'Contractor''s Budget Detail'!$B$9:$C$461,2,FALSE)</f>
        <v>Canopies, Fins</v>
      </c>
      <c r="C259" s="181" t="s">
        <v>1359</v>
      </c>
      <c r="D259" s="20"/>
      <c r="E259" s="20"/>
      <c r="F259" s="20"/>
      <c r="G259" s="20"/>
    </row>
    <row r="260" spans="1:7" ht="15.75" thickBot="1">
      <c r="A260" s="165">
        <f>'Contractor''s Budget Detail'!B137</f>
        <v>5003</v>
      </c>
      <c r="B260" s="160" t="str">
        <f>VLOOKUP(A260,'Contractor''s Budget Detail'!$B$9:$C$461,2,FALSE)</f>
        <v>Fireplaces</v>
      </c>
      <c r="C260" s="181" t="s">
        <v>1359</v>
      </c>
      <c r="D260" s="20"/>
      <c r="E260" s="20"/>
      <c r="F260" s="20"/>
      <c r="G260" s="20"/>
    </row>
    <row r="261" spans="1:7" ht="15.75" thickBot="1">
      <c r="A261" s="165">
        <f>'Contractor''s Budget Detail'!B138</f>
        <v>5004</v>
      </c>
      <c r="B261" s="160" t="str">
        <f>VLOOKUP(A261,'Contractor''s Budget Detail'!$B$9:$C$461,2,FALSE)</f>
        <v>Metal Decking / Catwalks</v>
      </c>
      <c r="C261" s="181" t="s">
        <v>1359</v>
      </c>
      <c r="D261" s="20"/>
      <c r="E261" s="20"/>
      <c r="F261" s="20"/>
      <c r="G261" s="20"/>
    </row>
    <row r="262" spans="1:7" ht="15.75" thickBot="1">
      <c r="A262" s="165">
        <f>'Contractor''s Budget Detail'!B139</f>
        <v>5005</v>
      </c>
      <c r="B262" s="160" t="str">
        <f>VLOOKUP(A262,'Contractor''s Budget Detail'!$B$9:$C$461,2,FALSE)</f>
        <v>Metal Joists</v>
      </c>
      <c r="C262" s="181" t="s">
        <v>1359</v>
      </c>
      <c r="D262" s="20"/>
      <c r="E262" s="20"/>
      <c r="F262" s="20"/>
      <c r="G262" s="20"/>
    </row>
    <row r="263" spans="1:7" ht="15.75" thickBot="1">
      <c r="A263" s="165">
        <f>'Contractor''s Budget Detail'!B140</f>
        <v>5006</v>
      </c>
      <c r="B263" s="160" t="str">
        <f>VLOOKUP(A263,'Contractor''s Budget Detail'!$B$9:$C$461,2,FALSE)</f>
        <v>Misc. Metals / Rails / Ladders / Grills</v>
      </c>
      <c r="C263" s="181" t="s">
        <v>1359</v>
      </c>
      <c r="D263" s="20"/>
      <c r="E263" s="20"/>
      <c r="F263" s="20"/>
      <c r="G263" s="20"/>
    </row>
    <row r="264" spans="1:7" ht="15.75" thickBot="1">
      <c r="A264" s="165">
        <f>'Contractor''s Budget Detail'!B141</f>
        <v>5007</v>
      </c>
      <c r="B264" s="160" t="str">
        <f>VLOOKUP(A264,'Contractor''s Budget Detail'!$B$9:$C$461,2,FALSE)</f>
        <v>Ornamental Metals</v>
      </c>
      <c r="C264" s="181" t="s">
        <v>1359</v>
      </c>
      <c r="D264" s="20"/>
      <c r="E264" s="20"/>
      <c r="F264" s="20"/>
      <c r="G264" s="20"/>
    </row>
    <row r="265" spans="1:7" ht="15.75" thickBot="1">
      <c r="A265" s="165">
        <f>'Contractor''s Budget Detail'!B142</f>
        <v>5008</v>
      </c>
      <c r="B265" s="160" t="str">
        <f>VLOOKUP(A265,'Contractor''s Budget Detail'!$B$9:$C$461,2,FALSE)</f>
        <v>Stairs</v>
      </c>
      <c r="C265" s="181" t="s">
        <v>1359</v>
      </c>
      <c r="D265" s="20"/>
      <c r="E265" s="20"/>
      <c r="F265" s="20"/>
      <c r="G265" s="20"/>
    </row>
    <row r="266" spans="1:7" ht="15.75" thickBot="1">
      <c r="A266" s="165">
        <f>'Contractor''s Budget Detail'!B143</f>
        <v>5009</v>
      </c>
      <c r="B266" s="160" t="str">
        <f>VLOOKUP(A266,'Contractor''s Budget Detail'!$B$9:$C$461,2,FALSE)</f>
        <v>Structural Steel</v>
      </c>
      <c r="C266" s="181" t="s">
        <v>1359</v>
      </c>
      <c r="D266" s="20"/>
      <c r="E266" s="20"/>
      <c r="F266" s="20"/>
      <c r="G266" s="20"/>
    </row>
    <row r="267" spans="1:7" ht="15.75" thickBot="1">
      <c r="A267" s="165">
        <f>'Contractor''s Budget Detail'!B144</f>
        <v>5010</v>
      </c>
      <c r="B267" s="160" t="str">
        <f>VLOOKUP(A267,'Contractor''s Budget Detail'!$B$9:$C$461,2,FALSE)</f>
        <v>Trellis (Metal)</v>
      </c>
      <c r="C267" s="181" t="s">
        <v>1359</v>
      </c>
      <c r="D267" s="20"/>
      <c r="E267" s="20"/>
      <c r="F267" s="20"/>
      <c r="G267" s="20"/>
    </row>
    <row r="268" spans="1:7" ht="15.75" thickBot="1">
      <c r="A268" s="165">
        <f>'Contractor''s Budget Detail'!B145</f>
        <v>5011</v>
      </c>
      <c r="B268" s="160" t="str">
        <f>VLOOKUP(A268,'Contractor''s Budget Detail'!$B$9:$C$461,2,FALSE)</f>
        <v>Other - Garage Screening (BOK Style)</v>
      </c>
      <c r="C268" s="181" t="s">
        <v>1359</v>
      </c>
      <c r="D268" s="20"/>
      <c r="E268" s="20"/>
      <c r="F268" s="20"/>
      <c r="G268" s="20"/>
    </row>
    <row r="269" spans="1:7" ht="15.75" thickBot="1">
      <c r="A269" s="165">
        <f>'Contractor''s Budget Detail'!B146</f>
        <v>5012</v>
      </c>
      <c r="B269" s="160" t="str">
        <f>VLOOKUP(A269,'Contractor''s Budget Detail'!$B$9:$C$461,2,FALSE)</f>
        <v>Other - Define</v>
      </c>
      <c r="C269" s="181" t="s">
        <v>1359</v>
      </c>
      <c r="D269" s="20"/>
      <c r="E269" s="20"/>
      <c r="F269" s="20"/>
      <c r="G269" s="20"/>
    </row>
    <row r="270" spans="1:7" ht="15.75" thickBot="1">
      <c r="A270" s="165">
        <f>'Contractor''s Budget Detail'!B147</f>
        <v>5013</v>
      </c>
      <c r="B270" s="160" t="str">
        <f>VLOOKUP(A270,'Contractor''s Budget Detail'!$B$9:$C$461,2,FALSE)</f>
        <v>Other - Define</v>
      </c>
      <c r="C270" s="181" t="s">
        <v>1359</v>
      </c>
      <c r="D270" s="20"/>
      <c r="E270" s="20"/>
      <c r="F270" s="20"/>
      <c r="G270" s="20"/>
    </row>
    <row r="271" spans="1:7" ht="15.75" thickBot="1">
      <c r="A271" s="165">
        <f>'Contractor''s Budget Detail'!B148</f>
        <v>5014</v>
      </c>
      <c r="B271" s="160" t="str">
        <f>VLOOKUP(A271,'Contractor''s Budget Detail'!$B$9:$C$461,2,FALSE)</f>
        <v>Other - Define</v>
      </c>
      <c r="C271" s="181" t="s">
        <v>1359</v>
      </c>
      <c r="D271" s="20"/>
      <c r="E271" s="20"/>
      <c r="F271" s="20"/>
      <c r="G271" s="20"/>
    </row>
    <row r="272" spans="1:7" ht="15.75" thickBot="1">
      <c r="A272" s="165">
        <f>'Contractor''s Budget Detail'!B149</f>
        <v>5015</v>
      </c>
      <c r="B272" s="160" t="str">
        <f>VLOOKUP(A272,'Contractor''s Budget Detail'!$B$9:$C$461,2,FALSE)</f>
        <v>Other - Define</v>
      </c>
      <c r="C272" s="181" t="s">
        <v>1359</v>
      </c>
      <c r="D272" s="20"/>
      <c r="E272" s="20"/>
      <c r="F272" s="20"/>
      <c r="G272" s="20"/>
    </row>
    <row r="273" spans="1:7" ht="15.75" thickBot="1">
      <c r="A273" s="165">
        <f>'Contractor''s Budget Detail'!B150</f>
        <v>5016</v>
      </c>
      <c r="B273" s="160" t="str">
        <f>VLOOKUP(A273,'Contractor''s Budget Detail'!$B$9:$C$461,2,FALSE)</f>
        <v>Other - Define</v>
      </c>
      <c r="C273" s="181" t="s">
        <v>1359</v>
      </c>
      <c r="D273" s="20"/>
      <c r="E273" s="20"/>
      <c r="F273" s="20"/>
      <c r="G273" s="20"/>
    </row>
    <row r="274" spans="1:7" ht="15.75" thickBot="1">
      <c r="A274" s="165">
        <f>'Contractor''s Budget Detail'!B151</f>
        <v>5017</v>
      </c>
      <c r="B274" s="160" t="str">
        <f>VLOOKUP(A274,'Contractor''s Budget Detail'!$B$9:$C$461,2,FALSE)</f>
        <v>Other - Define</v>
      </c>
      <c r="C274" s="181" t="s">
        <v>1359</v>
      </c>
      <c r="D274" s="20"/>
      <c r="E274" s="20"/>
      <c r="F274" s="20"/>
      <c r="G274" s="20"/>
    </row>
    <row r="275" spans="1:7" ht="15.75" thickBot="1">
      <c r="A275" s="165">
        <f>'Contractor''s Budget Detail'!B152</f>
        <v>5018</v>
      </c>
      <c r="B275" s="160" t="str">
        <f>VLOOKUP(A275,'Contractor''s Budget Detail'!$B$9:$C$461,2,FALSE)</f>
        <v>Other - Define</v>
      </c>
      <c r="C275" s="181" t="s">
        <v>1359</v>
      </c>
      <c r="D275" s="20"/>
      <c r="E275" s="20"/>
      <c r="F275" s="20"/>
      <c r="G275" s="20"/>
    </row>
    <row r="276" spans="1:7" ht="15.75" thickBot="1">
      <c r="A276" s="159" t="str">
        <f>'Contractor''s Budget Detail'!A155</f>
        <v>Wood and Plastic</v>
      </c>
      <c r="B276" s="160"/>
      <c r="D276" s="20"/>
      <c r="E276" s="20"/>
      <c r="F276" s="20"/>
      <c r="G276" s="20"/>
    </row>
    <row r="277" spans="1:7" ht="15.75" thickBot="1">
      <c r="A277" s="165">
        <f>'Contractor''s Budget Detail'!B156</f>
        <v>6001</v>
      </c>
      <c r="B277" s="160" t="str">
        <f>VLOOKUP(A277,'Contractor''s Budget Detail'!$B$9:$C$461,2,FALSE)</f>
        <v>Balcony, Decks</v>
      </c>
      <c r="C277" s="181" t="s">
        <v>1359</v>
      </c>
      <c r="D277" s="20"/>
      <c r="E277" s="20"/>
      <c r="F277" s="20"/>
      <c r="G277" s="20"/>
    </row>
    <row r="278" spans="1:7" ht="15.75" thickBot="1">
      <c r="A278" s="165">
        <f>'Contractor''s Budget Detail'!B157</f>
        <v>6002</v>
      </c>
      <c r="B278" s="160" t="str">
        <f>VLOOKUP(A278,'Contractor''s Budget Detail'!$B$9:$C$461,2,FALSE)</f>
        <v>Cabinets</v>
      </c>
      <c r="C278" s="181" t="s">
        <v>1359</v>
      </c>
      <c r="D278" s="20"/>
      <c r="E278" s="20"/>
      <c r="F278" s="20"/>
      <c r="G278" s="20"/>
    </row>
    <row r="279" spans="1:7" ht="15.75" thickBot="1">
      <c r="A279" s="165">
        <f>'Contractor''s Budget Detail'!B158</f>
        <v>6003</v>
      </c>
      <c r="B279" s="160" t="str">
        <f>VLOOKUP(A279,'Contractor''s Budget Detail'!$B$9:$C$461,2,FALSE)</f>
        <v>Countertops</v>
      </c>
      <c r="C279" s="181" t="s">
        <v>1359</v>
      </c>
      <c r="D279" s="20"/>
      <c r="E279" s="20"/>
      <c r="F279" s="20"/>
      <c r="G279" s="20"/>
    </row>
    <row r="280" spans="1:7" ht="15.75" thickBot="1">
      <c r="A280" s="165">
        <f>'Contractor''s Budget Detail'!B159</f>
        <v>6004</v>
      </c>
      <c r="B280" s="160" t="str">
        <f>VLOOKUP(A280,'Contractor''s Budget Detail'!$B$9:$C$461,2,FALSE)</f>
        <v>Finish Carpentry</v>
      </c>
      <c r="C280" s="181" t="s">
        <v>1359</v>
      </c>
      <c r="D280" s="20"/>
      <c r="E280" s="20"/>
      <c r="F280" s="20"/>
      <c r="G280" s="20"/>
    </row>
    <row r="281" spans="1:7" ht="15.75" thickBot="1">
      <c r="A281" s="165">
        <f>'Contractor''s Budget Detail'!B160</f>
        <v>6005</v>
      </c>
      <c r="B281" s="160" t="str">
        <f>VLOOKUP(A281,'Contractor''s Budget Detail'!$B$9:$C$461,2,FALSE)</f>
        <v>Framing</v>
      </c>
      <c r="C281" s="181" t="s">
        <v>1359</v>
      </c>
      <c r="D281" s="20"/>
      <c r="E281" s="20"/>
      <c r="F281" s="20"/>
      <c r="G281" s="20"/>
    </row>
    <row r="282" spans="1:7" ht="15.75" thickBot="1">
      <c r="A282" s="165">
        <f>'Contractor''s Budget Detail'!B161</f>
        <v>6006</v>
      </c>
      <c r="B282" s="160" t="str">
        <f>VLOOKUP(A282,'Contractor''s Budget Detail'!$B$9:$C$461,2,FALSE)</f>
        <v>FRP / Marlite / Plastic</v>
      </c>
      <c r="C282" s="181" t="s">
        <v>1359</v>
      </c>
      <c r="D282" s="20"/>
      <c r="E282" s="20"/>
      <c r="F282" s="20"/>
      <c r="G282" s="20"/>
    </row>
    <row r="283" spans="1:7" ht="15.75" thickBot="1">
      <c r="A283" s="165">
        <f>'Contractor''s Budget Detail'!B162</f>
        <v>6007</v>
      </c>
      <c r="B283" s="160" t="str">
        <f>VLOOKUP(A283,'Contractor''s Budget Detail'!$B$9:$C$461,2,FALSE)</f>
        <v>Glu-Lam / Panelized Roof</v>
      </c>
      <c r="C283" s="181" t="s">
        <v>1359</v>
      </c>
      <c r="D283" s="20"/>
      <c r="E283" s="20"/>
      <c r="F283" s="20"/>
      <c r="G283" s="20"/>
    </row>
    <row r="284" spans="1:7" ht="15.75" thickBot="1">
      <c r="A284" s="165">
        <f>'Contractor''s Budget Detail'!B163</f>
        <v>6008</v>
      </c>
      <c r="B284" s="160" t="str">
        <f>VLOOKUP(A284,'Contractor''s Budget Detail'!$B$9:$C$461,2,FALSE)</f>
        <v>Millwork/Finish Lumber/Trim</v>
      </c>
      <c r="C284" s="181" t="s">
        <v>1359</v>
      </c>
      <c r="D284" s="20"/>
      <c r="E284" s="20"/>
      <c r="F284" s="20"/>
      <c r="G284" s="20"/>
    </row>
    <row r="285" spans="1:7" ht="15.75" thickBot="1">
      <c r="A285" s="165">
        <f>'Contractor''s Budget Detail'!B164</f>
        <v>6009</v>
      </c>
      <c r="B285" s="160" t="str">
        <f>VLOOKUP(A285,'Contractor''s Budget Detail'!$B$9:$C$461,2,FALSE)</f>
        <v>Misc. Carpentry</v>
      </c>
      <c r="C285" s="181" t="s">
        <v>1359</v>
      </c>
      <c r="D285" s="20"/>
      <c r="E285" s="20"/>
      <c r="F285" s="20"/>
      <c r="G285" s="20"/>
    </row>
    <row r="286" spans="1:7" ht="15.75" thickBot="1">
      <c r="A286" s="165">
        <f>'Contractor''s Budget Detail'!B165</f>
        <v>6010</v>
      </c>
      <c r="B286" s="160" t="str">
        <f>VLOOKUP(A286,'Contractor''s Budget Detail'!$B$9:$C$461,2,FALSE)</f>
        <v>Misc. Labor</v>
      </c>
      <c r="C286" s="181" t="s">
        <v>1359</v>
      </c>
      <c r="D286" s="20"/>
      <c r="E286" s="20"/>
      <c r="F286" s="20"/>
      <c r="G286" s="20"/>
    </row>
    <row r="287" spans="1:7" ht="15.75" thickBot="1">
      <c r="A287" s="165">
        <f>'Contractor''s Budget Detail'!B166</f>
        <v>6011</v>
      </c>
      <c r="B287" s="160" t="str">
        <f>VLOOKUP(A287,'Contractor''s Budget Detail'!$B$9:$C$461,2,FALSE)</f>
        <v>Pinnable Wall / Marker Board</v>
      </c>
      <c r="C287" s="181" t="s">
        <v>1359</v>
      </c>
      <c r="D287" s="20"/>
      <c r="E287" s="20"/>
      <c r="F287" s="20"/>
      <c r="G287" s="20"/>
    </row>
    <row r="288" spans="1:7" ht="15.75" thickBot="1">
      <c r="A288" s="165">
        <f>'Contractor''s Budget Detail'!B167</f>
        <v>6012</v>
      </c>
      <c r="B288" s="160" t="str">
        <f>VLOOKUP(A288,'Contractor''s Budget Detail'!$B$9:$C$461,2,FALSE)</f>
        <v>Plastic Laminates</v>
      </c>
      <c r="C288" s="181" t="s">
        <v>1359</v>
      </c>
      <c r="D288" s="20"/>
      <c r="E288" s="20"/>
      <c r="F288" s="20"/>
      <c r="G288" s="20"/>
    </row>
    <row r="289" spans="1:7" ht="15.75" thickBot="1">
      <c r="A289" s="165">
        <f>'Contractor''s Budget Detail'!B168</f>
        <v>6013</v>
      </c>
      <c r="B289" s="160" t="str">
        <f>VLOOKUP(A289,'Contractor''s Budget Detail'!$B$9:$C$461,2,FALSE)</f>
        <v>Rough Carpentry</v>
      </c>
      <c r="C289" s="181" t="s">
        <v>1359</v>
      </c>
      <c r="D289" s="20"/>
      <c r="E289" s="20"/>
      <c r="F289" s="20"/>
      <c r="G289" s="20"/>
    </row>
    <row r="290" spans="1:7" ht="15.75" thickBot="1">
      <c r="A290" s="165">
        <f>'Contractor''s Budget Detail'!B169</f>
        <v>6014</v>
      </c>
      <c r="B290" s="160" t="str">
        <f>VLOOKUP(A290,'Contractor''s Budget Detail'!$B$9:$C$461,2,FALSE)</f>
        <v>Rough Carpentry - Protection</v>
      </c>
      <c r="C290" s="181" t="s">
        <v>1359</v>
      </c>
      <c r="D290" s="20"/>
      <c r="E290" s="20"/>
      <c r="F290" s="20"/>
      <c r="G290" s="20"/>
    </row>
    <row r="291" spans="1:7" ht="15.75" thickBot="1">
      <c r="A291" s="165">
        <f>'Contractor''s Budget Detail'!B170</f>
        <v>6015</v>
      </c>
      <c r="B291" s="160" t="str">
        <f>VLOOKUP(A291,'Contractor''s Budget Detail'!$B$9:$C$461,2,FALSE)</f>
        <v>Rough Hardware</v>
      </c>
      <c r="C291" s="181" t="s">
        <v>1359</v>
      </c>
      <c r="D291" s="20"/>
      <c r="E291" s="20"/>
      <c r="F291" s="20"/>
      <c r="G291" s="20"/>
    </row>
    <row r="292" spans="1:7" ht="15.75" thickBot="1">
      <c r="A292" s="165">
        <f>'Contractor''s Budget Detail'!B171</f>
        <v>6016</v>
      </c>
      <c r="B292" s="160" t="str">
        <f>VLOOKUP(A292,'Contractor''s Budget Detail'!$B$9:$C$461,2,FALSE)</f>
        <v>Rough Lumber / Plywood</v>
      </c>
      <c r="C292" s="181" t="s">
        <v>1359</v>
      </c>
      <c r="D292" s="20"/>
      <c r="E292" s="20"/>
      <c r="F292" s="20"/>
      <c r="G292" s="20"/>
    </row>
    <row r="293" spans="1:7" ht="15.75" thickBot="1">
      <c r="A293" s="165">
        <f>'Contractor''s Budget Detail'!B172</f>
        <v>6017</v>
      </c>
      <c r="B293" s="160" t="str">
        <f>VLOOKUP(A293,'Contractor''s Budget Detail'!$B$9:$C$461,2,FALSE)</f>
        <v>Other:  Define</v>
      </c>
      <c r="C293" s="181" t="s">
        <v>1359</v>
      </c>
      <c r="D293" s="20"/>
      <c r="E293" s="20"/>
      <c r="F293" s="20"/>
      <c r="G293" s="20"/>
    </row>
    <row r="294" spans="1:7" ht="15.75" thickBot="1">
      <c r="A294" s="165">
        <f>'Contractor''s Budget Detail'!B173</f>
        <v>6018</v>
      </c>
      <c r="B294" s="160" t="str">
        <f>VLOOKUP(A294,'Contractor''s Budget Detail'!$B$9:$C$461,2,FALSE)</f>
        <v>Other - Define</v>
      </c>
      <c r="C294" s="181" t="s">
        <v>1359</v>
      </c>
      <c r="D294" s="20"/>
      <c r="E294" s="20"/>
      <c r="F294" s="20"/>
      <c r="G294" s="20"/>
    </row>
    <row r="295" spans="1:7" ht="15.75" thickBot="1">
      <c r="A295" s="165">
        <f>'Contractor''s Budget Detail'!B174</f>
        <v>6019</v>
      </c>
      <c r="B295" s="160" t="str">
        <f>VLOOKUP(A295,'Contractor''s Budget Detail'!$B$9:$C$461,2,FALSE)</f>
        <v>Other - Define</v>
      </c>
      <c r="C295" s="181" t="s">
        <v>1359</v>
      </c>
      <c r="D295" s="20"/>
      <c r="E295" s="20"/>
      <c r="F295" s="20"/>
      <c r="G295" s="20"/>
    </row>
    <row r="296" spans="1:7" ht="15.75" thickBot="1">
      <c r="A296" s="165">
        <f>'Contractor''s Budget Detail'!B175</f>
        <v>6020</v>
      </c>
      <c r="B296" s="160" t="str">
        <f>VLOOKUP(A296,'Contractor''s Budget Detail'!$B$9:$C$461,2,FALSE)</f>
        <v>Other - Define</v>
      </c>
      <c r="C296" s="181" t="s">
        <v>1359</v>
      </c>
      <c r="D296" s="20"/>
      <c r="E296" s="20"/>
      <c r="F296" s="20"/>
      <c r="G296" s="20"/>
    </row>
    <row r="297" spans="1:7" ht="15.75" thickBot="1">
      <c r="A297" s="165">
        <f>'Contractor''s Budget Detail'!B176</f>
        <v>6021</v>
      </c>
      <c r="B297" s="160" t="str">
        <f>VLOOKUP(A297,'Contractor''s Budget Detail'!$B$9:$C$461,2,FALSE)</f>
        <v>Other - Define</v>
      </c>
      <c r="C297" s="181" t="s">
        <v>1359</v>
      </c>
      <c r="D297" s="20"/>
      <c r="E297" s="20"/>
      <c r="F297" s="20"/>
      <c r="G297" s="20"/>
    </row>
    <row r="298" spans="1:7" ht="15.75" thickBot="1">
      <c r="A298" s="165">
        <f>'Contractor''s Budget Detail'!B177</f>
        <v>6022</v>
      </c>
      <c r="B298" s="160" t="str">
        <f>VLOOKUP(A298,'Contractor''s Budget Detail'!$B$9:$C$461,2,FALSE)</f>
        <v>Other - Define</v>
      </c>
      <c r="C298" s="181" t="s">
        <v>1359</v>
      </c>
      <c r="D298" s="20"/>
      <c r="E298" s="20"/>
      <c r="F298" s="20"/>
      <c r="G298" s="20"/>
    </row>
    <row r="299" spans="1:7" ht="15.75" thickBot="1">
      <c r="A299" s="165">
        <f>'Contractor''s Budget Detail'!B178</f>
        <v>6023</v>
      </c>
      <c r="B299" s="160" t="str">
        <f>VLOOKUP(A299,'Contractor''s Budget Detail'!$B$9:$C$461,2,FALSE)</f>
        <v>Other - Define</v>
      </c>
      <c r="C299" s="181" t="s">
        <v>1359</v>
      </c>
      <c r="D299" s="20"/>
      <c r="E299" s="20"/>
      <c r="F299" s="20"/>
      <c r="G299" s="20"/>
    </row>
    <row r="300" spans="1:7" ht="15.75" thickBot="1">
      <c r="A300" s="159" t="str">
        <f>'Contractor''s Budget Detail'!A181</f>
        <v>Thermal and Moisture Protection</v>
      </c>
      <c r="B300" s="160"/>
      <c r="D300" s="20"/>
      <c r="E300" s="20"/>
      <c r="F300" s="20"/>
      <c r="G300" s="20"/>
    </row>
    <row r="301" spans="1:7" ht="15.75" thickBot="1">
      <c r="A301" s="165">
        <f>'Contractor''s Budget Detail'!B182</f>
        <v>7001</v>
      </c>
      <c r="B301" s="160" t="str">
        <f>VLOOKUP(A301,'Contractor''s Budget Detail'!$B$9:$C$461,2,FALSE)</f>
        <v>ACM Metal Panels / Rooftop Metal Panels</v>
      </c>
      <c r="C301" s="181" t="s">
        <v>1359</v>
      </c>
      <c r="D301" s="20"/>
      <c r="E301" s="20"/>
      <c r="F301" s="20"/>
      <c r="G301" s="20"/>
    </row>
    <row r="302" spans="1:7" ht="15.75" thickBot="1">
      <c r="A302" s="165">
        <f>'Contractor''s Budget Detail'!B183</f>
        <v>7002</v>
      </c>
      <c r="B302" s="160" t="str">
        <f>VLOOKUP(A302,'Contractor''s Budget Detail'!$B$9:$C$461,2,FALSE)</f>
        <v>Building Envelope</v>
      </c>
      <c r="C302" s="181" t="s">
        <v>1359</v>
      </c>
      <c r="D302" s="20"/>
      <c r="E302" s="20"/>
      <c r="F302" s="20"/>
      <c r="G302" s="20"/>
    </row>
    <row r="303" spans="1:7" ht="15.75" thickBot="1">
      <c r="A303" s="165">
        <f>'Contractor''s Budget Detail'!B184</f>
        <v>7003</v>
      </c>
      <c r="B303" s="160" t="str">
        <f>VLOOKUP(A303,'Contractor''s Budget Detail'!$B$9:$C$461,2,FALSE)</f>
        <v>Caulking / Joint Sealants</v>
      </c>
      <c r="C303" s="181" t="s">
        <v>1359</v>
      </c>
      <c r="D303" s="20"/>
      <c r="E303" s="20"/>
      <c r="F303" s="20"/>
      <c r="G303" s="20"/>
    </row>
    <row r="304" spans="1:7" ht="15.75" thickBot="1">
      <c r="A304" s="165">
        <f>'Contractor''s Budget Detail'!B185</f>
        <v>7004</v>
      </c>
      <c r="B304" s="160" t="str">
        <f>VLOOKUP(A304,'Contractor''s Budget Detail'!$B$9:$C$461,2,FALSE)</f>
        <v>Coated Foam Roofing</v>
      </c>
      <c r="C304" s="181" t="s">
        <v>1359</v>
      </c>
      <c r="D304" s="20"/>
      <c r="E304" s="20"/>
      <c r="F304" s="20"/>
      <c r="G304" s="20"/>
    </row>
    <row r="305" spans="1:7" ht="15.75" thickBot="1">
      <c r="A305" s="165">
        <f>'Contractor''s Budget Detail'!B186</f>
        <v>7005</v>
      </c>
      <c r="B305" s="160" t="str">
        <f>VLOOKUP(A305,'Contractor''s Budget Detail'!$B$9:$C$461,2,FALSE)</f>
        <v>Deck Coatings / Traffic Coatings</v>
      </c>
      <c r="C305" s="181" t="s">
        <v>1359</v>
      </c>
      <c r="D305" s="20"/>
      <c r="E305" s="20"/>
      <c r="F305" s="20"/>
      <c r="G305" s="20"/>
    </row>
    <row r="306" spans="1:7" ht="15.75" thickBot="1">
      <c r="A306" s="165">
        <f>'Contractor''s Budget Detail'!B187</f>
        <v>7006</v>
      </c>
      <c r="B306" s="160" t="str">
        <f>VLOOKUP(A306,'Contractor''s Budget Detail'!$B$9:$C$461,2,FALSE)</f>
        <v>Expansion Joints</v>
      </c>
      <c r="C306" s="181" t="s">
        <v>1359</v>
      </c>
      <c r="D306" s="20"/>
      <c r="E306" s="20"/>
      <c r="F306" s="20"/>
      <c r="G306" s="20"/>
    </row>
    <row r="307" spans="1:7" ht="15.75" thickBot="1">
      <c r="A307" s="165">
        <f>'Contractor''s Budget Detail'!B188</f>
        <v>7007</v>
      </c>
      <c r="B307" s="160" t="str">
        <f>VLOOKUP(A307,'Contractor''s Budget Detail'!$B$9:$C$461,2,FALSE)</f>
        <v>Fireproofing</v>
      </c>
      <c r="C307" s="181" t="s">
        <v>1359</v>
      </c>
      <c r="D307" s="20"/>
      <c r="E307" s="20"/>
      <c r="F307" s="20"/>
      <c r="G307" s="20"/>
    </row>
    <row r="308" spans="1:7" ht="15.75" thickBot="1">
      <c r="A308" s="165">
        <f>'Contractor''s Budget Detail'!B189</f>
        <v>7008</v>
      </c>
      <c r="B308" s="160" t="str">
        <f>VLOOKUP(A308,'Contractor''s Budget Detail'!$B$9:$C$461,2,FALSE)</f>
        <v>Gutters &amp; Downspouts</v>
      </c>
      <c r="C308" s="181" t="s">
        <v>1359</v>
      </c>
      <c r="D308" s="20"/>
      <c r="E308" s="20"/>
      <c r="F308" s="20"/>
      <c r="G308" s="20"/>
    </row>
    <row r="309" spans="1:7" ht="15.75" thickBot="1">
      <c r="A309" s="165">
        <f>'Contractor''s Budget Detail'!B190</f>
        <v>7009</v>
      </c>
      <c r="B309" s="160" t="str">
        <f>VLOOKUP(A309,'Contractor''s Budget Detail'!$B$9:$C$461,2,FALSE)</f>
        <v>Insulation</v>
      </c>
      <c r="C309" s="181" t="s">
        <v>1359</v>
      </c>
      <c r="D309" s="20"/>
      <c r="E309" s="20"/>
      <c r="F309" s="20"/>
      <c r="G309" s="20"/>
    </row>
    <row r="310" spans="1:7" ht="15.75" thickBot="1">
      <c r="A310" s="165">
        <f>'Contractor''s Budget Detail'!B191</f>
        <v>7010</v>
      </c>
      <c r="B310" s="160" t="str">
        <f>VLOOKUP(A310,'Contractor''s Budget Detail'!$B$9:$C$461,2,FALSE)</f>
        <v>Metal Louvers</v>
      </c>
      <c r="C310" s="181" t="s">
        <v>1359</v>
      </c>
      <c r="D310" s="20"/>
      <c r="E310" s="20"/>
      <c r="F310" s="20"/>
      <c r="G310" s="20"/>
    </row>
    <row r="311" spans="1:7" ht="15.75" thickBot="1">
      <c r="A311" s="165">
        <f>'Contractor''s Budget Detail'!B192</f>
        <v>7011</v>
      </c>
      <c r="B311" s="160" t="str">
        <f>VLOOKUP(A311,'Contractor''s Budget Detail'!$B$9:$C$461,2,FALSE)</f>
        <v>Preformed Cladding / Siding</v>
      </c>
      <c r="C311" s="181" t="s">
        <v>1359</v>
      </c>
      <c r="D311" s="20"/>
      <c r="E311" s="20"/>
      <c r="F311" s="20"/>
      <c r="G311" s="20"/>
    </row>
    <row r="312" spans="1:7" ht="15.75" thickBot="1">
      <c r="A312" s="165">
        <f>'Contractor''s Budget Detail'!B193</f>
        <v>7012</v>
      </c>
      <c r="B312" s="160" t="str">
        <f>VLOOKUP(A312,'Contractor''s Budget Detail'!$B$9:$C$461,2,FALSE)</f>
        <v>Roof / Deck Insulation</v>
      </c>
      <c r="C312" s="181" t="s">
        <v>1359</v>
      </c>
      <c r="D312" s="20"/>
      <c r="E312" s="20"/>
      <c r="F312" s="20"/>
      <c r="G312" s="20"/>
    </row>
    <row r="313" spans="1:7" ht="15.75" thickBot="1">
      <c r="A313" s="165">
        <f>'Contractor''s Budget Detail'!B194</f>
        <v>7013</v>
      </c>
      <c r="B313" s="160" t="str">
        <f>VLOOKUP(A313,'Contractor''s Budget Detail'!$B$9:$C$461,2,FALSE)</f>
        <v>Roof Access (Crb/Vnts/Hatch)</v>
      </c>
      <c r="C313" s="181" t="s">
        <v>1359</v>
      </c>
      <c r="D313" s="20"/>
      <c r="E313" s="20"/>
      <c r="F313" s="20"/>
      <c r="G313" s="20"/>
    </row>
    <row r="314" spans="1:7" ht="15.75" thickBot="1">
      <c r="A314" s="165">
        <f>'Contractor''s Budget Detail'!B195</f>
        <v>7014</v>
      </c>
      <c r="B314" s="160" t="str">
        <f>VLOOKUP(A314,'Contractor''s Budget Detail'!$B$9:$C$461,2,FALSE)</f>
        <v>Roofing</v>
      </c>
      <c r="C314" s="181" t="s">
        <v>1359</v>
      </c>
      <c r="D314" s="20"/>
      <c r="E314" s="20"/>
      <c r="F314" s="20"/>
      <c r="G314" s="20"/>
    </row>
    <row r="315" spans="1:7" ht="15.75" thickBot="1">
      <c r="A315" s="165">
        <f>'Contractor''s Budget Detail'!B196</f>
        <v>7015</v>
      </c>
      <c r="B315" s="160" t="str">
        <f>VLOOKUP(A315,'Contractor''s Budget Detail'!$B$9:$C$461,2,FALSE)</f>
        <v>Sheet Metal /  Flashing / Siding</v>
      </c>
      <c r="C315" s="181" t="s">
        <v>1359</v>
      </c>
      <c r="D315" s="20"/>
      <c r="E315" s="20"/>
      <c r="F315" s="20"/>
      <c r="G315" s="20"/>
    </row>
    <row r="316" spans="1:7" ht="15.75" thickBot="1">
      <c r="A316" s="165">
        <f>'Contractor''s Budget Detail'!B197</f>
        <v>7016</v>
      </c>
      <c r="B316" s="160" t="str">
        <f>VLOOKUP(A316,'Contractor''s Budget Detail'!$B$9:$C$461,2,FALSE)</f>
        <v>Shower Pans</v>
      </c>
      <c r="C316" s="181" t="s">
        <v>1359</v>
      </c>
      <c r="D316" s="20"/>
      <c r="E316" s="20"/>
      <c r="F316" s="20"/>
      <c r="G316" s="20"/>
    </row>
    <row r="317" spans="1:7" ht="15.75" thickBot="1">
      <c r="A317" s="165">
        <f>'Contractor''s Budget Detail'!B198</f>
        <v>7017</v>
      </c>
      <c r="B317" s="160" t="str">
        <f>VLOOKUP(A317,'Contractor''s Budget Detail'!$B$9:$C$461,2,FALSE)</f>
        <v>Skylights</v>
      </c>
      <c r="C317" s="181" t="s">
        <v>1359</v>
      </c>
      <c r="D317" s="20"/>
      <c r="E317" s="20"/>
      <c r="F317" s="20"/>
      <c r="G317" s="20"/>
    </row>
    <row r="318" spans="1:7" ht="15.75" thickBot="1">
      <c r="A318" s="165">
        <f>'Contractor''s Budget Detail'!B199</f>
        <v>7018</v>
      </c>
      <c r="B318" s="160" t="str">
        <f>VLOOKUP(A318,'Contractor''s Budget Detail'!$B$9:$C$461,2,FALSE)</f>
        <v>Waterproofing</v>
      </c>
      <c r="C318" s="181" t="s">
        <v>1359</v>
      </c>
      <c r="D318" s="20"/>
      <c r="E318" s="20"/>
      <c r="F318" s="20"/>
      <c r="G318" s="20"/>
    </row>
    <row r="319" spans="1:7" ht="15.75" thickBot="1">
      <c r="A319" s="165">
        <f>'Contractor''s Budget Detail'!B200</f>
        <v>7019</v>
      </c>
      <c r="B319" s="160" t="str">
        <f>VLOOKUP(A319,'Contractor''s Budget Detail'!$B$9:$C$461,2,FALSE)</f>
        <v>Other - Define</v>
      </c>
      <c r="C319" s="181" t="s">
        <v>1359</v>
      </c>
      <c r="D319" s="20"/>
      <c r="E319" s="20"/>
      <c r="F319" s="20"/>
      <c r="G319" s="20"/>
    </row>
    <row r="320" spans="1:7" ht="15.75" thickBot="1">
      <c r="A320" s="165">
        <f>'Contractor''s Budget Detail'!B201</f>
        <v>7020</v>
      </c>
      <c r="B320" s="160" t="str">
        <f>VLOOKUP(A320,'Contractor''s Budget Detail'!$B$9:$C$461,2,FALSE)</f>
        <v>Other - Define</v>
      </c>
      <c r="C320" s="181" t="s">
        <v>1359</v>
      </c>
      <c r="D320" s="20"/>
      <c r="E320" s="20"/>
      <c r="F320" s="20"/>
      <c r="G320" s="20"/>
    </row>
    <row r="321" spans="1:7" ht="15.75" thickBot="1">
      <c r="A321" s="165">
        <f>'Contractor''s Budget Detail'!B202</f>
        <v>7021</v>
      </c>
      <c r="B321" s="160" t="str">
        <f>VLOOKUP(A321,'Contractor''s Budget Detail'!$B$9:$C$461,2,FALSE)</f>
        <v>Other - Define</v>
      </c>
      <c r="C321" s="181" t="s">
        <v>1359</v>
      </c>
      <c r="D321" s="20"/>
      <c r="E321" s="20"/>
      <c r="F321" s="20"/>
      <c r="G321" s="20"/>
    </row>
    <row r="322" spans="1:7" ht="15.75" thickBot="1">
      <c r="A322" s="165">
        <f>'Contractor''s Budget Detail'!B203</f>
        <v>7022</v>
      </c>
      <c r="B322" s="160" t="str">
        <f>VLOOKUP(A322,'Contractor''s Budget Detail'!$B$9:$C$461,2,FALSE)</f>
        <v>Other - Define</v>
      </c>
      <c r="C322" s="181" t="s">
        <v>1359</v>
      </c>
      <c r="D322" s="20"/>
      <c r="E322" s="20"/>
      <c r="F322" s="20"/>
      <c r="G322" s="20"/>
    </row>
    <row r="323" spans="1:7" ht="15.75" thickBot="1">
      <c r="A323" s="165">
        <f>'Contractor''s Budget Detail'!B204</f>
        <v>7023</v>
      </c>
      <c r="B323" s="160" t="str">
        <f>VLOOKUP(A323,'Contractor''s Budget Detail'!$B$9:$C$461,2,FALSE)</f>
        <v>Other - Define</v>
      </c>
      <c r="C323" s="181" t="s">
        <v>1359</v>
      </c>
      <c r="D323" s="20"/>
      <c r="E323" s="20"/>
      <c r="F323" s="20"/>
      <c r="G323" s="20"/>
    </row>
    <row r="324" spans="1:7" ht="15.75" thickBot="1">
      <c r="A324" s="165">
        <f>'Contractor''s Budget Detail'!B205</f>
        <v>7024</v>
      </c>
      <c r="B324" s="160" t="str">
        <f>VLOOKUP(A324,'Contractor''s Budget Detail'!$B$9:$C$461,2,FALSE)</f>
        <v>Other - Define</v>
      </c>
      <c r="C324" s="181" t="s">
        <v>1359</v>
      </c>
      <c r="D324" s="20"/>
      <c r="E324" s="20"/>
      <c r="F324" s="20"/>
      <c r="G324" s="20"/>
    </row>
    <row r="325" spans="1:7" ht="15.75" thickBot="1">
      <c r="A325" s="165">
        <f>'Contractor''s Budget Detail'!B206</f>
        <v>7025</v>
      </c>
      <c r="B325" s="160" t="str">
        <f>VLOOKUP(A325,'Contractor''s Budget Detail'!$B$9:$C$461,2,FALSE)</f>
        <v>Other - Define</v>
      </c>
      <c r="C325" s="181" t="s">
        <v>1359</v>
      </c>
      <c r="D325" s="20"/>
      <c r="E325" s="20"/>
      <c r="F325" s="20"/>
      <c r="G325" s="20"/>
    </row>
    <row r="326" spans="1:7" ht="15.75" thickBot="1">
      <c r="A326" s="165">
        <f>'Contractor''s Budget Detail'!B207</f>
        <v>7026</v>
      </c>
      <c r="B326" s="160" t="str">
        <f>VLOOKUP(A326,'Contractor''s Budget Detail'!$B$9:$C$461,2,FALSE)</f>
        <v>Other - Define</v>
      </c>
      <c r="C326" s="181" t="s">
        <v>1359</v>
      </c>
      <c r="D326" s="20"/>
      <c r="E326" s="20"/>
      <c r="F326" s="20"/>
      <c r="G326" s="20"/>
    </row>
    <row r="327" spans="1:7" ht="15.75" thickBot="1">
      <c r="A327" s="159" t="str">
        <f>'Contractor''s Budget Detail'!A210</f>
        <v>Doors and Windows</v>
      </c>
      <c r="B327" s="160"/>
      <c r="D327" s="20"/>
      <c r="E327" s="20"/>
      <c r="F327" s="20"/>
      <c r="G327" s="20"/>
    </row>
    <row r="328" spans="1:7" ht="15.75" thickBot="1">
      <c r="A328" s="165">
        <f>'Contractor''s Budget Detail'!B211</f>
        <v>8001</v>
      </c>
      <c r="B328" s="160" t="str">
        <f>VLOOKUP(A328,'Contractor''s Budget Detail'!$B$9:$C$461,2,FALSE)</f>
        <v>Accordian Doors / Folding Partitions</v>
      </c>
      <c r="C328" s="181" t="s">
        <v>1359</v>
      </c>
      <c r="D328" s="20"/>
      <c r="E328" s="20"/>
      <c r="F328" s="20"/>
      <c r="G328" s="20"/>
    </row>
    <row r="329" spans="1:7" ht="15.75" thickBot="1">
      <c r="A329" s="165">
        <f>'Contractor''s Budget Detail'!B212</f>
        <v>8002</v>
      </c>
      <c r="B329" s="160" t="str">
        <f>VLOOKUP(A329,'Contractor''s Budget Detail'!$B$9:$C$461,2,FALSE)</f>
        <v>Common Area Doors, Frames &amp; Hardware</v>
      </c>
      <c r="C329" s="181" t="s">
        <v>1359</v>
      </c>
      <c r="D329" s="20"/>
      <c r="E329" s="20"/>
      <c r="F329" s="20"/>
      <c r="G329" s="20"/>
    </row>
    <row r="330" spans="1:7" ht="15.75" thickBot="1">
      <c r="A330" s="165">
        <f>'Contractor''s Budget Detail'!B213</f>
        <v>8003</v>
      </c>
      <c r="B330" s="160" t="str">
        <f>VLOOKUP(A330,'Contractor''s Budget Detail'!$B$9:$C$461,2,FALSE)</f>
        <v>Curtain Wall</v>
      </c>
      <c r="C330" s="181" t="s">
        <v>1359</v>
      </c>
      <c r="D330" s="20"/>
      <c r="E330" s="20"/>
      <c r="F330" s="20"/>
      <c r="G330" s="20"/>
    </row>
    <row r="331" spans="1:7" ht="15.75" thickBot="1">
      <c r="A331" s="165">
        <f>'Contractor''s Budget Detail'!B214</f>
        <v>8004</v>
      </c>
      <c r="B331" s="160" t="str">
        <f>VLOOKUP(A331,'Contractor''s Budget Detail'!$B$9:$C$461,2,FALSE)</f>
        <v>Doors &amp; Frames</v>
      </c>
      <c r="C331" s="181" t="s">
        <v>1359</v>
      </c>
      <c r="D331" s="20"/>
      <c r="E331" s="20"/>
      <c r="F331" s="20"/>
      <c r="G331" s="20"/>
    </row>
    <row r="332" spans="1:7" ht="15.75" thickBot="1">
      <c r="A332" s="165">
        <f>'Contractor''s Budget Detail'!B215</f>
        <v>8005</v>
      </c>
      <c r="B332" s="160" t="str">
        <f>VLOOKUP(A332,'Contractor''s Budget Detail'!$B$9:$C$461,2,FALSE)</f>
        <v>Exterior Doors</v>
      </c>
      <c r="C332" s="181" t="s">
        <v>1359</v>
      </c>
      <c r="D332" s="20"/>
      <c r="E332" s="20"/>
      <c r="F332" s="20"/>
      <c r="G332" s="20"/>
    </row>
    <row r="333" spans="1:7" ht="15.75" thickBot="1">
      <c r="A333" s="165">
        <f>'Contractor''s Budget Detail'!B216</f>
        <v>8006</v>
      </c>
      <c r="B333" s="160" t="str">
        <f>VLOOKUP(A333,'Contractor''s Budget Detail'!$B$9:$C$461,2,FALSE)</f>
        <v>Finish Hardware</v>
      </c>
      <c r="C333" s="181" t="s">
        <v>1359</v>
      </c>
      <c r="D333" s="20"/>
      <c r="E333" s="20"/>
      <c r="F333" s="20"/>
      <c r="G333" s="20"/>
    </row>
    <row r="334" spans="1:7" ht="15.75" thickBot="1">
      <c r="A334" s="165">
        <f>'Contractor''s Budget Detail'!B217</f>
        <v>8007</v>
      </c>
      <c r="B334" s="160" t="str">
        <f>VLOOKUP(A334,'Contractor''s Budget Detail'!$B$9:$C$461,2,FALSE)</f>
        <v>Glass Railings</v>
      </c>
      <c r="C334" s="181" t="s">
        <v>1359</v>
      </c>
      <c r="D334" s="20"/>
      <c r="E334" s="20"/>
      <c r="F334" s="20"/>
      <c r="G334" s="20"/>
    </row>
    <row r="335" spans="1:7" ht="15.75" thickBot="1">
      <c r="A335" s="165">
        <f>'Contractor''s Budget Detail'!B218</f>
        <v>8008</v>
      </c>
      <c r="B335" s="160" t="str">
        <f>VLOOKUP(A335,'Contractor''s Budget Detail'!$B$9:$C$461,2,FALSE)</f>
        <v>Installation</v>
      </c>
      <c r="C335" s="181" t="s">
        <v>1359</v>
      </c>
      <c r="D335" s="20"/>
      <c r="E335" s="20"/>
      <c r="F335" s="20"/>
      <c r="G335" s="20"/>
    </row>
    <row r="336" spans="1:7" ht="15.75" thickBot="1">
      <c r="A336" s="165">
        <f>'Contractor''s Budget Detail'!B219</f>
        <v>8009</v>
      </c>
      <c r="B336" s="160" t="str">
        <f>VLOOKUP(A336,'Contractor''s Budget Detail'!$B$9:$C$461,2,FALSE)</f>
        <v>Interior Doors / Unit Doors</v>
      </c>
      <c r="C336" s="181" t="s">
        <v>1359</v>
      </c>
      <c r="D336" s="20"/>
      <c r="E336" s="20"/>
      <c r="F336" s="20"/>
      <c r="G336" s="20"/>
    </row>
    <row r="337" spans="1:7" ht="15.75" thickBot="1">
      <c r="A337" s="165">
        <f>'Contractor''s Budget Detail'!B220</f>
        <v>8010</v>
      </c>
      <c r="B337" s="160" t="str">
        <f>VLOOKUP(A337,'Contractor''s Budget Detail'!$B$9:$C$461,2,FALSE)</f>
        <v>Metal/Aluminum Doors &amp; Frames</v>
      </c>
      <c r="C337" s="181" t="s">
        <v>1359</v>
      </c>
      <c r="D337" s="20"/>
      <c r="E337" s="20"/>
      <c r="F337" s="20"/>
      <c r="G337" s="20"/>
    </row>
    <row r="338" spans="1:7" ht="15.75" thickBot="1">
      <c r="A338" s="165">
        <f>'Contractor''s Budget Detail'!B221</f>
        <v>8011</v>
      </c>
      <c r="B338" s="160" t="str">
        <f>VLOOKUP(A338,'Contractor''s Budget Detail'!$B$9:$C$461,2,FALSE)</f>
        <v>Mirrors</v>
      </c>
      <c r="C338" s="181" t="s">
        <v>1359</v>
      </c>
      <c r="D338" s="20"/>
      <c r="E338" s="20"/>
      <c r="F338" s="20"/>
      <c r="G338" s="20"/>
    </row>
    <row r="339" spans="1:7" ht="15.75" thickBot="1">
      <c r="A339" s="165">
        <f>'Contractor''s Budget Detail'!B222</f>
        <v>8012</v>
      </c>
      <c r="B339" s="160" t="str">
        <f>VLOOKUP(A339,'Contractor''s Budget Detail'!$B$9:$C$461,2,FALSE)</f>
        <v>Rollup / Coiling Doors</v>
      </c>
      <c r="C339" s="181" t="s">
        <v>1359</v>
      </c>
      <c r="D339" s="20"/>
      <c r="E339" s="20"/>
      <c r="F339" s="20"/>
      <c r="G339" s="20"/>
    </row>
    <row r="340" spans="1:7" ht="15.75" thickBot="1">
      <c r="A340" s="165">
        <f>'Contractor''s Budget Detail'!B223</f>
        <v>8013</v>
      </c>
      <c r="B340" s="160" t="str">
        <f>VLOOKUP(A340,'Contractor''s Budget Detail'!$B$9:$C$461,2,FALSE)</f>
        <v>Self Storage Doors</v>
      </c>
      <c r="C340" s="181" t="s">
        <v>1359</v>
      </c>
      <c r="D340" s="20"/>
      <c r="E340" s="20"/>
      <c r="F340" s="20"/>
      <c r="G340" s="20"/>
    </row>
    <row r="341" spans="1:7" ht="15.75" thickBot="1">
      <c r="A341" s="165">
        <f>'Contractor''s Budget Detail'!B224</f>
        <v>8014</v>
      </c>
      <c r="B341" s="160" t="str">
        <f>VLOOKUP(A341,'Contractor''s Budget Detail'!$B$9:$C$461,2,FALSE)</f>
        <v>Skin / Window Wall Systems</v>
      </c>
      <c r="C341" s="181" t="s">
        <v>1359</v>
      </c>
      <c r="D341" s="20"/>
      <c r="E341" s="20"/>
      <c r="F341" s="20"/>
      <c r="G341" s="20"/>
    </row>
    <row r="342" spans="1:7" ht="15.75" thickBot="1">
      <c r="A342" s="165">
        <f>'Contractor''s Budget Detail'!B225</f>
        <v>8015</v>
      </c>
      <c r="B342" s="160" t="str">
        <f>VLOOKUP(A342,'Contractor''s Budget Detail'!$B$9:$C$461,2,FALSE)</f>
        <v>Specialty Windows / Glass</v>
      </c>
      <c r="C342" s="181" t="s">
        <v>1359</v>
      </c>
      <c r="D342" s="20"/>
      <c r="E342" s="20"/>
      <c r="F342" s="20"/>
      <c r="G342" s="20"/>
    </row>
    <row r="343" spans="1:7" ht="15.75" thickBot="1">
      <c r="A343" s="165">
        <f>'Contractor''s Budget Detail'!B226</f>
        <v>8016</v>
      </c>
      <c r="B343" s="160" t="str">
        <f>VLOOKUP(A343,'Contractor''s Budget Detail'!$B$9:$C$461,2,FALSE)</f>
        <v>Specialty Doors</v>
      </c>
      <c r="C343" s="181" t="s">
        <v>1359</v>
      </c>
      <c r="D343" s="20"/>
      <c r="E343" s="20"/>
      <c r="F343" s="20"/>
      <c r="G343" s="20"/>
    </row>
    <row r="344" spans="1:7" ht="15.75" thickBot="1">
      <c r="A344" s="165">
        <f>'Contractor''s Budget Detail'!B227</f>
        <v>8017</v>
      </c>
      <c r="B344" s="160" t="str">
        <f>VLOOKUP(A344,'Contractor''s Budget Detail'!$B$9:$C$461,2,FALSE)</f>
        <v>Storefront / Glass Windows &amp; Doors</v>
      </c>
      <c r="C344" s="181" t="s">
        <v>1359</v>
      </c>
      <c r="D344" s="20"/>
      <c r="E344" s="20"/>
      <c r="F344" s="20"/>
      <c r="G344" s="20"/>
    </row>
    <row r="345" spans="1:7" ht="15.75" thickBot="1">
      <c r="A345" s="165">
        <f>'Contractor''s Budget Detail'!B228</f>
        <v>8018</v>
      </c>
      <c r="B345" s="160" t="str">
        <f>VLOOKUP(A345,'Contractor''s Budget Detail'!$B$9:$C$461,2,FALSE)</f>
        <v>Vinyl Windows</v>
      </c>
      <c r="C345" s="181" t="s">
        <v>1359</v>
      </c>
      <c r="D345" s="20"/>
      <c r="E345" s="20"/>
      <c r="F345" s="20"/>
      <c r="G345" s="20"/>
    </row>
    <row r="346" spans="1:7" ht="15.75" thickBot="1">
      <c r="A346" s="165">
        <f>'Contractor''s Budget Detail'!B229</f>
        <v>8019</v>
      </c>
      <c r="B346" s="160" t="str">
        <f>VLOOKUP(A346,'Contractor''s Budget Detail'!$B$9:$C$461,2,FALSE)</f>
        <v>Wood Doors &amp; Frames</v>
      </c>
      <c r="C346" s="181" t="s">
        <v>1359</v>
      </c>
      <c r="D346" s="20"/>
      <c r="E346" s="20"/>
      <c r="F346" s="20"/>
      <c r="G346" s="20"/>
    </row>
    <row r="347" spans="1:7" ht="15.75" thickBot="1">
      <c r="A347" s="165">
        <f>'Contractor''s Budget Detail'!B230</f>
        <v>8020</v>
      </c>
      <c r="B347" s="160" t="str">
        <f>VLOOKUP(A347,'Contractor''s Budget Detail'!$B$9:$C$461,2,FALSE)</f>
        <v>Other - Define</v>
      </c>
      <c r="C347" s="181" t="s">
        <v>1359</v>
      </c>
      <c r="D347" s="20"/>
      <c r="E347" s="20"/>
      <c r="F347" s="20"/>
      <c r="G347" s="20"/>
    </row>
    <row r="348" spans="1:7" ht="15.75" thickBot="1">
      <c r="A348" s="165">
        <f>'Contractor''s Budget Detail'!B231</f>
        <v>8021</v>
      </c>
      <c r="B348" s="160" t="str">
        <f>VLOOKUP(A348,'Contractor''s Budget Detail'!$B$9:$C$461,2,FALSE)</f>
        <v>Other - Define</v>
      </c>
      <c r="C348" s="181" t="s">
        <v>1359</v>
      </c>
      <c r="D348" s="20"/>
      <c r="E348" s="20"/>
      <c r="F348" s="20"/>
      <c r="G348" s="20"/>
    </row>
    <row r="349" spans="1:7" ht="15.75" thickBot="1">
      <c r="A349" s="165">
        <f>'Contractor''s Budget Detail'!B232</f>
        <v>8022</v>
      </c>
      <c r="B349" s="160" t="str">
        <f>VLOOKUP(A349,'Contractor''s Budget Detail'!$B$9:$C$461,2,FALSE)</f>
        <v>Other - Define</v>
      </c>
      <c r="C349" s="181" t="s">
        <v>1359</v>
      </c>
      <c r="D349" s="20"/>
      <c r="E349" s="20"/>
      <c r="F349" s="20"/>
      <c r="G349" s="20"/>
    </row>
    <row r="350" spans="1:7" ht="15.75" thickBot="1">
      <c r="A350" s="165">
        <f>'Contractor''s Budget Detail'!B233</f>
        <v>8023</v>
      </c>
      <c r="B350" s="160" t="str">
        <f>VLOOKUP(A350,'Contractor''s Budget Detail'!$B$9:$C$461,2,FALSE)</f>
        <v>Other - Define</v>
      </c>
      <c r="C350" s="181" t="s">
        <v>1359</v>
      </c>
      <c r="D350" s="20"/>
      <c r="E350" s="20"/>
      <c r="F350" s="20"/>
      <c r="G350" s="20"/>
    </row>
    <row r="351" spans="1:7" ht="15.75" thickBot="1">
      <c r="A351" s="165">
        <f>'Contractor''s Budget Detail'!B234</f>
        <v>8024</v>
      </c>
      <c r="B351" s="160" t="str">
        <f>VLOOKUP(A351,'Contractor''s Budget Detail'!$B$9:$C$461,2,FALSE)</f>
        <v>Other - Define</v>
      </c>
      <c r="C351" s="181" t="s">
        <v>1359</v>
      </c>
      <c r="D351" s="20"/>
      <c r="E351" s="20"/>
      <c r="F351" s="20"/>
      <c r="G351" s="20"/>
    </row>
    <row r="352" spans="1:7" ht="15.75" thickBot="1">
      <c r="A352" s="165">
        <f>'Contractor''s Budget Detail'!B235</f>
        <v>8025</v>
      </c>
      <c r="B352" s="160" t="str">
        <f>VLOOKUP(A352,'Contractor''s Budget Detail'!$B$9:$C$461,2,FALSE)</f>
        <v>Other - Define</v>
      </c>
      <c r="C352" s="181" t="s">
        <v>1359</v>
      </c>
      <c r="D352" s="20"/>
      <c r="E352" s="20"/>
      <c r="F352" s="20"/>
      <c r="G352" s="20"/>
    </row>
    <row r="353" spans="1:7" ht="15.75" thickBot="1">
      <c r="A353" s="165">
        <f>'Contractor''s Budget Detail'!B236</f>
        <v>8026</v>
      </c>
      <c r="B353" s="160" t="str">
        <f>VLOOKUP(A353,'Contractor''s Budget Detail'!$B$9:$C$461,2,FALSE)</f>
        <v>Other - Define</v>
      </c>
      <c r="C353" s="181" t="s">
        <v>1359</v>
      </c>
      <c r="D353" s="20"/>
      <c r="E353" s="20"/>
      <c r="F353" s="20"/>
      <c r="G353" s="20"/>
    </row>
    <row r="354" spans="1:7" ht="15.75" thickBot="1">
      <c r="A354" s="165">
        <f>'Contractor''s Budget Detail'!B237</f>
        <v>8027</v>
      </c>
      <c r="B354" s="160" t="str">
        <f>VLOOKUP(A354,'Contractor''s Budget Detail'!$B$9:$C$461,2,FALSE)</f>
        <v>Other - Define</v>
      </c>
      <c r="C354" s="181" t="s">
        <v>1359</v>
      </c>
      <c r="D354" s="20"/>
      <c r="E354" s="20"/>
      <c r="F354" s="20"/>
      <c r="G354" s="20"/>
    </row>
    <row r="355" spans="1:7" ht="15.75" thickBot="1">
      <c r="A355" s="159" t="str">
        <f>'Contractor''s Budget Detail'!A240</f>
        <v>Finishes</v>
      </c>
      <c r="B355" s="160"/>
      <c r="D355" s="20"/>
      <c r="E355" s="20"/>
      <c r="F355" s="20"/>
      <c r="G355" s="20"/>
    </row>
    <row r="356" spans="1:7" ht="15.75" thickBot="1">
      <c r="A356" s="165">
        <f>'Contractor''s Budget Detail'!B241</f>
        <v>9001</v>
      </c>
      <c r="B356" s="160" t="str">
        <f>VLOOKUP(A356,'Contractor''s Budget Detail'!$B$9:$C$461,2,FALSE)</f>
        <v>Acoustical Ceilings</v>
      </c>
      <c r="C356" s="181" t="s">
        <v>1359</v>
      </c>
      <c r="D356" s="20"/>
      <c r="E356" s="20"/>
      <c r="F356" s="20"/>
      <c r="G356" s="20"/>
    </row>
    <row r="357" spans="1:7" ht="15.75" thickBot="1">
      <c r="A357" s="165">
        <f>'Contractor''s Budget Detail'!B242</f>
        <v>9002</v>
      </c>
      <c r="B357" s="160" t="str">
        <f>VLOOKUP(A357,'Contractor''s Budget Detail'!$B$9:$C$461,2,FALSE)</f>
        <v>Acoustical Insulation Barrier</v>
      </c>
      <c r="C357" s="181" t="s">
        <v>1359</v>
      </c>
      <c r="D357" s="20"/>
      <c r="E357" s="20"/>
      <c r="F357" s="20"/>
      <c r="G357" s="20"/>
    </row>
    <row r="358" spans="1:7" ht="15.75" thickBot="1">
      <c r="A358" s="165">
        <f>'Contractor''s Budget Detail'!B243</f>
        <v>9003</v>
      </c>
      <c r="B358" s="160" t="str">
        <f>VLOOKUP(A358,'Contractor''s Budget Detail'!$B$9:$C$461,2,FALSE)</f>
        <v>Acoustical Wall Treatment</v>
      </c>
      <c r="C358" s="181" t="s">
        <v>1359</v>
      </c>
      <c r="D358" s="20"/>
      <c r="E358" s="20"/>
      <c r="F358" s="20"/>
      <c r="G358" s="20"/>
    </row>
    <row r="359" spans="1:7" ht="15.75" thickBot="1">
      <c r="A359" s="165">
        <f>'Contractor''s Budget Detail'!B244</f>
        <v>9004</v>
      </c>
      <c r="B359" s="160" t="str">
        <f>VLOOKUP(A359,'Contractor''s Budget Detail'!$B$9:$C$461,2,FALSE)</f>
        <v>Carpet</v>
      </c>
      <c r="C359" s="181" t="s">
        <v>1359</v>
      </c>
      <c r="D359" s="20"/>
      <c r="E359" s="20"/>
      <c r="F359" s="20"/>
      <c r="G359" s="20"/>
    </row>
    <row r="360" spans="1:7" ht="15.75" thickBot="1">
      <c r="A360" s="165">
        <f>'Contractor''s Budget Detail'!B245</f>
        <v>9005</v>
      </c>
      <c r="B360" s="160" t="str">
        <f>VLOOKUP(A360,'Contractor''s Budget Detail'!$B$9:$C$461,2,FALSE)</f>
        <v>Drywall / Framing</v>
      </c>
      <c r="C360" s="181" t="s">
        <v>1359</v>
      </c>
      <c r="D360" s="20"/>
      <c r="E360" s="20"/>
      <c r="F360" s="20"/>
      <c r="G360" s="20"/>
    </row>
    <row r="361" spans="1:7" ht="15.75" thickBot="1">
      <c r="A361" s="165">
        <f>'Contractor''s Budget Detail'!B246</f>
        <v>9006</v>
      </c>
      <c r="B361" s="160" t="str">
        <f>VLOOKUP(A361,'Contractor''s Budget Detail'!$B$9:$C$461,2,FALSE)</f>
        <v xml:space="preserve">Elastomeric </v>
      </c>
      <c r="C361" s="181" t="s">
        <v>1359</v>
      </c>
      <c r="D361" s="20"/>
      <c r="E361" s="20"/>
      <c r="F361" s="20"/>
      <c r="G361" s="20"/>
    </row>
    <row r="362" spans="1:7" ht="15.75" thickBot="1">
      <c r="A362" s="165">
        <f>'Contractor''s Budget Detail'!B247</f>
        <v>9007</v>
      </c>
      <c r="B362" s="160" t="str">
        <f>VLOOKUP(A362,'Contractor''s Budget Detail'!$B$9:$C$461,2,FALSE)</f>
        <v>Lath &amp; Plaster</v>
      </c>
      <c r="C362" s="181" t="s">
        <v>1359</v>
      </c>
      <c r="D362" s="20"/>
      <c r="E362" s="20"/>
      <c r="F362" s="20"/>
      <c r="G362" s="20"/>
    </row>
    <row r="363" spans="1:7" ht="15.75" thickBot="1">
      <c r="A363" s="165">
        <f>'Contractor''s Budget Detail'!B248</f>
        <v>9008</v>
      </c>
      <c r="B363" s="160" t="str">
        <f>VLOOKUP(A363,'Contractor''s Budget Detail'!$B$9:$C$461,2,FALSE)</f>
        <v xml:space="preserve">Lobby Finishes </v>
      </c>
      <c r="C363" s="181" t="s">
        <v>1359</v>
      </c>
      <c r="D363" s="20"/>
      <c r="E363" s="20"/>
      <c r="F363" s="20"/>
      <c r="G363" s="20"/>
    </row>
    <row r="364" spans="1:7" ht="15.75" thickBot="1">
      <c r="A364" s="165">
        <f>'Contractor''s Budget Detail'!B249</f>
        <v>9009</v>
      </c>
      <c r="B364" s="160" t="str">
        <f>VLOOKUP(A364,'Contractor''s Budget Detail'!$B$9:$C$461,2,FALSE)</f>
        <v>Marble / Granite / Stone</v>
      </c>
      <c r="C364" s="181" t="s">
        <v>1359</v>
      </c>
      <c r="D364" s="20"/>
      <c r="E364" s="20"/>
      <c r="F364" s="20"/>
      <c r="G364" s="20"/>
    </row>
    <row r="365" spans="1:7" ht="15.75" thickBot="1">
      <c r="A365" s="165">
        <f>'Contractor''s Budget Detail'!B250</f>
        <v>9010</v>
      </c>
      <c r="B365" s="160" t="str">
        <f>VLOOKUP(A365,'Contractor''s Budget Detail'!$B$9:$C$461,2,FALSE)</f>
        <v>Painting / Staining</v>
      </c>
      <c r="C365" s="181" t="s">
        <v>1359</v>
      </c>
      <c r="D365" s="20"/>
      <c r="E365" s="20"/>
      <c r="F365" s="20"/>
      <c r="G365" s="20"/>
    </row>
    <row r="366" spans="1:7" ht="15.75" thickBot="1">
      <c r="A366" s="165">
        <f>'Contractor''s Budget Detail'!B251</f>
        <v>9011</v>
      </c>
      <c r="B366" s="160" t="str">
        <f>VLOOKUP(A366,'Contractor''s Budget Detail'!$B$9:$C$461,2,FALSE)</f>
        <v>Resilient Flooring / Base / Gypcrete (concrete flooring)</v>
      </c>
      <c r="C366" s="181" t="s">
        <v>1359</v>
      </c>
      <c r="D366" s="20"/>
      <c r="E366" s="20"/>
      <c r="F366" s="20"/>
      <c r="G366" s="20"/>
    </row>
    <row r="367" spans="1:7" ht="15.75" thickBot="1">
      <c r="A367" s="165">
        <f>'Contractor''s Budget Detail'!B252</f>
        <v>9012</v>
      </c>
      <c r="B367" s="160" t="str">
        <f>VLOOKUP(A367,'Contractor''s Budget Detail'!$B$9:$C$461,2,FALSE)</f>
        <v>Soundboard</v>
      </c>
      <c r="C367" s="181" t="s">
        <v>1359</v>
      </c>
      <c r="D367" s="20"/>
      <c r="E367" s="20"/>
      <c r="F367" s="20"/>
      <c r="G367" s="20"/>
    </row>
    <row r="368" spans="1:7" ht="15.75" thickBot="1">
      <c r="A368" s="165">
        <f>'Contractor''s Budget Detail'!B253</f>
        <v>9013</v>
      </c>
      <c r="B368" s="160" t="str">
        <f>VLOOKUP(A368,'Contractor''s Budget Detail'!$B$9:$C$461,2,FALSE)</f>
        <v>Specialty Flooring</v>
      </c>
      <c r="C368" s="181" t="s">
        <v>1359</v>
      </c>
      <c r="D368" s="20"/>
      <c r="E368" s="20"/>
      <c r="F368" s="20"/>
      <c r="G368" s="20"/>
    </row>
    <row r="369" spans="1:7" ht="15.75" thickBot="1">
      <c r="A369" s="165">
        <f>'Contractor''s Budget Detail'!B254</f>
        <v>9014</v>
      </c>
      <c r="B369" s="160" t="str">
        <f>VLOOKUP(A369,'Contractor''s Budget Detail'!$B$9:$C$461,2,FALSE)</f>
        <v>Terrazo</v>
      </c>
      <c r="C369" s="181" t="s">
        <v>1359</v>
      </c>
      <c r="D369" s="20"/>
      <c r="E369" s="20"/>
      <c r="F369" s="20"/>
      <c r="G369" s="20"/>
    </row>
    <row r="370" spans="1:7" ht="15.75" thickBot="1">
      <c r="A370" s="165">
        <f>'Contractor''s Budget Detail'!B255</f>
        <v>9015</v>
      </c>
      <c r="B370" s="160" t="str">
        <f>VLOOKUP(A370,'Contractor''s Budget Detail'!$B$9:$C$461,2,FALSE)</f>
        <v>Tile</v>
      </c>
      <c r="C370" s="181" t="s">
        <v>1359</v>
      </c>
      <c r="D370" s="20"/>
      <c r="E370" s="20"/>
      <c r="F370" s="20"/>
      <c r="G370" s="20"/>
    </row>
    <row r="371" spans="1:7" ht="15.75" thickBot="1">
      <c r="A371" s="165">
        <f>'Contractor''s Budget Detail'!B256</f>
        <v>9016</v>
      </c>
      <c r="B371" s="160" t="str">
        <f>VLOOKUP(A371,'Contractor''s Budget Detail'!$B$9:$C$461,2,FALSE)</f>
        <v>Vinyl Flooring / Plank / VT</v>
      </c>
      <c r="C371" s="181" t="s">
        <v>1359</v>
      </c>
      <c r="D371" s="20"/>
      <c r="E371" s="20"/>
      <c r="F371" s="20"/>
      <c r="G371" s="20"/>
    </row>
    <row r="372" spans="1:7" ht="15.75" thickBot="1">
      <c r="A372" s="165">
        <f>'Contractor''s Budget Detail'!B257</f>
        <v>9017</v>
      </c>
      <c r="B372" s="160" t="str">
        <f>VLOOKUP(A372,'Contractor''s Budget Detail'!$B$9:$C$461,2,FALSE)</f>
        <v>Wallcovering</v>
      </c>
      <c r="C372" s="181" t="s">
        <v>1359</v>
      </c>
      <c r="D372" s="20"/>
      <c r="E372" s="20"/>
      <c r="F372" s="20"/>
      <c r="G372" s="20"/>
    </row>
    <row r="373" spans="1:7" ht="15.75" thickBot="1">
      <c r="A373" s="165">
        <f>'Contractor''s Budget Detail'!B258</f>
        <v>9018</v>
      </c>
      <c r="B373" s="160" t="str">
        <f>VLOOKUP(A373,'Contractor''s Budget Detail'!$B$9:$C$461,2,FALSE)</f>
        <v>Wood Flooring</v>
      </c>
      <c r="C373" s="181" t="s">
        <v>1359</v>
      </c>
      <c r="D373" s="20"/>
      <c r="E373" s="20"/>
      <c r="F373" s="20"/>
      <c r="G373" s="20"/>
    </row>
    <row r="374" spans="1:7" ht="15.75" thickBot="1">
      <c r="A374" s="165">
        <f>'Contractor''s Budget Detail'!B259</f>
        <v>9019</v>
      </c>
      <c r="B374" s="160" t="str">
        <f>VLOOKUP(A374,'Contractor''s Budget Detail'!$B$9:$C$461,2,FALSE)</f>
        <v>Other - Define</v>
      </c>
      <c r="C374" s="181" t="s">
        <v>1359</v>
      </c>
      <c r="D374" s="20"/>
      <c r="E374" s="20"/>
      <c r="F374" s="20"/>
      <c r="G374" s="20"/>
    </row>
    <row r="375" spans="1:7" ht="15.75" thickBot="1">
      <c r="A375" s="165">
        <f>'Contractor''s Budget Detail'!B260</f>
        <v>9020</v>
      </c>
      <c r="B375" s="160" t="str">
        <f>VLOOKUP(A375,'Contractor''s Budget Detail'!$B$9:$C$461,2,FALSE)</f>
        <v>Other - Define</v>
      </c>
      <c r="C375" s="181" t="s">
        <v>1359</v>
      </c>
      <c r="D375" s="20"/>
      <c r="E375" s="20"/>
      <c r="F375" s="20"/>
      <c r="G375" s="20"/>
    </row>
    <row r="376" spans="1:7" ht="15.75" thickBot="1">
      <c r="A376" s="165">
        <f>'Contractor''s Budget Detail'!B261</f>
        <v>9021</v>
      </c>
      <c r="B376" s="160" t="str">
        <f>VLOOKUP(A376,'Contractor''s Budget Detail'!$B$9:$C$461,2,FALSE)</f>
        <v>Other - Define</v>
      </c>
      <c r="C376" s="181" t="s">
        <v>1359</v>
      </c>
      <c r="D376" s="20"/>
      <c r="E376" s="20"/>
      <c r="F376" s="20"/>
      <c r="G376" s="20"/>
    </row>
    <row r="377" spans="1:7" ht="15.75" thickBot="1">
      <c r="A377" s="165">
        <f>'Contractor''s Budget Detail'!B262</f>
        <v>9022</v>
      </c>
      <c r="B377" s="160" t="str">
        <f>VLOOKUP(A377,'Contractor''s Budget Detail'!$B$9:$C$461,2,FALSE)</f>
        <v>Other - Define</v>
      </c>
      <c r="C377" s="181" t="s">
        <v>1359</v>
      </c>
      <c r="D377" s="20"/>
      <c r="E377" s="20"/>
      <c r="F377" s="20"/>
      <c r="G377" s="20"/>
    </row>
    <row r="378" spans="1:7" ht="15.75" thickBot="1">
      <c r="A378" s="165">
        <f>'Contractor''s Budget Detail'!B263</f>
        <v>9023</v>
      </c>
      <c r="B378" s="160" t="str">
        <f>VLOOKUP(A378,'Contractor''s Budget Detail'!$B$9:$C$461,2,FALSE)</f>
        <v>Other - Define</v>
      </c>
      <c r="C378" s="181" t="s">
        <v>1359</v>
      </c>
      <c r="D378" s="20"/>
      <c r="E378" s="20"/>
      <c r="F378" s="20"/>
      <c r="G378" s="20"/>
    </row>
    <row r="379" spans="1:7" ht="15.75" thickBot="1">
      <c r="A379" s="165">
        <f>'Contractor''s Budget Detail'!B264</f>
        <v>9024</v>
      </c>
      <c r="B379" s="160" t="str">
        <f>VLOOKUP(A379,'Contractor''s Budget Detail'!$B$9:$C$461,2,FALSE)</f>
        <v>Other - Define</v>
      </c>
      <c r="C379" s="181" t="s">
        <v>1359</v>
      </c>
      <c r="D379" s="20"/>
      <c r="E379" s="20"/>
      <c r="F379" s="20"/>
      <c r="G379" s="20"/>
    </row>
    <row r="380" spans="1:7" ht="15.75" thickBot="1">
      <c r="A380" s="165">
        <f>'Contractor''s Budget Detail'!B265</f>
        <v>9025</v>
      </c>
      <c r="B380" s="160" t="str">
        <f>VLOOKUP(A380,'Contractor''s Budget Detail'!$B$9:$C$461,2,FALSE)</f>
        <v>Other - Define</v>
      </c>
      <c r="C380" s="181" t="s">
        <v>1359</v>
      </c>
      <c r="D380" s="20"/>
      <c r="E380" s="20"/>
      <c r="F380" s="20"/>
      <c r="G380" s="20"/>
    </row>
    <row r="381" spans="1:7" ht="15.75" thickBot="1">
      <c r="A381" s="165">
        <f>'Contractor''s Budget Detail'!B266</f>
        <v>9026</v>
      </c>
      <c r="B381" s="160" t="str">
        <f>VLOOKUP(A381,'Contractor''s Budget Detail'!$B$9:$C$461,2,FALSE)</f>
        <v>Other - Define</v>
      </c>
      <c r="C381" s="181" t="s">
        <v>1359</v>
      </c>
      <c r="D381" s="20"/>
      <c r="E381" s="20"/>
      <c r="F381" s="20"/>
      <c r="G381" s="20"/>
    </row>
    <row r="382" spans="1:7" ht="15.75" thickBot="1">
      <c r="A382" s="159" t="str">
        <f>'Contractor''s Budget Detail'!A269</f>
        <v>Specialties</v>
      </c>
      <c r="B382" s="160"/>
      <c r="D382" s="20"/>
      <c r="E382" s="20"/>
      <c r="F382" s="20"/>
      <c r="G382" s="20"/>
    </row>
    <row r="383" spans="1:7" ht="15.75" thickBot="1">
      <c r="A383" s="165">
        <f>'Contractor''s Budget Detail'!B270</f>
        <v>10001</v>
      </c>
      <c r="B383" s="160" t="str">
        <f>VLOOKUP(A383,'Contractor''s Budget Detail'!$B$9:$C$461,2,FALSE)</f>
        <v>Access Floor</v>
      </c>
      <c r="C383" s="181" t="s">
        <v>1359</v>
      </c>
      <c r="D383" s="20"/>
      <c r="E383" s="20"/>
      <c r="F383" s="20"/>
      <c r="G383" s="20"/>
    </row>
    <row r="384" spans="1:7" ht="15.75" thickBot="1">
      <c r="A384" s="165">
        <f>'Contractor''s Budget Detail'!B271</f>
        <v>10002</v>
      </c>
      <c r="B384" s="160" t="str">
        <f>VLOOKUP(A384,'Contractor''s Budget Detail'!$B$9:$C$461,2,FALSE)</f>
        <v>Appliances</v>
      </c>
      <c r="C384" s="181" t="s">
        <v>1359</v>
      </c>
      <c r="D384" s="20"/>
      <c r="E384" s="20"/>
      <c r="F384" s="20"/>
      <c r="G384" s="20"/>
    </row>
    <row r="385" spans="1:7" ht="15.75" thickBot="1">
      <c r="A385" s="165">
        <f>'Contractor''s Budget Detail'!B272</f>
        <v>10003</v>
      </c>
      <c r="B385" s="160" t="str">
        <f>VLOOKUP(A385,'Contractor''s Budget Detail'!$B$9:$C$461,2,FALSE)</f>
        <v>Cabinets</v>
      </c>
      <c r="C385" s="181" t="s">
        <v>1359</v>
      </c>
      <c r="D385" s="20"/>
      <c r="E385" s="20"/>
      <c r="F385" s="20"/>
      <c r="G385" s="20"/>
    </row>
    <row r="386" spans="1:7" ht="15.75" thickBot="1">
      <c r="A386" s="165">
        <f>'Contractor''s Budget Detail'!B273</f>
        <v>10004</v>
      </c>
      <c r="B386" s="160" t="str">
        <f>VLOOKUP(A386,'Contractor''s Budget Detail'!$B$9:$C$461,2,FALSE)</f>
        <v>Cabinets, Millwork &amp; Countertops</v>
      </c>
      <c r="C386" s="181" t="s">
        <v>1359</v>
      </c>
      <c r="D386" s="20"/>
      <c r="E386" s="20"/>
      <c r="F386" s="20"/>
      <c r="G386" s="20"/>
    </row>
    <row r="387" spans="1:7" ht="15.75" thickBot="1">
      <c r="A387" s="165">
        <f>'Contractor''s Budget Detail'!B274</f>
        <v>10005</v>
      </c>
      <c r="B387" s="160" t="str">
        <f>VLOOKUP(A387,'Contractor''s Budget Detail'!$B$9:$C$461,2,FALSE)</f>
        <v>Countertops</v>
      </c>
      <c r="C387" s="181" t="s">
        <v>1359</v>
      </c>
      <c r="D387" s="20"/>
      <c r="E387" s="20"/>
      <c r="F387" s="20"/>
      <c r="G387" s="20"/>
    </row>
    <row r="388" spans="1:7" ht="15.75" thickBot="1">
      <c r="A388" s="165">
        <f>'Contractor''s Budget Detail'!B275</f>
        <v>10006</v>
      </c>
      <c r="B388" s="160" t="str">
        <f>VLOOKUP(A388,'Contractor''s Budget Detail'!$B$9:$C$461,2,FALSE)</f>
        <v>Fire Alarms / Security Alarms</v>
      </c>
      <c r="C388" s="181" t="s">
        <v>1359</v>
      </c>
      <c r="D388" s="20"/>
      <c r="E388" s="20"/>
      <c r="F388" s="20"/>
      <c r="G388" s="20"/>
    </row>
    <row r="389" spans="1:7" ht="15.75" thickBot="1">
      <c r="A389" s="165">
        <f>'Contractor''s Budget Detail'!B276</f>
        <v>10007</v>
      </c>
      <c r="B389" s="160" t="str">
        <f>VLOOKUP(A389,'Contractor''s Budget Detail'!$B$9:$C$461,2,FALSE)</f>
        <v>Fire Extinguishers / Fire Protection Specialties</v>
      </c>
      <c r="C389" s="181" t="s">
        <v>1359</v>
      </c>
      <c r="D389" s="20"/>
      <c r="E389" s="20"/>
      <c r="F389" s="20"/>
      <c r="G389" s="20"/>
    </row>
    <row r="390" spans="1:7" ht="15.75" thickBot="1">
      <c r="A390" s="165">
        <f>'Contractor''s Budget Detail'!B277</f>
        <v>10008</v>
      </c>
      <c r="B390" s="160" t="str">
        <f>VLOOKUP(A390,'Contractor''s Budget Detail'!$B$9:$C$461,2,FALSE)</f>
        <v>Flagpoles</v>
      </c>
      <c r="C390" s="181" t="s">
        <v>1359</v>
      </c>
      <c r="D390" s="20"/>
      <c r="E390" s="20"/>
      <c r="F390" s="20"/>
      <c r="G390" s="20"/>
    </row>
    <row r="391" spans="1:7" ht="15.75" thickBot="1">
      <c r="A391" s="165">
        <f>'Contractor''s Budget Detail'!B278</f>
        <v>10009</v>
      </c>
      <c r="B391" s="160" t="str">
        <f>VLOOKUP(A391,'Contractor''s Budget Detail'!$B$9:$C$461,2,FALSE)</f>
        <v>FRP Panels</v>
      </c>
      <c r="C391" s="181" t="s">
        <v>1359</v>
      </c>
      <c r="D391" s="20"/>
      <c r="E391" s="20"/>
      <c r="F391" s="20"/>
      <c r="G391" s="20"/>
    </row>
    <row r="392" spans="1:7" ht="15.75" thickBot="1">
      <c r="A392" s="165">
        <f>'Contractor''s Budget Detail'!B279</f>
        <v>10010</v>
      </c>
      <c r="B392" s="160" t="str">
        <f>VLOOKUP(A392,'Contractor''s Budget Detail'!$B$9:$C$461,2,FALSE)</f>
        <v>Lockers / Mailboxes</v>
      </c>
      <c r="C392" s="181" t="s">
        <v>1359</v>
      </c>
      <c r="D392" s="20"/>
      <c r="E392" s="20"/>
      <c r="F392" s="20"/>
      <c r="G392" s="20"/>
    </row>
    <row r="393" spans="1:7" ht="15.75" thickBot="1">
      <c r="A393" s="165">
        <f>'Contractor''s Budget Detail'!B280</f>
        <v>10011</v>
      </c>
      <c r="B393" s="160" t="str">
        <f>VLOOKUP(A393,'Contractor''s Budget Detail'!$B$9:$C$461,2,FALSE)</f>
        <v>Manufactured Exterior Specialties</v>
      </c>
      <c r="C393" s="181" t="s">
        <v>1359</v>
      </c>
      <c r="D393" s="20"/>
      <c r="E393" s="20"/>
      <c r="F393" s="20"/>
      <c r="G393" s="20"/>
    </row>
    <row r="394" spans="1:7" ht="15.75" thickBot="1">
      <c r="A394" s="165">
        <f>'Contractor''s Budget Detail'!B281</f>
        <v>10012</v>
      </c>
      <c r="B394" s="160" t="str">
        <f>VLOOKUP(A394,'Contractor''s Budget Detail'!$B$9:$C$461,2,FALSE)</f>
        <v>Operable Partitions</v>
      </c>
      <c r="C394" s="181" t="s">
        <v>1359</v>
      </c>
      <c r="D394" s="20"/>
      <c r="E394" s="20"/>
      <c r="F394" s="20"/>
      <c r="G394" s="20"/>
    </row>
    <row r="395" spans="1:7" ht="15.75" thickBot="1">
      <c r="A395" s="165">
        <f>'Contractor''s Budget Detail'!B282</f>
        <v>10013</v>
      </c>
      <c r="B395" s="160" t="str">
        <f>VLOOKUP(A395,'Contractor''s Budget Detail'!$B$9:$C$461,2,FALSE)</f>
        <v>Partitions (Demount / Wire Mesh)</v>
      </c>
      <c r="C395" s="181" t="s">
        <v>1359</v>
      </c>
      <c r="D395" s="20"/>
      <c r="E395" s="20"/>
      <c r="F395" s="20"/>
      <c r="G395" s="20"/>
    </row>
    <row r="396" spans="1:7" ht="15.75" thickBot="1">
      <c r="A396" s="165">
        <f>'Contractor''s Budget Detail'!B283</f>
        <v>10014</v>
      </c>
      <c r="B396" s="160" t="str">
        <f>VLOOKUP(A396,'Contractor''s Budget Detail'!$B$9:$C$461,2,FALSE)</f>
        <v>Signage (Code Only)</v>
      </c>
      <c r="C396" s="181" t="s">
        <v>1359</v>
      </c>
      <c r="D396" s="20"/>
      <c r="E396" s="20"/>
      <c r="F396" s="20"/>
      <c r="G396" s="20"/>
    </row>
    <row r="397" spans="1:7" ht="15.75" thickBot="1">
      <c r="A397" s="165">
        <f>'Contractor''s Budget Detail'!B284</f>
        <v>10015</v>
      </c>
      <c r="B397" s="160" t="str">
        <f>VLOOKUP(A397,'Contractor''s Budget Detail'!$B$9:$C$461,2,FALSE)</f>
        <v>Signage / Directories</v>
      </c>
      <c r="C397" s="181" t="s">
        <v>1359</v>
      </c>
      <c r="D397" s="20"/>
      <c r="E397" s="20"/>
      <c r="F397" s="20"/>
      <c r="G397" s="20"/>
    </row>
    <row r="398" spans="1:7" ht="15.75" thickBot="1">
      <c r="A398" s="165">
        <f>'Contractor''s Budget Detail'!B285</f>
        <v>10016</v>
      </c>
      <c r="B398" s="160" t="str">
        <f>VLOOKUP(A398,'Contractor''s Budget Detail'!$B$9:$C$461,2,FALSE)</f>
        <v>Toilet /  Bath / Accessories</v>
      </c>
      <c r="C398" s="181" t="s">
        <v>1359</v>
      </c>
      <c r="D398" s="20"/>
      <c r="E398" s="20"/>
      <c r="F398" s="20"/>
      <c r="G398" s="20"/>
    </row>
    <row r="399" spans="1:7" ht="15.75" thickBot="1">
      <c r="A399" s="165">
        <f>'Contractor''s Budget Detail'!B286</f>
        <v>10017</v>
      </c>
      <c r="B399" s="160" t="str">
        <f>VLOOKUP(A399,'Contractor''s Budget Detail'!$B$9:$C$461,2,FALSE)</f>
        <v>Other - Define</v>
      </c>
      <c r="C399" s="181" t="s">
        <v>1359</v>
      </c>
      <c r="D399" s="20"/>
      <c r="E399" s="20"/>
      <c r="F399" s="20"/>
      <c r="G399" s="20"/>
    </row>
    <row r="400" spans="1:7" ht="15.75" thickBot="1">
      <c r="A400" s="165">
        <f>'Contractor''s Budget Detail'!B287</f>
        <v>10018</v>
      </c>
      <c r="B400" s="160" t="str">
        <f>VLOOKUP(A400,'Contractor''s Budget Detail'!$B$9:$C$461,2,FALSE)</f>
        <v>Other - Define</v>
      </c>
      <c r="C400" s="181" t="s">
        <v>1359</v>
      </c>
      <c r="D400" s="20"/>
      <c r="E400" s="20"/>
      <c r="F400" s="20"/>
      <c r="G400" s="20"/>
    </row>
    <row r="401" spans="1:7" ht="15.75" thickBot="1">
      <c r="A401" s="165">
        <f>'Contractor''s Budget Detail'!B288</f>
        <v>10019</v>
      </c>
      <c r="B401" s="160" t="str">
        <f>VLOOKUP(A401,'Contractor''s Budget Detail'!$B$9:$C$461,2,FALSE)</f>
        <v>Other - Define</v>
      </c>
      <c r="C401" s="181" t="s">
        <v>1359</v>
      </c>
      <c r="D401" s="20"/>
      <c r="E401" s="20"/>
      <c r="F401" s="20"/>
      <c r="G401" s="20"/>
    </row>
    <row r="402" spans="1:7" ht="15.75" thickBot="1">
      <c r="A402" s="165">
        <f>'Contractor''s Budget Detail'!B289</f>
        <v>10020</v>
      </c>
      <c r="B402" s="160" t="str">
        <f>VLOOKUP(A402,'Contractor''s Budget Detail'!$B$9:$C$461,2,FALSE)</f>
        <v>Other - Define</v>
      </c>
      <c r="C402" s="181" t="s">
        <v>1359</v>
      </c>
      <c r="D402" s="20"/>
      <c r="E402" s="20"/>
      <c r="F402" s="20"/>
      <c r="G402" s="20"/>
    </row>
    <row r="403" spans="1:7" ht="15.75" thickBot="1">
      <c r="A403" s="165">
        <f>'Contractor''s Budget Detail'!B290</f>
        <v>10021</v>
      </c>
      <c r="B403" s="160" t="str">
        <f>VLOOKUP(A403,'Contractor''s Budget Detail'!$B$9:$C$461,2,FALSE)</f>
        <v>Other - Define</v>
      </c>
      <c r="C403" s="181" t="s">
        <v>1359</v>
      </c>
      <c r="D403" s="20"/>
      <c r="E403" s="20"/>
      <c r="F403" s="20"/>
      <c r="G403" s="20"/>
    </row>
    <row r="404" spans="1:7" ht="15.75" thickBot="1">
      <c r="A404" s="165">
        <f>'Contractor''s Budget Detail'!B291</f>
        <v>10022</v>
      </c>
      <c r="B404" s="160" t="str">
        <f>VLOOKUP(A404,'Contractor''s Budget Detail'!$B$9:$C$461,2,FALSE)</f>
        <v>Other - Define</v>
      </c>
      <c r="C404" s="181" t="s">
        <v>1359</v>
      </c>
      <c r="D404" s="20"/>
      <c r="E404" s="20"/>
      <c r="F404" s="20"/>
      <c r="G404" s="20"/>
    </row>
    <row r="405" spans="1:7" ht="15.75" thickBot="1">
      <c r="A405" s="165">
        <f>'Contractor''s Budget Detail'!B292</f>
        <v>10023</v>
      </c>
      <c r="B405" s="160" t="str">
        <f>VLOOKUP(A405,'Contractor''s Budget Detail'!$B$9:$C$461,2,FALSE)</f>
        <v>Other - Define</v>
      </c>
      <c r="C405" s="181" t="s">
        <v>1359</v>
      </c>
      <c r="D405" s="20"/>
      <c r="E405" s="20"/>
      <c r="F405" s="20"/>
      <c r="G405" s="20"/>
    </row>
    <row r="406" spans="1:7" ht="15.75" thickBot="1">
      <c r="A406" s="165">
        <f>'Contractor''s Budget Detail'!B293</f>
        <v>10024</v>
      </c>
      <c r="B406" s="160" t="str">
        <f>VLOOKUP(A406,'Contractor''s Budget Detail'!$B$9:$C$461,2,FALSE)</f>
        <v>Other - Define</v>
      </c>
      <c r="C406" s="181" t="s">
        <v>1359</v>
      </c>
      <c r="D406" s="20"/>
      <c r="E406" s="20"/>
      <c r="F406" s="20"/>
      <c r="G406" s="20"/>
    </row>
    <row r="407" spans="1:7" ht="15.75" thickBot="1">
      <c r="A407" s="159" t="str">
        <f>'Contractor''s Budget Detail'!A296</f>
        <v xml:space="preserve"> Equipment</v>
      </c>
      <c r="B407" s="160"/>
      <c r="D407" s="20"/>
      <c r="E407" s="20"/>
      <c r="F407" s="20"/>
      <c r="G407" s="20"/>
    </row>
    <row r="408" spans="1:7" ht="15.75" thickBot="1">
      <c r="A408" s="165">
        <f>'Contractor''s Budget Detail'!B297</f>
        <v>11001</v>
      </c>
      <c r="B408" s="160" t="str">
        <f>VLOOKUP(A408,'Contractor''s Budget Detail'!$B$9:$C$461,2,FALSE)</f>
        <v>Athletic</v>
      </c>
      <c r="C408" s="181" t="s">
        <v>1359</v>
      </c>
      <c r="D408" s="20"/>
      <c r="E408" s="20"/>
      <c r="F408" s="20"/>
      <c r="G408" s="20"/>
    </row>
    <row r="409" spans="1:7" ht="15.75" thickBot="1">
      <c r="A409" s="165">
        <f>'Contractor''s Budget Detail'!B298</f>
        <v>11002</v>
      </c>
      <c r="B409" s="160" t="str">
        <f>VLOOKUP(A409,'Contractor''s Budget Detail'!$B$9:$C$461,2,FALSE)</f>
        <v>Audio  Visual</v>
      </c>
      <c r="C409" s="181" t="s">
        <v>1359</v>
      </c>
      <c r="D409" s="20"/>
      <c r="E409" s="20"/>
      <c r="F409" s="20"/>
      <c r="G409" s="20"/>
    </row>
    <row r="410" spans="1:7" ht="15.75" thickBot="1">
      <c r="A410" s="165">
        <f>'Contractor''s Budget Detail'!B299</f>
        <v>11003</v>
      </c>
      <c r="B410" s="160" t="str">
        <f>VLOOKUP(A410,'Contractor''s Budget Detail'!$B$9:$C$461,2,FALSE)</f>
        <v>Bike Racks</v>
      </c>
      <c r="C410" s="181" t="s">
        <v>1359</v>
      </c>
      <c r="D410" s="20"/>
      <c r="E410" s="20"/>
      <c r="F410" s="20"/>
      <c r="G410" s="20"/>
    </row>
    <row r="411" spans="1:7" ht="15.75" thickBot="1">
      <c r="A411" s="165">
        <f>'Contractor''s Budget Detail'!B300</f>
        <v>11004</v>
      </c>
      <c r="B411" s="160" t="str">
        <f>VLOOKUP(A411,'Contractor''s Budget Detail'!$B$9:$C$461,2,FALSE)</f>
        <v>Fans</v>
      </c>
      <c r="C411" s="181" t="s">
        <v>1359</v>
      </c>
      <c r="D411" s="20"/>
      <c r="E411" s="20"/>
      <c r="F411" s="20"/>
      <c r="G411" s="20"/>
    </row>
    <row r="412" spans="1:7" ht="15.75" thickBot="1">
      <c r="A412" s="165">
        <f>'Contractor''s Budget Detail'!B301</f>
        <v>11005</v>
      </c>
      <c r="B412" s="160" t="str">
        <f>VLOOKUP(A412,'Contractor''s Budget Detail'!$B$9:$C$461,2,FALSE)</f>
        <v>Kitchen</v>
      </c>
      <c r="C412" s="181" t="s">
        <v>1359</v>
      </c>
      <c r="D412" s="20"/>
      <c r="E412" s="20"/>
      <c r="F412" s="20"/>
      <c r="G412" s="20"/>
    </row>
    <row r="413" spans="1:7" ht="15.75" thickBot="1">
      <c r="A413" s="165">
        <f>'Contractor''s Budget Detail'!B302</f>
        <v>11006</v>
      </c>
      <c r="B413" s="160" t="str">
        <f>VLOOKUP(A413,'Contractor''s Budget Detail'!$B$9:$C$461,2,FALSE)</f>
        <v>Parking &amp; Loading Dock</v>
      </c>
      <c r="C413" s="181" t="s">
        <v>1359</v>
      </c>
      <c r="D413" s="20"/>
      <c r="E413" s="20"/>
      <c r="F413" s="20"/>
      <c r="G413" s="20"/>
    </row>
    <row r="414" spans="1:7" ht="15.75" thickBot="1">
      <c r="A414" s="165">
        <f>'Contractor''s Budget Detail'!B303</f>
        <v>11007</v>
      </c>
      <c r="B414" s="160" t="str">
        <f>VLOOKUP(A414,'Contractor''s Budget Detail'!$B$9:$C$461,2,FALSE)</f>
        <v>Pool / Spa / Sauna</v>
      </c>
      <c r="C414" s="181" t="s">
        <v>1359</v>
      </c>
      <c r="D414" s="20"/>
      <c r="E414" s="20"/>
      <c r="F414" s="20"/>
      <c r="G414" s="20"/>
    </row>
    <row r="415" spans="1:7" ht="15.75" thickBot="1">
      <c r="A415" s="165">
        <f>'Contractor''s Budget Detail'!B304</f>
        <v>11008</v>
      </c>
      <c r="B415" s="160" t="str">
        <f>VLOOKUP(A415,'Contractor''s Budget Detail'!$B$9:$C$461,2,FALSE)</f>
        <v>Storage Racks</v>
      </c>
      <c r="C415" s="181" t="s">
        <v>1359</v>
      </c>
      <c r="D415" s="20"/>
      <c r="E415" s="20"/>
      <c r="F415" s="20"/>
      <c r="G415" s="20"/>
    </row>
    <row r="416" spans="1:7" ht="15.75" thickBot="1">
      <c r="A416" s="165">
        <f>'Contractor''s Budget Detail'!B305</f>
        <v>11009</v>
      </c>
      <c r="B416" s="160" t="str">
        <f>VLOOKUP(A416,'Contractor''s Budget Detail'!$B$9:$C$461,2,FALSE)</f>
        <v>Theatre &amp; Stage</v>
      </c>
      <c r="C416" s="181" t="s">
        <v>1359</v>
      </c>
      <c r="D416" s="20"/>
      <c r="E416" s="20"/>
      <c r="F416" s="20"/>
      <c r="G416" s="20"/>
    </row>
    <row r="417" spans="1:7" ht="15.75" thickBot="1">
      <c r="A417" s="165">
        <f>'Contractor''s Budget Detail'!B306</f>
        <v>11010</v>
      </c>
      <c r="B417" s="160" t="str">
        <f>VLOOKUP(A417,'Contractor''s Budget Detail'!$B$9:$C$461,2,FALSE)</f>
        <v>Window Washing Equipment</v>
      </c>
      <c r="C417" s="181" t="s">
        <v>1359</v>
      </c>
      <c r="D417" s="20"/>
      <c r="E417" s="20"/>
      <c r="F417" s="20"/>
      <c r="G417" s="20"/>
    </row>
    <row r="418" spans="1:7" ht="15.75" thickBot="1">
      <c r="A418" s="165">
        <f>'Contractor''s Budget Detail'!B307</f>
        <v>11011</v>
      </c>
      <c r="B418" s="160" t="str">
        <f>VLOOKUP(A418,'Contractor''s Budget Detail'!$B$9:$C$461,2,FALSE)</f>
        <v>Trash Chutes &amp; Compactor</v>
      </c>
      <c r="C418" s="181" t="s">
        <v>1359</v>
      </c>
      <c r="D418" s="20"/>
      <c r="E418" s="20"/>
      <c r="F418" s="20"/>
      <c r="G418" s="20"/>
    </row>
    <row r="419" spans="1:7" ht="15.75" thickBot="1">
      <c r="A419" s="165">
        <f>'Contractor''s Budget Detail'!B308</f>
        <v>11012</v>
      </c>
      <c r="B419" s="160" t="str">
        <f>VLOOKUP(A419,'Contractor''s Budget Detail'!$B$9:$C$461,2,FALSE)</f>
        <v>Other - Fire Fighter Air / Maint Equipment</v>
      </c>
      <c r="C419" s="181" t="s">
        <v>1359</v>
      </c>
      <c r="D419" s="20"/>
      <c r="E419" s="20"/>
      <c r="F419" s="20"/>
      <c r="G419" s="20"/>
    </row>
    <row r="420" spans="1:7" ht="15.75" thickBot="1">
      <c r="A420" s="165">
        <f>'Contractor''s Budget Detail'!B309</f>
        <v>11013</v>
      </c>
      <c r="B420" s="160" t="str">
        <f>VLOOKUP(A420,'Contractor''s Budget Detail'!$B$9:$C$461,2,FALSE)</f>
        <v>Other - Common Area (non FF&amp;E) Equipment</v>
      </c>
      <c r="C420" s="181" t="s">
        <v>1359</v>
      </c>
      <c r="D420" s="20"/>
      <c r="E420" s="20"/>
      <c r="F420" s="20"/>
      <c r="G420" s="20"/>
    </row>
    <row r="421" spans="1:7" ht="15.75" thickBot="1">
      <c r="A421" s="165">
        <f>'Contractor''s Budget Detail'!B310</f>
        <v>11014</v>
      </c>
      <c r="B421" s="160" t="str">
        <f>VLOOKUP(A421,'Contractor''s Budget Detail'!$B$9:$C$461,2,FALSE)</f>
        <v>Other - Define</v>
      </c>
      <c r="C421" s="181" t="s">
        <v>1359</v>
      </c>
      <c r="D421" s="20"/>
      <c r="E421" s="20"/>
      <c r="F421" s="20"/>
      <c r="G421" s="20"/>
    </row>
    <row r="422" spans="1:7" ht="15.75" thickBot="1">
      <c r="A422" s="165">
        <f>'Contractor''s Budget Detail'!B311</f>
        <v>11015</v>
      </c>
      <c r="B422" s="160" t="str">
        <f>VLOOKUP(A422,'Contractor''s Budget Detail'!$B$9:$C$461,2,FALSE)</f>
        <v>Other - Define</v>
      </c>
      <c r="C422" s="181" t="s">
        <v>1359</v>
      </c>
      <c r="D422" s="20"/>
      <c r="E422" s="20"/>
      <c r="F422" s="20"/>
      <c r="G422" s="20"/>
    </row>
    <row r="423" spans="1:7" ht="15.75" thickBot="1">
      <c r="A423" s="165">
        <f>'Contractor''s Budget Detail'!B312</f>
        <v>11016</v>
      </c>
      <c r="B423" s="160" t="str">
        <f>VLOOKUP(A423,'Contractor''s Budget Detail'!$B$9:$C$461,2,FALSE)</f>
        <v>Other - Define</v>
      </c>
      <c r="C423" s="181" t="s">
        <v>1359</v>
      </c>
      <c r="D423" s="20"/>
      <c r="E423" s="20"/>
      <c r="F423" s="20"/>
      <c r="G423" s="20"/>
    </row>
    <row r="424" spans="1:7" ht="15.75" thickBot="1">
      <c r="A424" s="165">
        <f>'Contractor''s Budget Detail'!B313</f>
        <v>11017</v>
      </c>
      <c r="B424" s="160" t="str">
        <f>VLOOKUP(A424,'Contractor''s Budget Detail'!$B$9:$C$461,2,FALSE)</f>
        <v>Other - Define</v>
      </c>
      <c r="C424" s="181" t="s">
        <v>1359</v>
      </c>
      <c r="D424" s="20"/>
      <c r="E424" s="20"/>
      <c r="F424" s="20"/>
      <c r="G424" s="20"/>
    </row>
    <row r="425" spans="1:7" ht="15.75" thickBot="1">
      <c r="A425" s="165">
        <f>'Contractor''s Budget Detail'!B314</f>
        <v>11018</v>
      </c>
      <c r="B425" s="160" t="str">
        <f>VLOOKUP(A425,'Contractor''s Budget Detail'!$B$9:$C$461,2,FALSE)</f>
        <v>Other - Define</v>
      </c>
      <c r="C425" s="181" t="s">
        <v>1359</v>
      </c>
      <c r="D425" s="20"/>
      <c r="E425" s="20"/>
      <c r="F425" s="20"/>
      <c r="G425" s="20"/>
    </row>
    <row r="426" spans="1:7" ht="15.75" thickBot="1">
      <c r="A426" s="165">
        <f>'Contractor''s Budget Detail'!B315</f>
        <v>11019</v>
      </c>
      <c r="B426" s="160" t="str">
        <f>VLOOKUP(A426,'Contractor''s Budget Detail'!$B$9:$C$461,2,FALSE)</f>
        <v>Other - Define</v>
      </c>
      <c r="C426" s="181" t="s">
        <v>1359</v>
      </c>
      <c r="D426" s="20"/>
      <c r="E426" s="20"/>
      <c r="F426" s="20"/>
      <c r="G426" s="20"/>
    </row>
    <row r="427" spans="1:7" ht="15.75" thickBot="1">
      <c r="A427" s="159" t="str">
        <f>'Contractor''s Budget Detail'!A318</f>
        <v>Furnishings</v>
      </c>
      <c r="B427" s="160"/>
      <c r="D427" s="20"/>
      <c r="E427" s="20"/>
      <c r="F427" s="20"/>
      <c r="G427" s="20"/>
    </row>
    <row r="428" spans="1:7" ht="15.75" thickBot="1">
      <c r="A428" s="165">
        <f>'Contractor''s Budget Detail'!B319</f>
        <v>12001</v>
      </c>
      <c r="B428" s="160" t="str">
        <f>VLOOKUP(A428,'Contractor''s Budget Detail'!$B$9:$C$461,2,FALSE)</f>
        <v>Canvas Awning</v>
      </c>
      <c r="C428" s="181" t="s">
        <v>1359</v>
      </c>
      <c r="D428" s="20"/>
      <c r="E428" s="20"/>
      <c r="F428" s="20"/>
      <c r="G428" s="20"/>
    </row>
    <row r="429" spans="1:7" ht="15.75" thickBot="1">
      <c r="A429" s="165">
        <f>'Contractor''s Budget Detail'!B320</f>
        <v>12002</v>
      </c>
      <c r="B429" s="160" t="str">
        <f>VLOOKUP(A429,'Contractor''s Budget Detail'!$B$9:$C$461,2,FALSE)</f>
        <v>Furniture</v>
      </c>
      <c r="C429" s="181" t="s">
        <v>1359</v>
      </c>
      <c r="D429" s="20"/>
      <c r="E429" s="20"/>
      <c r="F429" s="20"/>
      <c r="G429" s="20"/>
    </row>
    <row r="430" spans="1:7" ht="15.75" thickBot="1">
      <c r="A430" s="165">
        <f>'Contractor''s Budget Detail'!B321</f>
        <v>12003</v>
      </c>
      <c r="B430" s="160" t="str">
        <f>VLOOKUP(A430,'Contractor''s Budget Detail'!$B$9:$C$461,2,FALSE)</f>
        <v>Furniture Refinishing / Pews</v>
      </c>
      <c r="C430" s="181" t="s">
        <v>1359</v>
      </c>
      <c r="D430" s="20"/>
      <c r="E430" s="20"/>
      <c r="F430" s="20"/>
      <c r="G430" s="20"/>
    </row>
    <row r="431" spans="1:7" ht="15.75" thickBot="1">
      <c r="A431" s="165">
        <f>'Contractor''s Budget Detail'!B322</f>
        <v>12004</v>
      </c>
      <c r="B431" s="160" t="str">
        <f>VLOOKUP(A431,'Contractor''s Budget Detail'!$B$9:$C$461,2,FALSE)</f>
        <v>Temporary Offices Furnishings</v>
      </c>
      <c r="C431" s="181" t="s">
        <v>1359</v>
      </c>
      <c r="D431" s="20"/>
      <c r="E431" s="20"/>
      <c r="F431" s="20"/>
      <c r="G431" s="20"/>
    </row>
    <row r="432" spans="1:7" ht="15.75" thickBot="1">
      <c r="A432" s="165">
        <f>'Contractor''s Budget Detail'!B323</f>
        <v>12005</v>
      </c>
      <c r="B432" s="160" t="str">
        <f>VLOOKUP(A432,'Contractor''s Budget Detail'!$B$9:$C$461,2,FALSE)</f>
        <v>Window Treatment</v>
      </c>
      <c r="C432" s="181" t="s">
        <v>1359</v>
      </c>
      <c r="D432" s="20"/>
      <c r="E432" s="20"/>
      <c r="F432" s="20"/>
      <c r="G432" s="20"/>
    </row>
    <row r="433" spans="1:7" ht="15.75" thickBot="1">
      <c r="A433" s="165">
        <f>'Contractor''s Budget Detail'!B324</f>
        <v>12006</v>
      </c>
      <c r="B433" s="160" t="str">
        <f>VLOOKUP(A433,'Contractor''s Budget Detail'!$B$9:$C$461,2,FALSE)</f>
        <v>Other - Define</v>
      </c>
      <c r="C433" s="181" t="s">
        <v>1359</v>
      </c>
      <c r="D433" s="20"/>
      <c r="E433" s="20"/>
      <c r="F433" s="20"/>
      <c r="G433" s="20"/>
    </row>
    <row r="434" spans="1:7" ht="15.75" thickBot="1">
      <c r="A434" s="165">
        <f>'Contractor''s Budget Detail'!B325</f>
        <v>12007</v>
      </c>
      <c r="B434" s="160" t="str">
        <f>VLOOKUP(A434,'Contractor''s Budget Detail'!$B$9:$C$461,2,FALSE)</f>
        <v>Other - Define</v>
      </c>
      <c r="C434" s="181" t="s">
        <v>1359</v>
      </c>
      <c r="D434" s="20"/>
      <c r="E434" s="20"/>
      <c r="F434" s="20"/>
      <c r="G434" s="20"/>
    </row>
    <row r="435" spans="1:7" ht="15.75" thickBot="1">
      <c r="A435" s="165">
        <f>'Contractor''s Budget Detail'!B326</f>
        <v>12008</v>
      </c>
      <c r="B435" s="160" t="str">
        <f>VLOOKUP(A435,'Contractor''s Budget Detail'!$B$9:$C$461,2,FALSE)</f>
        <v>Other - Define</v>
      </c>
      <c r="C435" s="181" t="s">
        <v>1359</v>
      </c>
      <c r="D435" s="20"/>
      <c r="E435" s="20"/>
      <c r="F435" s="20"/>
      <c r="G435" s="20"/>
    </row>
    <row r="436" spans="1:7" ht="15.75" thickBot="1">
      <c r="A436" s="165">
        <f>'Contractor''s Budget Detail'!B327</f>
        <v>12009</v>
      </c>
      <c r="B436" s="160" t="str">
        <f>VLOOKUP(A436,'Contractor''s Budget Detail'!$B$9:$C$461,2,FALSE)</f>
        <v>Other - Define</v>
      </c>
      <c r="C436" s="181" t="s">
        <v>1359</v>
      </c>
      <c r="D436" s="20"/>
      <c r="E436" s="20"/>
      <c r="F436" s="20"/>
      <c r="G436" s="20"/>
    </row>
    <row r="437" spans="1:7" ht="15.75" thickBot="1">
      <c r="A437" s="165">
        <f>'Contractor''s Budget Detail'!B328</f>
        <v>12010</v>
      </c>
      <c r="B437" s="160" t="str">
        <f>VLOOKUP(A437,'Contractor''s Budget Detail'!$B$9:$C$461,2,FALSE)</f>
        <v>Other - Define</v>
      </c>
      <c r="C437" s="181" t="s">
        <v>1359</v>
      </c>
      <c r="D437" s="20"/>
      <c r="E437" s="20"/>
      <c r="F437" s="20"/>
      <c r="G437" s="20"/>
    </row>
    <row r="438" spans="1:7" ht="15.75" thickBot="1">
      <c r="A438" s="165">
        <f>'Contractor''s Budget Detail'!B329</f>
        <v>12011</v>
      </c>
      <c r="B438" s="160" t="str">
        <f>VLOOKUP(A438,'Contractor''s Budget Detail'!$B$9:$C$461,2,FALSE)</f>
        <v>Other - Define</v>
      </c>
      <c r="C438" s="181" t="s">
        <v>1359</v>
      </c>
      <c r="D438" s="20"/>
      <c r="E438" s="20"/>
      <c r="F438" s="20"/>
      <c r="G438" s="20"/>
    </row>
    <row r="439" spans="1:7" ht="15.75" thickBot="1">
      <c r="A439" s="165">
        <f>'Contractor''s Budget Detail'!B330</f>
        <v>12012</v>
      </c>
      <c r="B439" s="160" t="str">
        <f>VLOOKUP(A439,'Contractor''s Budget Detail'!$B$9:$C$461,2,FALSE)</f>
        <v>Other - Define</v>
      </c>
      <c r="C439" s="181" t="s">
        <v>1359</v>
      </c>
      <c r="D439" s="20"/>
      <c r="E439" s="20"/>
      <c r="F439" s="20"/>
      <c r="G439" s="20"/>
    </row>
    <row r="440" spans="1:7" ht="15.75" thickBot="1">
      <c r="A440" s="165">
        <f>'Contractor''s Budget Detail'!B331</f>
        <v>12013</v>
      </c>
      <c r="B440" s="160" t="str">
        <f>VLOOKUP(A440,'Contractor''s Budget Detail'!$B$9:$C$461,2,FALSE)</f>
        <v>Other - Define</v>
      </c>
      <c r="C440" s="181" t="s">
        <v>1359</v>
      </c>
      <c r="D440" s="20"/>
      <c r="E440" s="20"/>
      <c r="F440" s="20"/>
      <c r="G440" s="20"/>
    </row>
    <row r="441" spans="1:7" ht="15.75" thickBot="1">
      <c r="A441" s="159" t="str">
        <f>'Contractor''s Budget Detail'!A334</f>
        <v>Special Construction</v>
      </c>
      <c r="B441" s="160"/>
      <c r="D441" s="20"/>
      <c r="E441" s="20"/>
      <c r="F441" s="20"/>
      <c r="G441" s="20"/>
    </row>
    <row r="442" spans="1:7" ht="15.75" thickBot="1">
      <c r="A442" s="165">
        <f>'Contractor''s Budget Detail'!B335</f>
        <v>13001</v>
      </c>
      <c r="B442" s="160" t="str">
        <f>VLOOKUP(A442,'Contractor''s Budget Detail'!$B$9:$C$461,2,FALSE)</f>
        <v>Erection</v>
      </c>
      <c r="C442" s="181" t="s">
        <v>1359</v>
      </c>
      <c r="D442" s="20"/>
      <c r="E442" s="20"/>
      <c r="F442" s="20"/>
      <c r="G442" s="20"/>
    </row>
    <row r="443" spans="1:7" ht="15.75" thickBot="1">
      <c r="A443" s="165">
        <f>'Contractor''s Budget Detail'!B336</f>
        <v>13002</v>
      </c>
      <c r="B443" s="160" t="str">
        <f>VLOOKUP(A443,'Contractor''s Budget Detail'!$B$9:$C$461,2,FALSE)</f>
        <v>Erection-Component</v>
      </c>
      <c r="C443" s="181" t="s">
        <v>1359</v>
      </c>
      <c r="D443" s="20"/>
      <c r="E443" s="20"/>
      <c r="F443" s="20"/>
      <c r="G443" s="20"/>
    </row>
    <row r="444" spans="1:7" ht="15.75" thickBot="1">
      <c r="A444" s="165">
        <f>'Contractor''s Budget Detail'!B337</f>
        <v>13003</v>
      </c>
      <c r="B444" s="160" t="str">
        <f>VLOOKUP(A444,'Contractor''s Budget Detail'!$B$9:$C$461,2,FALSE)</f>
        <v>Freight</v>
      </c>
      <c r="C444" s="181" t="s">
        <v>1359</v>
      </c>
      <c r="D444" s="20"/>
      <c r="E444" s="20"/>
      <c r="F444" s="20"/>
      <c r="G444" s="20"/>
    </row>
    <row r="445" spans="1:7" ht="15.75" thickBot="1">
      <c r="A445" s="165">
        <f>'Contractor''s Budget Detail'!B338</f>
        <v>13004</v>
      </c>
      <c r="B445" s="160" t="str">
        <f>VLOOKUP(A445,'Contractor''s Budget Detail'!$B$9:$C$461,2,FALSE)</f>
        <v>Gradstands &amp; Bleachers</v>
      </c>
      <c r="C445" s="181" t="s">
        <v>1359</v>
      </c>
      <c r="D445" s="20"/>
      <c r="E445" s="20"/>
      <c r="F445" s="20"/>
      <c r="G445" s="20"/>
    </row>
    <row r="446" spans="1:7" ht="15.75" thickBot="1">
      <c r="A446" s="165">
        <f>'Contractor''s Budget Detail'!B339</f>
        <v>13005</v>
      </c>
      <c r="B446" s="160" t="str">
        <f>VLOOKUP(A446,'Contractor''s Budget Detail'!$B$9:$C$461,2,FALSE)</f>
        <v>Hangar Bird Netting</v>
      </c>
      <c r="C446" s="181" t="s">
        <v>1359</v>
      </c>
      <c r="D446" s="20"/>
      <c r="E446" s="20"/>
      <c r="F446" s="20"/>
      <c r="G446" s="20"/>
    </row>
    <row r="447" spans="1:7" ht="15.75" thickBot="1">
      <c r="A447" s="165">
        <f>'Contractor''s Budget Detail'!B340</f>
        <v>13006</v>
      </c>
      <c r="B447" s="160" t="str">
        <f>VLOOKUP(A447,'Contractor''s Budget Detail'!$B$9:$C$461,2,FALSE)</f>
        <v>Hangar Doors</v>
      </c>
      <c r="C447" s="181" t="s">
        <v>1359</v>
      </c>
      <c r="D447" s="20"/>
      <c r="E447" s="20"/>
      <c r="F447" s="20"/>
      <c r="G447" s="20"/>
    </row>
    <row r="448" spans="1:7" ht="15.75" thickBot="1">
      <c r="A448" s="165">
        <f>'Contractor''s Budget Detail'!B341</f>
        <v>13007</v>
      </c>
      <c r="B448" s="160" t="str">
        <f>VLOOKUP(A448,'Contractor''s Budget Detail'!$B$9:$C$461,2,FALSE)</f>
        <v>Pre-Engineered Structures</v>
      </c>
      <c r="C448" s="181" t="s">
        <v>1359</v>
      </c>
      <c r="D448" s="20"/>
      <c r="E448" s="20"/>
      <c r="F448" s="20"/>
      <c r="G448" s="20"/>
    </row>
    <row r="449" spans="1:7" ht="15.75" thickBot="1">
      <c r="A449" s="165">
        <f>'Contractor''s Budget Detail'!B342</f>
        <v>13008</v>
      </c>
      <c r="B449" s="160" t="str">
        <f>VLOOKUP(A449,'Contractor''s Budget Detail'!$B$9:$C$461,2,FALSE)</f>
        <v>Sauna</v>
      </c>
      <c r="C449" s="181" t="s">
        <v>1359</v>
      </c>
      <c r="D449" s="20"/>
      <c r="E449" s="20"/>
      <c r="F449" s="20"/>
      <c r="G449" s="20"/>
    </row>
    <row r="450" spans="1:7" ht="15.75" thickBot="1">
      <c r="A450" s="165">
        <f>'Contractor''s Budget Detail'!B343</f>
        <v>13009</v>
      </c>
      <c r="B450" s="160" t="str">
        <f>VLOOKUP(A450,'Contractor''s Budget Detail'!$B$9:$C$461,2,FALSE)</f>
        <v>Solar Energy Panels</v>
      </c>
      <c r="C450" s="181" t="s">
        <v>1359</v>
      </c>
      <c r="D450" s="20"/>
      <c r="E450" s="20"/>
      <c r="F450" s="20"/>
      <c r="G450" s="20"/>
    </row>
    <row r="451" spans="1:7" ht="15.75" thickBot="1">
      <c r="A451" s="165">
        <f>'Contractor''s Budget Detail'!B344</f>
        <v>13010</v>
      </c>
      <c r="B451" s="160" t="str">
        <f>VLOOKUP(A451,'Contractor''s Budget Detail'!$B$9:$C$461,2,FALSE)</f>
        <v>Other - Define</v>
      </c>
      <c r="C451" s="181" t="s">
        <v>1359</v>
      </c>
      <c r="D451" s="20"/>
      <c r="E451" s="20"/>
      <c r="F451" s="20"/>
      <c r="G451" s="20"/>
    </row>
    <row r="452" spans="1:7" ht="15.75" thickBot="1">
      <c r="A452" s="165">
        <f>'Contractor''s Budget Detail'!B345</f>
        <v>13011</v>
      </c>
      <c r="B452" s="160" t="str">
        <f>VLOOKUP(A452,'Contractor''s Budget Detail'!$B$9:$C$461,2,FALSE)</f>
        <v>Other - Define</v>
      </c>
      <c r="C452" s="181" t="s">
        <v>1359</v>
      </c>
      <c r="D452" s="20"/>
      <c r="E452" s="20"/>
      <c r="F452" s="20"/>
      <c r="G452" s="20"/>
    </row>
    <row r="453" spans="1:7" ht="15.75" thickBot="1">
      <c r="A453" s="165">
        <f>'Contractor''s Budget Detail'!B346</f>
        <v>13012</v>
      </c>
      <c r="B453" s="160" t="str">
        <f>VLOOKUP(A453,'Contractor''s Budget Detail'!$B$9:$C$461,2,FALSE)</f>
        <v>Other - Define</v>
      </c>
      <c r="C453" s="181" t="s">
        <v>1359</v>
      </c>
      <c r="D453" s="20"/>
      <c r="E453" s="20"/>
      <c r="F453" s="20"/>
      <c r="G453" s="20"/>
    </row>
    <row r="454" spans="1:7" ht="15.75" thickBot="1">
      <c r="A454" s="165">
        <f>'Contractor''s Budget Detail'!B347</f>
        <v>13013</v>
      </c>
      <c r="B454" s="160" t="str">
        <f>VLOOKUP(A454,'Contractor''s Budget Detail'!$B$9:$C$461,2,FALSE)</f>
        <v>Other - Define</v>
      </c>
      <c r="C454" s="181" t="s">
        <v>1359</v>
      </c>
      <c r="D454" s="20"/>
      <c r="E454" s="20"/>
      <c r="F454" s="20"/>
      <c r="G454" s="20"/>
    </row>
    <row r="455" spans="1:7" ht="15.75" thickBot="1">
      <c r="A455" s="165">
        <f>'Contractor''s Budget Detail'!B348</f>
        <v>13014</v>
      </c>
      <c r="B455" s="160" t="str">
        <f>VLOOKUP(A455,'Contractor''s Budget Detail'!$B$9:$C$461,2,FALSE)</f>
        <v>Other - Define</v>
      </c>
      <c r="C455" s="181" t="s">
        <v>1359</v>
      </c>
      <c r="D455" s="20"/>
      <c r="E455" s="20"/>
      <c r="F455" s="20"/>
      <c r="G455" s="20"/>
    </row>
    <row r="456" spans="1:7" ht="15.75" thickBot="1">
      <c r="A456" s="165">
        <f>'Contractor''s Budget Detail'!B349</f>
        <v>13015</v>
      </c>
      <c r="B456" s="160" t="str">
        <f>VLOOKUP(A456,'Contractor''s Budget Detail'!$B$9:$C$461,2,FALSE)</f>
        <v>Other - Define</v>
      </c>
      <c r="C456" s="181" t="s">
        <v>1359</v>
      </c>
      <c r="D456" s="20"/>
      <c r="E456" s="20"/>
      <c r="F456" s="20"/>
      <c r="G456" s="20"/>
    </row>
    <row r="457" spans="1:7" ht="15.75" thickBot="1">
      <c r="A457" s="165">
        <f>'Contractor''s Budget Detail'!B350</f>
        <v>13016</v>
      </c>
      <c r="B457" s="160" t="str">
        <f>VLOOKUP(A457,'Contractor''s Budget Detail'!$B$9:$C$461,2,FALSE)</f>
        <v>Other - Define</v>
      </c>
      <c r="C457" s="181" t="s">
        <v>1359</v>
      </c>
      <c r="D457" s="20"/>
      <c r="E457" s="20"/>
      <c r="F457" s="20"/>
      <c r="G457" s="20"/>
    </row>
    <row r="458" spans="1:7" ht="15.75" thickBot="1">
      <c r="A458" s="165">
        <f>'Contractor''s Budget Detail'!B351</f>
        <v>13017</v>
      </c>
      <c r="B458" s="160" t="str">
        <f>VLOOKUP(A458,'Contractor''s Budget Detail'!$B$9:$C$461,2,FALSE)</f>
        <v>Other - Define</v>
      </c>
      <c r="C458" s="181" t="s">
        <v>1359</v>
      </c>
      <c r="D458" s="20"/>
      <c r="E458" s="20"/>
      <c r="F458" s="20"/>
      <c r="G458" s="20"/>
    </row>
    <row r="459" spans="1:7" ht="15.75" thickBot="1">
      <c r="A459" s="159" t="str">
        <f>'Contractor''s Budget Detail'!A354</f>
        <v>Conveying Systems</v>
      </c>
      <c r="B459" s="160"/>
      <c r="D459" s="20"/>
      <c r="E459" s="20"/>
      <c r="F459" s="20"/>
      <c r="G459" s="20"/>
    </row>
    <row r="460" spans="1:7" ht="15.75" thickBot="1">
      <c r="A460" s="165">
        <f>'Contractor''s Budget Detail'!B355</f>
        <v>14001</v>
      </c>
      <c r="B460" s="160" t="str">
        <f>VLOOKUP(A460,'Contractor''s Budget Detail'!$B$9:$C$461,2,FALSE)</f>
        <v>Elevators</v>
      </c>
      <c r="C460" s="181" t="s">
        <v>1359</v>
      </c>
      <c r="D460" s="20"/>
      <c r="E460" s="20"/>
      <c r="F460" s="20"/>
      <c r="G460" s="20"/>
    </row>
    <row r="461" spans="1:7" ht="15.75" thickBot="1">
      <c r="A461" s="165">
        <f>'Contractor''s Budget Detail'!B356</f>
        <v>14002</v>
      </c>
      <c r="B461" s="160" t="str">
        <f>VLOOKUP(A461,'Contractor''s Budget Detail'!$B$9:$C$461,2,FALSE)</f>
        <v>Hoists &amp; Cranes</v>
      </c>
      <c r="C461" s="181" t="s">
        <v>1359</v>
      </c>
      <c r="D461" s="20"/>
      <c r="E461" s="20"/>
      <c r="F461" s="20"/>
      <c r="G461" s="20"/>
    </row>
    <row r="462" spans="1:7" ht="15.75" thickBot="1">
      <c r="A462" s="165">
        <f>'Contractor''s Budget Detail'!B357</f>
        <v>14003</v>
      </c>
      <c r="B462" s="160" t="str">
        <f>VLOOKUP(A462,'Contractor''s Budget Detail'!$B$9:$C$461,2,FALSE)</f>
        <v>Lifts</v>
      </c>
      <c r="C462" s="181" t="s">
        <v>1359</v>
      </c>
      <c r="D462" s="20"/>
      <c r="E462" s="20"/>
      <c r="F462" s="20"/>
      <c r="G462" s="20"/>
    </row>
    <row r="463" spans="1:7" ht="15.75" thickBot="1">
      <c r="A463" s="165">
        <f>'Contractor''s Budget Detail'!B358</f>
        <v>14004</v>
      </c>
      <c r="B463" s="160" t="str">
        <f>VLOOKUP(A463,'Contractor''s Budget Detail'!$B$9:$C$461,2,FALSE)</f>
        <v>Pneumatic Tube System</v>
      </c>
      <c r="C463" s="181" t="s">
        <v>1359</v>
      </c>
      <c r="D463" s="20"/>
      <c r="E463" s="20"/>
      <c r="F463" s="20"/>
      <c r="G463" s="20"/>
    </row>
    <row r="464" spans="1:7" ht="15.75" thickBot="1">
      <c r="A464" s="165">
        <f>'Contractor''s Budget Detail'!B359</f>
        <v>14005</v>
      </c>
      <c r="B464" s="160" t="str">
        <f>VLOOKUP(A464,'Contractor''s Budget Detail'!$B$9:$C$461,2,FALSE)</f>
        <v>Smoke Curtains</v>
      </c>
      <c r="C464" s="181" t="s">
        <v>1359</v>
      </c>
      <c r="D464" s="20"/>
      <c r="E464" s="20"/>
      <c r="F464" s="20"/>
      <c r="G464" s="20"/>
    </row>
    <row r="465" spans="1:7" ht="15.75" thickBot="1">
      <c r="A465" s="165">
        <f>'Contractor''s Budget Detail'!B360</f>
        <v>14006</v>
      </c>
      <c r="B465" s="160" t="str">
        <f>VLOOKUP(A465,'Contractor''s Budget Detail'!$B$9:$C$461,2,FALSE)</f>
        <v>Other - Define</v>
      </c>
      <c r="C465" s="181" t="s">
        <v>1359</v>
      </c>
      <c r="D465" s="20"/>
      <c r="E465" s="20"/>
      <c r="F465" s="20"/>
      <c r="G465" s="20"/>
    </row>
    <row r="466" spans="1:7" ht="15.75" thickBot="1">
      <c r="A466" s="165">
        <f>'Contractor''s Budget Detail'!B361</f>
        <v>14007</v>
      </c>
      <c r="B466" s="160" t="str">
        <f>VLOOKUP(A466,'Contractor''s Budget Detail'!$B$9:$C$461,2,FALSE)</f>
        <v>Other - Define</v>
      </c>
      <c r="C466" s="181" t="s">
        <v>1359</v>
      </c>
      <c r="D466" s="20"/>
      <c r="E466" s="20"/>
      <c r="F466" s="20"/>
      <c r="G466" s="20"/>
    </row>
    <row r="467" spans="1:7" ht="15.75" thickBot="1">
      <c r="A467" s="165">
        <f>'Contractor''s Budget Detail'!B362</f>
        <v>14008</v>
      </c>
      <c r="B467" s="160" t="str">
        <f>VLOOKUP(A467,'Contractor''s Budget Detail'!$B$9:$C$461,2,FALSE)</f>
        <v>Other - Define</v>
      </c>
      <c r="C467" s="181" t="s">
        <v>1359</v>
      </c>
      <c r="D467" s="20"/>
      <c r="E467" s="20"/>
      <c r="F467" s="20"/>
      <c r="G467" s="20"/>
    </row>
    <row r="468" spans="1:7" ht="15.75" thickBot="1">
      <c r="A468" s="165">
        <f>'Contractor''s Budget Detail'!B363</f>
        <v>14009</v>
      </c>
      <c r="B468" s="160" t="str">
        <f>VLOOKUP(A468,'Contractor''s Budget Detail'!$B$9:$C$461,2,FALSE)</f>
        <v>Other - Define</v>
      </c>
      <c r="C468" s="181" t="s">
        <v>1359</v>
      </c>
      <c r="D468" s="20"/>
      <c r="E468" s="20"/>
      <c r="F468" s="20"/>
      <c r="G468" s="20"/>
    </row>
    <row r="469" spans="1:7" ht="15.75" thickBot="1">
      <c r="A469" s="165">
        <f>'Contractor''s Budget Detail'!B364</f>
        <v>14010</v>
      </c>
      <c r="B469" s="160" t="str">
        <f>VLOOKUP(A469,'Contractor''s Budget Detail'!$B$9:$C$461,2,FALSE)</f>
        <v>Other - Define</v>
      </c>
      <c r="C469" s="181" t="s">
        <v>1359</v>
      </c>
      <c r="D469" s="20"/>
      <c r="E469" s="20"/>
      <c r="F469" s="20"/>
      <c r="G469" s="20"/>
    </row>
    <row r="470" spans="1:7" ht="15.75" thickBot="1">
      <c r="A470" s="165">
        <f>'Contractor''s Budget Detail'!B365</f>
        <v>14011</v>
      </c>
      <c r="B470" s="160" t="str">
        <f>VLOOKUP(A470,'Contractor''s Budget Detail'!$B$9:$C$461,2,FALSE)</f>
        <v>Other - Define</v>
      </c>
      <c r="C470" s="181" t="s">
        <v>1359</v>
      </c>
      <c r="D470" s="20"/>
      <c r="E470" s="20"/>
      <c r="F470" s="20"/>
      <c r="G470" s="20"/>
    </row>
    <row r="471" spans="1:7" ht="15.75" thickBot="1">
      <c r="A471" s="159" t="str">
        <f>'Contractor''s Budget Detail'!A368</f>
        <v>Mechanical &amp; Plumbing</v>
      </c>
      <c r="B471" s="160"/>
      <c r="D471" s="20"/>
      <c r="E471" s="20"/>
      <c r="F471" s="20"/>
      <c r="G471" s="20"/>
    </row>
    <row r="472" spans="1:7" ht="15.75" thickBot="1">
      <c r="A472" s="165">
        <f>'Contractor''s Budget Detail'!B369</f>
        <v>15001</v>
      </c>
      <c r="B472" s="160" t="str">
        <f>VLOOKUP(A472,'Contractor''s Budget Detail'!$B$9:$C$461,2,FALSE)</f>
        <v>Fire Protection / Fire Sprinklers</v>
      </c>
      <c r="C472" s="181" t="s">
        <v>1359</v>
      </c>
      <c r="D472" s="20"/>
      <c r="E472" s="20"/>
      <c r="F472" s="20"/>
      <c r="G472" s="20"/>
    </row>
    <row r="473" spans="1:7" ht="15.75" thickBot="1">
      <c r="A473" s="165">
        <f>'Contractor''s Budget Detail'!B370</f>
        <v>15002</v>
      </c>
      <c r="B473" s="160" t="str">
        <f>VLOOKUP(A473,'Contractor''s Budget Detail'!$B$9:$C$461,2,FALSE)</f>
        <v>HVAC</v>
      </c>
      <c r="C473" s="181" t="s">
        <v>1359</v>
      </c>
      <c r="D473" s="20"/>
      <c r="E473" s="20"/>
      <c r="F473" s="20"/>
      <c r="G473" s="20"/>
    </row>
    <row r="474" spans="1:7" ht="15.75" thickBot="1">
      <c r="A474" s="165">
        <f>'Contractor''s Budget Detail'!B371</f>
        <v>15003</v>
      </c>
      <c r="B474" s="160" t="str">
        <f>VLOOKUP(A474,'Contractor''s Budget Detail'!$B$9:$C$461,2,FALSE)</f>
        <v>Plumbing</v>
      </c>
      <c r="C474" s="181" t="s">
        <v>1359</v>
      </c>
      <c r="D474" s="20"/>
      <c r="E474" s="20"/>
      <c r="F474" s="20"/>
      <c r="G474" s="20"/>
    </row>
    <row r="475" spans="1:7" ht="15.75" thickBot="1">
      <c r="A475" s="165">
        <f>'Contractor''s Budget Detail'!B372</f>
        <v>15004</v>
      </c>
      <c r="B475" s="160" t="str">
        <f>VLOOKUP(A475,'Contractor''s Budget Detail'!$B$9:$C$461,2,FALSE)</f>
        <v>Refrigeration</v>
      </c>
      <c r="C475" s="181" t="s">
        <v>1359</v>
      </c>
      <c r="D475" s="20"/>
      <c r="E475" s="20"/>
      <c r="F475" s="20"/>
      <c r="G475" s="20"/>
    </row>
    <row r="476" spans="1:7" ht="15.75" thickBot="1">
      <c r="A476" s="165">
        <f>'Contractor''s Budget Detail'!B373</f>
        <v>15005</v>
      </c>
      <c r="B476" s="160" t="str">
        <f>VLOOKUP(A476,'Contractor''s Budget Detail'!$B$9:$C$461,2,FALSE)</f>
        <v>Other - Define</v>
      </c>
      <c r="C476" s="181" t="s">
        <v>1359</v>
      </c>
      <c r="D476" s="20"/>
      <c r="E476" s="20"/>
      <c r="F476" s="20"/>
      <c r="G476" s="20"/>
    </row>
    <row r="477" spans="1:7" ht="15.75" thickBot="1">
      <c r="A477" s="165">
        <f>'Contractor''s Budget Detail'!B374</f>
        <v>15006</v>
      </c>
      <c r="B477" s="160" t="str">
        <f>VLOOKUP(A477,'Contractor''s Budget Detail'!$B$9:$C$461,2,FALSE)</f>
        <v>Other - Define</v>
      </c>
      <c r="C477" s="181" t="s">
        <v>1359</v>
      </c>
      <c r="D477" s="20"/>
      <c r="E477" s="20"/>
      <c r="F477" s="20"/>
      <c r="G477" s="20"/>
    </row>
    <row r="478" spans="1:7" ht="15.75" thickBot="1">
      <c r="A478" s="165">
        <f>'Contractor''s Budget Detail'!B375</f>
        <v>15007</v>
      </c>
      <c r="B478" s="160" t="str">
        <f>VLOOKUP(A478,'Contractor''s Budget Detail'!$B$9:$C$461,2,FALSE)</f>
        <v>Other - Define</v>
      </c>
      <c r="C478" s="181" t="s">
        <v>1359</v>
      </c>
      <c r="D478" s="20"/>
      <c r="E478" s="20"/>
      <c r="F478" s="20"/>
      <c r="G478" s="20"/>
    </row>
    <row r="479" spans="1:7" ht="15.75" thickBot="1">
      <c r="A479" s="165">
        <f>'Contractor''s Budget Detail'!B376</f>
        <v>15008</v>
      </c>
      <c r="B479" s="160" t="str">
        <f>VLOOKUP(A479,'Contractor''s Budget Detail'!$B$9:$C$461,2,FALSE)</f>
        <v>Other - Define</v>
      </c>
      <c r="C479" s="181" t="s">
        <v>1359</v>
      </c>
      <c r="D479" s="20"/>
      <c r="E479" s="20"/>
      <c r="F479" s="20"/>
      <c r="G479" s="20"/>
    </row>
    <row r="480" spans="1:7" ht="15.75" thickBot="1">
      <c r="A480" s="165">
        <f>'Contractor''s Budget Detail'!B377</f>
        <v>15009</v>
      </c>
      <c r="B480" s="160" t="str">
        <f>VLOOKUP(A480,'Contractor''s Budget Detail'!$B$9:$C$461,2,FALSE)</f>
        <v>Other - Define</v>
      </c>
      <c r="C480" s="181" t="s">
        <v>1359</v>
      </c>
      <c r="D480" s="20"/>
      <c r="E480" s="20"/>
      <c r="F480" s="20"/>
      <c r="G480" s="20"/>
    </row>
    <row r="481" spans="1:7" ht="15.75" thickBot="1">
      <c r="A481" s="165">
        <f>'Contractor''s Budget Detail'!B378</f>
        <v>15010</v>
      </c>
      <c r="B481" s="160" t="str">
        <f>VLOOKUP(A481,'Contractor''s Budget Detail'!$B$9:$C$461,2,FALSE)</f>
        <v>Other - Define</v>
      </c>
      <c r="C481" s="181" t="s">
        <v>1359</v>
      </c>
      <c r="D481" s="20"/>
      <c r="E481" s="20"/>
      <c r="F481" s="20"/>
      <c r="G481" s="20"/>
    </row>
    <row r="482" spans="1:7" ht="15.75" thickBot="1">
      <c r="A482" s="165">
        <f>'Contractor''s Budget Detail'!B379</f>
        <v>15011</v>
      </c>
      <c r="B482" s="160" t="str">
        <f>VLOOKUP(A482,'Contractor''s Budget Detail'!$B$9:$C$461,2,FALSE)</f>
        <v>Other - Define</v>
      </c>
      <c r="C482" s="181" t="s">
        <v>1359</v>
      </c>
      <c r="D482" s="20"/>
      <c r="E482" s="20"/>
      <c r="F482" s="20"/>
      <c r="G482" s="20"/>
    </row>
    <row r="483" spans="1:7" ht="15.75" thickBot="1">
      <c r="A483" s="165">
        <f>'Contractor''s Budget Detail'!B380</f>
        <v>15012</v>
      </c>
      <c r="B483" s="160" t="str">
        <f>VLOOKUP(A483,'Contractor''s Budget Detail'!$B$9:$C$461,2,FALSE)</f>
        <v>Other - Define</v>
      </c>
      <c r="C483" s="181" t="s">
        <v>1359</v>
      </c>
      <c r="D483" s="20"/>
      <c r="E483" s="20"/>
      <c r="F483" s="20"/>
      <c r="G483" s="20"/>
    </row>
    <row r="484" spans="1:7" ht="15.75" thickBot="1">
      <c r="A484" s="159" t="str">
        <f>'Contractor''s Budget Detail'!A383</f>
        <v>Electrical</v>
      </c>
      <c r="B484" s="160"/>
      <c r="D484" s="20"/>
      <c r="E484" s="20"/>
      <c r="F484" s="20"/>
      <c r="G484" s="20"/>
    </row>
    <row r="485" spans="1:7" ht="15.75" thickBot="1">
      <c r="A485" s="165">
        <f>'Contractor''s Budget Detail'!B384</f>
        <v>16001</v>
      </c>
      <c r="B485" s="160" t="str">
        <f>VLOOKUP(A485,'Contractor''s Budget Detail'!$B$9:$C$461,2,FALSE)</f>
        <v>Communications / Fiberoptic Networks</v>
      </c>
      <c r="C485" s="181" t="s">
        <v>1359</v>
      </c>
      <c r="D485" s="20"/>
      <c r="E485" s="20"/>
      <c r="F485" s="20"/>
      <c r="G485" s="20"/>
    </row>
    <row r="486" spans="1:7" ht="15.75" thickBot="1">
      <c r="A486" s="165">
        <f>'Contractor''s Budget Detail'!B385</f>
        <v>16002</v>
      </c>
      <c r="B486" s="160" t="str">
        <f>VLOOKUP(A486,'Contractor''s Budget Detail'!$B$9:$C$461,2,FALSE)</f>
        <v>Electrical</v>
      </c>
      <c r="C486" s="181" t="s">
        <v>1359</v>
      </c>
      <c r="D486" s="20"/>
      <c r="E486" s="20"/>
      <c r="F486" s="20"/>
      <c r="G486" s="20"/>
    </row>
    <row r="487" spans="1:7" ht="15.75" thickBot="1">
      <c r="A487" s="165">
        <f>'Contractor''s Budget Detail'!B386</f>
        <v>16003</v>
      </c>
      <c r="B487" s="160" t="str">
        <f>VLOOKUP(A487,'Contractor''s Budget Detail'!$B$9:$C$461,2,FALSE)</f>
        <v>Security Systems /  Access</v>
      </c>
      <c r="C487" s="181" t="s">
        <v>1359</v>
      </c>
      <c r="D487" s="20"/>
      <c r="E487" s="20"/>
      <c r="F487" s="20"/>
      <c r="G487" s="20"/>
    </row>
    <row r="488" spans="1:7" ht="15.75" thickBot="1">
      <c r="A488" s="165">
        <f>'Contractor''s Budget Detail'!B387</f>
        <v>16004</v>
      </c>
      <c r="B488" s="160" t="str">
        <f>VLOOKUP(A488,'Contractor''s Budget Detail'!$B$9:$C$461,2,FALSE)</f>
        <v>Other - Define</v>
      </c>
      <c r="C488" s="181" t="s">
        <v>1359</v>
      </c>
      <c r="D488" s="20"/>
      <c r="E488" s="20"/>
      <c r="F488" s="20"/>
      <c r="G488" s="20"/>
    </row>
    <row r="489" spans="1:7" ht="15.75" thickBot="1">
      <c r="A489" s="165">
        <f>'Contractor''s Budget Detail'!B388</f>
        <v>16005</v>
      </c>
      <c r="B489" s="160" t="str">
        <f>VLOOKUP(A489,'Contractor''s Budget Detail'!$B$9:$C$461,2,FALSE)</f>
        <v>Other - Define</v>
      </c>
      <c r="C489" s="181" t="s">
        <v>1359</v>
      </c>
      <c r="D489" s="20"/>
      <c r="E489" s="20"/>
      <c r="F489" s="20"/>
      <c r="G489" s="20"/>
    </row>
    <row r="490" spans="1:7" ht="15.75" thickBot="1">
      <c r="A490" s="165">
        <f>'Contractor''s Budget Detail'!B389</f>
        <v>16006</v>
      </c>
      <c r="B490" s="160" t="str">
        <f>VLOOKUP(A490,'Contractor''s Budget Detail'!$B$9:$C$461,2,FALSE)</f>
        <v>Other - Define</v>
      </c>
      <c r="C490" s="181" t="s">
        <v>1359</v>
      </c>
      <c r="D490" s="20"/>
      <c r="E490" s="20"/>
      <c r="F490" s="20"/>
      <c r="G490" s="20"/>
    </row>
    <row r="491" spans="1:7" ht="15.75" thickBot="1">
      <c r="A491" s="165">
        <f>'Contractor''s Budget Detail'!B390</f>
        <v>16007</v>
      </c>
      <c r="B491" s="160" t="str">
        <f>VLOOKUP(A491,'Contractor''s Budget Detail'!$B$9:$C$461,2,FALSE)</f>
        <v>Other - Define</v>
      </c>
      <c r="C491" s="181" t="s">
        <v>1359</v>
      </c>
      <c r="D491" s="20"/>
      <c r="E491" s="20"/>
      <c r="F491" s="20"/>
      <c r="G491" s="20"/>
    </row>
    <row r="492" spans="1:7" ht="15.75" thickBot="1">
      <c r="A492" s="165">
        <f>'Contractor''s Budget Detail'!B391</f>
        <v>16008</v>
      </c>
      <c r="B492" s="160" t="str">
        <f>VLOOKUP(A492,'Contractor''s Budget Detail'!$B$9:$C$461,2,FALSE)</f>
        <v>Other - Define</v>
      </c>
      <c r="C492" s="181" t="s">
        <v>1359</v>
      </c>
      <c r="D492" s="20"/>
      <c r="E492" s="20"/>
      <c r="F492" s="20"/>
      <c r="G492" s="20"/>
    </row>
    <row r="493" spans="1:7" ht="15.75" thickBot="1">
      <c r="A493" s="165">
        <f>'Contractor''s Budget Detail'!B392</f>
        <v>16009</v>
      </c>
      <c r="B493" s="160" t="str">
        <f>VLOOKUP(A493,'Contractor''s Budget Detail'!$B$9:$C$461,2,FALSE)</f>
        <v>Other - Define</v>
      </c>
      <c r="C493" s="181" t="s">
        <v>1359</v>
      </c>
      <c r="D493" s="20"/>
      <c r="E493" s="20"/>
      <c r="F493" s="20"/>
      <c r="G493" s="20"/>
    </row>
    <row r="494" spans="1:7" ht="15.75" thickBot="1">
      <c r="A494" s="165">
        <f>'Contractor''s Budget Detail'!B393</f>
        <v>16010</v>
      </c>
      <c r="B494" s="160" t="str">
        <f>VLOOKUP(A494,'Contractor''s Budget Detail'!$B$9:$C$461,2,FALSE)</f>
        <v>Other - Define</v>
      </c>
      <c r="C494" s="181" t="s">
        <v>1359</v>
      </c>
      <c r="D494" s="20"/>
      <c r="E494" s="20"/>
      <c r="F494" s="20"/>
      <c r="G494" s="20"/>
    </row>
    <row r="495" spans="1:7" ht="15.75" thickBot="1">
      <c r="A495" s="159" t="str">
        <f>'Contractor''s Budget Detail'!A396</f>
        <v>Extended Contractor Services</v>
      </c>
      <c r="B495" s="160"/>
      <c r="D495" s="20"/>
      <c r="E495" s="20"/>
      <c r="F495" s="20"/>
      <c r="G495" s="20"/>
    </row>
    <row r="496" spans="1:7" ht="15.75" thickBot="1">
      <c r="A496" s="165">
        <f>'Contractor''s Budget Detail'!B397</f>
        <v>17001</v>
      </c>
      <c r="B496" s="160" t="str">
        <f>VLOOKUP(A496,'Contractor''s Budget Detail'!$B$9:$C$461,2,FALSE)</f>
        <v>Cleaning /  Dumpsters</v>
      </c>
      <c r="C496" s="181" t="s">
        <v>1359</v>
      </c>
      <c r="D496" s="20"/>
      <c r="E496" s="20"/>
      <c r="F496" s="20"/>
      <c r="G496" s="20"/>
    </row>
    <row r="497" spans="1:7" ht="15.75" thickBot="1">
      <c r="A497" s="165">
        <f>'Contractor''s Budget Detail'!B398</f>
        <v>17002</v>
      </c>
      <c r="B497" s="160" t="str">
        <f>VLOOKUP(A497,'Contractor''s Budget Detail'!$B$9:$C$461,2,FALSE)</f>
        <v>Dual Man Hoist &amp; Operators</v>
      </c>
      <c r="C497" s="181" t="s">
        <v>1359</v>
      </c>
      <c r="D497" s="20"/>
      <c r="E497" s="20"/>
      <c r="F497" s="20"/>
      <c r="G497" s="20"/>
    </row>
    <row r="498" spans="1:7" ht="15.75" thickBot="1">
      <c r="A498" s="165">
        <f>'Contractor''s Budget Detail'!B399</f>
        <v>17003</v>
      </c>
      <c r="B498" s="160" t="str">
        <f>VLOOKUP(A498,'Contractor''s Budget Detail'!$B$9:$C$461,2,FALSE)</f>
        <v>Fire-Life Testing &amp; Safety Inspections</v>
      </c>
      <c r="C498" s="181" t="s">
        <v>1359</v>
      </c>
      <c r="D498" s="20"/>
      <c r="E498" s="20"/>
      <c r="F498" s="20"/>
      <c r="G498" s="20"/>
    </row>
    <row r="499" spans="1:7" ht="15.75" thickBot="1">
      <c r="A499" s="165">
        <f>'Contractor''s Budget Detail'!B400</f>
        <v>17004</v>
      </c>
      <c r="B499" s="160" t="str">
        <f>VLOOKUP(A499,'Contractor''s Budget Detail'!$B$9:$C$461,2,FALSE)</f>
        <v>LEED Consultant, Testing &amp; Commissioning Agent</v>
      </c>
      <c r="C499" s="181" t="s">
        <v>1359</v>
      </c>
      <c r="D499" s="20"/>
      <c r="E499" s="20"/>
      <c r="F499" s="20"/>
      <c r="G499" s="20"/>
    </row>
    <row r="500" spans="1:7" ht="15.75" thickBot="1">
      <c r="A500" s="165">
        <f>'Contractor''s Budget Detail'!B401</f>
        <v>17005</v>
      </c>
      <c r="B500" s="160" t="str">
        <f>VLOOKUP(A500,'Contractor''s Budget Detail'!$B$9:$C$461,2,FALSE)</f>
        <v>OSHA Compliance</v>
      </c>
      <c r="C500" s="181" t="s">
        <v>1359</v>
      </c>
      <c r="D500" s="20"/>
      <c r="E500" s="20"/>
      <c r="F500" s="20"/>
      <c r="G500" s="20"/>
    </row>
    <row r="501" spans="1:7" ht="15.75" thickBot="1">
      <c r="A501" s="165">
        <f>'Contractor''s Budget Detail'!B402</f>
        <v>17006</v>
      </c>
      <c r="B501" s="160" t="str">
        <f>VLOOKUP(A501,'Contractor''s Budget Detail'!$B$9:$C$461,2,FALSE)</f>
        <v>Punch Work</v>
      </c>
      <c r="C501" s="181" t="s">
        <v>1359</v>
      </c>
      <c r="D501" s="20"/>
      <c r="E501" s="20"/>
      <c r="F501" s="20"/>
      <c r="G501" s="20"/>
    </row>
    <row r="502" spans="1:7" ht="15.75" thickBot="1">
      <c r="A502" s="165">
        <f>'Contractor''s Budget Detail'!B403</f>
        <v>17007</v>
      </c>
      <c r="B502" s="160" t="str">
        <f>VLOOKUP(A502,'Contractor''s Budget Detail'!$B$9:$C$461,2,FALSE)</f>
        <v>Soil Improvement Analytical Testing</v>
      </c>
      <c r="C502" s="181" t="s">
        <v>1359</v>
      </c>
      <c r="D502" s="20"/>
      <c r="E502" s="20"/>
      <c r="F502" s="20"/>
      <c r="G502" s="20"/>
    </row>
    <row r="503" spans="1:7" ht="15.75" thickBot="1">
      <c r="A503" s="165">
        <f>'Contractor''s Budget Detail'!B404</f>
        <v>17008</v>
      </c>
      <c r="B503" s="160" t="str">
        <f>VLOOKUP(A503,'Contractor''s Budget Detail'!$B$9:$C$461,2,FALSE)</f>
        <v>Temporary Stairs, Lifts</v>
      </c>
      <c r="C503" s="181" t="s">
        <v>1359</v>
      </c>
      <c r="D503" s="20"/>
      <c r="E503" s="20"/>
      <c r="F503" s="20"/>
      <c r="G503" s="20"/>
    </row>
    <row r="504" spans="1:7" ht="15.75" thickBot="1">
      <c r="A504" s="165">
        <f>'Contractor''s Budget Detail'!B405</f>
        <v>17009</v>
      </c>
      <c r="B504" s="160" t="str">
        <f>VLOOKUP(A504,'Contractor''s Budget Detail'!$B$9:$C$461,2,FALSE)</f>
        <v>Other - Site Logistics</v>
      </c>
      <c r="C504" s="181" t="s">
        <v>1359</v>
      </c>
      <c r="D504" s="20"/>
      <c r="E504" s="20"/>
      <c r="F504" s="20"/>
      <c r="G504" s="20"/>
    </row>
    <row r="505" spans="1:7" ht="15.75" thickBot="1">
      <c r="A505" s="165">
        <f>'Contractor''s Budget Detail'!B406</f>
        <v>17010</v>
      </c>
      <c r="B505" s="160" t="str">
        <f>VLOOKUP(A505,'Contractor''s Budget Detail'!$B$9:$C$461,2,FALSE)</f>
        <v>Other - Define</v>
      </c>
      <c r="C505" s="181" t="s">
        <v>1359</v>
      </c>
      <c r="D505" s="20"/>
      <c r="E505" s="20"/>
      <c r="F505" s="20"/>
      <c r="G505" s="20"/>
    </row>
    <row r="506" spans="1:7" ht="15.75" thickBot="1">
      <c r="A506" s="165">
        <f>'Contractor''s Budget Detail'!B407</f>
        <v>17011</v>
      </c>
      <c r="B506" s="160" t="str">
        <f>VLOOKUP(A506,'Contractor''s Budget Detail'!$B$9:$C$461,2,FALSE)</f>
        <v>Other - Define</v>
      </c>
      <c r="C506" s="181" t="s">
        <v>1359</v>
      </c>
      <c r="D506" s="20"/>
      <c r="E506" s="20"/>
      <c r="F506" s="20"/>
      <c r="G506" s="20"/>
    </row>
    <row r="507" spans="1:7" ht="15.75" thickBot="1">
      <c r="A507" s="165">
        <f>'Contractor''s Budget Detail'!B408</f>
        <v>17012</v>
      </c>
      <c r="B507" s="160" t="str">
        <f>VLOOKUP(A507,'Contractor''s Budget Detail'!$B$9:$C$461,2,FALSE)</f>
        <v>Other - Define</v>
      </c>
      <c r="C507" s="181" t="s">
        <v>1359</v>
      </c>
      <c r="D507" s="20"/>
      <c r="E507" s="20"/>
      <c r="F507" s="20"/>
      <c r="G507" s="20"/>
    </row>
    <row r="508" spans="1:7" ht="15.75" thickBot="1">
      <c r="A508" s="165">
        <f>'Contractor''s Budget Detail'!B409</f>
        <v>17013</v>
      </c>
      <c r="B508" s="160" t="str">
        <f>VLOOKUP(A508,'Contractor''s Budget Detail'!$B$9:$C$461,2,FALSE)</f>
        <v>Other - Define</v>
      </c>
      <c r="C508" s="181" t="s">
        <v>1359</v>
      </c>
      <c r="D508" s="20"/>
      <c r="E508" s="20"/>
      <c r="F508" s="20"/>
      <c r="G508" s="20"/>
    </row>
    <row r="509" spans="1:7" ht="15.75" thickBot="1">
      <c r="A509" s="165">
        <f>'Contractor''s Budget Detail'!B410</f>
        <v>17014</v>
      </c>
      <c r="B509" s="160" t="str">
        <f>VLOOKUP(A509,'Contractor''s Budget Detail'!$B$9:$C$461,2,FALSE)</f>
        <v>Other - Define</v>
      </c>
      <c r="C509" s="181" t="s">
        <v>1359</v>
      </c>
      <c r="D509" s="20"/>
      <c r="E509" s="20"/>
      <c r="F509" s="20"/>
      <c r="G509" s="20"/>
    </row>
    <row r="510" spans="1:7" ht="15.75" thickBot="1">
      <c r="A510" s="165">
        <f>'Contractor''s Budget Detail'!B411</f>
        <v>17015</v>
      </c>
      <c r="B510" s="160" t="str">
        <f>VLOOKUP(A510,'Contractor''s Budget Detail'!$B$9:$C$461,2,FALSE)</f>
        <v>Other - Define</v>
      </c>
      <c r="C510" s="181" t="s">
        <v>1359</v>
      </c>
      <c r="D510" s="20"/>
      <c r="E510" s="20"/>
      <c r="F510" s="20"/>
      <c r="G510" s="20"/>
    </row>
    <row r="511" spans="1:7" ht="15.75" thickBot="1">
      <c r="A511" s="165">
        <f>'Contractor''s Budget Detail'!B412</f>
        <v>17016</v>
      </c>
      <c r="B511" s="160" t="str">
        <f>VLOOKUP(A511,'Contractor''s Budget Detail'!$B$9:$C$461,2,FALSE)</f>
        <v>Other - Define</v>
      </c>
      <c r="C511" s="181" t="s">
        <v>1359</v>
      </c>
      <c r="D511" s="20"/>
      <c r="E511" s="20"/>
      <c r="F511" s="20"/>
      <c r="G511" s="20"/>
    </row>
    <row r="512" spans="1:7" ht="15.75" thickBot="1">
      <c r="A512" s="165">
        <f>'Contractor''s Budget Detail'!B413</f>
        <v>17017</v>
      </c>
      <c r="B512" s="160" t="str">
        <f>VLOOKUP(A512,'Contractor''s Budget Detail'!$B$9:$C$461,2,FALSE)</f>
        <v>Other - Define</v>
      </c>
      <c r="C512" s="181" t="s">
        <v>1359</v>
      </c>
      <c r="D512" s="20"/>
      <c r="E512" s="20"/>
      <c r="F512" s="20"/>
      <c r="G512" s="20"/>
    </row>
    <row r="513" spans="1:7" ht="15.75" thickBot="1">
      <c r="A513" s="159" t="str">
        <f>'Contractor''s Budget Detail'!A416</f>
        <v>Upgrades</v>
      </c>
      <c r="B513" s="160"/>
      <c r="D513" s="20"/>
      <c r="E513" s="20"/>
      <c r="F513" s="20"/>
      <c r="G513" s="20"/>
    </row>
    <row r="514" spans="1:7" ht="15.75" thickBot="1">
      <c r="A514" s="165">
        <f>'Contractor''s Budget Detail'!B417</f>
        <v>18001</v>
      </c>
      <c r="B514" s="160" t="str">
        <f>VLOOKUP(A514,'Contractor''s Budget Detail'!$B$9:$C$461,2,FALSE)</f>
        <v>Plan Change Upgrades</v>
      </c>
      <c r="C514" s="181" t="s">
        <v>1359</v>
      </c>
      <c r="D514" s="20"/>
      <c r="E514" s="20"/>
      <c r="F514" s="20"/>
      <c r="G514" s="20"/>
    </row>
    <row r="515" spans="1:7" ht="15.75" thickBot="1">
      <c r="A515" s="165">
        <f>'Contractor''s Budget Detail'!B418</f>
        <v>18002</v>
      </c>
      <c r="B515" s="160" t="str">
        <f>VLOOKUP(A515,'Contractor''s Budget Detail'!$B$9:$C$461,2,FALSE)</f>
        <v>Other - Define</v>
      </c>
      <c r="C515" s="181" t="s">
        <v>1359</v>
      </c>
      <c r="D515" s="20"/>
      <c r="E515" s="20"/>
      <c r="F515" s="20"/>
      <c r="G515" s="20"/>
    </row>
    <row r="516" spans="1:7" ht="15.75" thickBot="1">
      <c r="A516" s="165">
        <f>'Contractor''s Budget Detail'!B419</f>
        <v>18003</v>
      </c>
      <c r="B516" s="160" t="str">
        <f>VLOOKUP(A516,'Contractor''s Budget Detail'!$B$9:$C$461,2,FALSE)</f>
        <v>Other - Define</v>
      </c>
      <c r="C516" s="181" t="s">
        <v>1359</v>
      </c>
      <c r="D516" s="20"/>
      <c r="E516" s="20"/>
      <c r="F516" s="20"/>
      <c r="G516" s="20"/>
    </row>
    <row r="517" spans="1:7" ht="15.75" thickBot="1">
      <c r="A517" s="165">
        <f>'Contractor''s Budget Detail'!B420</f>
        <v>18004</v>
      </c>
      <c r="B517" s="160" t="str">
        <f>VLOOKUP(A517,'Contractor''s Budget Detail'!$B$9:$C$461,2,FALSE)</f>
        <v>Other - Define</v>
      </c>
      <c r="C517" s="181" t="s">
        <v>1359</v>
      </c>
      <c r="D517" s="20"/>
      <c r="E517" s="20"/>
      <c r="F517" s="20"/>
      <c r="G517" s="20"/>
    </row>
    <row r="518" spans="1:7" ht="15.75" thickBot="1">
      <c r="A518" s="165">
        <f>'Contractor''s Budget Detail'!B421</f>
        <v>18005</v>
      </c>
      <c r="B518" s="160" t="str">
        <f>VLOOKUP(A518,'Contractor''s Budget Detail'!$B$9:$C$461,2,FALSE)</f>
        <v>Other - Define</v>
      </c>
      <c r="C518" s="181" t="s">
        <v>1359</v>
      </c>
      <c r="D518" s="20"/>
      <c r="E518" s="20"/>
      <c r="F518" s="20"/>
      <c r="G518" s="20"/>
    </row>
    <row r="519" spans="1:7" ht="15.75" thickBot="1">
      <c r="A519" s="165">
        <f>'Contractor''s Budget Detail'!B422</f>
        <v>18006</v>
      </c>
      <c r="B519" s="160" t="str">
        <f>VLOOKUP(A519,'Contractor''s Budget Detail'!$B$9:$C$461,2,FALSE)</f>
        <v>Other - Define</v>
      </c>
      <c r="C519" s="181" t="s">
        <v>1359</v>
      </c>
      <c r="D519" s="20"/>
      <c r="E519" s="20"/>
      <c r="F519" s="20"/>
      <c r="G519" s="20"/>
    </row>
    <row r="520" spans="1:7" ht="15.75" thickBot="1">
      <c r="A520" s="165">
        <f>'Contractor''s Budget Detail'!B423</f>
        <v>18007</v>
      </c>
      <c r="B520" s="160" t="str">
        <f>VLOOKUP(A520,'Contractor''s Budget Detail'!$B$9:$C$461,2,FALSE)</f>
        <v>Other - Define</v>
      </c>
      <c r="C520" s="181" t="s">
        <v>1359</v>
      </c>
      <c r="D520" s="20"/>
      <c r="E520" s="20"/>
      <c r="F520" s="20"/>
      <c r="G520" s="20"/>
    </row>
    <row r="521" spans="1:7" ht="15.75" thickBot="1">
      <c r="A521" s="165">
        <f>'Contractor''s Budget Detail'!B424</f>
        <v>18008</v>
      </c>
      <c r="B521" s="160" t="str">
        <f>VLOOKUP(A521,'Contractor''s Budget Detail'!$B$9:$C$461,2,FALSE)</f>
        <v>Other - Define</v>
      </c>
      <c r="C521" s="181" t="s">
        <v>1359</v>
      </c>
      <c r="D521" s="20"/>
      <c r="E521" s="20"/>
      <c r="F521" s="20"/>
      <c r="G521" s="20"/>
    </row>
    <row r="522" spans="1:7" ht="15.75" thickBot="1">
      <c r="A522" s="165">
        <f>'Contractor''s Budget Detail'!B425</f>
        <v>18009</v>
      </c>
      <c r="B522" s="160" t="str">
        <f>VLOOKUP(A522,'Contractor''s Budget Detail'!$B$9:$C$461,2,FALSE)</f>
        <v>Other - Define</v>
      </c>
      <c r="C522" s="181" t="s">
        <v>1359</v>
      </c>
      <c r="D522" s="20"/>
      <c r="E522" s="20"/>
      <c r="F522" s="20"/>
      <c r="G522" s="20"/>
    </row>
    <row r="523" spans="1:7" ht="15.75" thickBot="1">
      <c r="A523" s="159" t="str">
        <f>'Contractor''s Budget Detail'!A430</f>
        <v>Contractor Insurance &amp; Bonding</v>
      </c>
      <c r="B523" s="160"/>
      <c r="D523" s="20"/>
      <c r="E523" s="20"/>
      <c r="F523" s="20"/>
      <c r="G523" s="20"/>
    </row>
    <row r="524" spans="1:7" ht="15.75" thickBot="1">
      <c r="A524" s="165">
        <f>'Contractor''s Budget Detail'!B431</f>
        <v>19001</v>
      </c>
      <c r="B524" s="160" t="str">
        <f>VLOOKUP(A524,'Contractor''s Budget Detail'!$B$9:$C$461,2,FALSE)</f>
        <v>GC Bonds &amp; Warranties</v>
      </c>
      <c r="C524" s="181" t="s">
        <v>1359</v>
      </c>
      <c r="D524" s="20"/>
      <c r="E524" s="20"/>
      <c r="F524" s="20"/>
      <c r="G524" s="20"/>
    </row>
    <row r="525" spans="1:7" ht="15.75" thickBot="1">
      <c r="A525" s="165">
        <f>'Contractor''s Budget Detail'!B432</f>
        <v>19002</v>
      </c>
      <c r="B525" s="160" t="str">
        <f>VLOOKUP(A525,'Contractor''s Budget Detail'!$B$9:$C$461,2,FALSE)</f>
        <v>GC Liability Policy</v>
      </c>
      <c r="C525" s="181" t="s">
        <v>1359</v>
      </c>
      <c r="D525" s="20"/>
      <c r="E525" s="20"/>
      <c r="F525" s="20"/>
      <c r="G525" s="20"/>
    </row>
    <row r="526" spans="1:7" ht="15.75" thickBot="1">
      <c r="A526" s="165">
        <f>'Contractor''s Budget Detail'!B433</f>
        <v>19003</v>
      </c>
      <c r="B526" s="160" t="str">
        <f>VLOOKUP(A526,'Contractor''s Budget Detail'!$B$9:$C$461,2,FALSE)</f>
        <v>OCIP / Course of Const./Builder's Risk</v>
      </c>
      <c r="C526" s="181" t="s">
        <v>1359</v>
      </c>
      <c r="D526" s="20"/>
      <c r="E526" s="20"/>
      <c r="F526" s="20"/>
      <c r="G526" s="20"/>
    </row>
    <row r="527" spans="1:7" ht="15.75" thickBot="1">
      <c r="A527" s="165">
        <f>'Contractor''s Budget Detail'!B434</f>
        <v>19004</v>
      </c>
      <c r="B527" s="160" t="str">
        <f>VLOOKUP(A527,'Contractor''s Budget Detail'!$B$9:$C$461,2,FALSE)</f>
        <v>Pollution</v>
      </c>
      <c r="C527" s="181" t="s">
        <v>1359</v>
      </c>
      <c r="D527" s="20"/>
      <c r="E527" s="20"/>
      <c r="F527" s="20"/>
      <c r="G527" s="20"/>
    </row>
    <row r="528" spans="1:7" ht="15.75" thickBot="1">
      <c r="A528" s="165">
        <f>'Contractor''s Budget Detail'!B435</f>
        <v>19005</v>
      </c>
      <c r="B528" s="160" t="str">
        <f>VLOOKUP(A528,'Contractor''s Budget Detail'!$B$9:$C$461,2,FALSE)</f>
        <v>Sub-Bonding / Replacement</v>
      </c>
      <c r="C528" s="181" t="s">
        <v>1359</v>
      </c>
      <c r="D528" s="20"/>
      <c r="E528" s="20"/>
      <c r="F528" s="20"/>
      <c r="G528" s="20"/>
    </row>
    <row r="529" spans="1:7" ht="15.75" thickBot="1">
      <c r="A529" s="165">
        <f>'Contractor''s Budget Detail'!B436</f>
        <v>19006</v>
      </c>
      <c r="B529" s="160" t="str">
        <f>VLOOKUP(A529,'Contractor''s Budget Detail'!$B$9:$C$461,2,FALSE)</f>
        <v>Sub-Guard Insurance</v>
      </c>
      <c r="C529" s="181" t="s">
        <v>1359</v>
      </c>
      <c r="D529" s="20"/>
      <c r="E529" s="20"/>
      <c r="F529" s="20"/>
      <c r="G529" s="20"/>
    </row>
    <row r="530" spans="1:7" ht="15.75" thickBot="1">
      <c r="A530" s="165">
        <f>'Contractor''s Budget Detail'!B437</f>
        <v>19007</v>
      </c>
      <c r="B530" s="160" t="str">
        <f>VLOOKUP(A530,'Contractor''s Budget Detail'!$B$9:$C$461,2,FALSE)</f>
        <v>Other - Misc. Insurance</v>
      </c>
      <c r="C530" s="181" t="s">
        <v>1359</v>
      </c>
      <c r="D530" s="20"/>
      <c r="E530" s="20"/>
      <c r="F530" s="20"/>
      <c r="G530" s="20"/>
    </row>
    <row r="531" spans="1:7" ht="15.75" thickBot="1">
      <c r="A531" s="165">
        <f>'Contractor''s Budget Detail'!B438</f>
        <v>19008</v>
      </c>
      <c r="B531" s="160" t="str">
        <f>VLOOKUP(A531,'Contractor''s Budget Detail'!$B$9:$C$461,2,FALSE)</f>
        <v>Other - define</v>
      </c>
      <c r="C531" s="181" t="s">
        <v>1359</v>
      </c>
      <c r="D531" s="20"/>
      <c r="E531" s="20"/>
      <c r="F531" s="20"/>
      <c r="G531" s="20"/>
    </row>
    <row r="532" spans="1:7" ht="15.75" thickBot="1">
      <c r="A532" s="165">
        <f>'Contractor''s Budget Detail'!B439</f>
        <v>19009</v>
      </c>
      <c r="B532" s="160" t="str">
        <f>VLOOKUP(A532,'Contractor''s Budget Detail'!$B$9:$C$461,2,FALSE)</f>
        <v>Other - define</v>
      </c>
      <c r="C532" s="181" t="s">
        <v>1359</v>
      </c>
      <c r="D532" s="20"/>
      <c r="E532" s="20"/>
      <c r="F532" s="20"/>
      <c r="G532" s="20"/>
    </row>
    <row r="533" spans="1:7" ht="15.75" thickBot="1">
      <c r="A533" s="165">
        <f>'Contractor''s Budget Detail'!B440</f>
        <v>19010</v>
      </c>
      <c r="B533" s="160" t="str">
        <f>VLOOKUP(A533,'Contractor''s Budget Detail'!$B$9:$C$461,2,FALSE)</f>
        <v>Other - define</v>
      </c>
      <c r="C533" s="181" t="s">
        <v>1359</v>
      </c>
      <c r="D533" s="20"/>
      <c r="E533" s="20"/>
      <c r="F533" s="20"/>
      <c r="G533" s="20"/>
    </row>
    <row r="534" spans="1:7" ht="15.75" thickBot="1">
      <c r="A534" s="165">
        <f>'Contractor''s Budget Detail'!B441</f>
        <v>19011</v>
      </c>
      <c r="B534" s="160" t="str">
        <f>VLOOKUP(A534,'Contractor''s Budget Detail'!$B$9:$C$461,2,FALSE)</f>
        <v>Other - define</v>
      </c>
      <c r="C534" s="181" t="s">
        <v>1359</v>
      </c>
      <c r="D534" s="20"/>
      <c r="E534" s="20"/>
      <c r="F534" s="20"/>
      <c r="G534" s="20"/>
    </row>
    <row r="535" spans="1:7" ht="15.75" thickBot="1">
      <c r="A535" s="165">
        <f>'Contractor''s Budget Detail'!B442</f>
        <v>19012</v>
      </c>
      <c r="B535" s="160" t="str">
        <f>VLOOKUP(A535,'Contractor''s Budget Detail'!$B$9:$C$461,2,FALSE)</f>
        <v>Other - define</v>
      </c>
      <c r="C535" s="181" t="s">
        <v>1359</v>
      </c>
      <c r="D535" s="20"/>
      <c r="E535" s="20"/>
      <c r="F535" s="20"/>
      <c r="G535" s="20"/>
    </row>
    <row r="536" spans="1:7" ht="15.75" thickBot="1">
      <c r="A536" s="165">
        <f>'Contractor''s Budget Detail'!B443</f>
        <v>19013</v>
      </c>
      <c r="B536" s="160" t="str">
        <f>VLOOKUP(A536,'Contractor''s Budget Detail'!$B$9:$C$461,2,FALSE)</f>
        <v>Other - define</v>
      </c>
      <c r="C536" s="181" t="s">
        <v>1359</v>
      </c>
      <c r="D536" s="20"/>
      <c r="E536" s="20"/>
      <c r="F536" s="20"/>
      <c r="G536" s="20"/>
    </row>
    <row r="537" spans="1:7" ht="15.75" thickBot="1">
      <c r="A537" s="165">
        <f>'Contractor''s Budget Detail'!B444</f>
        <v>19014</v>
      </c>
      <c r="B537" s="160" t="str">
        <f>VLOOKUP(A537,'Contractor''s Budget Detail'!$B$9:$C$461,2,FALSE)</f>
        <v>Other - define</v>
      </c>
      <c r="C537" s="181" t="s">
        <v>1359</v>
      </c>
      <c r="D537" s="20"/>
      <c r="E537" s="20"/>
      <c r="F537" s="20"/>
      <c r="G537" s="20"/>
    </row>
    <row r="538" spans="1:7" ht="15.75" thickBot="1">
      <c r="A538" s="159" t="str">
        <f>'Contractor''s Budget Detail'!A447</f>
        <v>General Contractor Fees</v>
      </c>
      <c r="B538" s="160"/>
      <c r="D538" s="20"/>
      <c r="E538" s="20"/>
      <c r="F538" s="20"/>
      <c r="G538" s="20"/>
    </row>
    <row r="539" spans="1:7" ht="15.75" thickBot="1">
      <c r="A539" s="165">
        <f>'Contractor''s Budget Detail'!B448</f>
        <v>20001</v>
      </c>
      <c r="B539" s="160" t="str">
        <f>VLOOKUP(A539,'Contractor''s Budget Detail'!$B$9:$C$461,2,FALSE)</f>
        <v>GC Fee</v>
      </c>
      <c r="C539" s="181" t="s">
        <v>1359</v>
      </c>
      <c r="D539" s="20"/>
      <c r="E539" s="20"/>
      <c r="F539" s="20"/>
      <c r="G539" s="20"/>
    </row>
    <row r="540" spans="1:7" ht="15.75" thickBot="1">
      <c r="A540" s="165">
        <f>'Contractor''s Budget Detail'!B449</f>
        <v>20002</v>
      </c>
      <c r="B540" s="160" t="str">
        <f>VLOOKUP(A540,'Contractor''s Budget Detail'!$B$9:$C$461,2,FALSE)</f>
        <v>Pre-Construction Fees</v>
      </c>
      <c r="C540" s="181" t="s">
        <v>1359</v>
      </c>
      <c r="D540" s="20"/>
      <c r="E540" s="20"/>
      <c r="F540" s="20"/>
      <c r="G540" s="20"/>
    </row>
    <row r="541" spans="1:7" ht="15.75" thickBot="1">
      <c r="A541" s="165">
        <f>'Contractor''s Budget Detail'!B450</f>
        <v>20003</v>
      </c>
      <c r="B541" s="160" t="str">
        <f>VLOOKUP(A541,'Contractor''s Budget Detail'!$B$9:$C$461,2,FALSE)</f>
        <v>Other - define</v>
      </c>
      <c r="C541" s="181" t="s">
        <v>1359</v>
      </c>
      <c r="D541" s="20"/>
      <c r="E541" s="20"/>
      <c r="F541" s="20"/>
      <c r="G541" s="20"/>
    </row>
    <row r="542" spans="1:7" ht="15.75" thickBot="1">
      <c r="A542" s="165">
        <f>'Contractor''s Budget Detail'!B451</f>
        <v>20004</v>
      </c>
      <c r="B542" s="160" t="str">
        <f>VLOOKUP(A542,'Contractor''s Budget Detail'!$B$9:$C$461,2,FALSE)</f>
        <v>Other - define</v>
      </c>
      <c r="C542" s="181" t="s">
        <v>1359</v>
      </c>
      <c r="D542" s="20"/>
      <c r="E542" s="20"/>
      <c r="F542" s="20"/>
      <c r="G542" s="20"/>
    </row>
    <row r="543" spans="1:7" ht="15.75" thickBot="1">
      <c r="A543" s="165">
        <f>'Contractor''s Budget Detail'!B452</f>
        <v>20005</v>
      </c>
      <c r="B543" s="160" t="str">
        <f>VLOOKUP(A543,'Contractor''s Budget Detail'!$B$9:$C$461,2,FALSE)</f>
        <v>Other - define</v>
      </c>
      <c r="C543" s="181" t="s">
        <v>1359</v>
      </c>
      <c r="D543" s="20"/>
      <c r="E543" s="20"/>
      <c r="F543" s="20"/>
      <c r="G543" s="20"/>
    </row>
    <row r="544" spans="1:7" ht="15.75" thickBot="1">
      <c r="A544" s="165">
        <f>'Contractor''s Budget Detail'!B453</f>
        <v>20006</v>
      </c>
      <c r="B544" s="160" t="str">
        <f>VLOOKUP(A544,'Contractor''s Budget Detail'!$B$9:$C$461,2,FALSE)</f>
        <v>Other - define</v>
      </c>
      <c r="C544" s="181" t="s">
        <v>1359</v>
      </c>
      <c r="D544" s="20"/>
      <c r="E544" s="20"/>
      <c r="F544" s="20"/>
      <c r="G544" s="20"/>
    </row>
    <row r="545" spans="1:7" ht="15.75" thickBot="1">
      <c r="A545" s="165">
        <f>'Contractor''s Budget Detail'!B454</f>
        <v>20007</v>
      </c>
      <c r="B545" s="160" t="str">
        <f>VLOOKUP(A545,'Contractor''s Budget Detail'!$B$9:$C$461,2,FALSE)</f>
        <v>Other - define</v>
      </c>
      <c r="C545" s="181" t="s">
        <v>1359</v>
      </c>
      <c r="D545" s="20"/>
      <c r="E545" s="20"/>
      <c r="F545" s="20"/>
      <c r="G545" s="20"/>
    </row>
    <row r="546" spans="1:7" ht="15.75" thickBot="1">
      <c r="A546" s="165">
        <f>'Contractor''s Budget Detail'!B455</f>
        <v>20008</v>
      </c>
      <c r="B546" s="160" t="str">
        <f>VLOOKUP(A546,'Contractor''s Budget Detail'!$B$9:$C$461,2,FALSE)</f>
        <v>Other - define</v>
      </c>
      <c r="C546" s="181" t="s">
        <v>1359</v>
      </c>
      <c r="D546" s="20"/>
      <c r="E546" s="20"/>
      <c r="F546" s="20"/>
      <c r="G546" s="20"/>
    </row>
    <row r="547" spans="1:7" ht="15.75" thickBot="1">
      <c r="A547" s="165">
        <f>'Contractor''s Budget Detail'!B456</f>
        <v>20009</v>
      </c>
      <c r="B547" s="160" t="str">
        <f>VLOOKUP(A547,'Contractor''s Budget Detail'!$B$9:$C$461,2,FALSE)</f>
        <v>Other - define</v>
      </c>
      <c r="C547" s="181" t="s">
        <v>1359</v>
      </c>
      <c r="D547" s="20"/>
      <c r="E547" s="20"/>
      <c r="F547" s="20"/>
      <c r="G547" s="20"/>
    </row>
    <row r="548" spans="1:7" ht="15.75" thickBot="1">
      <c r="A548" s="165">
        <f>'Contractor''s Budget Detail'!B457</f>
        <v>20010</v>
      </c>
      <c r="B548" s="160" t="str">
        <f>VLOOKUP(A548,'Contractor''s Budget Detail'!$B$9:$C$461,2,FALSE)</f>
        <v>Other - define</v>
      </c>
      <c r="C548" s="181" t="s">
        <v>1359</v>
      </c>
      <c r="D548" s="20"/>
      <c r="E548" s="20"/>
      <c r="F548" s="20"/>
      <c r="G548" s="20"/>
    </row>
    <row r="549" spans="1:7" ht="15.75" thickBot="1">
      <c r="A549" s="159" t="str">
        <f>'Contractor''s Budget Detail'!A460</f>
        <v>General Contractor's Contingency</v>
      </c>
      <c r="B549" s="160"/>
      <c r="D549" s="20"/>
      <c r="E549" s="20"/>
      <c r="F549" s="20"/>
      <c r="G549" s="20"/>
    </row>
    <row r="550" spans="1:7" ht="15.75" thickBot="1">
      <c r="A550" s="171">
        <f>'Contractor''s Budget Detail'!B461</f>
        <v>21000</v>
      </c>
      <c r="B550" s="172" t="str">
        <f>VLOOKUP(A550,'Contractor''s Budget Detail'!$B$9:$C$461,2,FALSE)</f>
        <v>Contractor's Contingency</v>
      </c>
      <c r="C550" s="181" t="s">
        <v>1359</v>
      </c>
      <c r="D550" s="20"/>
      <c r="E550" s="20"/>
      <c r="F550" s="20"/>
      <c r="G550" s="20"/>
    </row>
    <row r="552" spans="1:7">
      <c r="A552" s="362" t="s">
        <v>1501</v>
      </c>
    </row>
    <row r="553" spans="1:7" ht="15.75" thickBot="1">
      <c r="A553" s="363" t="s">
        <v>1502</v>
      </c>
    </row>
    <row r="554" spans="1:7" ht="15.75" thickBot="1">
      <c r="A554" s="399">
        <f>'Project Budget Summary'!A181</f>
        <v>1</v>
      </c>
      <c r="B554" s="364" t="str">
        <f>VLOOKUP(A554,'Project Budget Summary'!$A$181:$B$191,2,FALSE)</f>
        <v>ACORE First Mortgage</v>
      </c>
    </row>
    <row r="555" spans="1:7" ht="15.75" thickBot="1">
      <c r="A555" s="399">
        <f>'Project Budget Summary'!A182</f>
        <v>2</v>
      </c>
      <c r="B555" s="364" t="str">
        <f>VLOOKUP(A555,'Project Budget Summary'!$A$181:$B$191,2,FALSE)</f>
        <v>ACORE Mezzanine</v>
      </c>
    </row>
    <row r="556" spans="1:7" ht="15.75" thickBot="1">
      <c r="A556" s="399">
        <f>'Project Budget Summary'!A183</f>
        <v>3</v>
      </c>
      <c r="B556" s="364" t="str">
        <f>VLOOKUP(A556,'Project Budget Summary'!$A$181:$B$191,2,FALSE)</f>
        <v>ACORE Preferred Equity</v>
      </c>
    </row>
    <row r="557" spans="1:7" ht="15.75" thickBot="1">
      <c r="A557" s="399">
        <f>'Project Budget Summary'!A184</f>
        <v>4</v>
      </c>
      <c r="B557" s="364" t="str">
        <f>VLOOKUP(A557,'Project Budget Summary'!$A$181:$B$191,2,FALSE)</f>
        <v>EB-5 Financing</v>
      </c>
    </row>
    <row r="558" spans="1:7" ht="15.75" thickBot="1">
      <c r="A558" s="399">
        <f>'Project Budget Summary'!A185</f>
        <v>5</v>
      </c>
      <c r="B558" s="364" t="str">
        <f>VLOOKUP(A558,'Project Budget Summary'!$A$181:$B$191,2,FALSE)</f>
        <v>Other Financing (non-ACORE)</v>
      </c>
    </row>
    <row r="559" spans="1:7" ht="15.75" thickBot="1">
      <c r="A559" s="399">
        <f>'Project Budget Summary'!A186</f>
        <v>6</v>
      </c>
      <c r="B559" s="364" t="str">
        <f>VLOOKUP(A559,'Project Budget Summary'!$A$181:$B$191,2,FALSE)</f>
        <v>Other: Define</v>
      </c>
    </row>
    <row r="560" spans="1:7" ht="15.75" thickBot="1">
      <c r="A560" s="399">
        <f>'Project Budget Summary'!A187</f>
        <v>7</v>
      </c>
      <c r="B560" s="364" t="str">
        <f>VLOOKUP(A560,'Project Budget Summary'!$A$181:$B$191,2,FALSE)</f>
        <v>Seller Concessions (Offset to Purchase Price)</v>
      </c>
    </row>
    <row r="561" spans="1:2" ht="15.75" thickBot="1">
      <c r="A561" s="399">
        <f>'Project Budget Summary'!A188</f>
        <v>8</v>
      </c>
      <c r="B561" s="364" t="str">
        <f>VLOOKUP(A561,'Project Budget Summary'!$A$181:$B$191,2,FALSE)</f>
        <v>Key Money</v>
      </c>
    </row>
    <row r="562" spans="1:2" ht="15.75" thickBot="1">
      <c r="A562" s="399">
        <f>'Project Budget Summary'!A189</f>
        <v>9</v>
      </c>
      <c r="B562" s="364" t="str">
        <f>VLOOKUP(A562,'Project Budget Summary'!$A$181:$B$191,2,FALSE)</f>
        <v>City / RDA / Other Regulatory Credits</v>
      </c>
    </row>
    <row r="563" spans="1:2" ht="15.75" thickBot="1">
      <c r="A563" s="762">
        <f>'Project Budget Summary'!A190</f>
        <v>10</v>
      </c>
      <c r="B563" s="770" t="str">
        <f>VLOOKUP(A563,'Project Budget Summary'!$A$181:$B$191,2,FALSE)</f>
        <v>Other: Define</v>
      </c>
    </row>
    <row r="564" spans="1:2" ht="15.75" thickBot="1">
      <c r="A564" s="762">
        <f>'Project Budget Summary'!A191</f>
        <v>11</v>
      </c>
      <c r="B564" s="770" t="str">
        <f>VLOOKUP(A564,'Project Budget Summary'!$A$181:$B$191,2,FALSE)</f>
        <v>Borrower Equity / (Return of Equity)</v>
      </c>
    </row>
  </sheetData>
  <pageMargins left="0.7" right="0.7" top="0.75" bottom="0.75" header="0.3" footer="0.3"/>
  <pageSetup scale="68" fitToHeight="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A1:W355"/>
  <sheetViews>
    <sheetView view="pageBreakPreview" topLeftCell="A180" zoomScaleNormal="100" zoomScaleSheetLayoutView="100" workbookViewId="0">
      <selection activeCell="A218" sqref="A218"/>
    </sheetView>
  </sheetViews>
  <sheetFormatPr defaultColWidth="8.5703125" defaultRowHeight="15" outlineLevelRow="1" outlineLevelCol="1"/>
  <cols>
    <col min="1" max="1" width="32.5703125" customWidth="1"/>
    <col min="2" max="2" width="14.5703125" customWidth="1"/>
    <col min="3" max="3" width="14.42578125" customWidth="1" outlineLevel="1"/>
    <col min="4" max="4" width="16.42578125" customWidth="1"/>
    <col min="5" max="5" width="16" customWidth="1"/>
    <col min="6" max="6" width="14.5703125" customWidth="1"/>
    <col min="7" max="7" width="15.42578125" customWidth="1"/>
    <col min="8" max="8" width="15.5703125" customWidth="1"/>
    <col min="9" max="9" width="15" bestFit="1" customWidth="1"/>
    <col min="10" max="10" width="9.85546875" style="20" customWidth="1"/>
    <col min="11" max="11" width="37.42578125" style="1125" customWidth="1" outlineLevel="1"/>
    <col min="12" max="13" width="8.5703125" outlineLevel="1"/>
    <col min="14" max="14" width="17" customWidth="1" outlineLevel="1"/>
    <col min="15" max="15" width="12.5703125" customWidth="1" outlineLevel="1"/>
  </cols>
  <sheetData>
    <row r="1" spans="1:20" ht="18.75">
      <c r="A1" s="2604"/>
      <c r="B1" s="2604"/>
      <c r="C1" s="2604"/>
      <c r="D1" s="2604"/>
      <c r="E1" s="2604"/>
      <c r="F1" s="2604"/>
      <c r="G1" s="2604"/>
      <c r="H1" s="2604"/>
      <c r="I1" s="2604"/>
      <c r="J1" s="2430"/>
      <c r="K1" s="1441" t="s">
        <v>1503</v>
      </c>
    </row>
    <row r="2" spans="1:20">
      <c r="A2" s="2604" t="str">
        <f>IF(J3="Yes","Loan Settlement Statement","Estimated Loan Settlement Statement")</f>
        <v>Estimated Loan Settlement Statement</v>
      </c>
      <c r="B2" s="2604"/>
      <c r="C2" s="2604"/>
      <c r="D2" s="2604"/>
      <c r="E2" s="2604"/>
      <c r="F2" s="2604"/>
      <c r="G2" s="2604"/>
      <c r="H2" s="2604"/>
      <c r="I2" s="2604"/>
      <c r="J2" s="2430"/>
    </row>
    <row r="3" spans="1:20">
      <c r="A3" s="20"/>
      <c r="B3" s="20"/>
      <c r="C3" s="20"/>
      <c r="D3" s="20"/>
      <c r="E3" s="20"/>
      <c r="F3" s="20"/>
      <c r="G3" s="20"/>
      <c r="H3" s="403" t="s">
        <v>1504</v>
      </c>
      <c r="I3" s="92">
        <f>IF(INPUT!E128="","",INPUT!E128)</f>
        <v>44743</v>
      </c>
      <c r="J3" s="2223" t="s">
        <v>9</v>
      </c>
      <c r="K3" s="2224" t="s">
        <v>1505</v>
      </c>
      <c r="L3" s="2224"/>
      <c r="M3" s="2224"/>
      <c r="N3" s="2224"/>
      <c r="O3" s="2224"/>
    </row>
    <row r="4" spans="1:20">
      <c r="A4" s="20"/>
      <c r="B4" s="20"/>
      <c r="C4" s="20"/>
      <c r="D4" s="20"/>
      <c r="E4" s="20"/>
      <c r="F4" s="20"/>
      <c r="G4" s="20"/>
      <c r="H4" s="20"/>
      <c r="I4" s="20"/>
      <c r="K4" s="2605" t="s">
        <v>1506</v>
      </c>
      <c r="L4" s="2606"/>
      <c r="M4" s="2606"/>
      <c r="N4" s="2606"/>
    </row>
    <row r="5" spans="1:20" ht="15" customHeight="1">
      <c r="A5" s="20" t="s">
        <v>1507</v>
      </c>
      <c r="B5" s="20"/>
      <c r="C5" s="20"/>
      <c r="D5" s="2598" t="str">
        <f>IF(INPUT!L24="","",IF(INPUT!$L$26="",IF(INPUT!$L$25="",INPUT!$E$24,INPUT!$E$24&amp;" and "&amp;INPUT!$E$25),INPUT!$L$24&amp;", "&amp;INPUT!$E$25&amp;" et al"))</f>
        <v>PV1 Properties, LLC ,  a Delaware LLC, SWRCM FG I, LLC  et al</v>
      </c>
      <c r="E5" s="2598"/>
      <c r="F5" s="2598"/>
      <c r="G5" s="2598"/>
      <c r="H5" s="2598"/>
      <c r="I5" s="2598"/>
      <c r="K5" s="2607"/>
      <c r="L5" s="2606"/>
      <c r="M5" s="2606"/>
      <c r="N5" s="2606"/>
    </row>
    <row r="6" spans="1:20">
      <c r="A6" s="20" t="s">
        <v>1720</v>
      </c>
      <c r="B6" s="20"/>
      <c r="C6" s="20"/>
      <c r="D6" s="2598" t="str">
        <f>IF(INPUT!E74="","",IF(INPUT!$E$76="",IF(INPUT!$E$75="",INPUT!$E$74,INPUT!$E$74&amp;" and "&amp;INPUT!$E$75),INPUT!$E$74&amp;", "&amp;INPUT!$E$75&amp;" et al"))</f>
        <v>PV1 Properties Member, LLC and SWRCM FG Member, LLC</v>
      </c>
      <c r="E6" s="2598"/>
      <c r="F6" s="2598"/>
      <c r="G6" s="2598"/>
      <c r="H6" s="2598"/>
      <c r="I6" s="2598"/>
      <c r="K6" s="2607"/>
      <c r="L6" s="2606"/>
      <c r="M6" s="2606"/>
      <c r="N6" s="2606"/>
    </row>
    <row r="7" spans="1:20" ht="14.85" customHeight="1">
      <c r="A7" s="20" t="s">
        <v>552</v>
      </c>
      <c r="B7" s="20"/>
      <c r="C7" s="20"/>
      <c r="D7" s="2598" t="str">
        <f>IF(INPUT!E16="","",INPUT!E16)</f>
        <v>LSS Test 1</v>
      </c>
      <c r="E7" s="2598"/>
      <c r="F7" s="2598"/>
      <c r="G7" s="2598"/>
      <c r="H7" s="2598"/>
      <c r="I7" s="2598"/>
      <c r="K7" s="2425"/>
      <c r="L7" s="7"/>
      <c r="M7" s="7"/>
      <c r="N7" s="7"/>
    </row>
    <row r="8" spans="1:20" ht="18" customHeight="1">
      <c r="A8" s="20" t="s">
        <v>1508</v>
      </c>
      <c r="B8" s="20"/>
      <c r="C8" s="20"/>
      <c r="D8" s="2598" t="str">
        <f>IF(INPUT!E17="","",INPUT!E17)</f>
        <v>6363 &amp; 6399 &amp; 6501 S Fiddler's Green Circle, Englewood, CO</v>
      </c>
      <c r="E8" s="2598"/>
      <c r="F8" s="2598"/>
      <c r="G8" s="2598"/>
      <c r="H8" s="2598"/>
      <c r="I8" s="2598"/>
    </row>
    <row r="9" spans="1:20" ht="25.5" customHeight="1">
      <c r="A9" s="20" t="str">
        <f>IF(J3="Yes","Loan Closing Date:","Estimated Loan Closing Date:")</f>
        <v>Estimated Loan Closing Date:</v>
      </c>
      <c r="B9" s="20"/>
      <c r="C9" s="20"/>
      <c r="D9" s="1326">
        <f>IF(INPUT!E129="","",INPUT!E129)</f>
        <v>44753</v>
      </c>
      <c r="E9" s="20"/>
      <c r="F9" s="20"/>
      <c r="G9" s="20"/>
      <c r="H9" s="403" t="str">
        <f>IF(INPUT!E148="yes",INPUT!E149&amp;" Index Rate"&amp;" - "&amp;INPUT!D161&amp;":",INPUT!E149&amp;" Index Rate:")</f>
        <v>SOFR 1 Month Term Index Rate:</v>
      </c>
      <c r="I9" s="1112">
        <f>IF(INPUT!E148="Yes",INPUT!E158,INPUT!E153)</f>
        <v>1.686E-2</v>
      </c>
      <c r="K9" s="2605" t="s">
        <v>1509</v>
      </c>
      <c r="L9" s="2606"/>
      <c r="M9" s="2606"/>
      <c r="N9" s="2606"/>
    </row>
    <row r="10" spans="1:20">
      <c r="A10" s="91"/>
      <c r="B10" s="91"/>
      <c r="C10" s="91"/>
      <c r="D10" s="20"/>
      <c r="E10" s="20"/>
      <c r="F10" s="20"/>
      <c r="G10" s="20"/>
      <c r="H10" s="403" t="str">
        <f>IF(INPUT!E148="Yes","Minimum Blended Interest Rate Spread:","Interest Rate Spread (Blended):")</f>
        <v>Interest Rate Spread (Blended):</v>
      </c>
      <c r="I10" s="1466">
        <f>INPUT!M216</f>
        <v>0</v>
      </c>
      <c r="K10" s="2607"/>
      <c r="L10" s="2606"/>
      <c r="M10" s="2606"/>
      <c r="N10" s="2606"/>
    </row>
    <row r="11" spans="1:20">
      <c r="A11" s="91"/>
      <c r="B11" s="91"/>
      <c r="C11" s="91"/>
      <c r="D11" s="20"/>
      <c r="E11" s="20"/>
      <c r="F11" s="20"/>
      <c r="G11" s="20"/>
      <c r="H11" s="403" t="str">
        <f>IF(INPUT!$E$148="Yes","UST Index as of Date:", "1M Term SOFR as of Date:")</f>
        <v>1M Term SOFR as of Date:</v>
      </c>
      <c r="I11" s="1467">
        <f>IF(INPUT!E151="","",INPUT!E151)</f>
        <v>44742</v>
      </c>
      <c r="K11" s="2607"/>
      <c r="L11" s="2606"/>
      <c r="M11" s="2606"/>
      <c r="N11" s="2606"/>
    </row>
    <row r="12" spans="1:20" ht="14.45" customHeight="1">
      <c r="A12" s="91"/>
      <c r="B12" s="91"/>
      <c r="C12" s="91"/>
      <c r="D12" s="20"/>
      <c r="E12" s="20"/>
      <c r="F12" s="20"/>
      <c r="G12" s="20"/>
      <c r="H12" s="403" t="str">
        <f>IF(INPUT!$E$148="Yes","Interest Rate Coupon Floor (Blended):","Term SOFR Floor:")</f>
        <v>Term SOFR Floor:</v>
      </c>
      <c r="I12" s="1111">
        <f>IF(INPUT!E148="Yes",INPUT!E160,INPUT!E154)</f>
        <v>2.5000000000000001E-3</v>
      </c>
      <c r="K12" s="1127" t="s">
        <v>1510</v>
      </c>
      <c r="L12" s="407"/>
      <c r="M12" s="407"/>
      <c r="N12" s="407"/>
    </row>
    <row r="13" spans="1:20" ht="16.5" thickBot="1">
      <c r="A13" s="440" t="s">
        <v>1511</v>
      </c>
      <c r="B13" s="20"/>
      <c r="C13" s="20"/>
      <c r="D13" s="20"/>
      <c r="E13" s="20"/>
      <c r="F13" s="20"/>
      <c r="G13" s="20"/>
      <c r="H13" s="20"/>
      <c r="I13" s="20"/>
    </row>
    <row r="14" spans="1:20" ht="11.25" customHeight="1">
      <c r="A14" s="1425"/>
      <c r="B14" s="1613"/>
      <c r="C14" s="158"/>
      <c r="D14" s="177"/>
      <c r="E14" s="177"/>
      <c r="F14" s="1954"/>
      <c r="G14" s="158"/>
      <c r="H14" s="1282" t="s">
        <v>1512</v>
      </c>
      <c r="I14" s="1424"/>
    </row>
    <row r="15" spans="1:20" ht="45">
      <c r="A15" s="1607" t="s">
        <v>1513</v>
      </c>
      <c r="B15" s="1599" t="s">
        <v>299</v>
      </c>
      <c r="C15" s="1614" t="s">
        <v>1514</v>
      </c>
      <c r="D15" s="1600" t="str">
        <f>IF(INPUT!$E$172="Yes","Initial Loan Advance/ Notional Amount","Initial Loan Advance")</f>
        <v>Initial Loan Advance</v>
      </c>
      <c r="E15" s="1601" t="str">
        <f>IF(INPUT!E172="Yes","Additional (Future) Loan Advance/ Future Notional Amount","Additional (Future) Loan Advance")</f>
        <v>Additional (Future) Loan Advance</v>
      </c>
      <c r="F15" s="1955" t="str">
        <f>IF(INPUT!$E$172="Yes","Total Loan Amount / Notional Amount","Total Loan Amount")</f>
        <v>Total Loan Amount</v>
      </c>
      <c r="G15" s="1614" t="s">
        <v>1515</v>
      </c>
      <c r="H15" s="1600" t="str">
        <f>IF(INPUT!E148="Yes",IF(INPUT!E161="","Estimated Interest Rate","Fixed Interest Rate"),"Initial Interest Rate")</f>
        <v>Initial Interest Rate</v>
      </c>
      <c r="I15" s="1602" t="s">
        <v>308</v>
      </c>
      <c r="S15" s="26"/>
      <c r="T15" s="1127" t="s">
        <v>1516</v>
      </c>
    </row>
    <row r="16" spans="1:20">
      <c r="A16" s="1608" t="str">
        <f>IF(INPUT!A186="","",INPUT!A186)</f>
        <v>TRE ACR Portfolio</v>
      </c>
      <c r="B16" s="1615" t="str">
        <f>IF(INPUT!D186="","",INPUT!D186)</f>
        <v>Note A1</v>
      </c>
      <c r="C16" s="1616" t="str">
        <f>IF(INPUT!AB186="","","ACR00"&amp;INPUT!AB186)</f>
        <v/>
      </c>
      <c r="D16" s="1611">
        <f>IF(INPUT!F186=0,"",INPUT!F186)</f>
        <v>64037354</v>
      </c>
      <c r="E16" s="1603">
        <f>IF(A16="","",IF(INPUT!H186=0,0,INPUT!H186))</f>
        <v>21910146</v>
      </c>
      <c r="F16" s="1603">
        <f>IF(INPUT!J186="","",INPUT!J186)</f>
        <v>85947500</v>
      </c>
      <c r="G16" s="1951">
        <f>IF(F16="","",IF(INPUT!$E$148="Yes",IF('Loan Settlement Stmt'!E16=0,"",INPUT!M186),INPUT!M186))</f>
        <v>0</v>
      </c>
      <c r="H16" s="1620">
        <f>IF(INPUT!O186=0,"",INPUT!O186)</f>
        <v>1.686E-2</v>
      </c>
      <c r="I16" s="1604">
        <f>IF(INPUT!P186=0,"",INPUT!P186)</f>
        <v>2999.0827456666666</v>
      </c>
      <c r="S16" s="406"/>
      <c r="T16" s="1127"/>
    </row>
    <row r="17" spans="1:23" ht="17.25" customHeight="1">
      <c r="A17" s="1608" t="str">
        <f>IF(INPUT!A187="","",INPUT!A187)</f>
        <v>TRE ACR Portfolio</v>
      </c>
      <c r="B17" s="1615" t="str">
        <f>IF(INPUT!D187="","",INPUT!D187)</f>
        <v>Note B1</v>
      </c>
      <c r="C17" s="1616" t="str">
        <f>IF(INPUT!AB187="","","ACR00"&amp;INPUT!AB187)</f>
        <v/>
      </c>
      <c r="D17" s="1611">
        <f>IF(INPUT!F187=0,"",INPUT!F187)</f>
        <v>15818990</v>
      </c>
      <c r="E17" s="1603">
        <f>IF(A17="","",IF(INPUT!H187=0,0,INPUT!H187))</f>
        <v>6361010</v>
      </c>
      <c r="F17" s="1603">
        <f>IF(INPUT!J187="","",INPUT!J187)</f>
        <v>22180000</v>
      </c>
      <c r="G17" s="1951">
        <f>IF(F17="","",IF(INPUT!$E$148="Yes",IF('Loan Settlement Stmt'!E17=0,"",INPUT!M187),INPUT!M187))</f>
        <v>0</v>
      </c>
      <c r="H17" s="1620">
        <f>IF(INPUT!O187=0,"",INPUT!O187)</f>
        <v>1.686E-2</v>
      </c>
      <c r="I17" s="1604">
        <f>IF(INPUT!P187=0,"",INPUT!P187)</f>
        <v>740.85603166666669</v>
      </c>
      <c r="S17" s="406"/>
      <c r="T17" s="2429" t="s">
        <v>1517</v>
      </c>
      <c r="U17" s="7"/>
      <c r="V17" s="7"/>
      <c r="W17" s="7"/>
    </row>
    <row r="18" spans="1:23">
      <c r="A18" s="1608" t="str">
        <f>IF(INPUT!A188="","",INPUT!A188)</f>
        <v>TRE ACR Portfolio</v>
      </c>
      <c r="B18" s="1615" t="str">
        <f>IF(INPUT!D188="","",INPUT!D188)</f>
        <v>Mezz 1</v>
      </c>
      <c r="C18" s="1616" t="str">
        <f>IF(INPUT!AB188="","","ACR00"&amp;INPUT!AB188)</f>
        <v/>
      </c>
      <c r="D18" s="1611">
        <f>IF(INPUT!F188=0,"",INPUT!F188)</f>
        <v>2772500</v>
      </c>
      <c r="E18" s="1603">
        <f>IF(A18="","",IF(INPUT!H188=0,0,INPUT!H188))</f>
        <v>0</v>
      </c>
      <c r="F18" s="1603">
        <f>IF(INPUT!J188="","",INPUT!J188)</f>
        <v>2772500</v>
      </c>
      <c r="G18" s="1951">
        <f>IF(F18="","",IF(INPUT!$E$148="Yes",IF('Loan Settlement Stmt'!E18=0,"",INPUT!M188),INPUT!M188))</f>
        <v>0</v>
      </c>
      <c r="H18" s="1620">
        <f>IF(INPUT!O188=0,"",INPUT!O188)</f>
        <v>1.686E-2</v>
      </c>
      <c r="I18" s="1604">
        <f>IF(INPUT!P188=0,"",INPUT!P188)</f>
        <v>129.84541666666667</v>
      </c>
      <c r="S18" s="406"/>
      <c r="T18" s="2429"/>
      <c r="U18" s="7"/>
      <c r="V18" s="7"/>
      <c r="W18" s="7"/>
    </row>
    <row r="19" spans="1:23">
      <c r="A19" s="1608" t="str">
        <f>IF(INPUT!A189="","",INPUT!A189)</f>
        <v>AFLAC US</v>
      </c>
      <c r="B19" s="1615" t="str">
        <f>IF(INPUT!D189="","",INPUT!D189)</f>
        <v>Note A2</v>
      </c>
      <c r="C19" s="1616" t="str">
        <f>IF(INPUT!AB189="","","ACR00"&amp;INPUT!AB189)</f>
        <v/>
      </c>
      <c r="D19" s="1611">
        <f>IF(INPUT!F189=0,"",INPUT!F189)</f>
        <v>13916143</v>
      </c>
      <c r="E19" s="1603">
        <f>IF(A19="","",IF(INPUT!H189=0,0,INPUT!H189))</f>
        <v>4761357</v>
      </c>
      <c r="F19" s="1603">
        <f>IF(INPUT!J189="","",INPUT!J189)</f>
        <v>18677500</v>
      </c>
      <c r="G19" s="1951">
        <f>IF(F19="","",IF(INPUT!$E$148="Yes",IF('Loan Settlement Stmt'!E19=0,"",INPUT!M189),INPUT!M189))</f>
        <v>0</v>
      </c>
      <c r="H19" s="1620">
        <f>IF(INPUT!O189=0,"",INPUT!O189)</f>
        <v>1.686E-2</v>
      </c>
      <c r="I19" s="1604">
        <f>IF(INPUT!P189=0,"",INPUT!P189)</f>
        <v>651.7393638333333</v>
      </c>
      <c r="S19" s="406"/>
      <c r="T19" s="2429"/>
      <c r="U19" s="7"/>
      <c r="V19" s="7"/>
      <c r="W19" s="7"/>
    </row>
    <row r="20" spans="1:23">
      <c r="A20" s="1608" t="str">
        <f>IF(INPUT!A190="","",INPUT!A190)</f>
        <v>AFLAC US</v>
      </c>
      <c r="B20" s="1615" t="str">
        <f>IF(INPUT!D190="","",INPUT!D190)</f>
        <v>Note B2</v>
      </c>
      <c r="C20" s="1616" t="str">
        <f>IF(INPUT!AB190="","","ACR00"&amp;INPUT!AB190)</f>
        <v/>
      </c>
      <c r="D20" s="1611">
        <f>IF(INPUT!F190=0,"",INPUT!F190)</f>
        <v>3437670</v>
      </c>
      <c r="E20" s="1603">
        <f>IF(A20="","",IF(INPUT!H190=0,0,INPUT!H190))</f>
        <v>1382330</v>
      </c>
      <c r="F20" s="1603">
        <f>IF(INPUT!J190="","",INPUT!J190)</f>
        <v>4820000</v>
      </c>
      <c r="G20" s="1951">
        <f>IF(F20="","",IF(INPUT!$E$148="Yes",IF('Loan Settlement Stmt'!E20=0,"",INPUT!M190),INPUT!M190))</f>
        <v>0</v>
      </c>
      <c r="H20" s="1620">
        <f>IF(INPUT!O190=0,"",INPUT!O190)</f>
        <v>1.686E-2</v>
      </c>
      <c r="I20" s="1604">
        <f>IF(INPUT!P190=0,"",INPUT!P190)</f>
        <v>160.997545</v>
      </c>
      <c r="S20" s="406"/>
      <c r="T20" s="2429"/>
      <c r="U20" s="7"/>
      <c r="V20" s="7"/>
      <c r="W20" s="7"/>
    </row>
    <row r="21" spans="1:23" hidden="1" outlineLevel="1">
      <c r="A21" s="1608" t="str">
        <f>IF(INPUT!A191="","",INPUT!A191)</f>
        <v>AFLAC US</v>
      </c>
      <c r="B21" s="1615" t="str">
        <f>IF(INPUT!D191="","",INPUT!D191)</f>
        <v>Mezz 2</v>
      </c>
      <c r="C21" s="1616" t="str">
        <f>IF(INPUT!AB191="","","ACR00"&amp;INPUT!AB191)</f>
        <v/>
      </c>
      <c r="D21" s="1611">
        <f>IF(INPUT!F191=0,"",INPUT!F191)</f>
        <v>602500</v>
      </c>
      <c r="E21" s="1603">
        <f>IF(A21="","",IF(INPUT!H191=0,0,INPUT!H191))</f>
        <v>0</v>
      </c>
      <c r="F21" s="1603">
        <f>IF(INPUT!J191="","",INPUT!J191)</f>
        <v>602500</v>
      </c>
      <c r="G21" s="1951">
        <f>IF(F21="","",IF(INPUT!$E$148="Yes",IF('Loan Settlement Stmt'!E21=0,"",INPUT!M191),INPUT!M191))</f>
        <v>0</v>
      </c>
      <c r="H21" s="1620">
        <f>IF(INPUT!O191=0,"",INPUT!O191)</f>
        <v>1.686E-2</v>
      </c>
      <c r="I21" s="1604">
        <f>IF(INPUT!P191=0,"",INPUT!P191)</f>
        <v>28.217083333333331</v>
      </c>
      <c r="S21" s="406"/>
      <c r="T21" s="2429"/>
      <c r="U21" s="7"/>
      <c r="V21" s="7"/>
      <c r="W21" s="7"/>
    </row>
    <row r="22" spans="1:23" ht="30" hidden="1" outlineLevel="1">
      <c r="A22" s="1608" t="str">
        <f>IF(INPUT!A192="","",INPUT!A192)</f>
        <v>ACORE Credit Partners II Mortgage, LLC</v>
      </c>
      <c r="B22" s="1615" t="str">
        <f>IF(INPUT!D192="","",INPUT!D192)</f>
        <v>Note A3</v>
      </c>
      <c r="C22" s="1616" t="str">
        <f>IF(INPUT!AB192="","","ACR00"&amp;INPUT!AB192)</f>
        <v/>
      </c>
      <c r="D22" s="1611">
        <f>IF(INPUT!F192=0,"",INPUT!F192)</f>
        <v>26561932</v>
      </c>
      <c r="E22" s="1603">
        <f>IF(A22="","",IF(INPUT!H192=0,0,INPUT!H192))</f>
        <v>9088068</v>
      </c>
      <c r="F22" s="1603">
        <f>IF(INPUT!J192="","",INPUT!J192)</f>
        <v>35650000</v>
      </c>
      <c r="G22" s="1951">
        <f>IF(F22="","",IF(INPUT!$E$148="Yes",IF('Loan Settlement Stmt'!E22=0,"",INPUT!M192),INPUT!M192))</f>
        <v>0</v>
      </c>
      <c r="H22" s="1620">
        <f>IF(INPUT!O192=0,"",INPUT!O192)</f>
        <v>1.686E-2</v>
      </c>
      <c r="I22" s="1604">
        <f>IF(INPUT!P192=0,"",INPUT!P192)</f>
        <v>1243.9838153333333</v>
      </c>
      <c r="S22" s="406"/>
      <c r="T22" s="2429"/>
      <c r="U22" s="7"/>
      <c r="V22" s="7"/>
      <c r="W22" s="7"/>
    </row>
    <row r="23" spans="1:23" ht="30" hidden="1" outlineLevel="1">
      <c r="A23" s="1608" t="str">
        <f>IF(INPUT!A193="","",INPUT!A193)</f>
        <v>ACORE Credit Partners II Mortgage, LLC</v>
      </c>
      <c r="B23" s="1615" t="str">
        <f>IF(INPUT!D193="","",INPUT!D193)</f>
        <v>Note B3</v>
      </c>
      <c r="C23" s="1616" t="str">
        <f>IF(INPUT!AB193="","","ACR00"&amp;INPUT!AB193)</f>
        <v/>
      </c>
      <c r="D23" s="1611">
        <f>IF(INPUT!F193=0,"",INPUT!F193)</f>
        <v>6561529</v>
      </c>
      <c r="E23" s="1603">
        <f>IF(A23="","",IF(INPUT!H193=0,0,INPUT!H193))</f>
        <v>2638471</v>
      </c>
      <c r="F23" s="1603">
        <f>IF(INPUT!J193="","",INPUT!J193)</f>
        <v>9200000</v>
      </c>
      <c r="G23" s="1951">
        <f>IF(F23="","",IF(INPUT!$E$148="Yes",IF('Loan Settlement Stmt'!E23=0,"",INPUT!M193),INPUT!M193))</f>
        <v>0</v>
      </c>
      <c r="H23" s="1620">
        <f>IF(INPUT!O193=0,"",INPUT!O193)</f>
        <v>1.686E-2</v>
      </c>
      <c r="I23" s="1604">
        <f>IF(INPUT!P193=0,"",INPUT!P193)</f>
        <v>307.29827483333332</v>
      </c>
      <c r="S23" s="406"/>
      <c r="T23" s="2429"/>
      <c r="U23" s="7"/>
      <c r="V23" s="7"/>
      <c r="W23" s="7"/>
    </row>
    <row r="24" spans="1:23" ht="30" hidden="1" outlineLevel="1">
      <c r="A24" s="1608" t="str">
        <f>IF(INPUT!A194="","",INPUT!A194)</f>
        <v>ACORE Credit Partners II Mortgage, LLC</v>
      </c>
      <c r="B24" s="1615" t="str">
        <f>IF(INPUT!D194="","",INPUT!D194)</f>
        <v>Mezz 3</v>
      </c>
      <c r="C24" s="1616" t="str">
        <f>IF(INPUT!AB194="","","ACR00"&amp;INPUT!AB194)</f>
        <v/>
      </c>
      <c r="D24" s="1611">
        <f>IF(INPUT!F194=0,"",INPUT!F194)</f>
        <v>1150000</v>
      </c>
      <c r="E24" s="1603">
        <f>IF(A24="","",IF(INPUT!H194=0,0,INPUT!H194))</f>
        <v>0</v>
      </c>
      <c r="F24" s="1603">
        <f>IF(INPUT!J194="","",INPUT!J194)</f>
        <v>1150000</v>
      </c>
      <c r="G24" s="1951">
        <f>IF(F24="","",IF(INPUT!$E$148="Yes",IF('Loan Settlement Stmt'!E24=0,"",INPUT!M194),INPUT!M194))</f>
        <v>0</v>
      </c>
      <c r="H24" s="1620">
        <f>IF(INPUT!O194=0,"",INPUT!O194)</f>
        <v>1.686E-2</v>
      </c>
      <c r="I24" s="1604">
        <f>IF(INPUT!P194=0,"",INPUT!P194)</f>
        <v>53.858333333333334</v>
      </c>
      <c r="S24" s="406"/>
      <c r="T24" s="2429"/>
      <c r="U24" s="7"/>
      <c r="V24" s="7"/>
      <c r="W24" s="7"/>
    </row>
    <row r="25" spans="1:23" hidden="1" outlineLevel="1">
      <c r="A25" s="1608" t="str">
        <f>IF(INPUT!A195="","",INPUT!A195)</f>
        <v>SILAC Insurance Company</v>
      </c>
      <c r="B25" s="1615" t="str">
        <f>IF(INPUT!D195="","",INPUT!D195)</f>
        <v>Note A4</v>
      </c>
      <c r="C25" s="1616" t="str">
        <f>IF(INPUT!AB195="","","ACR00"&amp;INPUT!AB195)</f>
        <v/>
      </c>
      <c r="D25" s="1611">
        <f>IF(INPUT!F195=0,"",INPUT!F195)</f>
        <v>8661500</v>
      </c>
      <c r="E25" s="1603">
        <f>IF(A25="","",IF(INPUT!H195=0,0,INPUT!H195))</f>
        <v>2963500</v>
      </c>
      <c r="F25" s="1603">
        <f>IF(INPUT!J195="","",INPUT!J195)</f>
        <v>11625000</v>
      </c>
      <c r="G25" s="1951">
        <f>IF(F25="","",IF(INPUT!$E$148="Yes",IF('Loan Settlement Stmt'!E25=0,"",INPUT!M195),INPUT!M195))</f>
        <v>0</v>
      </c>
      <c r="H25" s="1620">
        <f>IF(INPUT!O195=0,"",INPUT!O195)</f>
        <v>1.686E-2</v>
      </c>
      <c r="I25" s="1604">
        <f>IF(INPUT!P195=0,"",INPUT!P195)</f>
        <v>405.6469166666667</v>
      </c>
      <c r="S25" s="406"/>
      <c r="T25" s="2429"/>
      <c r="U25" s="7"/>
      <c r="V25" s="7"/>
      <c r="W25" s="7"/>
    </row>
    <row r="26" spans="1:23" hidden="1" outlineLevel="1">
      <c r="A26" s="1608" t="str">
        <f>IF(INPUT!A196="","",INPUT!A196)</f>
        <v>SILAC Insurance Company</v>
      </c>
      <c r="B26" s="1615" t="str">
        <f>IF(INPUT!D196="","",INPUT!D196)</f>
        <v>Note B4</v>
      </c>
      <c r="C26" s="1616" t="str">
        <f>IF(INPUT!AB196="","","ACR00"&amp;INPUT!AB196)</f>
        <v/>
      </c>
      <c r="D26" s="1611">
        <f>IF(INPUT!F196=0,"",INPUT!F196)</f>
        <v>2139629</v>
      </c>
      <c r="E26" s="1603">
        <f>IF(A26="","",IF(INPUT!H196=0,0,INPUT!H196))</f>
        <v>860371</v>
      </c>
      <c r="F26" s="1603">
        <f>IF(INPUT!J196="","",INPUT!J196)</f>
        <v>3000000</v>
      </c>
      <c r="G26" s="1951">
        <f>IF(F26="","",IF(INPUT!$E$148="Yes",IF('Loan Settlement Stmt'!E26=0,"",INPUT!M196),INPUT!M196))</f>
        <v>0</v>
      </c>
      <c r="H26" s="1620">
        <f>IF(INPUT!O196=0,"",INPUT!O196)</f>
        <v>1.686E-2</v>
      </c>
      <c r="I26" s="1604">
        <f>IF(INPUT!P196=0,"",INPUT!P196)</f>
        <v>100.20595816666666</v>
      </c>
      <c r="S26" s="406"/>
      <c r="T26" s="2429"/>
      <c r="U26" s="7"/>
      <c r="V26" s="7"/>
      <c r="W26" s="7"/>
    </row>
    <row r="27" spans="1:23" hidden="1" outlineLevel="1">
      <c r="A27" s="1608" t="str">
        <f>IF(INPUT!A197="","",INPUT!A197)</f>
        <v>SILAC Insurance Company</v>
      </c>
      <c r="B27" s="1615" t="str">
        <f>IF(INPUT!D197="","",INPUT!D197)</f>
        <v>Mezz 4</v>
      </c>
      <c r="C27" s="1616" t="str">
        <f>IF(INPUT!AB197="","","ACR00"&amp;INPUT!AB197)</f>
        <v/>
      </c>
      <c r="D27" s="1611">
        <f>IF(INPUT!F197=0,"",INPUT!F197)</f>
        <v>375000</v>
      </c>
      <c r="E27" s="1603">
        <f>IF(A27="","",IF(INPUT!H197=0,0,INPUT!H197))</f>
        <v>0</v>
      </c>
      <c r="F27" s="1603">
        <f>IF(INPUT!J197="","",INPUT!J197)</f>
        <v>375000</v>
      </c>
      <c r="G27" s="1951">
        <f>IF(F27="","",IF(INPUT!$E$148="Yes",IF('Loan Settlement Stmt'!E27=0,"",INPUT!M197),INPUT!M197))</f>
        <v>0</v>
      </c>
      <c r="H27" s="1620">
        <f>IF(INPUT!O197=0,"",INPUT!O197)</f>
        <v>1.686E-2</v>
      </c>
      <c r="I27" s="1604">
        <f>IF(INPUT!P197=0,"",INPUT!P197)</f>
        <v>17.5625</v>
      </c>
      <c r="S27" s="406"/>
      <c r="T27" s="1126"/>
    </row>
    <row r="28" spans="1:23" ht="15" hidden="1" customHeight="1" outlineLevel="1">
      <c r="A28" s="1608" t="str">
        <f>IF(INPUT!A198="","",INPUT!A198)</f>
        <v>TRE ACR Portfolio Series II</v>
      </c>
      <c r="B28" s="1615" t="str">
        <f>IF(INPUT!D198="","",INPUT!D198)</f>
        <v>Note A1-2</v>
      </c>
      <c r="C28" s="1616" t="str">
        <f>IF(INPUT!AB198="","","ACR00"&amp;INPUT!AB198)</f>
        <v/>
      </c>
      <c r="D28" s="1611">
        <f>IF(INPUT!F198=0,"",INPUT!F198)</f>
        <v>64037354</v>
      </c>
      <c r="E28" s="1603">
        <f>IF(A28="","",IF(INPUT!H198=0,0,INPUT!H198))</f>
        <v>21910146</v>
      </c>
      <c r="F28" s="1603">
        <f>IF(INPUT!J198="","",INPUT!J198)</f>
        <v>85947500</v>
      </c>
      <c r="G28" s="1951">
        <f>IF(F28="","",IF(INPUT!$E$148="Yes",IF('Loan Settlement Stmt'!E28=0,"",INPUT!M198),INPUT!M198))</f>
        <v>0</v>
      </c>
      <c r="H28" s="1620">
        <f>IF(INPUT!O198=0,"",INPUT!O198)</f>
        <v>1.686E-2</v>
      </c>
      <c r="I28" s="1604">
        <f>IF(INPUT!P198=0,"",INPUT!P198)</f>
        <v>2999.0827456666666</v>
      </c>
      <c r="S28" s="406"/>
      <c r="T28" s="1127" t="s">
        <v>1518</v>
      </c>
    </row>
    <row r="29" spans="1:23" ht="15" hidden="1" customHeight="1" outlineLevel="1">
      <c r="A29" s="1608" t="str">
        <f>IF(INPUT!A199="","",INPUT!A199)</f>
        <v>TRE ACR Portfolio Series II</v>
      </c>
      <c r="B29" s="1615" t="str">
        <f>IF(INPUT!D199="","",INPUT!D199)</f>
        <v>Note B1-2</v>
      </c>
      <c r="C29" s="1616" t="str">
        <f>IF(INPUT!AB199="","","ACR00"&amp;INPUT!AB199)</f>
        <v/>
      </c>
      <c r="D29" s="1611">
        <f>IF(INPUT!F199=0,"",INPUT!F199)</f>
        <v>15818990</v>
      </c>
      <c r="E29" s="1603">
        <f>IF(A29="","",IF(INPUT!H199=0,0,INPUT!H199))</f>
        <v>6361010</v>
      </c>
      <c r="F29" s="1603">
        <f>IF(INPUT!J199="","",INPUT!J199)</f>
        <v>22180000</v>
      </c>
      <c r="G29" s="1951">
        <f>IF(F29="","",IF(INPUT!$E$148="Yes",IF('Loan Settlement Stmt'!E29=0,"",INPUT!M199),INPUT!M199))</f>
        <v>0</v>
      </c>
      <c r="H29" s="1620">
        <f>IF(INPUT!O199=0,"",INPUT!O199)</f>
        <v>1.686E-2</v>
      </c>
      <c r="I29" s="1604">
        <f>IF(INPUT!P199=0,"",INPUT!P199)</f>
        <v>740.85603166666669</v>
      </c>
      <c r="S29" s="406"/>
      <c r="T29" s="1125"/>
    </row>
    <row r="30" spans="1:23" ht="15" hidden="1" customHeight="1" outlineLevel="1">
      <c r="A30" s="1608" t="str">
        <f>IF(INPUT!A200="","",INPUT!A200)</f>
        <v>TRE ACR Portfolio Series II</v>
      </c>
      <c r="B30" s="1615" t="str">
        <f>IF(INPUT!D200="","",INPUT!D200)</f>
        <v>Mezz 1-2</v>
      </c>
      <c r="C30" s="1616" t="str">
        <f>IF(INPUT!AB200="","","ACR00"&amp;INPUT!AB200)</f>
        <v/>
      </c>
      <c r="D30" s="1611">
        <f>IF(INPUT!F200=0,"",INPUT!F200)</f>
        <v>2772500</v>
      </c>
      <c r="E30" s="1603">
        <f>IF(A30="","",IF(INPUT!H200=0,0,INPUT!H200))</f>
        <v>0</v>
      </c>
      <c r="F30" s="1603">
        <f>IF(INPUT!J200="","",INPUT!J200)</f>
        <v>2772500</v>
      </c>
      <c r="G30" s="1951">
        <f>IF(F30="","",IF(INPUT!$E$148="Yes",IF('Loan Settlement Stmt'!E30=0,"",INPUT!M200),INPUT!M200))</f>
        <v>0</v>
      </c>
      <c r="H30" s="1620">
        <f>IF(INPUT!O200=0,"",INPUT!O200)</f>
        <v>1.686E-2</v>
      </c>
      <c r="I30" s="1604">
        <f>IF(INPUT!P200=0,"",INPUT!P200)</f>
        <v>129.84541666666667</v>
      </c>
      <c r="S30" s="406"/>
      <c r="T30" s="1125"/>
    </row>
    <row r="31" spans="1:23" collapsed="1">
      <c r="A31" s="1608" t="str">
        <f>IF(INPUT!A201="","",INPUT!A201)</f>
        <v/>
      </c>
      <c r="B31" s="1615" t="str">
        <f>IF(INPUT!D201="","",INPUT!D201)</f>
        <v/>
      </c>
      <c r="C31" s="1616" t="str">
        <f>IF(INPUT!AB201="","","ACR00"&amp;INPUT!AB201)</f>
        <v/>
      </c>
      <c r="D31" s="1611" t="str">
        <f>IF(INPUT!F201=0,"",INPUT!F201)</f>
        <v/>
      </c>
      <c r="E31" s="1603" t="str">
        <f>IF(A31="","",IF(INPUT!H201=0,0,INPUT!H201))</f>
        <v/>
      </c>
      <c r="F31" s="1603" t="str">
        <f>IF(INPUT!J201="","",INPUT!J201)</f>
        <v/>
      </c>
      <c r="G31" s="1951" t="str">
        <f>IF(F31="","",IF(INPUT!$E$148="Yes",IF('Loan Settlement Stmt'!E31=0,"",INPUT!M201),INPUT!M201))</f>
        <v/>
      </c>
      <c r="H31" s="1620" t="str">
        <f>IF(INPUT!O201=0,"",INPUT!O201)</f>
        <v/>
      </c>
      <c r="I31" s="1604" t="str">
        <f>IF(INPUT!P201=0,"",INPUT!P201)</f>
        <v/>
      </c>
      <c r="S31" s="406"/>
      <c r="T31" s="1125"/>
    </row>
    <row r="32" spans="1:23" ht="15" hidden="1" customHeight="1" outlineLevel="1">
      <c r="A32" s="1608" t="str">
        <f>IF(INPUT!A202="","",INPUT!A202)</f>
        <v/>
      </c>
      <c r="B32" s="1615" t="str">
        <f>IF(INPUT!D202="","",INPUT!D202)</f>
        <v/>
      </c>
      <c r="C32" s="1616" t="e">
        <f>IF(INPUT!#REF!="","","ACR00"&amp;INPUT!#REF!)</f>
        <v>#REF!</v>
      </c>
      <c r="D32" s="1611" t="str">
        <f>IF(INPUT!F202=0,"",INPUT!F202)</f>
        <v/>
      </c>
      <c r="E32" s="1603" t="str">
        <f>IF(A32="","",IF(INPUT!H202=0,0,INPUT!H202))</f>
        <v/>
      </c>
      <c r="F32" s="1603" t="str">
        <f>IF(INPUT!J202="","",INPUT!J202)</f>
        <v/>
      </c>
      <c r="G32" s="1951" t="str">
        <f>IF(F32="","",IF(INPUT!$E$148="Yes",IF('Loan Settlement Stmt'!E32=0,"",INPUT!M202),INPUT!M202))</f>
        <v/>
      </c>
      <c r="H32" s="1620" t="str">
        <f>IF(INPUT!O202=0,"",INPUT!O202)</f>
        <v/>
      </c>
      <c r="I32" s="1604" t="str">
        <f>IF(INPUT!P202=0,"",INPUT!P202)</f>
        <v/>
      </c>
      <c r="S32" s="406"/>
      <c r="T32" s="2429" t="s">
        <v>1518</v>
      </c>
      <c r="U32" s="7"/>
      <c r="V32" s="7"/>
      <c r="W32" s="7"/>
    </row>
    <row r="33" spans="1:23" hidden="1" outlineLevel="1">
      <c r="A33" s="1608" t="str">
        <f>IF(INPUT!A203="","",INPUT!A203)</f>
        <v/>
      </c>
      <c r="B33" s="1615" t="str">
        <f>IF(INPUT!D203="","",INPUT!D203)</f>
        <v/>
      </c>
      <c r="C33" s="1616" t="e">
        <f>IF(INPUT!#REF!="","","ACR00"&amp;INPUT!#REF!)</f>
        <v>#REF!</v>
      </c>
      <c r="D33" s="1611" t="str">
        <f>IF(INPUT!F203=0,"",INPUT!F203)</f>
        <v/>
      </c>
      <c r="E33" s="1603" t="str">
        <f>IF(A33="","",IF(INPUT!H203=0,0,INPUT!H203))</f>
        <v/>
      </c>
      <c r="F33" s="1603" t="str">
        <f>IF(INPUT!J203="","",INPUT!J203)</f>
        <v/>
      </c>
      <c r="G33" s="1951" t="str">
        <f>IF(F33="","",IF(INPUT!$E$148="Yes",IF('Loan Settlement Stmt'!E33=0,"",INPUT!M203),INPUT!M203))</f>
        <v/>
      </c>
      <c r="H33" s="1620" t="str">
        <f>IF(INPUT!O203=0,"",INPUT!O203)</f>
        <v/>
      </c>
      <c r="I33" s="1604" t="str">
        <f>IF(INPUT!P203=0,"",INPUT!P203)</f>
        <v/>
      </c>
      <c r="S33" s="406"/>
      <c r="T33" s="2426"/>
      <c r="U33" s="7"/>
      <c r="V33" s="7"/>
      <c r="W33" s="7"/>
    </row>
    <row r="34" spans="1:23" hidden="1" outlineLevel="1">
      <c r="A34" s="1608" t="str">
        <f>IF(INPUT!A204="","",INPUT!A204)</f>
        <v/>
      </c>
      <c r="B34" s="1615" t="str">
        <f>IF(INPUT!D204="","",INPUT!D204)</f>
        <v/>
      </c>
      <c r="C34" s="1616" t="e">
        <f>IF(INPUT!#REF!="","","ACR00"&amp;INPUT!#REF!)</f>
        <v>#REF!</v>
      </c>
      <c r="D34" s="1611" t="str">
        <f>IF(INPUT!F204=0,"",INPUT!F204)</f>
        <v/>
      </c>
      <c r="E34" s="1603" t="str">
        <f>IF(A34="","",IF(INPUT!H204=0,0,INPUT!H204))</f>
        <v/>
      </c>
      <c r="F34" s="1603" t="str">
        <f>IF(INPUT!J204="","",INPUT!J204)</f>
        <v/>
      </c>
      <c r="G34" s="1951" t="str">
        <f>IF(F34="","",IF(INPUT!$E$148="Yes",IF('Loan Settlement Stmt'!E34=0,"",INPUT!M204),INPUT!M204))</f>
        <v/>
      </c>
      <c r="H34" s="1620" t="str">
        <f>IF(INPUT!O204=0,"",INPUT!O204)</f>
        <v/>
      </c>
      <c r="I34" s="1604" t="str">
        <f>IF(INPUT!P204=0,"",INPUT!P204)</f>
        <v/>
      </c>
      <c r="S34" s="406"/>
      <c r="T34" s="2426"/>
      <c r="U34" s="7"/>
      <c r="V34" s="7"/>
      <c r="W34" s="7"/>
    </row>
    <row r="35" spans="1:23" hidden="1" outlineLevel="1">
      <c r="A35" s="1608" t="str">
        <f>IF(INPUT!A205="","",INPUT!A205)</f>
        <v/>
      </c>
      <c r="B35" s="1615" t="str">
        <f>IF(INPUT!D205="","",INPUT!D205)</f>
        <v/>
      </c>
      <c r="C35" s="1616" t="e">
        <f>IF(INPUT!#REF!="","","ACR00"&amp;INPUT!#REF!)</f>
        <v>#REF!</v>
      </c>
      <c r="D35" s="1611" t="str">
        <f>IF(INPUT!F205=0,"",INPUT!F205)</f>
        <v/>
      </c>
      <c r="E35" s="1603" t="str">
        <f>IF(A35="","",IF(INPUT!H205=0,0,INPUT!H205))</f>
        <v/>
      </c>
      <c r="F35" s="1603" t="str">
        <f>IF(INPUT!J205="","",INPUT!J205)</f>
        <v/>
      </c>
      <c r="G35" s="1951" t="str">
        <f>IF(F35="","",IF(INPUT!$E$148="Yes",IF('Loan Settlement Stmt'!E35=0,"",INPUT!M205),INPUT!M205))</f>
        <v/>
      </c>
      <c r="H35" s="1620" t="str">
        <f>IF(INPUT!O205=0,"",INPUT!O205)</f>
        <v/>
      </c>
      <c r="I35" s="1604" t="str">
        <f>IF(INPUT!P205=0,"",INPUT!P205)</f>
        <v/>
      </c>
      <c r="S35" s="406"/>
      <c r="T35" s="2426"/>
      <c r="U35" s="7"/>
      <c r="V35" s="7"/>
      <c r="W35" s="7"/>
    </row>
    <row r="36" spans="1:23" ht="15" hidden="1" customHeight="1" outlineLevel="1">
      <c r="A36" s="1608" t="str">
        <f>IF(INPUT!A206="","",INPUT!A206)</f>
        <v/>
      </c>
      <c r="B36" s="1615" t="str">
        <f>IF(INPUT!D206="","",INPUT!D206)</f>
        <v/>
      </c>
      <c r="C36" s="1616" t="e">
        <f>IF(INPUT!#REF!="","","ACR00"&amp;INPUT!#REF!)</f>
        <v>#REF!</v>
      </c>
      <c r="D36" s="1611" t="str">
        <f>IF(INPUT!F206=0,"",INPUT!F206)</f>
        <v/>
      </c>
      <c r="E36" s="1603" t="str">
        <f>IF(A36="","",IF(INPUT!H206=0,0,INPUT!H206))</f>
        <v/>
      </c>
      <c r="F36" s="1603" t="str">
        <f>IF(INPUT!J206="","",INPUT!J206)</f>
        <v/>
      </c>
      <c r="G36" s="1951" t="str">
        <f>IF(F36="","",IF(INPUT!$E$148="Yes",IF('Loan Settlement Stmt'!E36=0,"",INPUT!M206),INPUT!M206))</f>
        <v/>
      </c>
      <c r="H36" s="1620" t="str">
        <f>IF(INPUT!O206=0,"",INPUT!O206)</f>
        <v/>
      </c>
      <c r="I36" s="1604" t="str">
        <f>IF(INPUT!P206=0,"",INPUT!P206)</f>
        <v/>
      </c>
      <c r="S36" s="406"/>
      <c r="T36" s="2429" t="s">
        <v>1518</v>
      </c>
      <c r="U36" s="7"/>
      <c r="V36" s="7"/>
      <c r="W36" s="7"/>
    </row>
    <row r="37" spans="1:23" hidden="1" outlineLevel="1">
      <c r="A37" s="1608" t="str">
        <f>IF(INPUT!A207="","",INPUT!A207)</f>
        <v/>
      </c>
      <c r="B37" s="1615" t="str">
        <f>IF(INPUT!D207="","",INPUT!D207)</f>
        <v/>
      </c>
      <c r="C37" s="1616" t="e">
        <f>IF(INPUT!#REF!="","","ACR00"&amp;INPUT!#REF!)</f>
        <v>#REF!</v>
      </c>
      <c r="D37" s="1611" t="str">
        <f>IF(INPUT!F207=0,"",INPUT!F207)</f>
        <v/>
      </c>
      <c r="E37" s="1603" t="str">
        <f>IF(A37="","",IF(INPUT!H207=0,0,INPUT!H207))</f>
        <v/>
      </c>
      <c r="F37" s="1603" t="str">
        <f>IF(INPUT!J207="","",INPUT!J207)</f>
        <v/>
      </c>
      <c r="G37" s="1951" t="str">
        <f>IF(F37="","",IF(INPUT!$E$148="Yes",IF('Loan Settlement Stmt'!E37=0,"",INPUT!M207),INPUT!M207))</f>
        <v/>
      </c>
      <c r="H37" s="1620" t="str">
        <f>IF(INPUT!O207=0,"",INPUT!O207)</f>
        <v/>
      </c>
      <c r="I37" s="1604" t="str">
        <f>IF(INPUT!P207=0,"",INPUT!P207)</f>
        <v/>
      </c>
      <c r="S37" s="406"/>
      <c r="T37" s="2426"/>
      <c r="U37" s="7"/>
      <c r="V37" s="7"/>
      <c r="W37" s="7"/>
    </row>
    <row r="38" spans="1:23" hidden="1" outlineLevel="1">
      <c r="A38" s="1608" t="str">
        <f>IF(INPUT!A208="","",INPUT!A208)</f>
        <v/>
      </c>
      <c r="B38" s="1615" t="str">
        <f>IF(INPUT!D208="","",INPUT!D208)</f>
        <v/>
      </c>
      <c r="C38" s="1616" t="e">
        <f>IF(INPUT!#REF!="","","ACR00"&amp;INPUT!#REF!)</f>
        <v>#REF!</v>
      </c>
      <c r="D38" s="1611" t="str">
        <f>IF(INPUT!F208=0,"",INPUT!F208)</f>
        <v/>
      </c>
      <c r="E38" s="1603" t="str">
        <f>IF(A38="","",IF(INPUT!H208=0,0,INPUT!H208))</f>
        <v/>
      </c>
      <c r="F38" s="1603" t="str">
        <f>IF(INPUT!J208="","",INPUT!J208)</f>
        <v/>
      </c>
      <c r="G38" s="1951" t="str">
        <f>IF(F38="","",IF(INPUT!$E$148="Yes",IF('Loan Settlement Stmt'!E38=0,"",INPUT!M208),INPUT!M208))</f>
        <v/>
      </c>
      <c r="H38" s="1620" t="str">
        <f>IF(INPUT!O208=0,"",INPUT!O208)</f>
        <v/>
      </c>
      <c r="I38" s="1604" t="str">
        <f>IF(INPUT!P208=0,"",INPUT!P208)</f>
        <v/>
      </c>
      <c r="S38" s="406"/>
      <c r="T38" s="2426"/>
      <c r="U38" s="7"/>
      <c r="V38" s="7"/>
      <c r="W38" s="7"/>
    </row>
    <row r="39" spans="1:23" hidden="1" outlineLevel="1">
      <c r="A39" s="1608" t="str">
        <f>IF(INPUT!A209="","",INPUT!A209)</f>
        <v/>
      </c>
      <c r="B39" s="1615" t="str">
        <f>IF(INPUT!D209="","",INPUT!D209)</f>
        <v/>
      </c>
      <c r="C39" s="1616" t="e">
        <f>IF(INPUT!#REF!="","","ACR00"&amp;INPUT!#REF!)</f>
        <v>#REF!</v>
      </c>
      <c r="D39" s="1611" t="str">
        <f>IF(INPUT!F209=0,"",INPUT!F209)</f>
        <v/>
      </c>
      <c r="E39" s="1603" t="str">
        <f>IF(A39="","",IF(INPUT!H209=0,0,INPUT!H209))</f>
        <v/>
      </c>
      <c r="F39" s="1603" t="str">
        <f>IF(INPUT!J209="","",INPUT!J209)</f>
        <v/>
      </c>
      <c r="G39" s="1951" t="str">
        <f>IF(F39="","",IF(INPUT!$E$148="Yes",IF('Loan Settlement Stmt'!E39=0,"",INPUT!M209),INPUT!M209))</f>
        <v/>
      </c>
      <c r="H39" s="1620" t="str">
        <f>IF(INPUT!O209=0,"",INPUT!O209)</f>
        <v/>
      </c>
      <c r="I39" s="1604" t="str">
        <f>IF(INPUT!P209=0,"",INPUT!P209)</f>
        <v/>
      </c>
      <c r="S39" s="406"/>
      <c r="T39" s="2426"/>
      <c r="U39" s="7"/>
      <c r="V39" s="7"/>
      <c r="W39" s="7"/>
    </row>
    <row r="40" spans="1:23" ht="15" hidden="1" customHeight="1" outlineLevel="1">
      <c r="A40" s="1608" t="str">
        <f>IF(INPUT!A210="","",INPUT!A210)</f>
        <v/>
      </c>
      <c r="B40" s="1615" t="str">
        <f>IF(INPUT!D210="","",INPUT!D210)</f>
        <v/>
      </c>
      <c r="C40" s="1616" t="e">
        <f>IF(INPUT!#REF!="","","ACR00"&amp;INPUT!#REF!)</f>
        <v>#REF!</v>
      </c>
      <c r="D40" s="1611" t="str">
        <f>IF(INPUT!F210=0,"",INPUT!F210)</f>
        <v/>
      </c>
      <c r="E40" s="1603" t="str">
        <f>IF(A40="","",IF(INPUT!H210=0,0,INPUT!H210))</f>
        <v/>
      </c>
      <c r="F40" s="1603" t="str">
        <f>IF(INPUT!J210="","",INPUT!J210)</f>
        <v/>
      </c>
      <c r="G40" s="1951" t="str">
        <f>IF(F40="","",IF(INPUT!$E$148="Yes",IF('Loan Settlement Stmt'!E40=0,"",INPUT!M210),INPUT!M210))</f>
        <v/>
      </c>
      <c r="H40" s="1620" t="str">
        <f>IF(INPUT!O210=0,"",INPUT!O210)</f>
        <v/>
      </c>
      <c r="I40" s="1604" t="str">
        <f>IF(INPUT!P210=0,"",INPUT!P210)</f>
        <v/>
      </c>
      <c r="S40" s="406"/>
      <c r="T40" s="2429" t="s">
        <v>1518</v>
      </c>
      <c r="U40" s="7"/>
      <c r="V40" s="7"/>
      <c r="W40" s="7"/>
    </row>
    <row r="41" spans="1:23" hidden="1" outlineLevel="1">
      <c r="A41" s="1608" t="str">
        <f>IF(INPUT!A211="","",INPUT!A211)</f>
        <v/>
      </c>
      <c r="B41" s="1615" t="str">
        <f>IF(INPUT!D211="","",INPUT!D211)</f>
        <v/>
      </c>
      <c r="C41" s="1616" t="e">
        <f>IF(INPUT!#REF!="","","ACR00"&amp;INPUT!#REF!)</f>
        <v>#REF!</v>
      </c>
      <c r="D41" s="1611" t="str">
        <f>IF(INPUT!F211=0,"",INPUT!F211)</f>
        <v/>
      </c>
      <c r="E41" s="1603" t="str">
        <f>IF(A41="","",IF(INPUT!H211=0,0,INPUT!H211))</f>
        <v/>
      </c>
      <c r="F41" s="1603" t="str">
        <f>IF(INPUT!J211="","",INPUT!J211)</f>
        <v/>
      </c>
      <c r="G41" s="1951" t="str">
        <f>IF(F41="","",IF(INPUT!$E$148="Yes",IF('Loan Settlement Stmt'!E41=0,"",INPUT!M211),INPUT!M211))</f>
        <v/>
      </c>
      <c r="H41" s="1620" t="str">
        <f>IF(INPUT!O211=0,"",INPUT!O211)</f>
        <v/>
      </c>
      <c r="I41" s="1604" t="str">
        <f>IF(INPUT!P211=0,"",INPUT!P211)</f>
        <v/>
      </c>
      <c r="S41" s="406"/>
      <c r="T41" s="2426"/>
      <c r="U41" s="7"/>
      <c r="V41" s="7"/>
      <c r="W41" s="7"/>
    </row>
    <row r="42" spans="1:23" hidden="1" outlineLevel="1">
      <c r="A42" s="1608" t="str">
        <f>IF(INPUT!A212="","",INPUT!A212)</f>
        <v/>
      </c>
      <c r="B42" s="1615" t="str">
        <f>IF(INPUT!D212="","",INPUT!D212)</f>
        <v/>
      </c>
      <c r="C42" s="1616" t="e">
        <f>IF(INPUT!#REF!="","","ACR00"&amp;INPUT!#REF!)</f>
        <v>#REF!</v>
      </c>
      <c r="D42" s="1611" t="str">
        <f>IF(INPUT!F212=0,"",INPUT!F212)</f>
        <v/>
      </c>
      <c r="E42" s="1603" t="str">
        <f>IF(A42="","",IF(INPUT!H212=0,0,INPUT!H212))</f>
        <v/>
      </c>
      <c r="F42" s="1603" t="str">
        <f>IF(INPUT!J212="","",INPUT!J212)</f>
        <v/>
      </c>
      <c r="G42" s="1951" t="str">
        <f>IF(F42="","",IF(INPUT!$E$148="Yes",IF('Loan Settlement Stmt'!E42=0,"",INPUT!M212),INPUT!M212))</f>
        <v/>
      </c>
      <c r="H42" s="1620" t="str">
        <f>IF(INPUT!O212=0,"",INPUT!O212)</f>
        <v/>
      </c>
      <c r="I42" s="1604" t="str">
        <f>IF(INPUT!P212=0,"",INPUT!P212)</f>
        <v/>
      </c>
      <c r="S42" s="406"/>
      <c r="T42" s="2426"/>
      <c r="U42" s="7"/>
      <c r="V42" s="7"/>
      <c r="W42" s="7"/>
    </row>
    <row r="43" spans="1:23" hidden="1" outlineLevel="1">
      <c r="A43" s="1608" t="str">
        <f>IF(INPUT!A213="","",INPUT!A213)</f>
        <v/>
      </c>
      <c r="B43" s="1615" t="str">
        <f>IF(INPUT!D213="","",INPUT!D213)</f>
        <v/>
      </c>
      <c r="C43" s="1616" t="e">
        <f>IF(INPUT!#REF!="","","ACR00"&amp;INPUT!#REF!)</f>
        <v>#REF!</v>
      </c>
      <c r="D43" s="1611" t="str">
        <f>IF(INPUT!F213=0,"",INPUT!F213)</f>
        <v/>
      </c>
      <c r="E43" s="1603" t="str">
        <f>IF(A43="","",IF(INPUT!H213=0,0,INPUT!H213))</f>
        <v/>
      </c>
      <c r="F43" s="1603" t="str">
        <f>IF(INPUT!J213="","",INPUT!J213)</f>
        <v/>
      </c>
      <c r="G43" s="1951" t="str">
        <f>IF(F43="","",IF(INPUT!$E$148="Yes",IF('Loan Settlement Stmt'!E43=0,"",INPUT!M213),INPUT!M213))</f>
        <v/>
      </c>
      <c r="H43" s="1620" t="str">
        <f>IF(INPUT!O213=0,"",INPUT!O213)</f>
        <v/>
      </c>
      <c r="I43" s="1604" t="str">
        <f>IF(INPUT!P213=0,"",INPUT!P213)</f>
        <v/>
      </c>
      <c r="S43" s="406"/>
      <c r="T43" s="2426"/>
      <c r="U43" s="7"/>
      <c r="V43" s="7"/>
      <c r="W43" s="7"/>
    </row>
    <row r="44" spans="1:23" hidden="1" outlineLevel="1">
      <c r="A44" s="1608" t="str">
        <f>IF(INPUT!A214="","",INPUT!A214)</f>
        <v/>
      </c>
      <c r="B44" s="1615" t="str">
        <f>IF(INPUT!D214="","",INPUT!D214)</f>
        <v/>
      </c>
      <c r="C44" s="1616" t="e">
        <f>IF(INPUT!#REF!="","","ACR00"&amp;INPUT!#REF!)</f>
        <v>#REF!</v>
      </c>
      <c r="D44" s="1611" t="str">
        <f>IF(INPUT!F214=0,"",INPUT!F214)</f>
        <v/>
      </c>
      <c r="E44" s="1603" t="str">
        <f>IF(A44="","",IF(INPUT!H214=0,0,INPUT!H214))</f>
        <v/>
      </c>
      <c r="F44" s="1603" t="str">
        <f>IF(INPUT!J214="","",INPUT!J214)</f>
        <v/>
      </c>
      <c r="G44" s="1951" t="str">
        <f>IF(F44="","",IF(INPUT!$E$148="Yes",IF('Loan Settlement Stmt'!E44=0,"",INPUT!M214),INPUT!M214))</f>
        <v/>
      </c>
      <c r="H44" s="1620" t="str">
        <f>IF(INPUT!O214=0,"",INPUT!O214)</f>
        <v/>
      </c>
      <c r="I44" s="1604" t="str">
        <f>IF(INPUT!P214=0,"",INPUT!P214)</f>
        <v/>
      </c>
      <c r="S44" s="406"/>
      <c r="T44" s="1127"/>
    </row>
    <row r="45" spans="1:23" ht="15.75" hidden="1" outlineLevel="1" thickBot="1">
      <c r="A45" s="1609" t="str">
        <f>IF(INPUT!A215="","",INPUT!A215)</f>
        <v/>
      </c>
      <c r="B45" s="1617" t="str">
        <f>IF(INPUT!D215="","",INPUT!D215)</f>
        <v/>
      </c>
      <c r="C45" s="1618" t="e">
        <f>IF(INPUT!#REF!="","","ACR00"&amp;INPUT!#REF!)</f>
        <v>#REF!</v>
      </c>
      <c r="D45" s="1612" t="str">
        <f>IF(INPUT!F215=0,"",INPUT!F215)</f>
        <v/>
      </c>
      <c r="E45" s="1605" t="str">
        <f>IF(A45="","",IF(INPUT!H215=0,0,INPUT!H215))</f>
        <v/>
      </c>
      <c r="F45" s="1605" t="str">
        <f>IF(INPUT!J215="","",INPUT!J215)</f>
        <v/>
      </c>
      <c r="G45" s="1952" t="str">
        <f>IF(F45="","",IF(INPUT!$E$148="Yes",IF('Loan Settlement Stmt'!E45=0,"",INPUT!M215),INPUT!M215))</f>
        <v/>
      </c>
      <c r="H45" s="1621" t="str">
        <f>IF(INPUT!O215=0,"",INPUT!O215)</f>
        <v/>
      </c>
      <c r="I45" s="1606" t="str">
        <f>IF(INPUT!P215=0,"",INPUT!P215)</f>
        <v/>
      </c>
      <c r="S45" s="406"/>
      <c r="T45" s="1125"/>
    </row>
    <row r="46" spans="1:23" ht="15.75" collapsed="1" thickBot="1">
      <c r="A46" s="1610" t="str">
        <f>IF(INPUT!A216="","",INPUT!A216)</f>
        <v>TOTALS</v>
      </c>
      <c r="B46" s="1420"/>
      <c r="C46" s="1619"/>
      <c r="D46" s="1422">
        <f>INPUT!F216</f>
        <v>228663591</v>
      </c>
      <c r="E46" s="1421">
        <f>INPUT!H216</f>
        <v>78236409</v>
      </c>
      <c r="F46" s="1956">
        <f>INPUT!J216</f>
        <v>306900000</v>
      </c>
      <c r="G46" s="1953">
        <f>IFERROR(IF(INPUT!$E$148="Yes",SUMPRODUCT(E16:E45)/E46,INPUT!M216),"")</f>
        <v>0</v>
      </c>
      <c r="H46" s="1622">
        <f>IF(INPUT!O216=0,"",INPUT!O216)</f>
        <v>1.6860000000000003E-2</v>
      </c>
      <c r="I46" s="1423">
        <f>IF(INPUT!P216=0,0,INPUT!P216)</f>
        <v>10709.0781785</v>
      </c>
      <c r="S46" s="406"/>
      <c r="T46" s="1125"/>
    </row>
    <row r="47" spans="1:23" ht="19.5" customHeight="1" thickTop="1">
      <c r="A47" s="20"/>
      <c r="B47" s="20"/>
      <c r="C47" s="20"/>
      <c r="D47" s="20"/>
      <c r="E47" s="20"/>
      <c r="F47" s="20"/>
      <c r="G47" s="20"/>
      <c r="H47" s="20"/>
      <c r="I47" s="1428"/>
      <c r="K47" s="1127" t="s">
        <v>1519</v>
      </c>
    </row>
    <row r="48" spans="1:23" hidden="1" outlineLevel="1">
      <c r="A48" s="872" t="str">
        <f>IF(INPUT!E172="Yes","-I.O. Notes represent interest only strip notes and the loan advance amounts shown for same are Notional. ","")</f>
        <v/>
      </c>
      <c r="B48" s="407"/>
      <c r="C48" s="407"/>
      <c r="D48" s="407"/>
      <c r="E48" s="407"/>
      <c r="F48" s="407"/>
      <c r="G48" s="407"/>
      <c r="H48" s="407"/>
      <c r="I48" s="407"/>
      <c r="K48" s="1129" t="s">
        <v>1520</v>
      </c>
      <c r="L48" s="407"/>
      <c r="M48" s="407"/>
      <c r="N48" s="407"/>
      <c r="O48" s="407"/>
    </row>
    <row r="49" spans="1:14" hidden="1" outlineLevel="1">
      <c r="A49" s="872" t="str">
        <f>IF(INPUT!E173="Yes","-The spread reflected above for the Preferred Equity represents the preferred return, not the Paid in Kind (PIK) rate","")</f>
        <v/>
      </c>
      <c r="B49" s="407"/>
      <c r="C49" s="407"/>
      <c r="D49" s="407"/>
      <c r="E49" s="407"/>
      <c r="F49" s="407"/>
      <c r="G49" s="407"/>
      <c r="H49" s="407"/>
      <c r="I49" s="407"/>
      <c r="K49" s="1129" t="s">
        <v>1521</v>
      </c>
    </row>
    <row r="50" spans="1:14" collapsed="1">
      <c r="A50" s="2613" t="str">
        <f>IF(E46=0,"",IF(INPUT!E148="Yes","Additional Advance Notes have not rate locked and reflect the minimum interest rate spread above. ",""))</f>
        <v/>
      </c>
      <c r="B50" s="2612"/>
      <c r="C50" s="2612"/>
      <c r="D50" s="2612"/>
      <c r="E50" s="2612"/>
      <c r="F50" s="2612"/>
      <c r="G50" s="2612"/>
      <c r="H50" s="2612"/>
      <c r="I50" s="2612"/>
      <c r="K50" s="1129" t="s">
        <v>1522</v>
      </c>
    </row>
    <row r="51" spans="1:14" ht="15.75" thickBot="1">
      <c r="A51" s="2612"/>
      <c r="B51" s="2612"/>
      <c r="C51" s="2612"/>
      <c r="D51" s="2612"/>
      <c r="E51" s="2612"/>
      <c r="F51" s="2612"/>
      <c r="G51" s="2612"/>
      <c r="H51" s="2612"/>
      <c r="I51" s="2612"/>
      <c r="K51" s="1124"/>
    </row>
    <row r="52" spans="1:14" ht="15.75" outlineLevel="1">
      <c r="A52" s="1325" t="s">
        <v>1523</v>
      </c>
      <c r="B52" s="177"/>
      <c r="C52" s="177"/>
      <c r="D52" s="1282"/>
      <c r="E52" s="1282"/>
      <c r="F52" s="177"/>
      <c r="G52" s="158"/>
      <c r="H52" s="100"/>
      <c r="I52" s="100"/>
      <c r="K52" s="2611" t="s">
        <v>1524</v>
      </c>
      <c r="L52" s="2612"/>
      <c r="M52" s="2612"/>
      <c r="N52" s="2612"/>
    </row>
    <row r="53" spans="1:14" outlineLevel="1">
      <c r="A53" s="107"/>
      <c r="B53" s="25"/>
      <c r="C53" s="20"/>
      <c r="D53" s="1277" t="s">
        <v>1525</v>
      </c>
      <c r="E53" s="1278"/>
      <c r="F53" s="20"/>
      <c r="G53" s="1279"/>
      <c r="H53" s="94"/>
      <c r="I53" s="94"/>
      <c r="K53" s="2612"/>
      <c r="L53" s="2612"/>
      <c r="M53" s="2612"/>
      <c r="N53" s="2612"/>
    </row>
    <row r="54" spans="1:14" ht="30" outlineLevel="1">
      <c r="A54" s="1283" t="s">
        <v>1513</v>
      </c>
      <c r="B54" s="1284" t="s">
        <v>331</v>
      </c>
      <c r="C54" s="404"/>
      <c r="D54" s="1285" t="s">
        <v>584</v>
      </c>
      <c r="E54" s="1285" t="s">
        <v>1526</v>
      </c>
      <c r="F54" s="1285" t="s">
        <v>1527</v>
      </c>
      <c r="G54" s="1286" t="s">
        <v>1528</v>
      </c>
      <c r="H54" s="1281"/>
      <c r="I54" s="20"/>
      <c r="K54" s="2612"/>
      <c r="L54" s="2612"/>
      <c r="M54" s="2612"/>
      <c r="N54" s="2612"/>
    </row>
    <row r="55" spans="1:14" outlineLevel="1">
      <c r="A55" s="1280"/>
      <c r="B55" s="98"/>
      <c r="C55" s="1428"/>
      <c r="D55" s="98"/>
      <c r="E55" s="98"/>
      <c r="F55" s="20"/>
      <c r="G55" s="1430"/>
      <c r="H55" s="94"/>
      <c r="I55" s="20"/>
    </row>
    <row r="56" spans="1:14" outlineLevel="1">
      <c r="A56" s="1298" t="str">
        <f t="array" ref="A56">IFERROR(INDEX($A$16:$A$45,MATCH(0,COUNTIF($A$55:A55,$A$16:$A$45),0)),"")</f>
        <v>TRE ACR Portfolio</v>
      </c>
      <c r="B56" s="1299">
        <f>IF(A56="","",SUMIF(INPUT!$A$186:$A$215,'Loan Settlement Stmt'!A56,INPUT!$F$186:$F$215)-SUMIFS(INPUT!$F$186:$F$215,INPUT!$A$186:$A$215,'Loan Settlement Stmt'!A56,INPUT!$E$186:$E$215,"I.O. Strip"))</f>
        <v>82628844</v>
      </c>
      <c r="C56" s="1429"/>
      <c r="D56" s="1299">
        <f>IF(A56="","",SUMIFS(INPUT!$Q$186:$Q$215,INPUT!$A$186:$A$215,'Loan Settlement Stmt'!A56,INPUT!$R$186:$R$215,"Yes"))</f>
        <v>0</v>
      </c>
      <c r="E56" s="1299">
        <f>IF(A56="","",SUMIFS(INPUT!$U$186:$U$215,INPUT!$W$186:$W$215,"Yes",INPUT!$A$186:$A$215,'Loan Settlement Stmt'!A56))</f>
        <v>1109000</v>
      </c>
      <c r="F56" s="1437">
        <f t="shared" ref="F56:F61" si="0">IF(A56="","",IF(E56=0,0,E56/SUMIF($A$16:$A$45,A56,$F$16:$F$45)))</f>
        <v>0.01</v>
      </c>
      <c r="G56" s="1300">
        <f t="shared" ref="G56:G61" si="1">IF(A56="","",B56-D56-E56)</f>
        <v>81519844</v>
      </c>
      <c r="H56" s="94"/>
      <c r="I56" s="20"/>
      <c r="K56" s="1129"/>
    </row>
    <row r="57" spans="1:14" outlineLevel="1">
      <c r="A57" s="1298" t="str">
        <f t="array" ref="A57">IFERROR(INDEX($A$16:$A$45,MATCH(0,COUNTIF($A$55:A56,$A$16:$A$45),0)),"")</f>
        <v>AFLAC US</v>
      </c>
      <c r="B57" s="1299">
        <f>IF(A57="","",SUMIF(INPUT!$A$186:$A$215,'Loan Settlement Stmt'!A57,INPUT!$F$186:$F$215)-SUMIFS(INPUT!$F$186:$F$215,INPUT!$A$186:$A$215,'Loan Settlement Stmt'!A57,INPUT!$E$186:$E$215,"I.O. Strip"))</f>
        <v>17956313</v>
      </c>
      <c r="C57" s="1429"/>
      <c r="D57" s="1299">
        <f>IF(A57="","",SUMIFS(INPUT!$Q$186:$Q$215,INPUT!$A$186:$A$215,'Loan Settlement Stmt'!A57,INPUT!$R$186:$R$215,"Yes"))</f>
        <v>0</v>
      </c>
      <c r="E57" s="1299">
        <f>IF(A57="","",SUMIFS(INPUT!$U$186:$U$215,INPUT!$W$186:$W$215,"Yes",INPUT!$A$186:$A$215,'Loan Settlement Stmt'!A57))</f>
        <v>241000</v>
      </c>
      <c r="F57" s="1437">
        <f t="shared" si="0"/>
        <v>0.01</v>
      </c>
      <c r="G57" s="1300">
        <f t="shared" si="1"/>
        <v>17715313</v>
      </c>
      <c r="H57" s="94"/>
      <c r="I57" s="20"/>
    </row>
    <row r="58" spans="1:14" outlineLevel="1">
      <c r="A58" s="1298" t="str">
        <f t="array" ref="A58">IFERROR(INDEX($A$16:$A$45,MATCH(0,COUNTIF($A$55:A57,$A$16:$A$45),0)),"")</f>
        <v>ACORE Credit Partners II Mortgage, LLC</v>
      </c>
      <c r="B58" s="1299">
        <f>IF(A58="","",SUMIF(INPUT!$A$186:$A$215,'Loan Settlement Stmt'!A58,INPUT!$F$186:$F$215)-SUMIFS(INPUT!$F$186:$F$215,INPUT!$A$186:$A$215,'Loan Settlement Stmt'!A58,INPUT!$E$186:$E$215,"I.O. Strip"))</f>
        <v>34273461</v>
      </c>
      <c r="C58" s="1429"/>
      <c r="D58" s="1299">
        <f>IF(A58="","",SUMIFS(INPUT!$Q$186:$Q$215,INPUT!$A$186:$A$215,'Loan Settlement Stmt'!A58,INPUT!$R$186:$R$215,"Yes"))</f>
        <v>48154.210000000006</v>
      </c>
      <c r="E58" s="1299">
        <f>IF(A58="","",SUMIFS(INPUT!$U$186:$U$215,INPUT!$W$186:$W$215,"Yes",INPUT!$A$186:$A$215,'Loan Settlement Stmt'!A58))</f>
        <v>460000</v>
      </c>
      <c r="F58" s="1437">
        <f t="shared" si="0"/>
        <v>0.01</v>
      </c>
      <c r="G58" s="1300">
        <f t="shared" si="1"/>
        <v>33765306.789999999</v>
      </c>
      <c r="H58" s="94"/>
      <c r="I58" s="20"/>
    </row>
    <row r="59" spans="1:14" outlineLevel="1">
      <c r="A59" s="1298" t="str">
        <f t="array" ref="A59">IFERROR(INDEX($A$16:$A$45,MATCH(0,COUNTIF($A$55:A58,$A$16:$A$45),0)),"")</f>
        <v>SILAC Insurance Company</v>
      </c>
      <c r="B59" s="1299">
        <f>IF(A59="","",SUMIF(INPUT!$A$186:$A$215,'Loan Settlement Stmt'!A59,INPUT!$F$186:$F$215)-SUMIFS(INPUT!$F$186:$F$215,INPUT!$A$186:$A$215,'Loan Settlement Stmt'!A59,INPUT!$E$186:$E$215,"I.O. Strip"))</f>
        <v>11176129</v>
      </c>
      <c r="C59" s="1429"/>
      <c r="D59" s="1299">
        <f>IF(A59="","",SUMIFS(INPUT!$Q$186:$Q$215,INPUT!$A$186:$A$215,'Loan Settlement Stmt'!A59,INPUT!$R$186:$R$215,"Yes"))</f>
        <v>15702.47</v>
      </c>
      <c r="E59" s="1299">
        <f>IF(A59="","",SUMIFS(INPUT!$U$186:$U$215,INPUT!$W$186:$W$215,"Yes",INPUT!$A$186:$A$215,'Loan Settlement Stmt'!A59))</f>
        <v>150000</v>
      </c>
      <c r="F59" s="1437">
        <f t="shared" si="0"/>
        <v>0.01</v>
      </c>
      <c r="G59" s="1300">
        <f t="shared" si="1"/>
        <v>11010426.529999999</v>
      </c>
      <c r="H59" s="94"/>
      <c r="I59" s="20"/>
    </row>
    <row r="60" spans="1:14" outlineLevel="1">
      <c r="A60" s="1298" t="str">
        <f t="array" ref="A60">IFERROR(INDEX($A$16:$A$45,MATCH(0,COUNTIF($A$55:A59,$A$16:$A$45),0)),"")</f>
        <v>TRE ACR Portfolio Series II</v>
      </c>
      <c r="B60" s="1299">
        <f>IF(A60="","",SUMIF(INPUT!$A$186:$A$215,'Loan Settlement Stmt'!A60,INPUT!$F$186:$F$215)-SUMIFS(INPUT!$F$186:$F$215,INPUT!$A$186:$A$215,'Loan Settlement Stmt'!A60,INPUT!$E$186:$E$215,"I.O. Strip"))</f>
        <v>82628844</v>
      </c>
      <c r="C60" s="1429"/>
      <c r="D60" s="1299">
        <f>IF(A60="","",SUMIFS(INPUT!$Q$186:$Q$215,INPUT!$A$186:$A$215,'Loan Settlement Stmt'!A60,INPUT!$R$186:$R$215,"Yes"))</f>
        <v>0</v>
      </c>
      <c r="E60" s="1299">
        <f>IF(A60="","",SUMIFS(INPUT!$U$186:$U$215,INPUT!$W$186:$W$215,"Yes",INPUT!$A$186:$A$215,'Loan Settlement Stmt'!A60))</f>
        <v>1109000</v>
      </c>
      <c r="F60" s="1437">
        <f t="shared" si="0"/>
        <v>0.01</v>
      </c>
      <c r="G60" s="1300">
        <f t="shared" si="1"/>
        <v>81519844</v>
      </c>
      <c r="H60" s="94"/>
      <c r="I60" s="20"/>
    </row>
    <row r="61" spans="1:14" outlineLevel="1">
      <c r="A61" s="1413" t="str">
        <f t="array" ref="A61">IFERROR(INDEX($A$16:$A$45,MATCH(0,COUNTIF($A$55:A60,$A$16:$A$45),0)),"")</f>
        <v/>
      </c>
      <c r="B61" s="1414" t="str">
        <f>IF(A61="","",SUMIF(INPUT!$A$186:$A$215,'Loan Settlement Stmt'!A61,INPUT!$F$186:$F$215)-SUMIFS(INPUT!$F$186:$F$215,INPUT!$A$186:$A$215,'Loan Settlement Stmt'!A61,INPUT!$E$186:$E$215,"I.O. Strip"))</f>
        <v/>
      </c>
      <c r="C61" s="1414"/>
      <c r="D61" s="1414" t="str">
        <f>IF(A61="","",SUMIFS(INPUT!$Q$186:$Q$215,INPUT!$A$186:$A$215,'Loan Settlement Stmt'!A61,INPUT!$R$186:$R$215,"Yes"))</f>
        <v/>
      </c>
      <c r="E61" s="1414" t="str">
        <f>IF(A61="","",SUMIFS(INPUT!$U$186:$U$215,INPUT!$W$186:$W$215,"Yes",INPUT!$A$186:$A$215,'Loan Settlement Stmt'!A61))</f>
        <v/>
      </c>
      <c r="F61" s="1438" t="str">
        <f t="shared" si="0"/>
        <v/>
      </c>
      <c r="G61" s="1415" t="str">
        <f t="shared" si="1"/>
        <v/>
      </c>
      <c r="H61" s="94"/>
      <c r="I61" s="20"/>
    </row>
    <row r="62" spans="1:14" ht="15.75" outlineLevel="1" thickBot="1">
      <c r="A62" s="1120" t="s">
        <v>294</v>
      </c>
      <c r="B62" s="1416">
        <f>SUM(B55:B61)</f>
        <v>228663591</v>
      </c>
      <c r="C62" s="1426"/>
      <c r="D62" s="1427">
        <f>SUM(D55:D61)</f>
        <v>63856.680000000008</v>
      </c>
      <c r="E62" s="1427">
        <f>SUM(E55:E61)</f>
        <v>3069000</v>
      </c>
      <c r="F62" s="1439">
        <f>IF(E62=0,0,E62/F46)</f>
        <v>0.01</v>
      </c>
      <c r="G62" s="1417">
        <f>SUM(G55:G61)</f>
        <v>225530734.31999999</v>
      </c>
      <c r="H62" s="94"/>
      <c r="I62" s="20"/>
    </row>
    <row r="63" spans="1:14">
      <c r="A63" s="20"/>
      <c r="B63" s="20"/>
      <c r="C63" s="20"/>
      <c r="D63" s="20"/>
      <c r="E63" s="20"/>
      <c r="F63" s="20"/>
      <c r="G63" s="1218"/>
      <c r="H63" s="1218"/>
      <c r="I63" s="20"/>
    </row>
    <row r="64" spans="1:14" ht="18">
      <c r="A64" s="78" t="s">
        <v>1529</v>
      </c>
      <c r="B64" s="20"/>
      <c r="C64" s="20"/>
      <c r="D64" s="20"/>
      <c r="E64" s="20"/>
      <c r="F64" s="20"/>
      <c r="G64" s="20"/>
      <c r="H64" s="1287" t="s">
        <v>338</v>
      </c>
      <c r="I64" s="1287" t="s">
        <v>339</v>
      </c>
    </row>
    <row r="65" spans="1:11">
      <c r="A65" s="20"/>
      <c r="B65" s="20"/>
      <c r="C65" s="20"/>
      <c r="D65" s="20"/>
      <c r="E65" s="20"/>
      <c r="F65" s="20"/>
      <c r="G65" s="20"/>
      <c r="H65" s="1218"/>
      <c r="I65" s="1218"/>
    </row>
    <row r="66" spans="1:11">
      <c r="A66" s="20" t="s">
        <v>331</v>
      </c>
      <c r="B66" s="20"/>
      <c r="C66" s="20"/>
      <c r="D66" s="20"/>
      <c r="E66" s="20"/>
      <c r="F66" s="20"/>
      <c r="G66" s="20"/>
      <c r="H66" s="1218">
        <f>INPUT!F216</f>
        <v>228663591</v>
      </c>
      <c r="I66" s="1218"/>
    </row>
    <row r="67" spans="1:11">
      <c r="A67" s="20" t="s">
        <v>1530</v>
      </c>
      <c r="B67" s="1348" t="str">
        <f>IF(I67=0,"",INPUT!E168&amp;" day(s) ")</f>
        <v xml:space="preserve">30 day(s) </v>
      </c>
      <c r="C67" s="20"/>
      <c r="D67" s="20"/>
      <c r="E67" s="400" t="str">
        <f>IF(B67="","","from closing date through and including")</f>
        <v>from closing date through and including</v>
      </c>
      <c r="F67" s="1290">
        <f>IF(B67="","",IF(INPUT!E130="","",INPUT!E130))</f>
        <v>44782</v>
      </c>
      <c r="G67" s="20"/>
      <c r="H67" s="1218"/>
      <c r="I67" s="1218">
        <f>SUMIF(INPUT!R186:R215,"yes",INPUT!Q186:Q215)</f>
        <v>63856.680000000008</v>
      </c>
    </row>
    <row r="68" spans="1:11">
      <c r="A68" s="20" t="s">
        <v>1531</v>
      </c>
      <c r="B68" s="1440">
        <f>IF(I68=0,"",IF(INPUT!E170=0,0,INPUT!E170))</f>
        <v>0.01</v>
      </c>
      <c r="C68" s="20"/>
      <c r="D68" s="20"/>
      <c r="E68" s="20"/>
      <c r="F68" s="20"/>
      <c r="G68" s="20"/>
      <c r="H68" s="1218"/>
      <c r="I68" s="1218">
        <f>SUMIF(INPUT!W186:W215,"Yes",INPUT!U186:U215)</f>
        <v>3069000</v>
      </c>
    </row>
    <row r="69" spans="1:11">
      <c r="A69" s="1085" t="s">
        <v>1532</v>
      </c>
      <c r="B69" s="1085"/>
      <c r="C69" s="1085"/>
      <c r="D69" s="1085"/>
      <c r="E69" s="1085"/>
      <c r="F69" s="1085"/>
      <c r="G69" s="1085"/>
      <c r="H69" s="2222"/>
      <c r="I69" s="2222">
        <f>H66-I67-I68</f>
        <v>225530734.31999999</v>
      </c>
    </row>
    <row r="70" spans="1:11" ht="15.75" thickBot="1">
      <c r="A70" s="203" t="s">
        <v>294</v>
      </c>
      <c r="B70" s="203"/>
      <c r="C70" s="203"/>
      <c r="D70" s="203"/>
      <c r="E70" s="203"/>
      <c r="F70" s="203"/>
      <c r="G70" s="203"/>
      <c r="H70" s="1288">
        <f>SUM(H66:H69)</f>
        <v>228663591</v>
      </c>
      <c r="I70" s="1288">
        <f>SUM(I67:I69)</f>
        <v>228663591</v>
      </c>
    </row>
    <row r="71" spans="1:11">
      <c r="A71" s="20"/>
      <c r="B71" s="20"/>
      <c r="C71" s="20"/>
      <c r="D71" s="20"/>
      <c r="E71" s="20"/>
      <c r="F71" s="20"/>
      <c r="G71" s="20"/>
      <c r="H71" s="1218"/>
      <c r="I71" s="1218"/>
    </row>
    <row r="72" spans="1:11">
      <c r="A72" s="20" t="s">
        <v>425</v>
      </c>
      <c r="B72" s="20"/>
      <c r="C72" s="20"/>
      <c r="D72" s="20"/>
      <c r="E72" s="20"/>
      <c r="F72" s="20"/>
      <c r="G72" s="20"/>
      <c r="H72" s="1218">
        <f>INPUT!G244</f>
        <v>0</v>
      </c>
      <c r="I72" s="1218"/>
    </row>
    <row r="73" spans="1:11">
      <c r="A73" s="20" t="s">
        <v>1533</v>
      </c>
      <c r="B73" s="20"/>
      <c r="C73" s="20"/>
      <c r="D73" s="20"/>
      <c r="E73" s="20"/>
      <c r="F73" s="20"/>
      <c r="G73" s="20"/>
      <c r="H73" s="1218"/>
      <c r="I73" s="1218">
        <f>INPUT!H245</f>
        <v>0</v>
      </c>
    </row>
    <row r="74" spans="1:11">
      <c r="A74" s="20" t="s">
        <v>1534</v>
      </c>
      <c r="B74" s="20"/>
      <c r="C74" s="20"/>
      <c r="D74" s="20"/>
      <c r="E74" s="20"/>
      <c r="F74" s="20"/>
      <c r="G74" s="20"/>
      <c r="H74" s="1218"/>
      <c r="I74" s="1218">
        <f>INPUT!H246</f>
        <v>0</v>
      </c>
    </row>
    <row r="75" spans="1:11" hidden="1" outlineLevel="1">
      <c r="A75" s="20" t="s">
        <v>1535</v>
      </c>
      <c r="B75" s="20"/>
      <c r="C75" s="20"/>
      <c r="D75" s="20"/>
      <c r="E75" s="20"/>
      <c r="F75" s="20"/>
      <c r="G75" s="20"/>
      <c r="H75" s="1218"/>
      <c r="I75" s="1218">
        <f>SUM(INPUT!H279:H288)</f>
        <v>0</v>
      </c>
    </row>
    <row r="76" spans="1:11" hidden="1" outlineLevel="1">
      <c r="A76" s="401" t="str">
        <f>IF(INPUT!A279="","",INPUT!A279)</f>
        <v/>
      </c>
      <c r="B76" s="20"/>
      <c r="C76" s="20"/>
      <c r="D76" s="401" t="str">
        <f>IF(INPUT!D279="","",INPUT!D279)</f>
        <v/>
      </c>
      <c r="E76" s="98" t="str">
        <f>IF(INPUT!H279=0,"",INPUT!H279)</f>
        <v/>
      </c>
      <c r="F76" s="97"/>
      <c r="G76" s="20"/>
      <c r="H76" s="1218"/>
      <c r="I76" s="1218"/>
      <c r="K76" s="1127" t="s">
        <v>1536</v>
      </c>
    </row>
    <row r="77" spans="1:11" hidden="1" outlineLevel="1">
      <c r="A77" s="401" t="str">
        <f>IF(INPUT!A280="","",INPUT!A280)</f>
        <v/>
      </c>
      <c r="B77" s="20"/>
      <c r="C77" s="20"/>
      <c r="D77" s="401" t="str">
        <f>IF(INPUT!D280="","",INPUT!D280)</f>
        <v/>
      </c>
      <c r="E77" s="98" t="str">
        <f>IF(INPUT!H280=0,"",INPUT!H280)</f>
        <v/>
      </c>
      <c r="F77" s="20"/>
      <c r="G77" s="20"/>
      <c r="H77" s="1218"/>
      <c r="I77" s="1218"/>
      <c r="K77" s="1127"/>
    </row>
    <row r="78" spans="1:11" hidden="1" outlineLevel="1">
      <c r="A78" s="401" t="str">
        <f>IF(INPUT!A281="","",INPUT!A281)</f>
        <v/>
      </c>
      <c r="B78" s="20"/>
      <c r="C78" s="20"/>
      <c r="D78" s="401" t="str">
        <f>IF(INPUT!D281="","",INPUT!D281)</f>
        <v/>
      </c>
      <c r="E78" s="98" t="str">
        <f>IF(INPUT!H281=0,"",INPUT!H281)</f>
        <v/>
      </c>
      <c r="F78" s="20"/>
      <c r="G78" s="20"/>
      <c r="H78" s="1218"/>
      <c r="I78" s="1218"/>
      <c r="K78" s="1127"/>
    </row>
    <row r="79" spans="1:11" hidden="1" outlineLevel="1">
      <c r="A79" s="401" t="str">
        <f>IF(INPUT!A282="","",INPUT!A282)</f>
        <v/>
      </c>
      <c r="B79" s="20"/>
      <c r="C79" s="20"/>
      <c r="D79" s="401" t="str">
        <f>IF(INPUT!D282="","",INPUT!D282)</f>
        <v/>
      </c>
      <c r="E79" s="98" t="str">
        <f>IF(INPUT!H282=0,"",INPUT!H282)</f>
        <v/>
      </c>
      <c r="F79" s="20"/>
      <c r="G79" s="20"/>
      <c r="H79" s="1218"/>
      <c r="I79" s="1218"/>
      <c r="K79" s="1127"/>
    </row>
    <row r="80" spans="1:11" hidden="1" outlineLevel="1">
      <c r="A80" s="401" t="str">
        <f>IF(INPUT!A283="","",INPUT!A283)</f>
        <v/>
      </c>
      <c r="B80" s="20"/>
      <c r="C80" s="20"/>
      <c r="D80" s="401" t="str">
        <f>IF(INPUT!D283="","",INPUT!D283)</f>
        <v/>
      </c>
      <c r="E80" s="98" t="str">
        <f>IF(INPUT!H283=0,"",INPUT!H283)</f>
        <v/>
      </c>
      <c r="F80" s="20"/>
      <c r="G80" s="20"/>
      <c r="H80" s="1218"/>
      <c r="I80" s="1218"/>
      <c r="K80" s="1127"/>
    </row>
    <row r="81" spans="1:11" hidden="1" outlineLevel="1">
      <c r="A81" s="401" t="str">
        <f>IF(INPUT!A284="","",INPUT!A284)</f>
        <v/>
      </c>
      <c r="B81" s="20"/>
      <c r="C81" s="20"/>
      <c r="D81" s="401" t="str">
        <f>IF(INPUT!D284="","",INPUT!D284)</f>
        <v/>
      </c>
      <c r="E81" s="98" t="str">
        <f>IF(INPUT!H284=0,"",INPUT!H284)</f>
        <v/>
      </c>
      <c r="F81" s="20"/>
      <c r="G81" s="20"/>
      <c r="H81" s="1218"/>
      <c r="I81" s="1218"/>
      <c r="K81" s="1127"/>
    </row>
    <row r="82" spans="1:11" hidden="1" outlineLevel="1">
      <c r="A82" s="401" t="str">
        <f>IF(INPUT!A285="","",INPUT!A285)</f>
        <v/>
      </c>
      <c r="B82" s="20"/>
      <c r="C82" s="20"/>
      <c r="D82" s="401" t="str">
        <f>IF(INPUT!D285="","",INPUT!D285)</f>
        <v/>
      </c>
      <c r="E82" s="98" t="str">
        <f>IF(INPUT!H285=0,"",INPUT!H285)</f>
        <v/>
      </c>
      <c r="F82" s="20"/>
      <c r="G82" s="20"/>
      <c r="H82" s="1218"/>
      <c r="I82" s="1218"/>
      <c r="K82" s="1127"/>
    </row>
    <row r="83" spans="1:11" hidden="1" outlineLevel="1">
      <c r="A83" s="401" t="str">
        <f>IF(INPUT!A286="","",INPUT!A286)</f>
        <v/>
      </c>
      <c r="B83" s="20"/>
      <c r="C83" s="20"/>
      <c r="D83" s="401" t="str">
        <f>IF(INPUT!D286="","",INPUT!D286)</f>
        <v/>
      </c>
      <c r="E83" s="98" t="str">
        <f>IF(INPUT!H286=0,"",INPUT!H286)</f>
        <v/>
      </c>
      <c r="F83" s="20"/>
      <c r="G83" s="20"/>
      <c r="H83" s="1218"/>
      <c r="I83" s="1218"/>
      <c r="K83" s="1127"/>
    </row>
    <row r="84" spans="1:11" hidden="1" outlineLevel="1">
      <c r="A84" s="401" t="str">
        <f>IF(INPUT!A287="","",INPUT!A287)</f>
        <v/>
      </c>
      <c r="B84" s="20"/>
      <c r="C84" s="20"/>
      <c r="D84" s="401" t="str">
        <f>IF(INPUT!D287="","",INPUT!D287)</f>
        <v/>
      </c>
      <c r="E84" s="98" t="str">
        <f>IF(INPUT!H287=0,"",INPUT!H287)</f>
        <v/>
      </c>
      <c r="F84" s="20"/>
      <c r="G84" s="20"/>
      <c r="H84" s="1218"/>
      <c r="I84" s="1218"/>
      <c r="K84" s="1127"/>
    </row>
    <row r="85" spans="1:11" hidden="1" outlineLevel="1">
      <c r="A85" s="401" t="str">
        <f>IF(INPUT!A288="","",INPUT!A288)</f>
        <v/>
      </c>
      <c r="B85" s="20"/>
      <c r="C85" s="20"/>
      <c r="D85" s="401" t="str">
        <f>IF(INPUT!D288="","",INPUT!D288)</f>
        <v/>
      </c>
      <c r="E85" s="98" t="str">
        <f>IF(INPUT!H288=0,"",INPUT!H288)</f>
        <v/>
      </c>
      <c r="F85" s="20"/>
      <c r="G85" s="20"/>
      <c r="H85" s="1218"/>
      <c r="I85" s="1218"/>
    </row>
    <row r="86" spans="1:11" collapsed="1">
      <c r="A86" s="2225" t="s">
        <v>1537</v>
      </c>
      <c r="B86" s="2225"/>
      <c r="C86" s="2225"/>
      <c r="D86" s="2225"/>
      <c r="E86" s="2225"/>
      <c r="F86" s="2225"/>
      <c r="G86" s="2225"/>
      <c r="H86" s="2226"/>
      <c r="I86" s="2226">
        <f>H72-SUM(I73:I75)</f>
        <v>0</v>
      </c>
      <c r="K86" s="1128"/>
    </row>
    <row r="87" spans="1:11" ht="15.75" thickBot="1">
      <c r="A87" s="96" t="s">
        <v>294</v>
      </c>
      <c r="B87" s="96"/>
      <c r="C87" s="96"/>
      <c r="D87" s="96"/>
      <c r="E87" s="96"/>
      <c r="F87" s="96"/>
      <c r="G87" s="96"/>
      <c r="H87" s="1219">
        <f>SUM(H72:H86)</f>
        <v>0</v>
      </c>
      <c r="I87" s="1219">
        <f>SUM(I72:I86)</f>
        <v>0</v>
      </c>
    </row>
    <row r="88" spans="1:11">
      <c r="A88" s="20"/>
      <c r="B88" s="20"/>
      <c r="C88" s="20"/>
      <c r="D88" s="20"/>
      <c r="E88" s="20"/>
      <c r="F88" s="20"/>
      <c r="H88" s="1218"/>
      <c r="I88" s="1218"/>
    </row>
    <row r="89" spans="1:11" ht="15.75" thickBot="1">
      <c r="A89" s="2227" t="s">
        <v>1538</v>
      </c>
      <c r="B89" s="2227"/>
      <c r="C89" s="2227"/>
      <c r="D89" s="2227"/>
      <c r="E89" s="2227"/>
      <c r="F89" s="2227"/>
      <c r="G89" s="2227"/>
      <c r="H89" s="2228">
        <f>+I69+I86</f>
        <v>225530734.31999999</v>
      </c>
      <c r="I89" s="2228"/>
    </row>
    <row r="90" spans="1:11" ht="15.75" thickTop="1">
      <c r="A90" s="20"/>
      <c r="B90" s="20"/>
      <c r="C90" s="20"/>
      <c r="D90" s="20"/>
      <c r="E90" s="20"/>
      <c r="F90" s="20"/>
      <c r="G90" s="20"/>
      <c r="H90" s="1218"/>
      <c r="I90" s="1218"/>
    </row>
    <row r="91" spans="1:11" ht="15.75">
      <c r="A91" s="78" t="s">
        <v>1539</v>
      </c>
      <c r="B91" s="20"/>
      <c r="C91" s="20"/>
      <c r="D91" s="20"/>
      <c r="E91" s="20"/>
      <c r="F91" s="20"/>
      <c r="G91" s="20"/>
      <c r="H91" s="1221"/>
      <c r="I91" s="1221"/>
    </row>
    <row r="92" spans="1:11" outlineLevel="1">
      <c r="A92" s="20"/>
      <c r="B92" s="20"/>
      <c r="C92" s="20"/>
      <c r="D92" s="20"/>
      <c r="E92" s="20"/>
      <c r="F92" s="20"/>
      <c r="G92" s="20"/>
      <c r="H92" s="1218"/>
      <c r="I92" s="1218"/>
    </row>
    <row r="93" spans="1:11" outlineLevel="1">
      <c r="A93" s="91" t="s">
        <v>1540</v>
      </c>
      <c r="B93" s="20"/>
      <c r="C93" s="20"/>
      <c r="D93" s="20"/>
      <c r="E93" s="20"/>
      <c r="F93" s="20"/>
      <c r="G93" s="20"/>
      <c r="H93" s="1218"/>
      <c r="I93" s="1218"/>
    </row>
    <row r="94" spans="1:11" outlineLevel="1">
      <c r="A94" s="20" t="s">
        <v>1541</v>
      </c>
      <c r="B94" s="20"/>
      <c r="C94" s="1151"/>
      <c r="D94" s="20"/>
      <c r="F94" s="1291" t="str">
        <f>IF(I94=0,"",IF(INPUT!E170="",0,INPUT!E170))</f>
        <v/>
      </c>
      <c r="G94" s="20"/>
      <c r="H94" s="1218"/>
      <c r="I94" s="1218">
        <f>SUMIF(INPUT!$W$186:$W$215,"no",INPUT!$U$186:$U$215)</f>
        <v>0</v>
      </c>
    </row>
    <row r="95" spans="1:11" outlineLevel="1">
      <c r="A95" s="20" t="s">
        <v>584</v>
      </c>
      <c r="B95" s="407" t="str">
        <f>IF(I95=0,"",IF(INPUT!E168="","",INPUT!E168&amp;" Days"))</f>
        <v>30 Days</v>
      </c>
      <c r="C95" s="407"/>
      <c r="D95" s="407"/>
      <c r="E95" s="1289" t="str">
        <f>IF(I95=0,"","from closing date through and including ")</f>
        <v xml:space="preserve">from closing date through and including </v>
      </c>
      <c r="F95" s="1292">
        <f>IF(I95=0,"",INPUT!E130)</f>
        <v>44782</v>
      </c>
      <c r="G95" s="20"/>
      <c r="H95" s="1218"/>
      <c r="I95" s="1218">
        <f>SUMIF(INPUT!R186:R215,"no",INPUT!Q186:Q215)</f>
        <v>257415.65999999997</v>
      </c>
      <c r="K95" s="1127" t="s">
        <v>1542</v>
      </c>
    </row>
    <row r="96" spans="1:11" ht="15.75" outlineLevel="1" thickBot="1">
      <c r="A96" s="96" t="s">
        <v>22</v>
      </c>
      <c r="B96" s="96"/>
      <c r="C96" s="96"/>
      <c r="D96" s="96"/>
      <c r="E96" s="96"/>
      <c r="F96" s="96"/>
      <c r="G96" s="261"/>
      <c r="H96" s="1219"/>
      <c r="I96" s="1219">
        <f>SUM(I94:I95)</f>
        <v>257415.65999999997</v>
      </c>
    </row>
    <row r="97" spans="1:11">
      <c r="A97" s="20"/>
      <c r="B97" s="20"/>
      <c r="C97" s="20"/>
      <c r="D97" s="20"/>
      <c r="E97" s="94" t="s">
        <v>360</v>
      </c>
      <c r="F97" s="20"/>
      <c r="G97" s="20"/>
      <c r="H97" s="1221"/>
      <c r="I97" s="1221"/>
    </row>
    <row r="98" spans="1:11">
      <c r="A98" s="91" t="s">
        <v>1543</v>
      </c>
      <c r="B98" s="20"/>
      <c r="C98" s="20"/>
      <c r="D98" s="20"/>
      <c r="E98" s="20" t="str">
        <f>IF(INPUT!D295="","",INPUT!D295)</f>
        <v>Berkadia Commercial Mortgage</v>
      </c>
      <c r="F98" s="20"/>
      <c r="G98" s="20"/>
      <c r="H98" s="1218"/>
      <c r="I98" s="1218"/>
    </row>
    <row r="99" spans="1:11">
      <c r="A99" s="20" t="str">
        <f>IF(INPUT!A296="","",INPUT!A296)</f>
        <v>Tax Reserve</v>
      </c>
      <c r="B99" s="20"/>
      <c r="C99" s="20"/>
      <c r="D99" s="20"/>
      <c r="E99" s="20"/>
      <c r="F99" s="20"/>
      <c r="G99" s="20"/>
      <c r="H99" s="1218"/>
      <c r="I99" s="1218">
        <f>INPUT!H296</f>
        <v>0</v>
      </c>
      <c r="K99" s="1127" t="s">
        <v>1544</v>
      </c>
    </row>
    <row r="100" spans="1:11">
      <c r="A100" s="20" t="str">
        <f>IF(INPUT!A297="","",INPUT!A297)</f>
        <v>Insurance Reserve</v>
      </c>
      <c r="B100" s="20"/>
      <c r="C100" s="20"/>
      <c r="D100" s="20"/>
      <c r="E100" s="20"/>
      <c r="F100" s="20"/>
      <c r="G100" s="20"/>
      <c r="H100" s="1218"/>
      <c r="I100" s="1218">
        <f>INPUT!H297</f>
        <v>0</v>
      </c>
      <c r="K100" s="1127" t="s">
        <v>1544</v>
      </c>
    </row>
    <row r="101" spans="1:11" hidden="1" outlineLevel="1">
      <c r="A101" s="20" t="str">
        <f>IF(INPUT!A298="","",INPUT!A298)</f>
        <v/>
      </c>
      <c r="B101" s="20"/>
      <c r="C101" s="20"/>
      <c r="D101" s="20"/>
      <c r="E101" s="20"/>
      <c r="F101" s="20"/>
      <c r="G101" s="20"/>
      <c r="H101" s="1218"/>
      <c r="I101" s="1218">
        <f>INPUT!H298</f>
        <v>0</v>
      </c>
      <c r="K101" s="1127" t="s">
        <v>1545</v>
      </c>
    </row>
    <row r="102" spans="1:11" hidden="1" outlineLevel="1">
      <c r="A102" s="20" t="str">
        <f>IF(INPUT!A299="","",INPUT!A299)</f>
        <v/>
      </c>
      <c r="B102" s="20"/>
      <c r="C102" s="20"/>
      <c r="D102" s="20"/>
      <c r="E102" s="20"/>
      <c r="F102" s="20"/>
      <c r="G102" s="20"/>
      <c r="H102" s="1218"/>
      <c r="I102" s="1218">
        <f>INPUT!H299</f>
        <v>0</v>
      </c>
      <c r="K102" s="1127" t="s">
        <v>1545</v>
      </c>
    </row>
    <row r="103" spans="1:11" collapsed="1">
      <c r="A103" s="20" t="str">
        <f>IF(INPUT!A300="","",INPUT!A300)</f>
        <v/>
      </c>
      <c r="B103" s="20"/>
      <c r="C103" s="20"/>
      <c r="D103" s="20"/>
      <c r="E103" s="20"/>
      <c r="F103" s="20"/>
      <c r="G103" s="20"/>
      <c r="H103" s="1218"/>
      <c r="I103" s="1218">
        <f>INPUT!H300</f>
        <v>0</v>
      </c>
    </row>
    <row r="104" spans="1:11" hidden="1" outlineLevel="1">
      <c r="A104" s="20" t="str">
        <f>IF(INPUT!A301="","",INPUT!A301)</f>
        <v/>
      </c>
      <c r="B104" s="20"/>
      <c r="C104" s="20"/>
      <c r="D104" s="20"/>
      <c r="E104" s="20"/>
      <c r="F104" s="20"/>
      <c r="H104" s="1218"/>
      <c r="I104" s="1218">
        <f>INPUT!H301</f>
        <v>0</v>
      </c>
    </row>
    <row r="105" spans="1:11" hidden="1" outlineLevel="1">
      <c r="A105" s="20" t="str">
        <f>IF(INPUT!A302="","",INPUT!A302)</f>
        <v/>
      </c>
      <c r="B105" s="20"/>
      <c r="C105" s="20"/>
      <c r="D105" s="20"/>
      <c r="E105" s="20"/>
      <c r="F105" s="20"/>
      <c r="H105" s="1218"/>
      <c r="I105" s="1218">
        <f>INPUT!H302</f>
        <v>0</v>
      </c>
    </row>
    <row r="106" spans="1:11" hidden="1" outlineLevel="1">
      <c r="A106" s="20" t="str">
        <f>IF(INPUT!A303="","",INPUT!A303)</f>
        <v/>
      </c>
      <c r="B106" s="20"/>
      <c r="C106" s="20"/>
      <c r="D106" s="20"/>
      <c r="E106" s="20"/>
      <c r="F106" s="20"/>
      <c r="H106" s="1218"/>
      <c r="I106" s="1218">
        <f>INPUT!H303</f>
        <v>0</v>
      </c>
    </row>
    <row r="107" spans="1:11" hidden="1" outlineLevel="1">
      <c r="A107" s="20" t="str">
        <f>IF(INPUT!A304="","",INPUT!A304)</f>
        <v/>
      </c>
      <c r="B107" s="20"/>
      <c r="C107" s="20"/>
      <c r="D107" s="20"/>
      <c r="E107" s="20"/>
      <c r="F107" s="20"/>
      <c r="H107" s="1218"/>
      <c r="I107" s="1218">
        <f>INPUT!H304</f>
        <v>0</v>
      </c>
    </row>
    <row r="108" spans="1:11" hidden="1" outlineLevel="1">
      <c r="A108" s="20" t="str">
        <f>IF(INPUT!A305="","",INPUT!A305)</f>
        <v/>
      </c>
      <c r="B108" s="20"/>
      <c r="C108" s="20"/>
      <c r="D108" s="20"/>
      <c r="E108" s="20"/>
      <c r="F108" s="20"/>
      <c r="H108" s="1218"/>
      <c r="I108" s="1218">
        <f>INPUT!H305</f>
        <v>0</v>
      </c>
    </row>
    <row r="109" spans="1:11" hidden="1" outlineLevel="1">
      <c r="A109" s="20" t="str">
        <f>IF(INPUT!A306="","",INPUT!A306)</f>
        <v/>
      </c>
      <c r="B109" s="20"/>
      <c r="C109" s="20"/>
      <c r="D109" s="20"/>
      <c r="E109" s="20"/>
      <c r="F109" s="20"/>
      <c r="H109" s="1218"/>
      <c r="I109" s="1218">
        <f>INPUT!H306</f>
        <v>0</v>
      </c>
    </row>
    <row r="110" spans="1:11" hidden="1" outlineLevel="1">
      <c r="A110" s="20" t="str">
        <f>IF(INPUT!A307="","",INPUT!A307)</f>
        <v xml:space="preserve">Construction Draw Reserve </v>
      </c>
      <c r="B110" s="20"/>
      <c r="C110" s="20"/>
      <c r="D110" s="20"/>
      <c r="E110" s="20"/>
      <c r="F110" s="20"/>
      <c r="H110" s="1218"/>
      <c r="I110" s="1218">
        <f>INPUT!H307</f>
        <v>0</v>
      </c>
    </row>
    <row r="111" spans="1:11" hidden="1" outlineLevel="1">
      <c r="A111" s="20" t="str">
        <f>IF(INPUT!A308="","",INPUT!A308)</f>
        <v>Retention Balance Reserve</v>
      </c>
      <c r="B111" s="20"/>
      <c r="C111" s="20"/>
      <c r="D111" s="20"/>
      <c r="E111" s="20"/>
      <c r="F111" s="20"/>
      <c r="H111" s="1218"/>
      <c r="I111" s="1218">
        <f>INPUT!H308</f>
        <v>0</v>
      </c>
    </row>
    <row r="112" spans="1:11" hidden="1" outlineLevel="1">
      <c r="A112" s="20" t="str">
        <f>IF(INPUT!A309="","",INPUT!A309)</f>
        <v/>
      </c>
      <c r="B112" s="20"/>
      <c r="C112" s="20"/>
      <c r="D112" s="20"/>
      <c r="E112" s="20"/>
      <c r="F112" s="20"/>
      <c r="H112" s="1218"/>
      <c r="I112" s="1218">
        <f>INPUT!H309</f>
        <v>0</v>
      </c>
    </row>
    <row r="113" spans="1:11" hidden="1" outlineLevel="1">
      <c r="A113" s="20" t="str">
        <f>IF(INPUT!A310="","",INPUT!A310)</f>
        <v/>
      </c>
      <c r="B113" s="20"/>
      <c r="C113" s="20"/>
      <c r="D113" s="20"/>
      <c r="E113" s="20"/>
      <c r="F113" s="20"/>
      <c r="H113" s="1218"/>
      <c r="I113" s="1218">
        <f>INPUT!H310</f>
        <v>0</v>
      </c>
    </row>
    <row r="114" spans="1:11" ht="15.75" collapsed="1" thickBot="1">
      <c r="A114" s="96" t="s">
        <v>22</v>
      </c>
      <c r="B114" s="96"/>
      <c r="C114" s="96"/>
      <c r="D114" s="96"/>
      <c r="E114" s="96"/>
      <c r="F114" s="96"/>
      <c r="G114" s="96"/>
      <c r="H114" s="1219"/>
      <c r="I114" s="1219">
        <f>SUM(I99:I113)</f>
        <v>0</v>
      </c>
      <c r="J114" s="25"/>
    </row>
    <row r="115" spans="1:11">
      <c r="A115" s="20" t="str">
        <f>IF(INPUT!A312="","",INPUT!A312)</f>
        <v/>
      </c>
      <c r="B115" s="20"/>
      <c r="C115" s="20"/>
      <c r="D115" s="20"/>
      <c r="E115" s="20"/>
      <c r="F115" s="20"/>
      <c r="G115" s="20"/>
      <c r="H115" s="1218"/>
      <c r="I115" s="1218"/>
    </row>
    <row r="116" spans="1:11">
      <c r="A116" s="91" t="s">
        <v>1546</v>
      </c>
      <c r="B116" s="20"/>
      <c r="C116" s="20"/>
      <c r="D116" s="20"/>
      <c r="E116" s="20"/>
      <c r="F116" s="20"/>
      <c r="G116" s="20"/>
      <c r="H116" s="1221"/>
      <c r="I116" s="1221"/>
      <c r="K116" s="1129" t="s">
        <v>1547</v>
      </c>
    </row>
    <row r="117" spans="1:11">
      <c r="A117" s="20" t="str">
        <f>IF(INPUT!A315="","",INPUT!A315&amp;"   "&amp;INPUT!B315)</f>
        <v xml:space="preserve">Appraisal   </v>
      </c>
      <c r="B117" s="20"/>
      <c r="C117" s="97" t="str">
        <f>IF(INPUT!B315="","",INPUT!B315)</f>
        <v/>
      </c>
      <c r="D117" s="20"/>
      <c r="E117" s="20">
        <f>+INPUT!D315</f>
        <v>0</v>
      </c>
      <c r="F117" s="20"/>
      <c r="G117" s="20"/>
      <c r="H117" s="1218"/>
      <c r="I117" s="1218">
        <f>INPUT!H315</f>
        <v>0</v>
      </c>
    </row>
    <row r="118" spans="1:11">
      <c r="A118" s="20" t="str">
        <f>IF(INPUT!A316="","",INPUT!A316&amp;"   "&amp;INPUT!B316)</f>
        <v xml:space="preserve">Credit/Background Search   </v>
      </c>
      <c r="B118" s="20"/>
      <c r="C118" s="97" t="str">
        <f>IF(INPUT!B316="","",INPUT!B316)</f>
        <v/>
      </c>
      <c r="D118" s="20"/>
      <c r="E118" s="20">
        <f>+INPUT!D316</f>
        <v>0</v>
      </c>
      <c r="F118" s="20"/>
      <c r="G118" s="20"/>
      <c r="H118" s="1218"/>
      <c r="I118" s="1218">
        <f>INPUT!H316</f>
        <v>0</v>
      </c>
    </row>
    <row r="119" spans="1:11">
      <c r="A119" s="20" t="str">
        <f>IF(INPUT!A317="","",INPUT!A317&amp;"   "&amp;INPUT!B317)</f>
        <v xml:space="preserve">ESA Phase I &amp; PCA Report   </v>
      </c>
      <c r="B119" s="20"/>
      <c r="C119" s="97" t="str">
        <f>IF(INPUT!B317="","",INPUT!B317)</f>
        <v/>
      </c>
      <c r="D119" s="20"/>
      <c r="E119" s="20">
        <f>+INPUT!D317</f>
        <v>0</v>
      </c>
      <c r="F119" s="20"/>
      <c r="G119" s="20"/>
      <c r="H119" s="1218"/>
      <c r="I119" s="1218">
        <f>INPUT!H317</f>
        <v>0</v>
      </c>
    </row>
    <row r="120" spans="1:11">
      <c r="A120" s="20" t="str">
        <f>IF(INPUT!A318="","",INPUT!A318&amp;"   "&amp;INPUT!B318)</f>
        <v xml:space="preserve">Insurance Consultant   </v>
      </c>
      <c r="B120" s="20"/>
      <c r="C120" s="97" t="str">
        <f>IF(INPUT!B318="","",INPUT!B318)</f>
        <v/>
      </c>
      <c r="D120" s="20"/>
      <c r="E120" s="20" t="str">
        <f>+INPUT!D318</f>
        <v>Harbor Group Insurance</v>
      </c>
      <c r="F120" s="20"/>
      <c r="G120" s="20"/>
      <c r="H120" s="1218"/>
      <c r="I120" s="1218">
        <f>INPUT!H318</f>
        <v>0</v>
      </c>
    </row>
    <row r="121" spans="1:11">
      <c r="A121" s="20" t="str">
        <f>IF(INPUT!A319="","",INPUT!A319&amp;"   "&amp;INPUT!B319)</f>
        <v xml:space="preserve">Lender's Closing Counsel   </v>
      </c>
      <c r="B121" s="20"/>
      <c r="C121" s="97" t="str">
        <f>IF(INPUT!B319="","",INPUT!B319)</f>
        <v/>
      </c>
      <c r="D121" s="20"/>
      <c r="E121" s="20">
        <f>+INPUT!D319</f>
        <v>0</v>
      </c>
      <c r="F121" s="20"/>
      <c r="G121" s="20"/>
      <c r="H121" s="1218"/>
      <c r="I121" s="1218">
        <f>INPUT!H319</f>
        <v>0</v>
      </c>
    </row>
    <row r="122" spans="1:11">
      <c r="A122" s="20" t="str">
        <f>IF(INPUT!A320="","",INPUT!A320&amp;"   "&amp;INPUT!B320)</f>
        <v xml:space="preserve">Zoning Report   </v>
      </c>
      <c r="B122" s="20"/>
      <c r="C122" s="97" t="str">
        <f>IF(INPUT!B320="","",INPUT!B320)</f>
        <v/>
      </c>
      <c r="D122" s="20"/>
      <c r="E122" s="20" t="str">
        <f>+INPUT!D320</f>
        <v>The Planning and Zoning Resource (PZR)</v>
      </c>
      <c r="F122" s="20"/>
      <c r="G122" s="20"/>
      <c r="H122" s="1218"/>
      <c r="I122" s="1218">
        <f>INPUT!H320</f>
        <v>0</v>
      </c>
    </row>
    <row r="123" spans="1:11">
      <c r="A123" s="20" t="str">
        <f>IF(INPUT!A321="","",INPUT!A321&amp;"   "&amp;INPUT!B321)</f>
        <v xml:space="preserve">Local Counsel   </v>
      </c>
      <c r="B123" s="20"/>
      <c r="C123" s="97" t="str">
        <f>IF(INPUT!B321="","",INPUT!B321)</f>
        <v/>
      </c>
      <c r="D123" s="20"/>
      <c r="E123" s="20">
        <f>+INPUT!D321</f>
        <v>0</v>
      </c>
      <c r="F123" s="20"/>
      <c r="G123" s="20"/>
      <c r="H123" s="1218"/>
      <c r="I123" s="1218">
        <f>INPUT!H321</f>
        <v>0</v>
      </c>
    </row>
    <row r="124" spans="1:11">
      <c r="A124" s="20" t="str">
        <f>IF(INPUT!A322="","",INPUT!A322&amp;"   "&amp;INPUT!B322)</f>
        <v xml:space="preserve">Underwriting Consultant   </v>
      </c>
      <c r="B124" s="20"/>
      <c r="C124" s="97" t="str">
        <f>IF(INPUT!B322="","",INPUT!B322)</f>
        <v/>
      </c>
      <c r="D124" s="20"/>
      <c r="E124" s="20">
        <f>+INPUT!D322</f>
        <v>0</v>
      </c>
      <c r="F124" s="20"/>
      <c r="G124" s="20"/>
      <c r="H124" s="1218"/>
      <c r="I124" s="1218">
        <f>INPUT!H322</f>
        <v>0</v>
      </c>
    </row>
    <row r="125" spans="1:11" hidden="1" outlineLevel="1">
      <c r="A125" s="407" t="str">
        <f>IF(INPUT!A323="","",INPUT!A323&amp;"   "&amp;INPUT!B323)</f>
        <v/>
      </c>
      <c r="B125" s="20"/>
      <c r="C125" s="97" t="str">
        <f>IF(INPUT!B323="","",INPUT!B323)</f>
        <v/>
      </c>
      <c r="D125" s="20"/>
      <c r="E125" s="20" t="str">
        <f>IF(INPUT!D323="","",INPUT!D323)</f>
        <v/>
      </c>
      <c r="F125" s="20"/>
      <c r="G125" s="20"/>
      <c r="H125" s="1218"/>
      <c r="I125" s="1218">
        <f>INPUT!H323</f>
        <v>0</v>
      </c>
    </row>
    <row r="126" spans="1:11" hidden="1" outlineLevel="1">
      <c r="A126" s="407" t="str">
        <f>IF(INPUT!A324="","",INPUT!A324&amp;"   "&amp;INPUT!B324)</f>
        <v/>
      </c>
      <c r="B126" s="20"/>
      <c r="C126" s="97" t="str">
        <f>IF(INPUT!B324="","",INPUT!B324)</f>
        <v/>
      </c>
      <c r="D126" s="20"/>
      <c r="E126" s="20" t="str">
        <f>IF(INPUT!D324="","",INPUT!D324)</f>
        <v/>
      </c>
      <c r="F126" s="20"/>
      <c r="G126" s="20"/>
      <c r="H126" s="1218"/>
      <c r="I126" s="1218">
        <f>INPUT!H324</f>
        <v>0</v>
      </c>
    </row>
    <row r="127" spans="1:11" hidden="1" outlineLevel="1">
      <c r="A127" s="407" t="str">
        <f>IF(INPUT!A325="","",INPUT!A325&amp;"   "&amp;INPUT!B325)</f>
        <v/>
      </c>
      <c r="B127" s="20"/>
      <c r="C127" s="97" t="str">
        <f>IF(INPUT!B325="","",INPUT!B325)</f>
        <v/>
      </c>
      <c r="D127" s="20"/>
      <c r="E127" s="20" t="str">
        <f>IF(INPUT!D325="","",INPUT!D325)</f>
        <v/>
      </c>
      <c r="F127" s="20"/>
      <c r="G127" s="20"/>
      <c r="H127" s="1218"/>
      <c r="I127" s="1218">
        <f>INPUT!H325</f>
        <v>0</v>
      </c>
    </row>
    <row r="128" spans="1:11" hidden="1" outlineLevel="1">
      <c r="A128" s="407" t="str">
        <f>IF(INPUT!A326="","",INPUT!A326&amp;"   "&amp;INPUT!B326)</f>
        <v/>
      </c>
      <c r="B128" s="20"/>
      <c r="C128" s="97" t="str">
        <f>IF(INPUT!B326="","",INPUT!B326)</f>
        <v/>
      </c>
      <c r="D128" s="20"/>
      <c r="E128" s="20" t="str">
        <f>IF(INPUT!D326="","",INPUT!D326)</f>
        <v/>
      </c>
      <c r="F128" s="20"/>
      <c r="G128" s="20"/>
      <c r="H128" s="1218"/>
      <c r="I128" s="1218">
        <f>INPUT!H326</f>
        <v>0</v>
      </c>
    </row>
    <row r="129" spans="1:11" hidden="1" outlineLevel="1">
      <c r="A129" s="407" t="e">
        <f>IF(INPUT!#REF!="","",INPUT!#REF!&amp;"   "&amp;INPUT!B327)</f>
        <v>#REF!</v>
      </c>
      <c r="B129" s="20"/>
      <c r="C129" s="97" t="str">
        <f>IF(INPUT!B327="","",INPUT!B327)</f>
        <v/>
      </c>
      <c r="D129" s="20"/>
      <c r="E129" s="20" t="e">
        <f>IF(INPUT!#REF!="","",INPUT!#REF!)</f>
        <v>#REF!</v>
      </c>
      <c r="F129" s="20"/>
      <c r="G129" s="20"/>
      <c r="H129" s="1218"/>
      <c r="I129" s="1218">
        <f>INPUT!H327</f>
        <v>0</v>
      </c>
    </row>
    <row r="130" spans="1:11" hidden="1" outlineLevel="1">
      <c r="A130" s="407" t="str">
        <f>IF(INPUT!A328="","",INPUT!A328&amp;"   "&amp;INPUT!B328)</f>
        <v/>
      </c>
      <c r="B130" s="20"/>
      <c r="C130" s="97" t="str">
        <f>IF(INPUT!B328="","",INPUT!B328)</f>
        <v/>
      </c>
      <c r="D130" s="20"/>
      <c r="E130" s="20" t="str">
        <f>IF(INPUT!D328="","",INPUT!D328)</f>
        <v/>
      </c>
      <c r="F130" s="20"/>
      <c r="G130" s="20"/>
      <c r="H130" s="1218"/>
      <c r="I130" s="1218">
        <f>INPUT!H328</f>
        <v>0</v>
      </c>
    </row>
    <row r="131" spans="1:11" hidden="1" outlineLevel="1">
      <c r="A131" s="407" t="str">
        <f>IF(INPUT!A329="","",INPUT!A329&amp;"   "&amp;INPUT!B329)</f>
        <v/>
      </c>
      <c r="B131" s="20"/>
      <c r="C131" s="97" t="str">
        <f>IF(INPUT!B329="","",INPUT!B329)</f>
        <v/>
      </c>
      <c r="D131" s="20"/>
      <c r="E131" s="20" t="str">
        <f>IF(INPUT!D329="","",INPUT!D329)</f>
        <v/>
      </c>
      <c r="F131" s="20"/>
      <c r="G131" s="20"/>
      <c r="H131" s="1218"/>
      <c r="I131" s="1218">
        <f>INPUT!H329</f>
        <v>0</v>
      </c>
    </row>
    <row r="132" spans="1:11" hidden="1" outlineLevel="1">
      <c r="A132" s="407" t="str">
        <f>IF(INPUT!A330="","",INPUT!A330&amp;"   "&amp;INPUT!B330)</f>
        <v/>
      </c>
      <c r="B132" s="20"/>
      <c r="C132" s="97" t="str">
        <f>IF(INPUT!B330="","",INPUT!B330)</f>
        <v/>
      </c>
      <c r="D132" s="20"/>
      <c r="E132" s="20" t="str">
        <f>IF(INPUT!D330="","",INPUT!D330)</f>
        <v/>
      </c>
      <c r="F132" s="20"/>
      <c r="G132" s="20"/>
      <c r="H132" s="1218"/>
      <c r="I132" s="1218">
        <f>INPUT!H330</f>
        <v>0</v>
      </c>
    </row>
    <row r="133" spans="1:11" hidden="1" outlineLevel="1">
      <c r="A133" s="407" t="str">
        <f>IF(INPUT!A331="","",INPUT!A331&amp;"   "&amp;INPUT!B331)</f>
        <v/>
      </c>
      <c r="B133" s="20"/>
      <c r="C133" s="97" t="str">
        <f>IF(INPUT!B331="","",INPUT!B331)</f>
        <v/>
      </c>
      <c r="D133" s="20"/>
      <c r="E133" s="20" t="str">
        <f>IF(INPUT!D331="","",INPUT!D331)</f>
        <v/>
      </c>
      <c r="F133" s="20"/>
      <c r="G133" s="20"/>
      <c r="H133" s="1218"/>
      <c r="I133" s="1218">
        <f>INPUT!H331</f>
        <v>0</v>
      </c>
    </row>
    <row r="134" spans="1:11" hidden="1" outlineLevel="1">
      <c r="A134" s="407" t="str">
        <f>IF(INPUT!A332="","",INPUT!A332&amp;"   "&amp;INPUT!B332)</f>
        <v/>
      </c>
      <c r="B134" s="20"/>
      <c r="C134" s="97" t="str">
        <f>IF(INPUT!B332="","",INPUT!B332)</f>
        <v/>
      </c>
      <c r="D134" s="20"/>
      <c r="E134" s="20" t="str">
        <f>IF(INPUT!D332="","",INPUT!D332)</f>
        <v/>
      </c>
      <c r="F134" s="20"/>
      <c r="G134" s="20"/>
      <c r="H134" s="1218"/>
      <c r="I134" s="1218">
        <f>INPUT!H332</f>
        <v>0</v>
      </c>
    </row>
    <row r="135" spans="1:11" hidden="1" outlineLevel="1">
      <c r="A135" s="407" t="str">
        <f>IF(INPUT!A333="","",INPUT!A333&amp;"   "&amp;INPUT!B333)</f>
        <v/>
      </c>
      <c r="B135" s="20"/>
      <c r="C135" s="97" t="str">
        <f>IF(INPUT!B333="","",INPUT!B333)</f>
        <v/>
      </c>
      <c r="D135" s="20"/>
      <c r="E135" s="20" t="str">
        <f>IF(INPUT!D333="","",INPUT!D333)</f>
        <v/>
      </c>
      <c r="F135" s="20"/>
      <c r="G135" s="20"/>
      <c r="H135" s="1218"/>
      <c r="I135" s="1218">
        <f>INPUT!H333</f>
        <v>0</v>
      </c>
    </row>
    <row r="136" spans="1:11" hidden="1" outlineLevel="1">
      <c r="A136" s="407" t="str">
        <f>IF(INPUT!A334="","",INPUT!A334&amp;"   "&amp;INPUT!B334)</f>
        <v/>
      </c>
      <c r="B136" s="20"/>
      <c r="C136" s="97" t="str">
        <f>IF(INPUT!B334="","",INPUT!B334)</f>
        <v/>
      </c>
      <c r="D136" s="20"/>
      <c r="E136" s="20" t="str">
        <f>IF(INPUT!D334="","",INPUT!D334)</f>
        <v/>
      </c>
      <c r="F136" s="20"/>
      <c r="G136" s="20"/>
      <c r="H136" s="1218"/>
      <c r="I136" s="1218">
        <f>INPUT!H334</f>
        <v>0</v>
      </c>
    </row>
    <row r="137" spans="1:11" ht="15.75" collapsed="1" thickBot="1">
      <c r="A137" s="96" t="s">
        <v>22</v>
      </c>
      <c r="B137" s="96"/>
      <c r="C137" s="96"/>
      <c r="D137" s="96"/>
      <c r="E137" s="96"/>
      <c r="F137" s="96"/>
      <c r="G137" s="96"/>
      <c r="H137" s="1219"/>
      <c r="I137" s="1219">
        <f>SUM(I117:I136)</f>
        <v>0</v>
      </c>
    </row>
    <row r="138" spans="1:11">
      <c r="A138" s="20"/>
      <c r="B138" s="20"/>
      <c r="C138" s="20"/>
      <c r="D138" s="20"/>
      <c r="E138" s="20"/>
      <c r="F138" s="20"/>
      <c r="G138" s="20"/>
      <c r="H138" s="1221"/>
      <c r="I138" s="1221"/>
    </row>
    <row r="139" spans="1:11">
      <c r="A139" s="91" t="s">
        <v>1548</v>
      </c>
      <c r="B139" s="20"/>
      <c r="C139" s="20"/>
      <c r="D139" s="20"/>
      <c r="E139" s="20"/>
      <c r="F139" s="20"/>
      <c r="G139" s="20"/>
      <c r="H139" s="1218"/>
      <c r="I139" s="1218"/>
    </row>
    <row r="140" spans="1:11">
      <c r="A140" s="20" t="str">
        <f>IF(INPUT!A340="","",INPUT!A340)</f>
        <v>Property Taxes Paid Through Escrow</v>
      </c>
      <c r="B140" s="20"/>
      <c r="C140" s="97" t="str">
        <f>IF(INPUT!B340="","",INPUT!B340)</f>
        <v/>
      </c>
      <c r="D140" s="20"/>
      <c r="E140" s="20" t="str">
        <f>IF(INPUT!D340="","",INPUT!D340)</f>
        <v/>
      </c>
      <c r="F140" s="20"/>
      <c r="G140" s="20"/>
      <c r="H140" s="1218"/>
      <c r="I140" s="1218">
        <f>INPUT!H340</f>
        <v>0</v>
      </c>
      <c r="K140" s="1127" t="s">
        <v>1549</v>
      </c>
    </row>
    <row r="141" spans="1:11" ht="14.85" customHeight="1">
      <c r="A141" s="20" t="str">
        <f>IF(INPUT!A341="","",INPUT!A341)</f>
        <v>Insurance Premiums Due</v>
      </c>
      <c r="B141" s="20"/>
      <c r="C141" s="20"/>
      <c r="D141" s="20"/>
      <c r="E141" s="20" t="str">
        <f>IF(INPUT!D341="","",INPUT!D341)</f>
        <v/>
      </c>
      <c r="F141" s="20"/>
      <c r="G141" s="20"/>
      <c r="H141" s="1218"/>
      <c r="I141" s="1218">
        <f>INPUT!H341</f>
        <v>0</v>
      </c>
      <c r="K141" s="1127" t="s">
        <v>1549</v>
      </c>
    </row>
    <row r="142" spans="1:11">
      <c r="A142" s="20" t="str">
        <f>IF(INPUT!A342="","",INPUT!A342)</f>
        <v>DACA and/or CMA Initial Deposit</v>
      </c>
      <c r="B142" s="20"/>
      <c r="C142" s="20"/>
      <c r="D142" s="20"/>
      <c r="E142" s="20" t="str">
        <f>IF(INPUT!D342="","",INPUT!D342)</f>
        <v/>
      </c>
      <c r="F142" s="20"/>
      <c r="G142" s="20"/>
      <c r="H142" s="1218"/>
      <c r="I142" s="1218">
        <f>INPUT!H342</f>
        <v>0</v>
      </c>
      <c r="K142" s="1127" t="s">
        <v>1549</v>
      </c>
    </row>
    <row r="143" spans="1:11">
      <c r="A143" s="20" t="str">
        <f>IF(INPUT!A343="","",INPUT!A343)</f>
        <v/>
      </c>
      <c r="B143" s="20"/>
      <c r="C143" s="20"/>
      <c r="D143" s="20"/>
      <c r="E143" s="20" t="str">
        <f>IF(INPUT!D343="","",INPUT!D343)</f>
        <v/>
      </c>
      <c r="F143" s="20"/>
      <c r="G143" s="20"/>
      <c r="H143" s="1218"/>
      <c r="I143" s="1218">
        <f>INPUT!H343</f>
        <v>0</v>
      </c>
    </row>
    <row r="144" spans="1:11">
      <c r="A144" s="20" t="str">
        <f>IF(INPUT!A344="","",INPUT!A344)</f>
        <v/>
      </c>
      <c r="B144" s="20"/>
      <c r="C144" s="20"/>
      <c r="D144" s="20"/>
      <c r="E144" s="20" t="str">
        <f>IF(INPUT!D344="","",INPUT!D344)</f>
        <v/>
      </c>
      <c r="F144" s="20"/>
      <c r="G144" s="20"/>
      <c r="H144" s="1218"/>
      <c r="I144" s="1218">
        <f>INPUT!H344</f>
        <v>0</v>
      </c>
    </row>
    <row r="145" spans="1:16">
      <c r="A145" s="20" t="str">
        <f>IF(INPUT!A345="","",INPUT!A345)</f>
        <v/>
      </c>
      <c r="B145" s="20"/>
      <c r="C145" s="20"/>
      <c r="D145" s="20"/>
      <c r="E145" s="20" t="str">
        <f>IF(INPUT!D345="","",INPUT!D345)</f>
        <v/>
      </c>
      <c r="F145" s="20"/>
      <c r="G145" s="20"/>
      <c r="H145" s="1218"/>
      <c r="I145" s="1218">
        <f>INPUT!H345</f>
        <v>0</v>
      </c>
    </row>
    <row r="146" spans="1:16" hidden="1" outlineLevel="1">
      <c r="A146" s="20" t="str">
        <f>IF(INPUT!A346="","",INPUT!A346)</f>
        <v/>
      </c>
      <c r="B146" s="20"/>
      <c r="C146" s="20"/>
      <c r="D146" s="20"/>
      <c r="E146" s="20" t="str">
        <f>IF(INPUT!D346="","",INPUT!D346)</f>
        <v/>
      </c>
      <c r="F146" s="20"/>
      <c r="G146" s="20"/>
      <c r="H146" s="1218"/>
      <c r="I146" s="1218">
        <f>INPUT!H346</f>
        <v>0</v>
      </c>
    </row>
    <row r="147" spans="1:16" hidden="1" outlineLevel="1">
      <c r="A147" s="20" t="str">
        <f>IF(INPUT!A347="","",INPUT!A347)</f>
        <v/>
      </c>
      <c r="B147" s="20"/>
      <c r="C147" s="20"/>
      <c r="D147" s="20"/>
      <c r="E147" s="20" t="str">
        <f>IF(INPUT!D347="","",INPUT!D347)</f>
        <v/>
      </c>
      <c r="F147" s="20"/>
      <c r="G147" s="20"/>
      <c r="H147" s="1218"/>
      <c r="I147" s="1218">
        <f>INPUT!H347</f>
        <v>0</v>
      </c>
    </row>
    <row r="148" spans="1:16" hidden="1" outlineLevel="1">
      <c r="A148" s="20" t="str">
        <f>IF(INPUT!A348="","",INPUT!A348)</f>
        <v/>
      </c>
      <c r="B148" s="20"/>
      <c r="C148" s="20"/>
      <c r="D148" s="20"/>
      <c r="E148" s="20" t="str">
        <f>IF(INPUT!D348="","",INPUT!D348)</f>
        <v/>
      </c>
      <c r="F148" s="20"/>
      <c r="G148" s="20"/>
      <c r="H148" s="1218"/>
      <c r="I148" s="1218">
        <f>INPUT!H348</f>
        <v>0</v>
      </c>
    </row>
    <row r="149" spans="1:16" hidden="1" outlineLevel="1">
      <c r="A149" s="20" t="str">
        <f>IF(INPUT!A349="","",INPUT!A349)</f>
        <v/>
      </c>
      <c r="B149" s="20"/>
      <c r="C149" s="20"/>
      <c r="D149" s="20"/>
      <c r="E149" s="20" t="str">
        <f>IF(INPUT!D349="","",INPUT!D349)</f>
        <v/>
      </c>
      <c r="F149" s="20"/>
      <c r="G149" s="20"/>
      <c r="H149" s="1218"/>
      <c r="I149" s="1218">
        <f>INPUT!H349</f>
        <v>0</v>
      </c>
    </row>
    <row r="150" spans="1:16" hidden="1" outlineLevel="1">
      <c r="A150" s="20" t="str">
        <f>IF(INPUT!A350="","",INPUT!A350)</f>
        <v>Construction Draw Reserve Held by Escrow Agent</v>
      </c>
      <c r="B150" s="20"/>
      <c r="C150" s="20"/>
      <c r="D150" s="20"/>
      <c r="E150" s="20" t="str">
        <f>IF(INPUT!D350="","",INPUT!D350)</f>
        <v/>
      </c>
      <c r="F150" s="20"/>
      <c r="G150" s="20"/>
      <c r="H150" s="1218"/>
      <c r="I150" s="1218">
        <f>INPUT!H350</f>
        <v>0</v>
      </c>
    </row>
    <row r="151" spans="1:16" hidden="1" outlineLevel="1">
      <c r="A151" s="407" t="str">
        <f>IF(INPUT!A351="","",INPUT!A351)</f>
        <v/>
      </c>
      <c r="B151" s="20"/>
      <c r="C151" s="20"/>
      <c r="D151" s="20"/>
      <c r="E151" s="20" t="str">
        <f>IF(INPUT!D351="","",INPUT!D351)</f>
        <v/>
      </c>
      <c r="F151" s="20"/>
      <c r="G151" s="20"/>
      <c r="H151" s="1218"/>
      <c r="I151" s="1218">
        <f>INPUT!H351</f>
        <v>0</v>
      </c>
    </row>
    <row r="152" spans="1:16" ht="15.75" collapsed="1" thickBot="1">
      <c r="A152" s="96" t="s">
        <v>22</v>
      </c>
      <c r="B152" s="96"/>
      <c r="C152" s="96"/>
      <c r="D152" s="96"/>
      <c r="E152" s="96"/>
      <c r="F152" s="96"/>
      <c r="G152" s="96"/>
      <c r="H152" s="1219"/>
      <c r="I152" s="1219">
        <f>SUM(I140:I151)</f>
        <v>0</v>
      </c>
    </row>
    <row r="153" spans="1:16">
      <c r="A153" s="20"/>
      <c r="B153" s="20"/>
      <c r="C153" s="20"/>
      <c r="D153" s="20"/>
      <c r="E153" s="20"/>
      <c r="F153" s="20"/>
      <c r="G153" s="20"/>
      <c r="H153" s="1218"/>
      <c r="I153" s="1218"/>
    </row>
    <row r="154" spans="1:16" ht="15.75" thickBot="1">
      <c r="A154" s="2229" t="str">
        <f>IF(I154&lt;0,"Amount Due from Borrower for Costs Itemized on Lender's Settlement Stmt.", "Funds Remaining for Other Approved Disbursements Itemized on Escrow's/Title's Settlement Statement")</f>
        <v>Funds Remaining for Other Approved Disbursements Itemized on Escrow's/Title's Settlement Statement</v>
      </c>
      <c r="B154" s="2230"/>
      <c r="C154" s="2230"/>
      <c r="D154" s="2230"/>
      <c r="E154" s="2230"/>
      <c r="F154" s="2230"/>
      <c r="G154" s="2230"/>
      <c r="H154" s="2231"/>
      <c r="I154" s="2232">
        <f>H89-I96-I114-I137-I152</f>
        <v>225273318.66</v>
      </c>
      <c r="K154" s="1127" t="s">
        <v>1550</v>
      </c>
    </row>
    <row r="155" spans="1:16">
      <c r="A155" s="20"/>
      <c r="B155" s="20"/>
      <c r="C155" s="20"/>
      <c r="D155" s="20"/>
      <c r="E155" s="20"/>
      <c r="F155" s="20"/>
      <c r="G155" s="20"/>
      <c r="H155" s="1218"/>
      <c r="I155" s="1218"/>
    </row>
    <row r="156" spans="1:16" ht="15.75" thickBot="1">
      <c r="A156" s="99" t="s">
        <v>324</v>
      </c>
      <c r="B156" s="99"/>
      <c r="C156" s="99"/>
      <c r="D156" s="99"/>
      <c r="E156" s="99"/>
      <c r="F156" s="99"/>
      <c r="G156" s="99"/>
      <c r="H156" s="1220">
        <f>+H89</f>
        <v>225530734.31999999</v>
      </c>
      <c r="I156" s="1220">
        <f>+I96+I114+I137+I152+I154</f>
        <v>225530734.31999999</v>
      </c>
    </row>
    <row r="157" spans="1:16" ht="15.75" thickTop="1">
      <c r="A157" s="20"/>
      <c r="B157" s="20"/>
      <c r="C157" s="20"/>
      <c r="D157" s="20"/>
      <c r="E157" s="20"/>
      <c r="F157" s="20"/>
      <c r="G157" s="408"/>
      <c r="H157" s="408"/>
      <c r="I157" s="20"/>
    </row>
    <row r="158" spans="1:16">
      <c r="A158" s="2603" t="str">
        <f>A2</f>
        <v>Estimated Loan Settlement Statement</v>
      </c>
      <c r="B158" s="2610"/>
      <c r="C158" s="2610"/>
      <c r="D158" s="2610"/>
      <c r="E158" s="2610"/>
      <c r="F158" s="2610"/>
      <c r="G158" s="2610"/>
      <c r="H158" s="2610"/>
      <c r="I158" s="2610"/>
      <c r="K158" s="2608" t="s">
        <v>1551</v>
      </c>
      <c r="L158" s="101"/>
      <c r="M158" s="101"/>
      <c r="N158" s="101"/>
      <c r="O158" s="101"/>
      <c r="P158" s="101"/>
    </row>
    <row r="159" spans="1:16">
      <c r="A159" s="20" t="s">
        <v>1552</v>
      </c>
      <c r="B159" s="2599" t="str">
        <f>IF(D6="",D5,D5&amp;" and "&amp;D6)</f>
        <v>PV1 Properties, LLC ,  a Delaware LLC, SWRCM FG I, LLC  et al and PV1 Properties Member, LLC and SWRCM FG Member, LLC</v>
      </c>
      <c r="C159" s="2513"/>
      <c r="D159" s="2513"/>
      <c r="E159" s="2513"/>
      <c r="F159" s="2513"/>
      <c r="G159" s="2513"/>
      <c r="H159" s="2513"/>
      <c r="I159" s="20"/>
      <c r="K159" s="2608"/>
      <c r="L159" s="101"/>
      <c r="M159" s="101"/>
      <c r="N159" s="101"/>
      <c r="O159" s="101"/>
      <c r="P159" s="101"/>
    </row>
    <row r="160" spans="1:16">
      <c r="A160" s="20" t="s">
        <v>1508</v>
      </c>
      <c r="B160" s="2600" t="str">
        <f>IF(INPUT!E17="","",INPUT!E17)</f>
        <v>6363 &amp; 6399 &amp; 6501 S Fiddler's Green Circle, Englewood, CO</v>
      </c>
      <c r="C160" s="2597"/>
      <c r="D160" s="2597"/>
      <c r="E160" s="2597"/>
      <c r="F160" s="2597"/>
      <c r="G160" s="2597"/>
      <c r="H160" s="2597"/>
      <c r="I160" s="20"/>
      <c r="K160" s="2608"/>
      <c r="L160" s="101"/>
      <c r="M160" s="101"/>
      <c r="N160" s="765" t="s">
        <v>1553</v>
      </c>
      <c r="O160" s="101"/>
      <c r="P160" s="101"/>
    </row>
    <row r="161" spans="1:16">
      <c r="A161" s="20"/>
      <c r="B161" s="20"/>
      <c r="C161" s="20"/>
      <c r="D161" s="20"/>
      <c r="E161" s="20"/>
      <c r="F161" s="20"/>
      <c r="G161" s="408"/>
      <c r="H161" s="408"/>
      <c r="I161" s="20"/>
      <c r="K161" s="2608"/>
      <c r="L161" s="101"/>
      <c r="M161" s="101"/>
      <c r="N161" s="101"/>
      <c r="O161" s="101"/>
      <c r="P161" s="101"/>
    </row>
    <row r="162" spans="1:16" ht="15.75">
      <c r="A162" s="78" t="s">
        <v>1554</v>
      </c>
      <c r="B162" s="20"/>
      <c r="C162" s="20"/>
      <c r="D162" s="20"/>
      <c r="E162" s="20"/>
      <c r="F162" s="20"/>
      <c r="G162" s="408"/>
      <c r="H162" s="408"/>
      <c r="I162" s="20"/>
      <c r="K162" s="2609"/>
      <c r="L162" s="102"/>
      <c r="M162" s="102"/>
      <c r="N162" s="102"/>
      <c r="O162" s="102"/>
      <c r="P162" s="101"/>
    </row>
    <row r="163" spans="1:16" ht="15.75">
      <c r="A163" s="91"/>
      <c r="B163" s="20"/>
      <c r="C163" s="20"/>
      <c r="D163" s="20"/>
      <c r="E163" s="20"/>
      <c r="F163" s="20"/>
      <c r="G163" s="408"/>
      <c r="H163" s="408"/>
      <c r="I163" s="20"/>
      <c r="K163" s="1251" t="s">
        <v>1555</v>
      </c>
      <c r="L163" s="102"/>
      <c r="M163" s="102"/>
      <c r="N163" s="102"/>
      <c r="O163" s="102"/>
      <c r="P163" s="101"/>
    </row>
    <row r="164" spans="1:16">
      <c r="A164" s="91" t="s">
        <v>1556</v>
      </c>
      <c r="B164" s="20"/>
      <c r="C164" s="20"/>
      <c r="D164" s="94" t="s">
        <v>1557</v>
      </c>
      <c r="E164" s="20"/>
      <c r="F164" s="20"/>
      <c r="G164" s="408"/>
      <c r="H164" s="408"/>
      <c r="I164" s="20"/>
      <c r="K164" s="1124" t="s">
        <v>1558</v>
      </c>
      <c r="L164" s="102"/>
      <c r="M164" s="102"/>
      <c r="N164" s="102"/>
      <c r="O164" s="102"/>
      <c r="P164" s="101"/>
    </row>
    <row r="165" spans="1:16">
      <c r="A165" s="20" t="s">
        <v>1559</v>
      </c>
      <c r="B165" s="20"/>
      <c r="C165" s="20"/>
      <c r="D165" s="407" t="str">
        <f>IF(INPUT!E554="","",INPUT!E554)</f>
        <v/>
      </c>
      <c r="E165" s="20"/>
      <c r="F165" s="20"/>
      <c r="G165" s="408"/>
      <c r="H165" s="408"/>
      <c r="I165" s="20"/>
      <c r="L165" s="102"/>
      <c r="M165" s="102"/>
      <c r="N165" s="102"/>
      <c r="O165" s="102"/>
      <c r="P165" s="101"/>
    </row>
    <row r="166" spans="1:16">
      <c r="A166" s="20" t="s">
        <v>1560</v>
      </c>
      <c r="B166" s="20"/>
      <c r="C166" s="20"/>
      <c r="D166" s="407" t="str">
        <f>IF(INPUT!F554="","",INPUT!F554)</f>
        <v/>
      </c>
      <c r="E166" s="20"/>
      <c r="F166" s="20"/>
      <c r="G166" s="408"/>
      <c r="H166" s="408"/>
      <c r="I166" s="20"/>
      <c r="L166" s="102"/>
      <c r="M166" s="102"/>
      <c r="N166" s="102"/>
      <c r="O166" s="102"/>
      <c r="P166" s="101"/>
    </row>
    <row r="167" spans="1:16">
      <c r="A167" s="20" t="s">
        <v>1561</v>
      </c>
      <c r="B167" s="20"/>
      <c r="C167" s="20"/>
      <c r="D167" s="407" t="str">
        <f>IF(INPUT!G554="","",INPUT!G554)</f>
        <v/>
      </c>
      <c r="E167" s="20"/>
      <c r="F167" s="20"/>
      <c r="G167" s="408"/>
      <c r="H167" s="408"/>
      <c r="I167" s="20"/>
      <c r="L167" s="102"/>
      <c r="M167" s="102"/>
      <c r="N167" s="102"/>
      <c r="O167" s="102"/>
      <c r="P167" s="101"/>
    </row>
    <row r="168" spans="1:16">
      <c r="A168" s="20" t="s">
        <v>1562</v>
      </c>
      <c r="B168" s="20"/>
      <c r="C168" s="20"/>
      <c r="D168" s="407" t="str">
        <f>IF(INPUT!H554="","",INPUT!H554)</f>
        <v/>
      </c>
      <c r="E168" s="20"/>
      <c r="F168" s="20"/>
      <c r="G168" s="408"/>
      <c r="H168" s="408"/>
      <c r="I168" s="20"/>
      <c r="L168" s="102"/>
      <c r="M168" s="102"/>
      <c r="N168" s="102"/>
      <c r="O168" s="102"/>
      <c r="P168" s="101"/>
    </row>
    <row r="169" spans="1:16">
      <c r="A169" s="20" t="s">
        <v>1563</v>
      </c>
      <c r="B169" s="20"/>
      <c r="C169" s="20"/>
      <c r="D169" s="409" t="str">
        <f>IF(INPUT!I554="","",INPUT!I554)</f>
        <v/>
      </c>
      <c r="E169" s="20"/>
      <c r="F169" s="20"/>
      <c r="G169" s="408"/>
      <c r="H169" s="408"/>
      <c r="I169" s="20"/>
      <c r="L169" s="102"/>
      <c r="M169" s="102"/>
      <c r="N169" s="102"/>
      <c r="O169" s="102"/>
      <c r="P169" s="101"/>
    </row>
    <row r="170" spans="1:16" ht="19.5" customHeight="1">
      <c r="A170" s="25" t="s">
        <v>1564</v>
      </c>
      <c r="B170" s="20"/>
      <c r="C170" s="20"/>
      <c r="D170" s="1064">
        <f>+I86</f>
        <v>0</v>
      </c>
      <c r="E170" s="20"/>
      <c r="F170" s="1064"/>
      <c r="G170" s="408"/>
      <c r="H170" s="408"/>
      <c r="I170" s="20"/>
      <c r="L170" s="102"/>
      <c r="M170" s="102"/>
      <c r="N170" s="102"/>
      <c r="O170" s="102"/>
      <c r="P170" s="101"/>
    </row>
    <row r="171" spans="1:16" ht="19.5" customHeight="1">
      <c r="A171" s="20" t="s">
        <v>1565</v>
      </c>
      <c r="B171" s="20"/>
      <c r="C171" s="20"/>
      <c r="D171" s="407" t="str">
        <f>IF(INPUT!O554="","",INPUT!O554)</f>
        <v/>
      </c>
      <c r="E171" s="20"/>
      <c r="F171" s="1064"/>
      <c r="G171" s="408"/>
      <c r="H171" s="408"/>
      <c r="I171" s="20"/>
      <c r="L171" s="102"/>
      <c r="M171" s="102"/>
      <c r="N171" s="102"/>
      <c r="O171" s="102"/>
      <c r="P171" s="101"/>
    </row>
    <row r="172" spans="1:16">
      <c r="A172" s="20" t="s">
        <v>1566</v>
      </c>
      <c r="B172" s="20"/>
      <c r="C172" s="20"/>
      <c r="D172" s="407" t="str">
        <f>IF(INPUT!N554="","",INPUT!N554)</f>
        <v/>
      </c>
      <c r="E172" s="20"/>
      <c r="F172" s="20"/>
      <c r="G172" s="408"/>
      <c r="H172" s="408"/>
      <c r="I172" s="20"/>
      <c r="L172" s="102"/>
      <c r="M172" s="102"/>
      <c r="N172" s="102"/>
      <c r="O172" s="102"/>
      <c r="P172" s="101"/>
    </row>
    <row r="173" spans="1:16">
      <c r="A173" s="20" t="s">
        <v>1567</v>
      </c>
      <c r="B173" s="20"/>
      <c r="C173" s="20"/>
      <c r="D173" s="407" t="str">
        <f>IF(INPUT!L554="","",INPUT!L554)</f>
        <v/>
      </c>
      <c r="E173" s="20"/>
      <c r="F173" s="20"/>
      <c r="G173" s="408"/>
      <c r="H173" s="408"/>
      <c r="I173" s="20"/>
      <c r="L173" s="102"/>
      <c r="M173" s="102"/>
      <c r="N173" s="102"/>
      <c r="O173" s="102"/>
      <c r="P173" s="101"/>
    </row>
    <row r="174" spans="1:16">
      <c r="A174" s="20" t="s">
        <v>1568</v>
      </c>
      <c r="B174" s="20"/>
      <c r="C174" s="20"/>
      <c r="D174" s="407" t="str">
        <f>IF(INPUT!M554="","",INPUT!M554)</f>
        <v/>
      </c>
      <c r="E174" s="20"/>
      <c r="F174" s="20"/>
      <c r="G174" s="408"/>
      <c r="H174" s="408"/>
      <c r="I174" s="20"/>
      <c r="L174" s="102"/>
      <c r="M174" s="102"/>
      <c r="N174" s="102"/>
      <c r="O174" s="102"/>
      <c r="P174" s="101"/>
    </row>
    <row r="175" spans="1:16">
      <c r="A175" s="20"/>
      <c r="B175" s="20"/>
      <c r="C175" s="20"/>
      <c r="D175" s="20"/>
      <c r="E175" s="20"/>
      <c r="F175" s="94"/>
      <c r="G175" s="408"/>
      <c r="H175" s="408"/>
      <c r="I175" s="20"/>
    </row>
    <row r="176" spans="1:16">
      <c r="A176" s="91" t="s">
        <v>1556</v>
      </c>
      <c r="B176" s="20"/>
      <c r="C176" s="20"/>
      <c r="D176" s="91" t="s">
        <v>1569</v>
      </c>
      <c r="E176" s="20"/>
      <c r="F176" s="20"/>
      <c r="G176" s="408"/>
      <c r="H176" s="408"/>
      <c r="I176" s="20"/>
    </row>
    <row r="177" spans="1:13">
      <c r="A177" s="20" t="s">
        <v>1559</v>
      </c>
      <c r="B177" s="20"/>
      <c r="C177" s="20"/>
      <c r="D177" s="407" t="str">
        <f>+D165</f>
        <v/>
      </c>
      <c r="E177" s="20"/>
      <c r="F177" s="20"/>
      <c r="G177" s="408"/>
      <c r="H177" s="408"/>
      <c r="I177" s="20"/>
    </row>
    <row r="178" spans="1:13">
      <c r="A178" s="20" t="s">
        <v>1560</v>
      </c>
      <c r="B178" s="20"/>
      <c r="C178" s="20"/>
      <c r="D178" s="407" t="str">
        <f>+D166</f>
        <v/>
      </c>
      <c r="E178" s="20"/>
      <c r="F178" s="20"/>
      <c r="G178" s="408"/>
      <c r="H178" s="408"/>
      <c r="I178" s="20"/>
    </row>
    <row r="179" spans="1:13">
      <c r="A179" s="20" t="s">
        <v>1561</v>
      </c>
      <c r="B179" s="20"/>
      <c r="C179" s="20"/>
      <c r="D179" s="407" t="str">
        <f>+D167</f>
        <v/>
      </c>
      <c r="E179" s="20"/>
      <c r="F179" s="20"/>
      <c r="G179" s="408"/>
      <c r="H179" s="408"/>
      <c r="I179" s="20"/>
    </row>
    <row r="180" spans="1:13">
      <c r="A180" s="20" t="s">
        <v>1562</v>
      </c>
      <c r="B180" s="20"/>
      <c r="C180" s="20"/>
      <c r="D180" s="407" t="str">
        <f>+D168</f>
        <v/>
      </c>
      <c r="E180" s="20"/>
      <c r="F180" s="20"/>
      <c r="G180" s="408"/>
      <c r="H180" s="408"/>
      <c r="I180" s="20"/>
    </row>
    <row r="181" spans="1:13">
      <c r="A181" s="20" t="s">
        <v>1563</v>
      </c>
      <c r="B181" s="20"/>
      <c r="C181" s="20"/>
      <c r="D181" s="409" t="str">
        <f>+D169</f>
        <v/>
      </c>
      <c r="E181" s="20"/>
      <c r="F181" s="20"/>
      <c r="G181" s="408"/>
      <c r="H181" s="408"/>
      <c r="I181" s="20"/>
    </row>
    <row r="182" spans="1:13">
      <c r="A182" s="25" t="s">
        <v>1564</v>
      </c>
      <c r="B182" s="20"/>
      <c r="C182" s="20"/>
      <c r="D182" s="1064">
        <f>+I69</f>
        <v>225530734.31999999</v>
      </c>
      <c r="E182" s="20"/>
      <c r="F182" s="1064"/>
      <c r="G182" s="408"/>
      <c r="H182" s="408"/>
      <c r="I182" s="20"/>
    </row>
    <row r="183" spans="1:13">
      <c r="A183" s="20" t="s">
        <v>1565</v>
      </c>
      <c r="B183" s="20"/>
      <c r="C183" s="20"/>
      <c r="D183" s="407" t="str">
        <f>+D171</f>
        <v/>
      </c>
      <c r="E183" s="20"/>
      <c r="F183" s="1064"/>
      <c r="G183" s="408"/>
      <c r="H183" s="408"/>
      <c r="I183" s="20"/>
    </row>
    <row r="184" spans="1:13">
      <c r="A184" s="20" t="s">
        <v>1566</v>
      </c>
      <c r="B184" s="20"/>
      <c r="C184" s="20"/>
      <c r="D184" s="407" t="str">
        <f>+D172</f>
        <v/>
      </c>
      <c r="E184" s="20"/>
      <c r="F184" s="20"/>
      <c r="G184" s="408"/>
      <c r="H184" s="408"/>
      <c r="I184" s="20"/>
    </row>
    <row r="185" spans="1:13">
      <c r="A185" s="20" t="s">
        <v>1567</v>
      </c>
      <c r="B185" s="20"/>
      <c r="C185" s="20"/>
      <c r="D185" s="407" t="str">
        <f>+D173</f>
        <v/>
      </c>
      <c r="E185" s="20"/>
      <c r="F185" s="20"/>
      <c r="G185" s="408"/>
      <c r="H185" s="408"/>
      <c r="I185" s="20"/>
    </row>
    <row r="186" spans="1:13">
      <c r="A186" s="20" t="s">
        <v>1568</v>
      </c>
      <c r="B186" s="20"/>
      <c r="C186" s="20"/>
      <c r="D186" s="407" t="str">
        <f>+D174</f>
        <v/>
      </c>
      <c r="E186" s="20"/>
      <c r="F186" s="20"/>
      <c r="G186" s="408"/>
      <c r="H186" s="408"/>
      <c r="I186" s="20"/>
    </row>
    <row r="187" spans="1:13" ht="15.75" thickBot="1">
      <c r="A187" s="20"/>
      <c r="B187" s="20"/>
      <c r="C187" s="20"/>
      <c r="D187" s="20"/>
      <c r="E187" s="20"/>
      <c r="F187" s="94"/>
      <c r="G187" s="408"/>
      <c r="H187" s="408"/>
      <c r="I187" s="20"/>
    </row>
    <row r="188" spans="1:13" ht="15.75" outlineLevel="1" thickBot="1">
      <c r="A188" s="91" t="s">
        <v>1543</v>
      </c>
      <c r="B188" s="20"/>
      <c r="C188" s="20"/>
      <c r="D188" s="20"/>
      <c r="E188" s="20"/>
      <c r="F188" s="20"/>
      <c r="G188" s="408"/>
      <c r="H188" s="408"/>
      <c r="I188" s="20"/>
      <c r="K188" s="1663" t="str">
        <f>IF(INPUT!H311=0,"",VLOOKUP('Loan Settlement Stmt'!L188,INPUT!A553:B558,2,FALSE))</f>
        <v/>
      </c>
      <c r="L188" s="769" t="s">
        <v>462</v>
      </c>
      <c r="M188" s="770"/>
    </row>
    <row r="189" spans="1:13" outlineLevel="1">
      <c r="A189" s="20" t="s">
        <v>1559</v>
      </c>
      <c r="B189" s="20"/>
      <c r="C189" s="20"/>
      <c r="D189" s="409" t="str">
        <f>IF($K$188="","",VLOOKUP($L$188,INPUT!$A$553:$K$558,5,FALSE))</f>
        <v/>
      </c>
      <c r="E189" s="20"/>
      <c r="F189" s="20"/>
      <c r="G189" s="408"/>
      <c r="H189" s="408"/>
      <c r="I189" s="20"/>
      <c r="K189" s="28"/>
      <c r="L189" s="20"/>
    </row>
    <row r="190" spans="1:13" outlineLevel="1">
      <c r="A190" s="20" t="s">
        <v>1560</v>
      </c>
      <c r="B190" s="20"/>
      <c r="C190" s="20"/>
      <c r="D190" s="409" t="str">
        <f>IF($K$188="","",VLOOKUP($L$188,INPUT!$A$553:$K$558,6,FALSE))</f>
        <v/>
      </c>
      <c r="E190" s="20"/>
      <c r="F190" s="20"/>
      <c r="G190" s="408"/>
      <c r="H190" s="408"/>
      <c r="I190" s="20"/>
      <c r="K190" s="28"/>
      <c r="L190" s="20"/>
    </row>
    <row r="191" spans="1:13" outlineLevel="1">
      <c r="A191" s="20" t="s">
        <v>1561</v>
      </c>
      <c r="B191" s="20"/>
      <c r="C191" s="20"/>
      <c r="D191" s="409" t="str">
        <f>IF($K$188="","",VLOOKUP($L$188,INPUT!$A$553:$K$558,7,FALSE))</f>
        <v/>
      </c>
      <c r="E191" s="20"/>
      <c r="F191" s="20"/>
      <c r="G191" s="408"/>
      <c r="H191" s="408"/>
      <c r="I191" s="20"/>
      <c r="K191" s="28"/>
      <c r="L191" s="20"/>
    </row>
    <row r="192" spans="1:13" outlineLevel="1">
      <c r="A192" s="20" t="s">
        <v>1562</v>
      </c>
      <c r="B192" s="20"/>
      <c r="C192" s="20"/>
      <c r="D192" s="409" t="str">
        <f>IF($K$188="","",VLOOKUP($L$188,INPUT!$A$553:$K$558,8,FALSE))</f>
        <v/>
      </c>
      <c r="E192" s="20"/>
      <c r="F192" s="20"/>
      <c r="G192" s="408"/>
      <c r="H192" s="408"/>
      <c r="I192" s="20"/>
      <c r="K192" s="28"/>
      <c r="L192" s="20"/>
    </row>
    <row r="193" spans="1:15" outlineLevel="1">
      <c r="A193" s="20" t="s">
        <v>1563</v>
      </c>
      <c r="B193" s="20"/>
      <c r="C193" s="20"/>
      <c r="D193" s="409" t="str">
        <f>IF($K$188="","",VLOOKUP($L$188,INPUT!$A$553:$K$558,9,FALSE))</f>
        <v/>
      </c>
      <c r="E193" s="20"/>
      <c r="F193" s="20"/>
      <c r="G193" s="408"/>
      <c r="H193" s="408"/>
      <c r="I193" s="20"/>
      <c r="K193" s="28"/>
      <c r="L193" s="20"/>
    </row>
    <row r="194" spans="1:15" outlineLevel="1">
      <c r="A194" s="25" t="s">
        <v>1564</v>
      </c>
      <c r="B194" s="25"/>
      <c r="C194" s="25"/>
      <c r="D194" s="402">
        <f>INPUT!H311</f>
        <v>0</v>
      </c>
      <c r="E194" s="20"/>
      <c r="F194" s="20"/>
      <c r="G194" s="408"/>
      <c r="H194" s="408"/>
      <c r="I194" s="20"/>
      <c r="K194" s="28"/>
      <c r="L194" s="20"/>
    </row>
    <row r="195" spans="1:15" outlineLevel="1">
      <c r="A195" s="20" t="s">
        <v>1566</v>
      </c>
      <c r="B195" s="25"/>
      <c r="C195" s="25"/>
      <c r="D195" s="409" t="str">
        <f>IF($K$188="","",VLOOKUP($K$188,INPUT!$B$553:$O$558,13,FALSE))</f>
        <v/>
      </c>
      <c r="E195" s="20"/>
      <c r="F195" s="20"/>
      <c r="G195" s="408"/>
      <c r="H195" s="408"/>
      <c r="I195" s="20"/>
      <c r="K195" s="28"/>
      <c r="L195" s="20"/>
    </row>
    <row r="196" spans="1:15" outlineLevel="1">
      <c r="A196" s="20" t="s">
        <v>1566</v>
      </c>
      <c r="B196" s="20"/>
      <c r="C196" s="20"/>
      <c r="D196" s="409" t="str">
        <f>IF($K$188="","",VLOOKUP($K$188,INPUT!$B$553:$O$558,11,FALSE))</f>
        <v/>
      </c>
      <c r="E196" s="20"/>
      <c r="F196" s="20"/>
      <c r="G196" s="408"/>
      <c r="H196" s="408"/>
      <c r="I196" s="20"/>
      <c r="K196" s="28"/>
      <c r="L196" s="20"/>
    </row>
    <row r="197" spans="1:15" outlineLevel="1">
      <c r="A197" s="20" t="s">
        <v>1567</v>
      </c>
      <c r="B197" s="20"/>
      <c r="C197" s="20"/>
      <c r="D197" s="409" t="str">
        <f>IF($K$188="","",VLOOKUP($K$188,INPUT!$B$553:$O$558,12,FALSE))</f>
        <v/>
      </c>
      <c r="E197" s="20"/>
      <c r="F197" s="20"/>
      <c r="G197" s="408"/>
      <c r="H197" s="408"/>
      <c r="I197" s="20"/>
      <c r="K197" s="28"/>
      <c r="L197" s="20"/>
    </row>
    <row r="198" spans="1:15" ht="15.75" thickBot="1">
      <c r="A198" s="20"/>
      <c r="B198" s="20"/>
      <c r="C198" s="20"/>
      <c r="D198" s="20"/>
      <c r="E198" s="20"/>
      <c r="F198" s="20"/>
      <c r="G198" s="408"/>
      <c r="H198" s="408"/>
      <c r="I198" s="20"/>
      <c r="K198" s="28"/>
      <c r="L198" s="20"/>
      <c r="N198" s="766" t="s">
        <v>1570</v>
      </c>
      <c r="O198" s="767" t="s">
        <v>1571</v>
      </c>
    </row>
    <row r="199" spans="1:15" ht="15.75" outlineLevel="1" thickBot="1">
      <c r="A199" s="1259" t="str">
        <f>IF(K199="","",VLOOKUP(K199,INPUT!$B$553:$D$588,3,FALSE))&amp;IF(K199="",""," To Lender - "&amp;K199)</f>
        <v xml:space="preserve"> To Lender - TRE ACR Portfolio</v>
      </c>
      <c r="B199" s="20"/>
      <c r="C199" s="20"/>
      <c r="D199" s="20"/>
      <c r="E199" s="20"/>
      <c r="F199" s="20"/>
      <c r="G199" s="408"/>
      <c r="H199" s="408"/>
      <c r="K199" s="1663" t="str">
        <f>IF(INPUT!B567="","",INPUT!B567)</f>
        <v>TRE ACR Portfolio</v>
      </c>
      <c r="L199" s="769" t="s">
        <v>486</v>
      </c>
      <c r="M199" s="770"/>
      <c r="N199" s="771">
        <f>IF(K199="",0,SUMIFS(INPUT!$U$186:$U$215,INPUT!$A$186:$A$215,'Loan Settlement Stmt'!K199,INPUT!$W$186:$W$215,"No"))</f>
        <v>0</v>
      </c>
      <c r="O199" s="768">
        <f>IF(K199="",0,SUMIFS(INPUT!$Q$186:$Q$215,INPUT!$A$186:$A$215,'Loan Settlement Stmt'!K199,INPUT!$R$186:$R$215,"No"))</f>
        <v>116093.52</v>
      </c>
    </row>
    <row r="200" spans="1:15" outlineLevel="1">
      <c r="A200" s="20" t="s">
        <v>1559</v>
      </c>
      <c r="B200" s="20"/>
      <c r="C200" s="20"/>
      <c r="D200" s="409" t="str">
        <f>IF(K199="","",VLOOKUP(K199,INPUT!$B$553:$O$588,4,FALSE))</f>
        <v>Citibank</v>
      </c>
      <c r="E200" s="20"/>
      <c r="F200" s="20"/>
      <c r="G200" s="408"/>
      <c r="H200" s="408"/>
      <c r="I200" s="20"/>
      <c r="K200" s="1978" t="s">
        <v>1572</v>
      </c>
      <c r="L200" s="20"/>
    </row>
    <row r="201" spans="1:15" outlineLevel="1">
      <c r="A201" s="20" t="s">
        <v>1560</v>
      </c>
      <c r="B201" s="20"/>
      <c r="C201" s="20"/>
      <c r="D201" s="409" t="str">
        <f>IF($K$199="","",VLOOKUP($K$199,INPUT!$B$553:$O$588,5,FALSE))</f>
        <v>New York, NY</v>
      </c>
      <c r="E201" s="20"/>
      <c r="F201" s="20"/>
      <c r="G201" s="408"/>
      <c r="H201" s="408"/>
      <c r="I201" s="20"/>
      <c r="K201" s="28"/>
      <c r="L201" s="20"/>
    </row>
    <row r="202" spans="1:15" outlineLevel="1">
      <c r="A202" s="20" t="s">
        <v>1561</v>
      </c>
      <c r="B202" s="20"/>
      <c r="C202" s="20"/>
      <c r="D202" s="409" t="str">
        <f>IF($K$199="","",VLOOKUP($K$199,INPUT!$B$553:$O$588,6,FALSE))</f>
        <v>021000089</v>
      </c>
      <c r="E202" s="20"/>
      <c r="F202" s="20"/>
      <c r="G202" s="408"/>
      <c r="H202" s="408"/>
      <c r="I202" s="20"/>
      <c r="K202" s="28"/>
      <c r="L202" s="20"/>
    </row>
    <row r="203" spans="1:15" outlineLevel="1">
      <c r="A203" s="20" t="s">
        <v>1562</v>
      </c>
      <c r="B203" s="20"/>
      <c r="C203" s="20"/>
      <c r="D203" s="409" t="str">
        <f>IF($K$199="","",VLOOKUP($K$199,INPUT!$B$553:$O$588,7,FALSE))</f>
        <v>Brown Brothers Harriman NY</v>
      </c>
      <c r="E203" s="20"/>
      <c r="F203" s="20"/>
      <c r="G203" s="408"/>
      <c r="H203" s="408"/>
      <c r="I203" s="20"/>
      <c r="K203" s="28"/>
      <c r="L203" s="20"/>
    </row>
    <row r="204" spans="1:15" outlineLevel="1">
      <c r="A204" s="20" t="s">
        <v>1563</v>
      </c>
      <c r="B204" s="20"/>
      <c r="C204" s="20"/>
      <c r="D204" s="409" t="str">
        <f>IF($K$199="","",VLOOKUP($K$199,INPUT!$B$553:$O$588,8,FALSE))</f>
        <v>09250276</v>
      </c>
      <c r="E204" s="20"/>
      <c r="F204" s="20"/>
      <c r="G204" s="408"/>
      <c r="H204" s="408"/>
      <c r="I204" s="20"/>
      <c r="K204" s="28"/>
      <c r="L204" s="20"/>
    </row>
    <row r="205" spans="1:15" outlineLevel="1">
      <c r="A205" s="20" t="s">
        <v>1573</v>
      </c>
      <c r="B205" s="20"/>
      <c r="C205" s="20"/>
      <c r="D205" s="409" t="str">
        <f>IF($K$199="","",VLOOKUP($K$199,INPUT!$B$553:$O$588,9,FALSE))</f>
        <v>Global Investment Fund 1 / TRE ACR Portfolio Cash Fund</v>
      </c>
      <c r="E205" s="20"/>
      <c r="F205" s="20"/>
      <c r="G205" s="408"/>
      <c r="H205" s="408"/>
      <c r="I205" s="20"/>
      <c r="K205" s="28"/>
      <c r="L205" s="20"/>
    </row>
    <row r="206" spans="1:15" outlineLevel="1">
      <c r="A206" s="20" t="s">
        <v>1563</v>
      </c>
      <c r="B206" s="20"/>
      <c r="C206" s="20"/>
      <c r="D206" s="409" t="str">
        <f>IF($K$199="","",VLOOKUP($K$199,INPUT!$B$553:$O$588,10,FALSE))</f>
        <v>4004453</v>
      </c>
      <c r="E206" s="20"/>
      <c r="F206" s="20"/>
      <c r="G206" s="408"/>
      <c r="H206" s="408"/>
      <c r="I206" s="20"/>
      <c r="K206" s="28"/>
      <c r="L206" s="20"/>
    </row>
    <row r="207" spans="1:15" outlineLevel="1">
      <c r="A207" s="25" t="s">
        <v>1564</v>
      </c>
      <c r="B207" s="25"/>
      <c r="C207" s="25"/>
      <c r="D207" s="1064">
        <f>N199+O199</f>
        <v>116093.52</v>
      </c>
      <c r="E207" s="20"/>
      <c r="F207" s="20"/>
      <c r="G207" s="408"/>
      <c r="H207" s="408"/>
      <c r="I207" s="20"/>
      <c r="K207" s="28"/>
      <c r="L207" s="20"/>
    </row>
    <row r="208" spans="1:15" hidden="1" outlineLevel="1">
      <c r="A208" s="20" t="s">
        <v>1567</v>
      </c>
      <c r="B208" s="20"/>
      <c r="C208" s="20"/>
      <c r="D208" s="409">
        <f>IF($K$199="","",VLOOKUP($K$199,INPUT!$B$553:$O$588,11,FALSE))</f>
        <v>0</v>
      </c>
      <c r="E208" s="20"/>
      <c r="F208" s="20"/>
      <c r="G208" s="408"/>
      <c r="H208" s="408"/>
      <c r="I208" s="20"/>
      <c r="K208" s="28"/>
      <c r="L208" s="20"/>
    </row>
    <row r="209" spans="1:15" hidden="1" outlineLevel="1">
      <c r="A209" s="20" t="s">
        <v>1568</v>
      </c>
      <c r="B209" s="20"/>
      <c r="C209" s="20"/>
      <c r="D209" s="409">
        <f>IF($K$199="","",VLOOKUP($K$199,INPUT!$B$553:$O$588,12,FALSE))</f>
        <v>0</v>
      </c>
      <c r="E209" s="20"/>
      <c r="F209" s="20"/>
      <c r="G209" s="408"/>
      <c r="H209" s="408"/>
      <c r="I209" s="20"/>
      <c r="K209" s="28"/>
      <c r="L209" s="20"/>
    </row>
    <row r="210" spans="1:15" outlineLevel="1">
      <c r="A210" s="20" t="s">
        <v>1566</v>
      </c>
      <c r="B210" s="20"/>
      <c r="C210" s="20"/>
      <c r="D210" s="409" t="str">
        <f>IF($K$199="","",VLOOKUP($K$199,INPUT!$B$553:$O$588,13,FALSE))</f>
        <v>ACORE- LSS Test 1</v>
      </c>
      <c r="E210" s="20"/>
      <c r="F210" s="20"/>
      <c r="G210" s="408"/>
      <c r="H210" s="408"/>
      <c r="I210" s="20"/>
      <c r="K210" s="28"/>
      <c r="L210" s="20"/>
    </row>
    <row r="211" spans="1:15" ht="15.75" thickBot="1">
      <c r="A211" s="20"/>
      <c r="B211" s="20"/>
      <c r="C211" s="20"/>
      <c r="D211" s="20"/>
      <c r="E211" s="20"/>
      <c r="F211" s="20"/>
      <c r="G211" s="408"/>
      <c r="H211" s="408"/>
      <c r="I211" s="20"/>
      <c r="K211" s="28"/>
      <c r="L211" s="20"/>
      <c r="N211" s="766" t="s">
        <v>1570</v>
      </c>
      <c r="O211" s="767" t="s">
        <v>1571</v>
      </c>
    </row>
    <row r="212" spans="1:15" ht="15.75" outlineLevel="1" thickBot="1">
      <c r="A212" s="1259" t="str">
        <f>IF(K212="","",VLOOKUP(K212,INPUT!$B$553:$D$595,3,FALSE))&amp;IF(K212="",""," To Lender - "&amp;K212)</f>
        <v xml:space="preserve"> To Lender - TRE ACR Portfolio Series II</v>
      </c>
      <c r="B212" s="20"/>
      <c r="C212" s="20"/>
      <c r="D212" s="20"/>
      <c r="E212" s="20"/>
      <c r="F212" s="20"/>
      <c r="G212" s="408"/>
      <c r="H212" s="408"/>
      <c r="K212" s="1663" t="str">
        <f>IF(INPUT!B568="","",INPUT!B568)</f>
        <v>TRE ACR Portfolio Series II</v>
      </c>
      <c r="L212" s="769" t="s">
        <v>488</v>
      </c>
      <c r="M212" s="770"/>
      <c r="N212" s="771">
        <f>IF(K212="",0,SUMIFS(INPUT!$U$186:$U$215,INPUT!$A$186:$A$215,'Loan Settlement Stmt'!K212,INPUT!$W$186:$W$215,"No"))</f>
        <v>0</v>
      </c>
      <c r="O212" s="768">
        <f>IF(K212="",0,SUMIFS(INPUT!$Q$186:$Q$215,INPUT!$A$186:$A$215,'Loan Settlement Stmt'!K212,INPUT!$R$186:$R$215,"No"))</f>
        <v>116093.52</v>
      </c>
    </row>
    <row r="213" spans="1:15" outlineLevel="1">
      <c r="A213" s="20" t="s">
        <v>1559</v>
      </c>
      <c r="B213" s="20"/>
      <c r="C213" s="20"/>
      <c r="D213" s="409" t="str">
        <f>IF(K212="","",VLOOKUP(K212,INPUT!$B$553:$O$595,4,FALSE))</f>
        <v>Citibank</v>
      </c>
      <c r="E213" s="20"/>
      <c r="F213" s="20"/>
      <c r="G213" s="408"/>
      <c r="H213" s="408"/>
      <c r="I213" s="20"/>
      <c r="K213" s="1978" t="s">
        <v>1572</v>
      </c>
      <c r="L213" s="20"/>
    </row>
    <row r="214" spans="1:15" outlineLevel="1">
      <c r="A214" s="20" t="s">
        <v>1560</v>
      </c>
      <c r="B214" s="20"/>
      <c r="C214" s="20"/>
      <c r="D214" s="409" t="str">
        <f>IF($K$212="","",VLOOKUP($K$212,INPUT!$B$553:$O$595,5,FALSE))</f>
        <v>New York, NY</v>
      </c>
      <c r="E214" s="20"/>
      <c r="F214" s="20"/>
      <c r="G214" s="408"/>
      <c r="H214" s="408"/>
      <c r="I214" s="20"/>
      <c r="K214" s="28"/>
      <c r="L214" s="20"/>
    </row>
    <row r="215" spans="1:15" outlineLevel="1">
      <c r="A215" s="20" t="s">
        <v>1561</v>
      </c>
      <c r="B215" s="20"/>
      <c r="C215" s="20"/>
      <c r="D215" s="409" t="str">
        <f>IF($K$212="","",VLOOKUP($K$212,INPUT!$B$553:$O$595,6,FALSE))</f>
        <v>021000089</v>
      </c>
      <c r="E215" s="20"/>
      <c r="F215" s="20"/>
      <c r="G215" s="408"/>
      <c r="H215" s="408"/>
      <c r="I215" s="20"/>
      <c r="K215" s="28"/>
      <c r="L215" s="20"/>
    </row>
    <row r="216" spans="1:15" outlineLevel="1">
      <c r="A216" s="20" t="s">
        <v>1562</v>
      </c>
      <c r="B216" s="20"/>
      <c r="C216" s="20"/>
      <c r="D216" s="409" t="str">
        <f>IF($K$212="","",VLOOKUP($K$212,INPUT!$B$553:$O$595,7,FALSE))</f>
        <v>Brown Brothers Harriman NY</v>
      </c>
      <c r="E216" s="20"/>
      <c r="F216" s="20"/>
      <c r="G216" s="408"/>
      <c r="H216" s="408"/>
      <c r="I216" s="20"/>
      <c r="K216" s="28"/>
      <c r="L216" s="20"/>
    </row>
    <row r="217" spans="1:15" outlineLevel="1">
      <c r="A217" s="20" t="s">
        <v>1563</v>
      </c>
      <c r="B217" s="20"/>
      <c r="C217" s="20"/>
      <c r="D217" s="409" t="str">
        <f>IF($K$212="","",VLOOKUP($K$212,INPUT!$B$553:$O$595,8,FALSE))</f>
        <v>09250276</v>
      </c>
      <c r="E217" s="20"/>
      <c r="F217" s="20"/>
      <c r="G217" s="408"/>
      <c r="H217" s="408"/>
      <c r="I217" s="20"/>
      <c r="K217" s="28"/>
      <c r="L217" s="20"/>
    </row>
    <row r="218" spans="1:15" outlineLevel="1">
      <c r="A218" s="20" t="s">
        <v>1573</v>
      </c>
      <c r="B218" s="20"/>
      <c r="C218" s="20"/>
      <c r="D218" s="409" t="str">
        <f>IF($K$212="","",VLOOKUP($K$212,INPUT!$B$553:$O$595,9,FALSE))</f>
        <v>Global Investment Fund 1 / TRE ACR Series II Portfolio Cash Fund</v>
      </c>
      <c r="E218" s="20"/>
      <c r="F218" s="20"/>
      <c r="G218" s="408"/>
      <c r="H218" s="408"/>
      <c r="I218" s="20"/>
      <c r="K218" s="28"/>
      <c r="L218" s="20"/>
    </row>
    <row r="219" spans="1:15" outlineLevel="1">
      <c r="A219" s="20" t="s">
        <v>1563</v>
      </c>
      <c r="B219" s="20"/>
      <c r="C219" s="20"/>
      <c r="D219" s="409">
        <f>IF($K$212="","",VLOOKUP($K$212,INPUT!$B$553:$O$595,10,FALSE))</f>
        <v>4042495</v>
      </c>
      <c r="E219" s="20"/>
      <c r="F219" s="20"/>
      <c r="G219" s="408"/>
      <c r="H219" s="408"/>
      <c r="I219" s="20"/>
      <c r="K219" s="28"/>
      <c r="L219" s="20"/>
    </row>
    <row r="220" spans="1:15" outlineLevel="1">
      <c r="A220" s="25" t="s">
        <v>1564</v>
      </c>
      <c r="B220" s="25"/>
      <c r="C220" s="25"/>
      <c r="D220" s="1148">
        <f>N212+O212</f>
        <v>116093.52</v>
      </c>
      <c r="E220" s="20"/>
      <c r="F220" s="20"/>
      <c r="G220" s="408"/>
      <c r="H220" s="408"/>
      <c r="I220" s="20"/>
      <c r="K220" s="28"/>
      <c r="L220" s="20"/>
    </row>
    <row r="221" spans="1:15" hidden="1" outlineLevel="1">
      <c r="A221" s="20" t="s">
        <v>1567</v>
      </c>
      <c r="B221" s="20"/>
      <c r="C221" s="20"/>
      <c r="D221" s="409">
        <f>IF($K$212="","",VLOOKUP($K$212,INPUT!$B$553:$O$595,11,FALSE))</f>
        <v>0</v>
      </c>
      <c r="E221" s="20"/>
      <c r="F221" s="20"/>
      <c r="G221" s="408"/>
      <c r="H221" s="408"/>
      <c r="I221" s="20"/>
      <c r="K221" s="28"/>
      <c r="L221" s="20"/>
    </row>
    <row r="222" spans="1:15" hidden="1" outlineLevel="1">
      <c r="A222" s="20" t="s">
        <v>1568</v>
      </c>
      <c r="B222" s="20"/>
      <c r="C222" s="20"/>
      <c r="D222" s="409">
        <f>IF($K$212="","",VLOOKUP($K$212,INPUT!$B$553:$O$595,12,FALSE))</f>
        <v>0</v>
      </c>
      <c r="E222" s="20"/>
      <c r="F222" s="20"/>
      <c r="G222" s="408"/>
      <c r="H222" s="408"/>
      <c r="I222" s="20"/>
      <c r="K222" s="28"/>
      <c r="L222" s="20"/>
    </row>
    <row r="223" spans="1:15" outlineLevel="1">
      <c r="A223" s="20" t="s">
        <v>1566</v>
      </c>
      <c r="B223" s="20"/>
      <c r="C223" s="20"/>
      <c r="D223" s="409" t="str">
        <f>IF($K$212="","",VLOOKUP($K$212,INPUT!$B$553:$O$595,13,FALSE))</f>
        <v>ACORE- LSS Test 1</v>
      </c>
      <c r="E223" s="20"/>
      <c r="F223" s="20"/>
      <c r="G223" s="408"/>
      <c r="H223" s="408"/>
      <c r="I223" s="20"/>
      <c r="K223" s="28"/>
      <c r="L223" s="20"/>
    </row>
    <row r="224" spans="1:15" ht="15.75" thickBot="1">
      <c r="A224" s="20"/>
      <c r="B224" s="20"/>
      <c r="C224" s="20"/>
      <c r="D224" s="20"/>
      <c r="E224" s="20"/>
      <c r="F224" s="20"/>
      <c r="G224" s="408"/>
      <c r="H224" s="408"/>
      <c r="I224" s="20"/>
      <c r="K224" s="28"/>
      <c r="L224" s="20"/>
      <c r="O224" s="2240"/>
    </row>
    <row r="225" spans="1:15" ht="15.75" outlineLevel="1" thickBot="1">
      <c r="A225" s="1259" t="str">
        <f>IF(K225="","",VLOOKUP(K225,INPUT!$B$553:$D$588,3,FALSE))&amp;IF(K225="",""," To Lender-"&amp;K225)</f>
        <v xml:space="preserve"> To Lender-AFLAC US</v>
      </c>
      <c r="B225" s="20"/>
      <c r="C225" s="20"/>
      <c r="D225" s="20"/>
      <c r="E225" s="20"/>
      <c r="F225" s="20"/>
      <c r="G225" s="408"/>
      <c r="H225" s="408"/>
      <c r="I225" s="20"/>
      <c r="K225" s="1293" t="str">
        <f>IF(INPUT!B564="","",INPUT!B564)</f>
        <v>AFLAC US</v>
      </c>
      <c r="L225" s="769" t="s">
        <v>483</v>
      </c>
      <c r="M225" s="770"/>
      <c r="N225" s="771">
        <f>IF(K225="",0,SUMIFS(INPUT!$U$186:$U$215,INPUT!$A$186:$A$215,'Loan Settlement Stmt'!K225,INPUT!$W$186:$W$215,"No"))</f>
        <v>0</v>
      </c>
      <c r="O225" s="768">
        <f>IF(K225="",0,SUMIFS(INPUT!$Q$186:$Q$215,INPUT!$A$186:$A$215,'Loan Settlement Stmt'!K225,INPUT!$R$186:$R$215,"No"))</f>
        <v>25228.62</v>
      </c>
    </row>
    <row r="226" spans="1:15" outlineLevel="1">
      <c r="A226" s="20" t="s">
        <v>1559</v>
      </c>
      <c r="B226" s="20"/>
      <c r="C226" s="20"/>
      <c r="D226" s="409" t="str">
        <f>IF(K225="","",VLOOKUP(K225,INPUT!$B$553:$O$588,4,FALSE))</f>
        <v>The Bank of New York Mellon</v>
      </c>
      <c r="E226" s="20"/>
      <c r="F226" s="20"/>
      <c r="G226" s="408"/>
      <c r="H226" s="408"/>
      <c r="I226" s="20"/>
      <c r="K226" s="1978" t="s">
        <v>1574</v>
      </c>
      <c r="L226" s="20"/>
    </row>
    <row r="227" spans="1:15" outlineLevel="1">
      <c r="A227" s="20" t="s">
        <v>1560</v>
      </c>
      <c r="B227" s="20"/>
      <c r="C227" s="20"/>
      <c r="D227" s="409" t="str">
        <f>IF($K$225="","",VLOOKUP($K$225,INPUT!$B$553:$O$588,5,FALSE))</f>
        <v>New York, NY</v>
      </c>
      <c r="E227" s="20"/>
      <c r="F227" s="20"/>
      <c r="G227" s="408"/>
      <c r="H227" s="408"/>
      <c r="I227" s="20"/>
      <c r="K227" s="1130"/>
    </row>
    <row r="228" spans="1:15" outlineLevel="1">
      <c r="A228" s="20" t="s">
        <v>1561</v>
      </c>
      <c r="B228" s="20"/>
      <c r="C228" s="20"/>
      <c r="D228" s="409" t="str">
        <f>IF($K$225="","",VLOOKUP($K$225,INPUT!$B$553:$O$588,6,FALSE))</f>
        <v>021000018</v>
      </c>
      <c r="E228" s="20"/>
      <c r="F228" s="20"/>
      <c r="G228" s="408"/>
      <c r="H228" s="408"/>
      <c r="I228" s="20"/>
      <c r="K228" s="1130"/>
    </row>
    <row r="229" spans="1:15" outlineLevel="1">
      <c r="A229" s="20" t="s">
        <v>1562</v>
      </c>
      <c r="B229" s="20"/>
      <c r="C229" s="20"/>
      <c r="D229" s="409" t="str">
        <f>IF($K$225="","",VLOOKUP($K$225,INPUT!$B$553:$O$588,7,FALSE))</f>
        <v>AFL OF COL ACORE TRE CUSTODY</v>
      </c>
      <c r="E229" s="20"/>
      <c r="F229" s="20"/>
      <c r="G229" s="408"/>
      <c r="H229" s="408"/>
      <c r="I229" s="20"/>
      <c r="K229" s="1130"/>
    </row>
    <row r="230" spans="1:15" outlineLevel="1">
      <c r="A230" s="20" t="s">
        <v>1563</v>
      </c>
      <c r="B230" s="20"/>
      <c r="C230" s="20"/>
      <c r="D230" s="409" t="str">
        <f>IF($K$225="","",VLOOKUP($K$225,INPUT!$B$553:$O$588,8,FALSE))</f>
        <v>9837448400</v>
      </c>
      <c r="E230" s="20"/>
      <c r="F230" s="20"/>
      <c r="G230" s="408"/>
      <c r="H230" s="408"/>
      <c r="I230" s="20"/>
    </row>
    <row r="231" spans="1:15" hidden="1" outlineLevel="1">
      <c r="A231" s="20" t="s">
        <v>1575</v>
      </c>
      <c r="B231" s="20"/>
      <c r="C231" s="20"/>
      <c r="D231" s="409" t="str">
        <f>IF($K$225="","",VLOOKUP($K$225,INPUT!$B$553:$O$588,9,FALSE))</f>
        <v>--</v>
      </c>
      <c r="E231" s="20"/>
      <c r="F231" s="20"/>
      <c r="G231" s="408"/>
      <c r="H231" s="408"/>
      <c r="I231" s="20"/>
    </row>
    <row r="232" spans="1:15" hidden="1" outlineLevel="1">
      <c r="A232" s="20" t="s">
        <v>1563</v>
      </c>
      <c r="B232" s="20"/>
      <c r="C232" s="20"/>
      <c r="D232" s="409" t="str">
        <f>IF($K$225="","",VLOOKUP($K$225,INPUT!$B$553:$O$588,10,FALSE))</f>
        <v>--</v>
      </c>
      <c r="E232" s="20"/>
      <c r="F232" s="20"/>
      <c r="G232" s="408"/>
      <c r="H232" s="408"/>
      <c r="I232" s="20"/>
    </row>
    <row r="233" spans="1:15" outlineLevel="1">
      <c r="A233" s="25" t="s">
        <v>1564</v>
      </c>
      <c r="B233" s="20"/>
      <c r="C233" s="20"/>
      <c r="D233" s="1148">
        <f>N225+O225</f>
        <v>25228.62</v>
      </c>
      <c r="E233" s="20"/>
      <c r="F233" s="20"/>
      <c r="G233" s="408"/>
      <c r="H233" s="408"/>
      <c r="I233" s="20"/>
    </row>
    <row r="234" spans="1:15" hidden="1" outlineLevel="1">
      <c r="A234" s="20" t="s">
        <v>1567</v>
      </c>
      <c r="B234" s="20"/>
      <c r="C234" s="20"/>
      <c r="D234" s="409">
        <f>IF($K$225="","",VLOOKUP($K$225,INPUT!$B$553:$O$588,11,FALSE))</f>
        <v>0</v>
      </c>
      <c r="E234" s="20"/>
      <c r="F234" s="20"/>
      <c r="G234" s="408"/>
      <c r="H234" s="408"/>
      <c r="I234" s="20"/>
    </row>
    <row r="235" spans="1:15" hidden="1" outlineLevel="1">
      <c r="A235" s="20" t="s">
        <v>1568</v>
      </c>
      <c r="B235" s="20"/>
      <c r="C235" s="20"/>
      <c r="D235" s="409">
        <f>IF($K$225="","",VLOOKUP($K$225,INPUT!$B$553:$O$588,12,FALSE))</f>
        <v>0</v>
      </c>
      <c r="E235" s="20"/>
      <c r="F235" s="20"/>
      <c r="G235" s="408"/>
      <c r="H235" s="408"/>
      <c r="I235" s="20"/>
    </row>
    <row r="236" spans="1:15" outlineLevel="1">
      <c r="A236" s="20" t="s">
        <v>1566</v>
      </c>
      <c r="B236" s="20"/>
      <c r="C236" s="20"/>
      <c r="D236" s="409" t="str">
        <f>IF($K$225="","",VLOOKUP($K$225,INPUT!$B$553:$O$588,13,FALSE))</f>
        <v>ACORE- LSS Test 1</v>
      </c>
      <c r="E236" s="20"/>
      <c r="F236" s="20"/>
      <c r="G236" s="408"/>
      <c r="H236" s="408"/>
      <c r="I236" s="20"/>
    </row>
    <row r="237" spans="1:15" ht="15.75" thickBot="1">
      <c r="A237" s="20"/>
      <c r="B237" s="20"/>
      <c r="C237" s="20"/>
      <c r="D237" s="20"/>
      <c r="E237" s="20"/>
      <c r="F237" s="20"/>
      <c r="G237" s="408"/>
      <c r="H237" s="408"/>
      <c r="I237" s="20"/>
      <c r="N237" s="766" t="s">
        <v>1570</v>
      </c>
      <c r="O237" s="767" t="s">
        <v>1571</v>
      </c>
    </row>
    <row r="238" spans="1:15" ht="15.75" outlineLevel="1" thickBot="1">
      <c r="A238" s="1259" t="str">
        <f>IF(K238="","",VLOOKUP(K238,INPUT!$B$553:$D$588,3,FALSE))&amp;IF(K238="",""," To Lender-"&amp;K238)</f>
        <v xml:space="preserve"> To Lender-ACORE Capital </v>
      </c>
      <c r="B238" s="20"/>
      <c r="C238" s="20"/>
      <c r="D238" s="20"/>
      <c r="E238" s="20"/>
      <c r="F238" s="20"/>
      <c r="G238" s="408"/>
      <c r="H238" s="408"/>
      <c r="I238" s="20"/>
      <c r="K238" s="1293" t="str">
        <f>IF(INPUT!B569="","",INPUT!B569)</f>
        <v xml:space="preserve">ACORE Capital </v>
      </c>
      <c r="L238" s="769" t="s">
        <v>490</v>
      </c>
      <c r="M238" s="770"/>
      <c r="N238" s="771">
        <f>IF(K238="",0,SUMIFS(INPUT!$U$186:$U$215,INPUT!$A$186:$A$215,'Loan Settlement Stmt'!K238,INPUT!$W$186:$W$215,"No"))</f>
        <v>0</v>
      </c>
      <c r="O238" s="768">
        <f>IF(K238="",0,SUMIFS(INPUT!$Q$186:$Q$215,INPUT!$A$186:$A$215,'Loan Settlement Stmt'!K238,INPUT!$R$186:$R$215,"No"))</f>
        <v>0</v>
      </c>
    </row>
    <row r="239" spans="1:15" outlineLevel="1">
      <c r="A239" s="20" t="s">
        <v>1559</v>
      </c>
      <c r="B239" s="20"/>
      <c r="C239" s="20"/>
      <c r="D239" s="409" t="str">
        <f>IF(K238="","",VLOOKUP(K238,INPUT!$B$553:$O$588,4,FALSE))</f>
        <v>First Republic Bank</v>
      </c>
      <c r="E239" s="20"/>
      <c r="F239" s="20"/>
      <c r="G239" s="408"/>
      <c r="H239" s="408"/>
      <c r="I239" s="20"/>
      <c r="K239" s="28"/>
      <c r="L239" s="20"/>
    </row>
    <row r="240" spans="1:15" outlineLevel="1">
      <c r="A240" s="20" t="s">
        <v>1560</v>
      </c>
      <c r="B240" s="20"/>
      <c r="C240" s="20"/>
      <c r="D240" s="409" t="str">
        <f>IF($K$238="","",VLOOKUP($K$238,INPUT!$B$553:$O$588,5,FALSE))</f>
        <v>101 Pine Street; San Francisco, CA  94111</v>
      </c>
      <c r="E240" s="20"/>
      <c r="F240" s="20"/>
      <c r="G240" s="408"/>
      <c r="H240" s="408"/>
      <c r="I240" s="20"/>
      <c r="K240" s="1130"/>
    </row>
    <row r="241" spans="1:15" outlineLevel="1">
      <c r="A241" s="20" t="s">
        <v>1561</v>
      </c>
      <c r="B241" s="20"/>
      <c r="C241" s="20"/>
      <c r="D241" s="409">
        <f>IF($K$238="","",VLOOKUP($K$238,INPUT!$B$553:$O$588,6,FALSE))</f>
        <v>321081669</v>
      </c>
      <c r="E241" s="20"/>
      <c r="F241" s="20"/>
      <c r="G241" s="408"/>
      <c r="H241" s="408"/>
      <c r="I241" s="20"/>
      <c r="K241" s="1130"/>
    </row>
    <row r="242" spans="1:15" outlineLevel="1">
      <c r="A242" s="20" t="s">
        <v>1562</v>
      </c>
      <c r="B242" s="20"/>
      <c r="C242" s="20"/>
      <c r="D242" s="409" t="str">
        <f>IF($K$238="","",VLOOKUP($K$238,INPUT!$B$553:$O$588,7,FALSE))</f>
        <v>ACORE Capital, LP - Operating Account</v>
      </c>
      <c r="E242" s="20"/>
      <c r="F242" s="20"/>
      <c r="G242" s="408"/>
      <c r="H242" s="408"/>
      <c r="I242" s="20"/>
      <c r="K242" s="1130"/>
    </row>
    <row r="243" spans="1:15" outlineLevel="1">
      <c r="A243" s="20" t="s">
        <v>1563</v>
      </c>
      <c r="B243" s="20"/>
      <c r="C243" s="20"/>
      <c r="D243" s="409">
        <f>IF($K$238="","",VLOOKUP($K$238,INPUT!$B$553:$O$588,8,FALSE))</f>
        <v>80003128733</v>
      </c>
      <c r="E243" s="20"/>
      <c r="F243" s="20"/>
      <c r="G243" s="408"/>
      <c r="H243" s="408"/>
      <c r="I243" s="20"/>
    </row>
    <row r="244" spans="1:15" outlineLevel="1">
      <c r="A244" s="20" t="s">
        <v>1575</v>
      </c>
      <c r="B244" s="20"/>
      <c r="C244" s="20"/>
      <c r="D244" s="409" t="str">
        <f>IF($K$238="","",VLOOKUP($K$238,INPUT!$B$553:$O$588,9,FALSE))</f>
        <v/>
      </c>
      <c r="E244" s="20"/>
      <c r="F244" s="20"/>
      <c r="G244" s="408"/>
      <c r="H244" s="408"/>
      <c r="I244" s="20"/>
    </row>
    <row r="245" spans="1:15" outlineLevel="1">
      <c r="A245" s="20" t="s">
        <v>1563</v>
      </c>
      <c r="B245" s="20"/>
      <c r="C245" s="20"/>
      <c r="D245" s="409" t="str">
        <f>IF($K$238="","",VLOOKUP($K$238,INPUT!$B$553:$O$588,10,FALSE))</f>
        <v/>
      </c>
      <c r="E245" s="20"/>
      <c r="F245" s="20"/>
      <c r="G245" s="408"/>
      <c r="H245" s="408"/>
      <c r="I245" s="20"/>
    </row>
    <row r="246" spans="1:15" outlineLevel="1">
      <c r="A246" s="25" t="s">
        <v>1564</v>
      </c>
      <c r="B246" s="20"/>
      <c r="C246" s="20"/>
      <c r="D246" s="1148">
        <f>N238+O238</f>
        <v>0</v>
      </c>
      <c r="E246" s="20"/>
      <c r="F246" s="20"/>
      <c r="G246" s="408"/>
      <c r="H246" s="408"/>
      <c r="I246" s="20"/>
    </row>
    <row r="247" spans="1:15" outlineLevel="1">
      <c r="A247" s="20" t="s">
        <v>1567</v>
      </c>
      <c r="B247" s="20"/>
      <c r="C247" s="20"/>
      <c r="D247" s="409">
        <f>IF($K$238="","",VLOOKUP($K$238,INPUT!$B$553:$O$588,11,FALSE))</f>
        <v>0</v>
      </c>
      <c r="E247" s="20"/>
      <c r="F247" s="20"/>
      <c r="G247" s="408"/>
      <c r="H247" s="408"/>
      <c r="I247" s="20"/>
    </row>
    <row r="248" spans="1:15" outlineLevel="1">
      <c r="A248" s="20" t="s">
        <v>1568</v>
      </c>
      <c r="B248" s="20"/>
      <c r="C248" s="20"/>
      <c r="D248" s="409">
        <f>IF($K$238="","",VLOOKUP($K$238,INPUT!$B$553:$O$588,12,FALSE))</f>
        <v>0</v>
      </c>
      <c r="E248" s="20"/>
      <c r="F248" s="20"/>
      <c r="G248" s="408"/>
      <c r="H248" s="408"/>
      <c r="I248" s="20"/>
    </row>
    <row r="249" spans="1:15" outlineLevel="1">
      <c r="A249" s="20" t="s">
        <v>1566</v>
      </c>
      <c r="B249" s="20"/>
      <c r="C249" s="20"/>
      <c r="D249" s="409" t="str">
        <f>IF($K$238="","",VLOOKUP($K$238,INPUT!$B$553:$O$588,13,FALSE))</f>
        <v>ACORE- LSS Test 1</v>
      </c>
      <c r="E249" s="20"/>
      <c r="F249" s="20"/>
      <c r="G249" s="408"/>
      <c r="H249" s="408"/>
      <c r="I249" s="20"/>
    </row>
    <row r="250" spans="1:15" ht="15.75" thickBot="1">
      <c r="A250" s="20"/>
      <c r="B250" s="20"/>
      <c r="C250" s="20"/>
      <c r="D250" s="20"/>
      <c r="E250" s="20"/>
      <c r="F250" s="20"/>
      <c r="G250" s="408"/>
      <c r="H250" s="408"/>
      <c r="I250" s="20"/>
      <c r="N250" s="766" t="s">
        <v>1570</v>
      </c>
      <c r="O250" s="767" t="s">
        <v>1571</v>
      </c>
    </row>
    <row r="251" spans="1:15" ht="15.75" outlineLevel="1" thickBot="1">
      <c r="A251" s="1259" t="str">
        <f>IF(K251="","",VLOOKUP(K251,INPUT!$B$553:$D$560,3,FALSE))&amp;IF(K251="",""," To Lender-"&amp;K251)</f>
        <v xml:space="preserve"> To Lender-ACORE Credit Partners II CA TRS, LLC</v>
      </c>
      <c r="B251" s="20"/>
      <c r="C251" s="20"/>
      <c r="D251" s="20"/>
      <c r="E251" s="20"/>
      <c r="F251" s="20"/>
      <c r="G251" s="408"/>
      <c r="H251" s="408"/>
      <c r="I251" s="20"/>
      <c r="K251" s="1293" t="str">
        <f>IF(INPUT!B560="","",INPUT!B560)</f>
        <v>ACORE Credit Partners II CA TRS, LLC</v>
      </c>
      <c r="L251" s="769" t="s">
        <v>478</v>
      </c>
      <c r="M251" s="770"/>
      <c r="N251" s="771">
        <f>IF(K251="",0,SUMIFS(INPUT!$U$186:$U$215,INPUT!$A$186:$A$215,'Loan Settlement Stmt'!K251,INPUT!$W$186:$W$215,"No"))</f>
        <v>0</v>
      </c>
      <c r="O251" s="768">
        <f>IF(K251="",0,SUMIFS(INPUT!$Q$186:$Q$215,INPUT!$A$186:$A$215,'Loan Settlement Stmt'!K251,INPUT!$R$186:$R$215,"No"))</f>
        <v>0</v>
      </c>
    </row>
    <row r="252" spans="1:15" outlineLevel="1">
      <c r="A252" s="20" t="s">
        <v>1559</v>
      </c>
      <c r="B252" s="20"/>
      <c r="C252" s="20"/>
      <c r="D252" s="409" t="str">
        <f>IF(K251="","",VLOOKUP(K251,INPUT!$B$553:$O$560,4,FALSE))</f>
        <v xml:space="preserve">Bank of America </v>
      </c>
      <c r="E252" s="20"/>
      <c r="F252" s="20"/>
      <c r="G252" s="408"/>
      <c r="H252" s="408"/>
      <c r="I252" s="20"/>
      <c r="K252" s="28"/>
      <c r="L252" s="20"/>
    </row>
    <row r="253" spans="1:15" outlineLevel="1">
      <c r="A253" s="20" t="s">
        <v>1560</v>
      </c>
      <c r="B253" s="20"/>
      <c r="C253" s="20"/>
      <c r="D253" s="409" t="str">
        <f>IF($K$251="","",VLOOKUP($K$251,INPUT!$B$553:$O$560,5,FALSE))</f>
        <v>New York, NY</v>
      </c>
      <c r="E253" s="20"/>
      <c r="F253" s="20"/>
      <c r="G253" s="408"/>
      <c r="H253" s="408"/>
      <c r="I253" s="20"/>
      <c r="K253" s="1130"/>
    </row>
    <row r="254" spans="1:15" outlineLevel="1">
      <c r="A254" s="20" t="s">
        <v>1561</v>
      </c>
      <c r="B254" s="20"/>
      <c r="C254" s="20"/>
      <c r="D254" s="409" t="str">
        <f>IF($K$251="","",VLOOKUP($K$251,INPUT!$B$553:$O$560,6,FALSE))</f>
        <v xml:space="preserve">026009593 </v>
      </c>
      <c r="E254" s="20"/>
      <c r="F254" s="20"/>
      <c r="G254" s="408"/>
      <c r="H254" s="408"/>
      <c r="I254" s="20"/>
      <c r="K254" s="1130"/>
    </row>
    <row r="255" spans="1:15" outlineLevel="1">
      <c r="A255" s="20" t="s">
        <v>1562</v>
      </c>
      <c r="B255" s="20"/>
      <c r="C255" s="20"/>
      <c r="D255" s="409" t="str">
        <f>IF($K$251="","",VLOOKUP($K$251,INPUT!$B$553:$O$560,7,FALSE))</f>
        <v>ACORE Credit Partners II CA TRS LLC</v>
      </c>
      <c r="E255" s="20"/>
      <c r="F255" s="20"/>
      <c r="G255" s="408"/>
      <c r="H255" s="408"/>
      <c r="I255" s="20"/>
      <c r="K255" s="1130"/>
    </row>
    <row r="256" spans="1:15" outlineLevel="1">
      <c r="A256" s="20" t="s">
        <v>1563</v>
      </c>
      <c r="B256" s="20"/>
      <c r="C256" s="20"/>
      <c r="D256" s="409" t="str">
        <f>IF($K$251="","",VLOOKUP($K$251,INPUT!$B$553:$O$560,8,FALSE))</f>
        <v>1416417531</v>
      </c>
      <c r="E256" s="20"/>
      <c r="F256" s="20"/>
      <c r="G256" s="408"/>
      <c r="H256" s="408"/>
      <c r="I256" s="20"/>
    </row>
    <row r="257" spans="1:15" outlineLevel="1">
      <c r="A257" s="20" t="s">
        <v>1575</v>
      </c>
      <c r="B257" s="20"/>
      <c r="C257" s="20"/>
      <c r="D257" s="409" t="str">
        <f>IF($K$251="","",VLOOKUP($K$251,INPUT!$B$553:$O$560,9,FALSE))</f>
        <v/>
      </c>
      <c r="E257" s="20"/>
      <c r="F257" s="20"/>
      <c r="G257" s="408"/>
      <c r="H257" s="408"/>
      <c r="I257" s="20"/>
    </row>
    <row r="258" spans="1:15" outlineLevel="1">
      <c r="A258" s="20" t="s">
        <v>1563</v>
      </c>
      <c r="B258" s="20"/>
      <c r="C258" s="20"/>
      <c r="D258" s="409" t="str">
        <f>IF($K$251="","",VLOOKUP($K$251,INPUT!$B$553:$O$560,10,FALSE))</f>
        <v/>
      </c>
      <c r="E258" s="20"/>
      <c r="F258" s="20"/>
      <c r="G258" s="408"/>
      <c r="H258" s="408"/>
      <c r="I258" s="20"/>
    </row>
    <row r="259" spans="1:15" outlineLevel="1">
      <c r="A259" s="25" t="s">
        <v>1564</v>
      </c>
      <c r="B259" s="20"/>
      <c r="C259" s="20"/>
      <c r="D259" s="1148">
        <f>N251+O251</f>
        <v>0</v>
      </c>
      <c r="E259" s="20"/>
      <c r="F259" s="20"/>
      <c r="G259" s="408"/>
      <c r="H259" s="408"/>
      <c r="I259" s="20"/>
    </row>
    <row r="260" spans="1:15" outlineLevel="1">
      <c r="A260" s="20" t="s">
        <v>1567</v>
      </c>
      <c r="B260" s="20"/>
      <c r="C260" s="20"/>
      <c r="D260" s="409" t="str">
        <f>IF($K$251="","",VLOOKUP($K$251,INPUT!$B$553:$O$560,11,FALSE))</f>
        <v>Corey Spevack</v>
      </c>
      <c r="E260" s="20"/>
      <c r="F260" s="20"/>
      <c r="G260" s="408"/>
      <c r="H260" s="408"/>
      <c r="I260" s="20"/>
    </row>
    <row r="261" spans="1:15" outlineLevel="1">
      <c r="A261" s="20" t="s">
        <v>1568</v>
      </c>
      <c r="B261" s="20"/>
      <c r="C261" s="20"/>
      <c r="D261" s="409" t="str">
        <f>IF($K$251="","",VLOOKUP($K$251,INPUT!$B$553:$O$560,12,FALSE))</f>
        <v>212.235.1206</v>
      </c>
      <c r="E261" s="20"/>
      <c r="F261" s="20"/>
      <c r="G261" s="408"/>
      <c r="H261" s="408"/>
      <c r="I261" s="20"/>
    </row>
    <row r="262" spans="1:15" outlineLevel="1">
      <c r="A262" s="20" t="s">
        <v>1566</v>
      </c>
      <c r="B262" s="20"/>
      <c r="C262" s="20"/>
      <c r="D262" s="409" t="str">
        <f>IF($K$251="","",VLOOKUP($K$251,INPUT!$B$553:$O$560,13,FALSE))</f>
        <v>ACORE- LSS Test 1</v>
      </c>
      <c r="E262" s="20"/>
      <c r="F262" s="20"/>
      <c r="G262" s="408"/>
      <c r="H262" s="408"/>
      <c r="I262" s="20"/>
    </row>
    <row r="263" spans="1:15" ht="15.75" thickBot="1">
      <c r="A263" s="20"/>
      <c r="B263" s="20"/>
      <c r="C263" s="20"/>
      <c r="D263" s="20"/>
      <c r="E263" s="20"/>
      <c r="F263" s="20"/>
      <c r="G263" s="408"/>
      <c r="H263" s="408"/>
      <c r="I263" s="20"/>
      <c r="N263" s="766" t="s">
        <v>1570</v>
      </c>
      <c r="O263" s="767" t="s">
        <v>1571</v>
      </c>
    </row>
    <row r="264" spans="1:15" ht="15.75" outlineLevel="1" thickBot="1">
      <c r="A264" s="1259" t="str">
        <f>IF(K264="","",VLOOKUP(K264,INPUT!$B$553:$D$561,3,FALSE))&amp;IF(K264="",""," To Lender-"&amp;K264)</f>
        <v xml:space="preserve"> To Lender-ACORE Credit Partners II Mortgage, LLC</v>
      </c>
      <c r="B264" s="20"/>
      <c r="C264" s="20"/>
      <c r="D264" s="20"/>
      <c r="E264" s="20"/>
      <c r="F264" s="20"/>
      <c r="G264" s="408"/>
      <c r="H264" s="408"/>
      <c r="I264" s="20"/>
      <c r="K264" s="1293" t="str">
        <f>IF(INPUT!B561="","",INPUT!B561)</f>
        <v>ACORE Credit Partners II Mortgage, LLC</v>
      </c>
      <c r="L264" s="769" t="s">
        <v>479</v>
      </c>
      <c r="M264" s="770"/>
      <c r="N264" s="771">
        <f>IF(K264="",0,SUMIFS(INPUT!$U$186:$U$215,INPUT!$A$186:$A$215,'Loan Settlement Stmt'!K264,INPUT!$W$186:$W$215,"No"))</f>
        <v>0</v>
      </c>
      <c r="O264" s="768">
        <f>IF(K264="",0,SUMIFS(INPUT!$Q$186:$Q$215,INPUT!$A$186:$A$215,'Loan Settlement Stmt'!K264,INPUT!$R$186:$R$215,"No"))</f>
        <v>0</v>
      </c>
    </row>
    <row r="265" spans="1:15" outlineLevel="1">
      <c r="A265" s="20" t="s">
        <v>1559</v>
      </c>
      <c r="B265" s="20"/>
      <c r="C265" s="20"/>
      <c r="D265" s="409" t="str">
        <f>IF(K264="","",VLOOKUP(K264,INPUT!$B$553:$O$561,4,FALSE))</f>
        <v xml:space="preserve">Bank of America </v>
      </c>
      <c r="E265" s="20"/>
      <c r="F265" s="20"/>
      <c r="G265" s="408"/>
      <c r="H265" s="408"/>
      <c r="I265" s="20"/>
      <c r="K265" s="28"/>
      <c r="L265" s="20"/>
    </row>
    <row r="266" spans="1:15" outlineLevel="1">
      <c r="A266" s="20" t="s">
        <v>1560</v>
      </c>
      <c r="B266" s="20"/>
      <c r="C266" s="20"/>
      <c r="D266" s="409" t="str">
        <f>IF($K$264="","",VLOOKUP($K$264,INPUT!$B$553:$O$561,5,FALSE))</f>
        <v>New York, NY</v>
      </c>
      <c r="E266" s="20"/>
      <c r="F266" s="20"/>
      <c r="G266" s="408"/>
      <c r="H266" s="408"/>
      <c r="I266" s="20"/>
      <c r="K266" s="1130"/>
    </row>
    <row r="267" spans="1:15" outlineLevel="1">
      <c r="A267" s="20" t="s">
        <v>1561</v>
      </c>
      <c r="B267" s="20"/>
      <c r="C267" s="20"/>
      <c r="D267" s="409" t="str">
        <f>IF($K$264="","",VLOOKUP($K$264,INPUT!$B$553:$O$561,6,FALSE))</f>
        <v xml:space="preserve">026009593 </v>
      </c>
      <c r="E267" s="20"/>
      <c r="F267" s="20"/>
      <c r="G267" s="408"/>
      <c r="H267" s="408"/>
      <c r="I267" s="20"/>
      <c r="K267" s="1130"/>
    </row>
    <row r="268" spans="1:15" outlineLevel="1">
      <c r="A268" s="20" t="s">
        <v>1562</v>
      </c>
      <c r="B268" s="20"/>
      <c r="C268" s="20"/>
      <c r="D268" s="409" t="str">
        <f>IF($K$264="","",VLOOKUP($K$264,INPUT!$B$553:$O$561,7,FALSE))</f>
        <v>ACORE Credit Partners II Mortgage, LLC</v>
      </c>
      <c r="E268" s="20"/>
      <c r="F268" s="20"/>
      <c r="G268" s="408"/>
      <c r="H268" s="408"/>
      <c r="I268" s="20"/>
      <c r="K268" s="1130"/>
    </row>
    <row r="269" spans="1:15" outlineLevel="1">
      <c r="A269" s="20" t="s">
        <v>1563</v>
      </c>
      <c r="B269" s="20"/>
      <c r="C269" s="20"/>
      <c r="D269" s="409" t="str">
        <f>IF($K$264="","",VLOOKUP($K$264,INPUT!$B$553:$O$561,8,FALSE))</f>
        <v>1499787663</v>
      </c>
      <c r="E269" s="20"/>
      <c r="F269" s="20"/>
      <c r="G269" s="408"/>
      <c r="H269" s="408"/>
      <c r="I269" s="20"/>
    </row>
    <row r="270" spans="1:15" outlineLevel="1">
      <c r="A270" s="20" t="s">
        <v>1575</v>
      </c>
      <c r="B270" s="20"/>
      <c r="C270" s="20"/>
      <c r="D270" s="409" t="str">
        <f>IF($K$264="","",VLOOKUP($K$264,INPUT!$B$553:$O$561,9,FALSE))</f>
        <v/>
      </c>
      <c r="E270" s="20"/>
      <c r="F270" s="20"/>
      <c r="G270" s="408"/>
      <c r="H270" s="408"/>
      <c r="I270" s="20"/>
    </row>
    <row r="271" spans="1:15" outlineLevel="1">
      <c r="A271" s="20" t="s">
        <v>1563</v>
      </c>
      <c r="B271" s="20"/>
      <c r="C271" s="20"/>
      <c r="D271" s="409" t="str">
        <f>IF($K$264="","",VLOOKUP($K$264,INPUT!$B$553:$O$561,10,FALSE))</f>
        <v/>
      </c>
      <c r="E271" s="20"/>
      <c r="F271" s="20"/>
      <c r="G271" s="408"/>
      <c r="H271" s="408"/>
      <c r="I271" s="20"/>
    </row>
    <row r="272" spans="1:15" outlineLevel="1">
      <c r="A272" s="25" t="s">
        <v>1564</v>
      </c>
      <c r="B272" s="20"/>
      <c r="C272" s="20"/>
      <c r="D272" s="1148">
        <f>N264+O264</f>
        <v>0</v>
      </c>
      <c r="E272" s="20"/>
      <c r="F272" s="20"/>
      <c r="G272" s="408"/>
      <c r="H272" s="408"/>
      <c r="I272" s="20"/>
    </row>
    <row r="273" spans="1:11" outlineLevel="1">
      <c r="A273" s="20" t="s">
        <v>1567</v>
      </c>
      <c r="B273" s="20"/>
      <c r="C273" s="20"/>
      <c r="D273" s="409" t="str">
        <f>IF($K$264="","",VLOOKUP($K$264,INPUT!$B$553:$O$561,11,FALSE))</f>
        <v>Corey Spevack</v>
      </c>
      <c r="E273" s="20"/>
      <c r="F273" s="20"/>
      <c r="G273" s="408"/>
      <c r="H273" s="408"/>
      <c r="I273" s="20"/>
    </row>
    <row r="274" spans="1:11" outlineLevel="1">
      <c r="A274" s="20" t="s">
        <v>1568</v>
      </c>
      <c r="B274" s="20"/>
      <c r="C274" s="20"/>
      <c r="D274" s="409" t="str">
        <f>IF($K$264="","",VLOOKUP($K$264,INPUT!$B$553:$O$561,12,FALSE))</f>
        <v>212.235.1206</v>
      </c>
      <c r="E274" s="20"/>
      <c r="F274" s="408"/>
      <c r="G274" s="408"/>
      <c r="H274" s="408"/>
      <c r="I274" s="20"/>
    </row>
    <row r="275" spans="1:11" outlineLevel="1">
      <c r="A275" s="20" t="s">
        <v>1566</v>
      </c>
      <c r="B275" s="20"/>
      <c r="C275" s="20"/>
      <c r="D275" s="409" t="str">
        <f>IF($K$264="","",VLOOKUP($K$264,INPUT!$B$553:$O$561,13,FALSE))</f>
        <v>ACORE- LSS Test 1</v>
      </c>
      <c r="E275" s="20"/>
      <c r="F275" s="408"/>
      <c r="G275" s="408"/>
      <c r="H275" s="408"/>
      <c r="I275" s="20"/>
    </row>
    <row r="276" spans="1:11">
      <c r="B276" s="20"/>
      <c r="C276" s="20"/>
      <c r="D276" s="20"/>
      <c r="E276" s="20"/>
      <c r="F276" s="20"/>
      <c r="G276" s="408"/>
      <c r="H276" s="408"/>
      <c r="I276" s="20"/>
      <c r="K276" s="1124" t="s">
        <v>1577</v>
      </c>
    </row>
    <row r="277" spans="1:11">
      <c r="A277" s="2265" t="s">
        <v>1576</v>
      </c>
      <c r="B277" s="20"/>
      <c r="C277" s="20"/>
      <c r="D277" s="20"/>
      <c r="E277" s="20"/>
      <c r="F277" s="20"/>
      <c r="G277" s="408"/>
      <c r="H277" s="408"/>
      <c r="I277" s="20"/>
      <c r="K277" s="1124" t="s">
        <v>1578</v>
      </c>
    </row>
    <row r="278" spans="1:11">
      <c r="A278" s="2265"/>
      <c r="B278" s="20"/>
      <c r="C278" s="20"/>
      <c r="D278" s="20"/>
      <c r="E278" s="20"/>
      <c r="F278" s="20"/>
      <c r="G278" s="408"/>
      <c r="H278" s="408"/>
      <c r="I278" s="20"/>
      <c r="K278" s="1124"/>
    </row>
    <row r="279" spans="1:11">
      <c r="A279" s="20"/>
      <c r="B279" s="20"/>
      <c r="C279" s="20"/>
      <c r="D279" s="20"/>
      <c r="E279" s="20"/>
      <c r="F279" s="20"/>
      <c r="G279" s="408"/>
      <c r="H279" s="408"/>
      <c r="I279" s="20"/>
      <c r="K279" s="1124"/>
    </row>
    <row r="280" spans="1:11">
      <c r="A280" s="2603" t="s">
        <v>1579</v>
      </c>
      <c r="B280" s="2603"/>
      <c r="C280" s="2603"/>
      <c r="D280" s="2603"/>
      <c r="E280" s="2603"/>
      <c r="F280" s="2603"/>
      <c r="G280" s="2603"/>
      <c r="H280" s="2603"/>
      <c r="I280" s="2603"/>
      <c r="K280" s="1124"/>
    </row>
    <row r="281" spans="1:11">
      <c r="A281" s="20" t="s">
        <v>1580</v>
      </c>
      <c r="B281" s="2599" t="str">
        <f>+D5</f>
        <v>PV1 Properties, LLC ,  a Delaware LLC, SWRCM FG I, LLC  et al</v>
      </c>
      <c r="C281" s="2513"/>
      <c r="D281" s="2513"/>
      <c r="E281" s="2513"/>
      <c r="F281" s="2513"/>
      <c r="G281" s="2513"/>
      <c r="H281" s="2513"/>
      <c r="I281" s="20"/>
      <c r="K281" s="1124"/>
    </row>
    <row r="282" spans="1:11">
      <c r="A282" s="20" t="s">
        <v>1720</v>
      </c>
      <c r="B282" s="2596" t="str">
        <f>D6</f>
        <v>PV1 Properties Member, LLC and SWRCM FG Member, LLC</v>
      </c>
      <c r="C282" s="2597"/>
      <c r="D282" s="2597"/>
      <c r="E282" s="2597"/>
      <c r="F282" s="2597"/>
      <c r="G282" s="2597"/>
      <c r="H282" s="2597"/>
      <c r="I282" s="20"/>
      <c r="K282" s="1124"/>
    </row>
    <row r="283" spans="1:11">
      <c r="A283" s="20" t="s">
        <v>1508</v>
      </c>
      <c r="B283" s="2598" t="str">
        <f>IF(INPUT!E17="","",INPUT!E17)</f>
        <v>6363 &amp; 6399 &amp; 6501 S Fiddler's Green Circle, Englewood, CO</v>
      </c>
      <c r="C283" s="2513"/>
      <c r="D283" s="2513"/>
      <c r="E283" s="2513"/>
      <c r="F283" s="2513"/>
      <c r="G283" s="2513"/>
      <c r="H283" s="2513"/>
      <c r="I283" s="20"/>
      <c r="K283" s="1129" t="s">
        <v>1581</v>
      </c>
    </row>
    <row r="284" spans="1:11">
      <c r="A284" s="20"/>
      <c r="B284" s="20"/>
      <c r="C284" s="20"/>
      <c r="D284" s="20"/>
      <c r="E284" s="20"/>
      <c r="F284" s="20"/>
      <c r="G284" s="408"/>
      <c r="H284" s="408"/>
      <c r="I284" s="20"/>
    </row>
    <row r="285" spans="1:11">
      <c r="A285" s="25" t="s">
        <v>1582</v>
      </c>
      <c r="B285" s="20"/>
      <c r="C285" s="20"/>
      <c r="D285" s="20"/>
      <c r="E285" s="20"/>
      <c r="F285" s="20"/>
      <c r="G285" s="408"/>
      <c r="H285" s="408"/>
      <c r="I285" s="20"/>
    </row>
    <row r="286" spans="1:11">
      <c r="A286" s="20"/>
      <c r="B286" s="20"/>
      <c r="C286" s="20"/>
      <c r="D286" s="20"/>
      <c r="E286" s="20"/>
      <c r="F286" s="20"/>
      <c r="G286" s="408"/>
      <c r="H286" s="408"/>
      <c r="I286" s="20"/>
    </row>
    <row r="287" spans="1:11">
      <c r="A287" s="25" t="s">
        <v>1583</v>
      </c>
      <c r="B287" s="20"/>
      <c r="C287" s="20"/>
      <c r="D287" s="20"/>
      <c r="E287" s="20"/>
      <c r="F287" s="20"/>
      <c r="G287" s="408"/>
      <c r="H287" s="408"/>
      <c r="I287" s="20"/>
    </row>
    <row r="288" spans="1:11">
      <c r="A288" s="25"/>
      <c r="B288" s="20"/>
      <c r="C288" s="20"/>
      <c r="D288" s="20"/>
      <c r="E288" s="20"/>
      <c r="F288" s="20"/>
      <c r="G288" s="408"/>
      <c r="H288" s="408"/>
      <c r="I288" s="20"/>
    </row>
    <row r="289" spans="1:11">
      <c r="A289" s="1349" t="s">
        <v>1584</v>
      </c>
      <c r="B289" s="20"/>
      <c r="C289" s="20"/>
      <c r="D289" s="20"/>
      <c r="E289" s="20"/>
      <c r="F289" s="408" t="s">
        <v>1584</v>
      </c>
      <c r="G289" s="408"/>
      <c r="H289" s="408"/>
      <c r="I289" s="20"/>
    </row>
    <row r="290" spans="1:11" outlineLevel="1">
      <c r="A290" s="20"/>
      <c r="B290" s="20"/>
      <c r="C290" s="20"/>
      <c r="D290" s="20"/>
      <c r="E290" s="20"/>
      <c r="F290" s="408"/>
      <c r="G290" s="408"/>
      <c r="H290" s="408"/>
      <c r="I290" s="20"/>
    </row>
    <row r="291" spans="1:11" outlineLevel="1">
      <c r="A291" s="20"/>
      <c r="B291" s="20"/>
      <c r="C291" s="20"/>
      <c r="D291" s="20"/>
      <c r="E291" s="20"/>
      <c r="F291" s="20"/>
      <c r="G291" s="408"/>
      <c r="H291" s="408"/>
      <c r="I291" s="20"/>
    </row>
    <row r="292" spans="1:11" outlineLevel="1">
      <c r="A292" s="20"/>
      <c r="B292" s="20"/>
      <c r="C292" s="20"/>
      <c r="D292" s="20"/>
      <c r="E292" s="20"/>
      <c r="F292" s="20"/>
      <c r="G292" s="408"/>
      <c r="H292" s="408"/>
      <c r="I292" s="20"/>
    </row>
    <row r="293" spans="1:11" outlineLevel="1">
      <c r="A293" s="20"/>
      <c r="B293" s="20"/>
      <c r="C293" s="20"/>
      <c r="D293" s="20"/>
      <c r="E293" s="20"/>
      <c r="F293" s="20"/>
      <c r="G293" s="408"/>
      <c r="H293" s="408"/>
      <c r="I293" s="20"/>
    </row>
    <row r="294" spans="1:11" outlineLevel="1">
      <c r="A294" s="20"/>
      <c r="B294" s="20"/>
      <c r="C294" s="20"/>
      <c r="D294" s="20"/>
      <c r="E294" s="20"/>
      <c r="F294" s="20"/>
      <c r="G294" s="408"/>
      <c r="H294" s="408"/>
      <c r="I294" s="20"/>
    </row>
    <row r="295" spans="1:11" outlineLevel="1">
      <c r="A295" s="20" t="s">
        <v>1585</v>
      </c>
      <c r="B295" s="408"/>
      <c r="C295" s="408"/>
      <c r="D295" s="20"/>
      <c r="E295" s="20"/>
      <c r="F295" s="20" t="s">
        <v>1585</v>
      </c>
      <c r="G295" s="20"/>
      <c r="H295" s="408"/>
      <c r="I295" s="20"/>
    </row>
    <row r="296" spans="1:11" outlineLevel="1">
      <c r="A296" s="410" t="s">
        <v>1586</v>
      </c>
      <c r="B296" s="20"/>
      <c r="C296" s="20"/>
      <c r="D296" s="20"/>
      <c r="E296" s="20"/>
      <c r="F296" s="410" t="s">
        <v>1586</v>
      </c>
      <c r="G296" s="20"/>
      <c r="H296" s="408"/>
      <c r="I296" s="20"/>
    </row>
    <row r="297" spans="1:11" outlineLevel="1">
      <c r="A297" s="410" t="s">
        <v>1587</v>
      </c>
      <c r="B297" s="20"/>
      <c r="C297" s="20"/>
      <c r="D297" s="20"/>
      <c r="E297" s="20"/>
      <c r="F297" s="410" t="s">
        <v>1587</v>
      </c>
      <c r="G297" s="20"/>
      <c r="H297" s="408"/>
      <c r="I297" s="20"/>
    </row>
    <row r="298" spans="1:11" outlineLevel="1">
      <c r="A298" s="403"/>
      <c r="B298" s="20"/>
      <c r="C298" s="20"/>
      <c r="D298" s="20"/>
      <c r="E298" s="20"/>
      <c r="F298" s="403"/>
      <c r="G298" s="20"/>
      <c r="H298" s="408"/>
      <c r="I298" s="20"/>
    </row>
    <row r="299" spans="1:11" outlineLevel="1">
      <c r="A299" s="25"/>
      <c r="B299" s="20"/>
      <c r="C299" s="20"/>
      <c r="D299" s="20"/>
      <c r="E299" s="20"/>
      <c r="F299" s="20"/>
      <c r="G299" s="408"/>
      <c r="H299" s="408"/>
      <c r="I299" s="20"/>
    </row>
    <row r="300" spans="1:11" outlineLevel="1">
      <c r="A300" s="20"/>
      <c r="B300" s="20"/>
      <c r="C300" s="20"/>
      <c r="D300" s="20"/>
      <c r="E300" s="20"/>
      <c r="F300" s="20"/>
      <c r="G300" s="20"/>
      <c r="H300" s="408"/>
      <c r="I300" s="20"/>
    </row>
    <row r="301" spans="1:11" outlineLevel="1">
      <c r="A301" s="25" t="s">
        <v>1588</v>
      </c>
      <c r="B301" s="20"/>
      <c r="C301" s="20"/>
      <c r="D301" s="20"/>
      <c r="E301" s="20"/>
      <c r="F301" s="20"/>
      <c r="G301" s="20"/>
      <c r="H301" s="408"/>
      <c r="I301" s="20"/>
    </row>
    <row r="302" spans="1:11">
      <c r="A302" s="20"/>
      <c r="B302" s="20"/>
      <c r="C302" s="20"/>
      <c r="D302" s="20"/>
      <c r="E302" s="20"/>
      <c r="F302" s="20"/>
      <c r="G302" s="20"/>
      <c r="H302" s="408"/>
      <c r="I302" s="20"/>
    </row>
    <row r="303" spans="1:11">
      <c r="A303" s="1349" t="s">
        <v>1584</v>
      </c>
      <c r="B303" s="20"/>
      <c r="C303" s="20"/>
      <c r="D303" s="20"/>
      <c r="E303" s="20"/>
      <c r="F303" s="407" t="s">
        <v>1584</v>
      </c>
      <c r="G303" s="20"/>
      <c r="H303" s="408"/>
      <c r="I303" s="20"/>
    </row>
    <row r="304" spans="1:11">
      <c r="A304" s="20"/>
      <c r="B304" s="20"/>
      <c r="C304" s="20"/>
      <c r="D304" s="20"/>
      <c r="E304" s="20"/>
      <c r="F304" s="20"/>
      <c r="G304" s="20"/>
      <c r="H304" s="408"/>
      <c r="I304" s="20"/>
      <c r="K304" s="1124" t="s">
        <v>1589</v>
      </c>
    </row>
    <row r="305" spans="1:11">
      <c r="A305" s="20"/>
      <c r="B305" s="20"/>
      <c r="C305" s="20"/>
      <c r="D305" s="20"/>
      <c r="E305" s="20"/>
      <c r="F305" s="20"/>
      <c r="G305" s="20"/>
      <c r="H305" s="408"/>
      <c r="I305" s="20"/>
      <c r="K305" s="1131"/>
    </row>
    <row r="306" spans="1:11">
      <c r="A306" s="20"/>
      <c r="B306" s="20"/>
      <c r="C306" s="20"/>
      <c r="D306" s="20"/>
      <c r="E306" s="20"/>
      <c r="F306" s="20"/>
      <c r="G306" s="20"/>
      <c r="H306" s="408"/>
      <c r="I306" s="20"/>
    </row>
    <row r="307" spans="1:11">
      <c r="A307" s="20"/>
      <c r="B307" s="20"/>
      <c r="C307" s="20"/>
      <c r="D307" s="20"/>
      <c r="E307" s="20"/>
      <c r="F307" s="20"/>
      <c r="G307" s="408"/>
      <c r="H307" s="408"/>
      <c r="I307" s="20"/>
    </row>
    <row r="308" spans="1:11">
      <c r="A308" s="20"/>
      <c r="B308" s="20"/>
      <c r="C308" s="20"/>
      <c r="D308" s="20"/>
      <c r="E308" s="20"/>
      <c r="F308" s="20"/>
      <c r="G308" s="408"/>
      <c r="H308" s="408"/>
      <c r="I308" s="20"/>
      <c r="K308" s="2601"/>
    </row>
    <row r="309" spans="1:11">
      <c r="A309" s="403"/>
      <c r="B309" s="408"/>
      <c r="C309" s="408"/>
      <c r="D309" s="20"/>
      <c r="E309" s="20"/>
      <c r="F309" s="403"/>
      <c r="G309" s="20"/>
      <c r="H309" s="408"/>
      <c r="I309" s="20"/>
      <c r="K309" s="2602"/>
    </row>
    <row r="310" spans="1:11">
      <c r="A310" s="20" t="s">
        <v>1585</v>
      </c>
      <c r="B310" s="408"/>
      <c r="C310" s="408"/>
      <c r="D310" s="20"/>
      <c r="E310" s="20"/>
      <c r="F310" s="20" t="s">
        <v>1585</v>
      </c>
      <c r="G310" s="20"/>
      <c r="H310" s="408"/>
      <c r="I310" s="20"/>
      <c r="K310" s="2602"/>
    </row>
    <row r="311" spans="1:11">
      <c r="A311" s="410" t="s">
        <v>1586</v>
      </c>
      <c r="B311" s="20"/>
      <c r="C311" s="20"/>
      <c r="D311" s="20"/>
      <c r="E311" s="20"/>
      <c r="F311" s="410" t="s">
        <v>1586</v>
      </c>
      <c r="G311" s="20"/>
      <c r="H311" s="408"/>
      <c r="I311" s="20"/>
      <c r="K311" s="2602"/>
    </row>
    <row r="312" spans="1:11">
      <c r="A312" s="410" t="s">
        <v>1587</v>
      </c>
      <c r="B312" s="20"/>
      <c r="C312" s="20"/>
      <c r="D312" s="20"/>
      <c r="E312" s="20"/>
      <c r="F312" s="410" t="s">
        <v>1587</v>
      </c>
      <c r="G312" s="20"/>
      <c r="H312" s="408"/>
      <c r="I312" s="20"/>
    </row>
    <row r="313" spans="1:11">
      <c r="A313" s="410"/>
      <c r="B313" s="20"/>
      <c r="C313" s="20"/>
      <c r="D313" s="20"/>
      <c r="E313" s="20"/>
      <c r="F313" s="410"/>
      <c r="G313" s="20"/>
      <c r="H313" s="408"/>
      <c r="I313" s="20"/>
    </row>
    <row r="314" spans="1:11">
      <c r="A314" s="20"/>
      <c r="B314" s="20"/>
      <c r="C314" s="20"/>
      <c r="D314" s="20"/>
      <c r="E314" s="20"/>
      <c r="F314" s="20"/>
      <c r="G314" s="408"/>
      <c r="H314" s="408"/>
      <c r="I314" s="20"/>
    </row>
    <row r="315" spans="1:11">
      <c r="A315" s="25" t="s">
        <v>1590</v>
      </c>
      <c r="B315" s="20"/>
      <c r="C315" s="20"/>
      <c r="D315" s="20"/>
      <c r="E315" s="20"/>
      <c r="F315" s="20"/>
      <c r="G315" s="408"/>
      <c r="H315" s="408"/>
      <c r="I315" s="20"/>
    </row>
    <row r="316" spans="1:11">
      <c r="A316" s="20"/>
      <c r="B316" s="20"/>
      <c r="C316" s="20"/>
      <c r="D316" s="20"/>
      <c r="E316" s="20"/>
      <c r="F316" s="20"/>
      <c r="G316" s="408"/>
      <c r="H316" s="408"/>
      <c r="I316" s="20"/>
    </row>
    <row r="317" spans="1:11">
      <c r="A317" s="1349"/>
      <c r="B317" s="20"/>
      <c r="C317" s="20"/>
      <c r="D317" s="20"/>
      <c r="E317" s="20"/>
      <c r="F317" s="20"/>
      <c r="G317" s="408"/>
      <c r="H317" s="408"/>
      <c r="I317" s="20"/>
    </row>
    <row r="318" spans="1:11" outlineLevel="1">
      <c r="A318" s="20" t="e">
        <f>IF(VLOOKUP($A$317,'Drop Lists'!$AW$5:$BA$25,2,FALSE)="","",VLOOKUP($A$317,'Drop Lists'!$AW$5:$BA$25,2,FALSE))</f>
        <v>#N/A</v>
      </c>
      <c r="B318" s="20"/>
      <c r="C318" s="20"/>
      <c r="D318" s="20"/>
      <c r="E318" s="20"/>
      <c r="F318" s="20"/>
      <c r="G318" s="408"/>
      <c r="H318" s="408"/>
      <c r="I318" s="20"/>
    </row>
    <row r="319" spans="1:11" outlineLevel="1">
      <c r="A319" s="20" t="e">
        <f>IF(VLOOKUP($A$317,'Drop Lists'!$AW$5:$BA$25,3,FALSE)="","",VLOOKUP($A$317,'Drop Lists'!$AW$5:$AZ$25,3,FALSE))</f>
        <v>#N/A</v>
      </c>
      <c r="B319" s="20"/>
      <c r="C319" s="20"/>
      <c r="D319" s="20"/>
      <c r="E319" s="20"/>
      <c r="F319" s="20"/>
      <c r="G319" s="408"/>
      <c r="H319" s="408"/>
      <c r="I319" s="20"/>
    </row>
    <row r="320" spans="1:11" outlineLevel="1">
      <c r="A320" s="20" t="e">
        <f>IF(VLOOKUP($A$317,'Drop Lists'!$AW$5:$BA$25,4,FALSE)="","",VLOOKUP($A$317,'Drop Lists'!$AW$5:$BA$25,4,FALSE))</f>
        <v>#N/A</v>
      </c>
      <c r="B320" s="20"/>
      <c r="C320" s="20"/>
      <c r="D320" s="20"/>
      <c r="E320" s="20"/>
      <c r="F320" s="20"/>
      <c r="G320" s="408"/>
      <c r="H320" s="408"/>
      <c r="I320" s="20"/>
    </row>
    <row r="321" spans="1:9" outlineLevel="1">
      <c r="A321" s="20" t="e">
        <f>IF(VLOOKUP($A$317,'Drop Lists'!$AW$5:$BA$25,5,FALSE)="","",VLOOKUP($A$317,'Drop Lists'!$AW$5:$BA$25,5,FALSE))</f>
        <v>#N/A</v>
      </c>
      <c r="B321" s="20"/>
      <c r="C321" s="20"/>
      <c r="D321" s="20"/>
      <c r="E321" s="20"/>
      <c r="F321" s="20"/>
      <c r="G321" s="408"/>
      <c r="H321" s="408"/>
      <c r="I321" s="20"/>
    </row>
    <row r="322" spans="1:9" outlineLevel="1">
      <c r="A322" s="20"/>
      <c r="B322" s="20"/>
      <c r="C322" s="20"/>
      <c r="D322" s="20"/>
      <c r="E322" s="20"/>
      <c r="F322" s="20"/>
      <c r="G322" s="408"/>
      <c r="H322" s="408"/>
      <c r="I322" s="20"/>
    </row>
    <row r="323" spans="1:9" outlineLevel="1">
      <c r="A323" s="20"/>
      <c r="B323" s="20"/>
      <c r="C323" s="20"/>
      <c r="D323" s="20"/>
      <c r="E323" s="20"/>
      <c r="F323" s="20"/>
      <c r="G323" s="408"/>
      <c r="H323" s="408"/>
      <c r="I323" s="20"/>
    </row>
    <row r="324" spans="1:9" outlineLevel="1">
      <c r="A324" s="20"/>
      <c r="B324" s="20"/>
      <c r="C324" s="20"/>
      <c r="D324" s="20"/>
      <c r="E324" s="20"/>
      <c r="F324" s="20"/>
      <c r="G324" s="408"/>
      <c r="H324" s="408"/>
      <c r="I324" s="20"/>
    </row>
    <row r="325" spans="1:9" outlineLevel="1">
      <c r="A325" s="20" t="s">
        <v>1591</v>
      </c>
      <c r="B325" s="404"/>
      <c r="C325" s="404"/>
      <c r="D325" s="404"/>
      <c r="E325" s="404"/>
      <c r="F325" s="20"/>
      <c r="G325" s="408"/>
      <c r="H325" s="408"/>
      <c r="I325" s="20"/>
    </row>
    <row r="326" spans="1:9" outlineLevel="1">
      <c r="A326" s="20" t="s">
        <v>1592</v>
      </c>
      <c r="B326" s="407"/>
      <c r="C326" s="407"/>
      <c r="D326" s="20"/>
      <c r="E326" s="20"/>
      <c r="F326" s="20"/>
      <c r="G326" s="408"/>
      <c r="H326" s="408"/>
      <c r="I326" s="20"/>
    </row>
    <row r="327" spans="1:9" outlineLevel="1">
      <c r="A327" s="20" t="s">
        <v>1593</v>
      </c>
      <c r="B327" s="407" t="e">
        <f>VLOOKUP(B326,'Drop Lists'!BC5:BD21,2,FALSE)</f>
        <v>#N/A</v>
      </c>
      <c r="C327" s="407"/>
      <c r="D327" s="20"/>
      <c r="E327" s="20"/>
      <c r="F327" s="20"/>
      <c r="G327" s="408"/>
      <c r="H327" s="408"/>
      <c r="I327" s="20"/>
    </row>
    <row r="328" spans="1:9" outlineLevel="1">
      <c r="A328" s="20"/>
      <c r="B328" s="20"/>
      <c r="C328" s="20"/>
      <c r="D328" s="20"/>
      <c r="E328" s="20"/>
      <c r="F328" s="20"/>
      <c r="G328" s="408"/>
      <c r="H328" s="408"/>
      <c r="I328" s="20"/>
    </row>
    <row r="329" spans="1:9" outlineLevel="1">
      <c r="A329" s="25" t="s">
        <v>1594</v>
      </c>
      <c r="B329" s="20"/>
      <c r="C329" s="20"/>
      <c r="D329" s="20"/>
      <c r="E329" s="20"/>
      <c r="F329" s="20"/>
      <c r="G329" s="408"/>
      <c r="H329" s="408"/>
      <c r="I329" s="20"/>
    </row>
    <row r="330" spans="1:9">
      <c r="A330" s="20"/>
      <c r="B330" s="20"/>
      <c r="C330" s="20"/>
      <c r="D330" s="20"/>
      <c r="E330" s="20"/>
      <c r="F330" s="20"/>
      <c r="G330" s="408"/>
      <c r="H330" s="408"/>
      <c r="I330" s="20"/>
    </row>
    <row r="331" spans="1:9" outlineLevel="1">
      <c r="A331" s="1349"/>
      <c r="B331" s="20"/>
      <c r="C331" s="20"/>
      <c r="D331" s="20"/>
      <c r="E331" s="20"/>
      <c r="F331" s="20"/>
      <c r="G331" s="408"/>
      <c r="H331" s="408"/>
      <c r="I331" s="20"/>
    </row>
    <row r="332" spans="1:9" outlineLevel="1">
      <c r="A332" s="20" t="e">
        <f>IF(VLOOKUP($A$331,'Drop Lists'!$AW$5:$BA$25,2,FALSE)="","",VLOOKUP($A$331,'Drop Lists'!$AW$5:$BA$25,2,FALSE))</f>
        <v>#N/A</v>
      </c>
      <c r="B332" s="20"/>
      <c r="C332" s="20"/>
      <c r="D332" s="20"/>
      <c r="E332" s="20"/>
      <c r="F332" s="20"/>
      <c r="G332" s="408"/>
      <c r="H332" s="408"/>
      <c r="I332" s="20"/>
    </row>
    <row r="333" spans="1:9" outlineLevel="1">
      <c r="A333" s="20" t="e">
        <f>IF(VLOOKUP($A$331,'Drop Lists'!$AW$5:$BA$25,3,FALSE)="","",VLOOKUP($A$331,'Drop Lists'!$AW$5:$BA$25,3,FALSE))</f>
        <v>#N/A</v>
      </c>
      <c r="B333" s="20"/>
      <c r="C333" s="20"/>
      <c r="D333" s="20"/>
      <c r="E333" s="20"/>
      <c r="F333" s="20"/>
      <c r="G333" s="408"/>
      <c r="H333" s="408"/>
      <c r="I333" s="20"/>
    </row>
    <row r="334" spans="1:9" outlineLevel="1">
      <c r="A334" s="20" t="e">
        <f>IF(VLOOKUP($A$331,'Drop Lists'!$AW$5:$BA$25,4,FALSE)="","",VLOOKUP($A$331,'Drop Lists'!$AW$5:$BA$25,4,FALSE))</f>
        <v>#N/A</v>
      </c>
      <c r="B334" s="20"/>
      <c r="C334" s="20"/>
      <c r="D334" s="20"/>
      <c r="E334" s="20"/>
      <c r="F334" s="20"/>
      <c r="G334" s="408"/>
      <c r="H334" s="408"/>
      <c r="I334" s="20"/>
    </row>
    <row r="335" spans="1:9" outlineLevel="1">
      <c r="A335" s="20" t="e">
        <f>IF(VLOOKUP($A$331,'Drop Lists'!$AW$5:$BA$25,5,FALSE)="","",VLOOKUP($A$331,'Drop Lists'!$AW$5:$BA$25,5,FALSE))</f>
        <v>#N/A</v>
      </c>
      <c r="B335" s="20"/>
      <c r="C335" s="20"/>
      <c r="D335" s="20"/>
      <c r="E335" s="20"/>
      <c r="F335" s="20"/>
      <c r="G335" s="408"/>
      <c r="H335" s="408"/>
      <c r="I335" s="20"/>
    </row>
    <row r="336" spans="1:9" outlineLevel="1">
      <c r="A336" s="20"/>
      <c r="B336" s="20"/>
      <c r="C336" s="20"/>
      <c r="D336" s="20"/>
      <c r="E336" s="20"/>
      <c r="F336" s="20"/>
      <c r="G336" s="408"/>
      <c r="H336" s="408"/>
      <c r="I336" s="20"/>
    </row>
    <row r="337" spans="1:9" outlineLevel="1">
      <c r="A337" s="20"/>
      <c r="B337" s="20"/>
      <c r="C337" s="20"/>
      <c r="D337" s="20"/>
      <c r="E337" s="20"/>
      <c r="F337" s="20"/>
      <c r="G337" s="408"/>
      <c r="H337" s="408"/>
      <c r="I337" s="20"/>
    </row>
    <row r="338" spans="1:9" outlineLevel="1">
      <c r="A338" s="20" t="s">
        <v>1591</v>
      </c>
      <c r="B338" s="404"/>
      <c r="C338" s="404"/>
      <c r="D338" s="404"/>
      <c r="E338" s="404"/>
      <c r="F338" s="20"/>
      <c r="G338" s="408"/>
      <c r="H338" s="408"/>
      <c r="I338" s="20"/>
    </row>
    <row r="339" spans="1:9" outlineLevel="1">
      <c r="A339" s="20" t="s">
        <v>1592</v>
      </c>
      <c r="B339" s="407"/>
      <c r="C339" s="407"/>
      <c r="D339" s="20"/>
      <c r="E339" s="20"/>
      <c r="F339" s="20"/>
      <c r="G339" s="408"/>
      <c r="H339" s="408"/>
      <c r="I339" s="20"/>
    </row>
    <row r="340" spans="1:9" outlineLevel="1">
      <c r="A340" s="20" t="s">
        <v>1593</v>
      </c>
      <c r="B340" s="407" t="e">
        <f>VLOOKUP(B339,'Drop Lists'!BC5:BD21,2,FALSE)</f>
        <v>#N/A</v>
      </c>
      <c r="C340" s="407"/>
      <c r="D340" s="20"/>
      <c r="E340" s="20"/>
      <c r="F340" s="20"/>
      <c r="G340" s="408"/>
      <c r="H340" s="408"/>
      <c r="I340" s="20"/>
    </row>
    <row r="341" spans="1:9" outlineLevel="1">
      <c r="A341" s="20"/>
      <c r="B341" s="20"/>
      <c r="C341" s="20"/>
      <c r="D341" s="20"/>
      <c r="E341" s="20"/>
      <c r="F341" s="20"/>
      <c r="G341" s="408"/>
      <c r="H341" s="408"/>
      <c r="I341" s="20"/>
    </row>
    <row r="342" spans="1:9" outlineLevel="1">
      <c r="A342" s="25" t="s">
        <v>1595</v>
      </c>
      <c r="B342" s="20"/>
      <c r="C342" s="20"/>
      <c r="D342" s="20"/>
      <c r="E342" s="20"/>
      <c r="F342" s="20"/>
      <c r="G342" s="20"/>
      <c r="H342" s="20"/>
      <c r="I342" s="20"/>
    </row>
    <row r="343" spans="1:9" outlineLevel="1">
      <c r="A343" s="25"/>
      <c r="B343" s="20"/>
      <c r="C343" s="20"/>
      <c r="D343" s="20"/>
      <c r="E343" s="20"/>
      <c r="F343" s="20"/>
      <c r="G343" s="20"/>
      <c r="H343" s="20"/>
      <c r="I343" s="20"/>
    </row>
    <row r="344" spans="1:9">
      <c r="A344" s="873" t="s">
        <v>1596</v>
      </c>
      <c r="B344" s="20"/>
      <c r="C344" s="20"/>
      <c r="D344" s="20"/>
      <c r="E344" s="20"/>
      <c r="F344" s="20"/>
      <c r="G344" s="20"/>
      <c r="H344" s="20"/>
      <c r="I344" s="20"/>
    </row>
    <row r="345" spans="1:9">
      <c r="A345" s="873" t="s">
        <v>1597</v>
      </c>
      <c r="B345" s="873"/>
      <c r="C345" s="873"/>
      <c r="D345" s="873"/>
      <c r="E345" s="873"/>
      <c r="F345" s="873"/>
      <c r="G345" s="20"/>
      <c r="H345" s="20"/>
      <c r="I345" s="20"/>
    </row>
    <row r="346" spans="1:9">
      <c r="A346" s="873"/>
      <c r="B346" s="873"/>
      <c r="C346" s="873"/>
      <c r="D346" s="873"/>
      <c r="E346" s="873"/>
      <c r="F346" s="873"/>
      <c r="G346" s="20"/>
      <c r="H346" s="20"/>
      <c r="I346" s="20"/>
    </row>
    <row r="347" spans="1:9">
      <c r="A347" s="873"/>
      <c r="B347" s="873"/>
      <c r="C347" s="873"/>
      <c r="D347" s="873"/>
      <c r="E347" s="873"/>
      <c r="F347" s="873"/>
      <c r="G347" s="20"/>
      <c r="H347" s="20"/>
      <c r="I347" s="20"/>
    </row>
    <row r="348" spans="1:9">
      <c r="A348" s="873"/>
      <c r="B348" s="873"/>
      <c r="C348" s="873"/>
      <c r="D348" s="873"/>
      <c r="E348" s="873"/>
      <c r="F348" s="873"/>
      <c r="G348" s="20"/>
      <c r="H348" s="20"/>
      <c r="I348" s="20"/>
    </row>
    <row r="349" spans="1:9">
      <c r="A349" s="873"/>
      <c r="B349" s="20"/>
      <c r="C349" s="20"/>
      <c r="D349" s="20"/>
      <c r="E349" s="20"/>
      <c r="F349" s="20"/>
      <c r="G349" s="20"/>
      <c r="H349" s="20"/>
      <c r="I349" s="20"/>
    </row>
    <row r="350" spans="1:9">
      <c r="A350" s="873"/>
      <c r="B350" s="20"/>
      <c r="C350" s="20"/>
      <c r="D350" s="20"/>
      <c r="E350" s="20"/>
      <c r="F350" s="20"/>
      <c r="G350" s="20"/>
      <c r="H350" s="20"/>
      <c r="I350" s="20"/>
    </row>
    <row r="351" spans="1:9">
      <c r="A351" s="20"/>
      <c r="B351" s="20"/>
      <c r="C351" s="20"/>
      <c r="D351" s="20"/>
      <c r="E351" s="20"/>
      <c r="F351" s="20"/>
      <c r="G351" s="20"/>
      <c r="H351" s="20"/>
      <c r="I351" s="20"/>
    </row>
    <row r="352" spans="1:9">
      <c r="A352" s="20" t="s">
        <v>1591</v>
      </c>
      <c r="B352" s="408" t="s">
        <v>1598</v>
      </c>
      <c r="C352" s="408"/>
      <c r="D352" s="20"/>
      <c r="E352" s="20"/>
      <c r="F352" s="20"/>
      <c r="G352" s="20"/>
      <c r="H352" s="20"/>
      <c r="I352" s="20"/>
    </row>
    <row r="353" spans="1:9">
      <c r="A353" s="20" t="s">
        <v>1599</v>
      </c>
      <c r="B353" s="407"/>
      <c r="C353" s="407"/>
      <c r="D353" s="20"/>
      <c r="E353" s="20"/>
      <c r="F353" s="20"/>
      <c r="G353" s="20"/>
      <c r="H353" s="20"/>
      <c r="I353" s="20"/>
    </row>
    <row r="354" spans="1:9">
      <c r="A354" s="20" t="s">
        <v>1600</v>
      </c>
      <c r="B354" s="407" t="e">
        <f>VLOOKUP(B353,'Drop Lists'!BC24:BD45,2,FALSE)</f>
        <v>#N/A</v>
      </c>
      <c r="C354" s="407"/>
      <c r="D354" s="20"/>
      <c r="E354" s="20"/>
      <c r="F354" s="20"/>
      <c r="G354" s="20"/>
      <c r="H354" s="20"/>
      <c r="I354" s="20"/>
    </row>
    <row r="355" spans="1:9">
      <c r="A355" s="20"/>
      <c r="B355" s="20"/>
      <c r="C355" s="20"/>
      <c r="D355" s="20"/>
      <c r="E355" s="20"/>
      <c r="F355" s="20"/>
      <c r="G355" s="20"/>
      <c r="H355" s="20"/>
      <c r="I355" s="20"/>
    </row>
  </sheetData>
  <mergeCells count="19">
    <mergeCell ref="K4:N6"/>
    <mergeCell ref="K158:K162"/>
    <mergeCell ref="A158:I158"/>
    <mergeCell ref="K52:N54"/>
    <mergeCell ref="A50:I51"/>
    <mergeCell ref="K9:N11"/>
    <mergeCell ref="A1:I1"/>
    <mergeCell ref="A2:I2"/>
    <mergeCell ref="D5:I5"/>
    <mergeCell ref="D6:I6"/>
    <mergeCell ref="D8:I8"/>
    <mergeCell ref="D7:I7"/>
    <mergeCell ref="B282:H282"/>
    <mergeCell ref="B283:H283"/>
    <mergeCell ref="B159:H159"/>
    <mergeCell ref="B160:H160"/>
    <mergeCell ref="K308:K311"/>
    <mergeCell ref="A280:I280"/>
    <mergeCell ref="B281:H281"/>
  </mergeCells>
  <printOptions horizontalCentered="1"/>
  <pageMargins left="0.7" right="0.7" top="0.75" bottom="0.75" header="0.3" footer="0.3"/>
  <pageSetup scale="50" fitToHeight="4" orientation="portrait" r:id="rId1"/>
  <headerFooter differentFirst="1">
    <oddFooter>&amp;LLoan Settlement Statement&amp;RPage &amp;P</oddFooter>
  </headerFooter>
  <rowBreaks count="2" manualBreakCount="2">
    <brk id="157" max="9" man="1"/>
    <brk id="278" max="9" man="1"/>
  </rowBreaks>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786159DA-AECF-49F0-9A5B-74035693A42A}">
          <x14:formula1>
            <xm:f>INPUT!$L$74:$L$124</xm:f>
          </x14:formula1>
          <xm:sqref>A303 F303</xm:sqref>
        </x14:dataValidation>
        <x14:dataValidation type="list" allowBlank="1" showInputMessage="1" showErrorMessage="1" xr:uid="{F434969B-D7F4-45F0-A3A8-DA698FBC6478}">
          <x14:formula1>
            <xm:f>'Drop Lists'!$M$5:$M$6</xm:f>
          </x14:formula1>
          <xm:sqref>J3</xm:sqref>
        </x14:dataValidation>
        <x14:dataValidation type="list" allowBlank="1" showInputMessage="1" showErrorMessage="1" xr:uid="{F60519F8-6A58-492E-9622-3B871B9CDC0B}">
          <x14:formula1>
            <xm:f>INPUT!$L$24:$L$73</xm:f>
          </x14:formula1>
          <xm:sqref>A289 F289</xm:sqref>
        </x14:dataValidation>
        <x14:dataValidation type="list" allowBlank="1" showInputMessage="1" showErrorMessage="1" xr:uid="{168A3359-21F7-46AA-AEE4-24D8708E38C2}">
          <x14:formula1>
            <xm:f>'Drop Lists'!$BC$3:$BC$10</xm:f>
          </x14:formula1>
          <xm:sqref>C326 C339</xm:sqref>
        </x14:dataValidation>
        <x14:dataValidation type="list" allowBlank="1" showInputMessage="1" showErrorMessage="1" xr:uid="{8D968160-207B-458C-8CCA-7766AB997241}">
          <x14:formula1>
            <xm:f>'Drop Lists'!$BC$5:$BC$21</xm:f>
          </x14:formula1>
          <xm:sqref>B326 B339</xm:sqref>
        </x14:dataValidation>
        <x14:dataValidation type="list" allowBlank="1" showInputMessage="1" showErrorMessage="1" xr:uid="{5ACAF15F-6A85-4D65-878C-81F4B236F9D9}">
          <x14:formula1>
            <xm:f>'Drop Lists'!$AW$4:$AW$22</xm:f>
          </x14:formula1>
          <xm:sqref>A331 A317</xm:sqref>
        </x14:dataValidation>
        <x14:dataValidation type="list" allowBlank="1" showInputMessage="1" showErrorMessage="1" xr:uid="{88249782-7599-4785-9FFF-30AFB787A116}">
          <x14:formula1>
            <xm:f>'Drop Lists'!$BC$24:$BC$45</xm:f>
          </x14:formula1>
          <xm:sqref>B353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6AED3-E73F-4D27-9430-D796B2F9060B}">
  <sheetPr codeName="Sheet16"/>
  <dimension ref="A1:AA91"/>
  <sheetViews>
    <sheetView workbookViewId="0">
      <selection activeCell="B1" sqref="B1"/>
    </sheetView>
  </sheetViews>
  <sheetFormatPr defaultRowHeight="15" outlineLevelRow="1"/>
  <cols>
    <col min="1" max="1" width="21.140625" customWidth="1"/>
    <col min="2" max="2" width="9.42578125" customWidth="1"/>
    <col min="3" max="5" width="18.85546875" customWidth="1"/>
    <col min="6" max="6" width="14.85546875" customWidth="1"/>
    <col min="7" max="7" width="11.42578125" customWidth="1"/>
    <col min="8" max="8" width="11.5703125" customWidth="1"/>
    <col min="9" max="10" width="16.42578125" customWidth="1"/>
    <col min="11" max="11" width="20" customWidth="1"/>
    <col min="15" max="15" width="13.42578125" customWidth="1"/>
  </cols>
  <sheetData>
    <row r="1" spans="1:27" ht="15.75">
      <c r="A1" s="411"/>
      <c r="B1" s="411"/>
      <c r="C1" s="411"/>
      <c r="D1" s="411"/>
      <c r="E1" s="411"/>
      <c r="F1" s="411"/>
      <c r="G1" s="411"/>
      <c r="H1" s="411"/>
      <c r="I1" s="2275"/>
      <c r="J1" s="2275"/>
      <c r="W1" s="3" t="s">
        <v>1601</v>
      </c>
    </row>
    <row r="2" spans="1:27" ht="15.75">
      <c r="A2" s="411"/>
      <c r="B2" s="411"/>
      <c r="C2" s="411"/>
      <c r="D2" s="411"/>
      <c r="E2" s="411"/>
      <c r="F2" s="411"/>
      <c r="G2" s="411"/>
      <c r="H2" s="411"/>
      <c r="I2" s="2275"/>
      <c r="J2" s="2275"/>
    </row>
    <row r="3" spans="1:27" ht="17.25">
      <c r="A3" s="2616" t="s">
        <v>1602</v>
      </c>
      <c r="B3" s="2616"/>
      <c r="C3" s="2616"/>
      <c r="D3" s="2616"/>
      <c r="E3" s="2616"/>
      <c r="F3" s="2616"/>
      <c r="G3" s="2616"/>
      <c r="H3" s="2616"/>
      <c r="I3" s="2616"/>
      <c r="J3" s="2616"/>
      <c r="P3" s="2276"/>
      <c r="Q3" s="2276"/>
      <c r="R3" s="2276"/>
      <c r="W3" s="2277" t="s">
        <v>10</v>
      </c>
    </row>
    <row r="4" spans="1:27" ht="16.5" thickBot="1">
      <c r="A4" s="411"/>
      <c r="B4" s="411"/>
      <c r="C4" s="411"/>
      <c r="D4" s="411"/>
      <c r="E4" s="411"/>
      <c r="F4" s="411"/>
      <c r="G4" s="411"/>
      <c r="H4" s="411"/>
      <c r="I4" s="2278" t="s">
        <v>1603</v>
      </c>
      <c r="J4" s="2343"/>
      <c r="O4" s="367" t="s">
        <v>1604</v>
      </c>
      <c r="P4" s="2276"/>
      <c r="Q4" s="2276"/>
      <c r="R4" s="2276"/>
      <c r="W4" s="2277" t="s">
        <v>9</v>
      </c>
    </row>
    <row r="5" spans="1:27" ht="16.5" thickBot="1">
      <c r="A5" s="411" t="s">
        <v>1605</v>
      </c>
      <c r="B5" s="2615"/>
      <c r="C5" s="2615"/>
      <c r="D5" s="2615"/>
      <c r="E5" s="2615"/>
      <c r="F5" s="2615"/>
      <c r="G5" s="2615"/>
      <c r="H5" s="411"/>
      <c r="I5" s="2275"/>
      <c r="J5" s="2275"/>
      <c r="O5" s="2279" t="s">
        <v>9</v>
      </c>
      <c r="P5" s="3" t="s">
        <v>1606</v>
      </c>
    </row>
    <row r="6" spans="1:27" ht="15.75">
      <c r="A6" s="411" t="s">
        <v>1607</v>
      </c>
      <c r="B6" s="2615"/>
      <c r="C6" s="2615"/>
      <c r="D6" s="2615"/>
      <c r="E6" s="2615"/>
      <c r="F6" s="2615"/>
      <c r="G6" s="2615"/>
      <c r="H6" s="411"/>
      <c r="I6" s="2275"/>
      <c r="J6" s="2275"/>
      <c r="O6" s="2342"/>
    </row>
    <row r="7" spans="1:27" ht="15.75">
      <c r="A7" s="411" t="s">
        <v>1508</v>
      </c>
      <c r="B7" s="2615" t="str">
        <f>+'Loan Settlement Stmt'!D8</f>
        <v>6363 &amp; 6399 &amp; 6501 S Fiddler's Green Circle, Englewood, CO</v>
      </c>
      <c r="C7" s="2615"/>
      <c r="D7" s="2615"/>
      <c r="E7" s="2615"/>
      <c r="F7" s="2615"/>
      <c r="G7" s="2615"/>
      <c r="H7" s="411"/>
      <c r="I7" s="2275"/>
      <c r="J7" s="2275"/>
    </row>
    <row r="8" spans="1:27" ht="15.75">
      <c r="A8" s="411"/>
      <c r="B8" s="411"/>
      <c r="C8" s="411"/>
      <c r="D8" s="411"/>
      <c r="E8" s="411"/>
      <c r="F8" s="411"/>
      <c r="G8" s="411"/>
      <c r="H8" s="411"/>
      <c r="I8" s="2275"/>
      <c r="J8" s="2275"/>
    </row>
    <row r="9" spans="1:27" ht="15.75">
      <c r="A9" s="78" t="s">
        <v>1608</v>
      </c>
      <c r="B9" s="411"/>
      <c r="C9" s="411"/>
      <c r="D9" s="411"/>
      <c r="E9" s="411"/>
      <c r="F9" s="411"/>
      <c r="G9" s="411"/>
      <c r="H9" s="411"/>
      <c r="I9" s="2275"/>
      <c r="J9" s="2275"/>
    </row>
    <row r="10" spans="1:27" ht="47.25">
      <c r="A10" s="78"/>
      <c r="B10" s="411"/>
      <c r="C10" s="2280" t="s">
        <v>1609</v>
      </c>
      <c r="D10" s="2280" t="s">
        <v>330</v>
      </c>
      <c r="E10" s="2280" t="s">
        <v>22</v>
      </c>
      <c r="F10" s="2281" t="s">
        <v>306</v>
      </c>
      <c r="G10" s="2280" t="s">
        <v>1610</v>
      </c>
      <c r="H10" s="2280" t="s">
        <v>1611</v>
      </c>
      <c r="I10" s="2282" t="s">
        <v>338</v>
      </c>
      <c r="J10" s="2282" t="s">
        <v>339</v>
      </c>
      <c r="O10" s="2396" t="s">
        <v>1612</v>
      </c>
      <c r="P10" s="2397"/>
      <c r="Q10" s="2397"/>
      <c r="R10" s="2397"/>
      <c r="S10" s="2397"/>
      <c r="T10" s="2397"/>
      <c r="U10" s="2397"/>
      <c r="V10" s="2397"/>
      <c r="W10" s="2397"/>
      <c r="X10" s="2397"/>
      <c r="Y10" s="2397"/>
      <c r="Z10" s="2397"/>
      <c r="AA10" s="2397"/>
    </row>
    <row r="11" spans="1:27" ht="15.75">
      <c r="A11" s="450" t="str">
        <f>IF(COUNTIF('Loan Settlement Stmt'!B16,"*A*"),'Loan Settlement Stmt'!B16,"")</f>
        <v>Note A1</v>
      </c>
      <c r="B11" s="411"/>
      <c r="C11" s="2283">
        <f>IF(A11="","",'Loan Settlement Stmt'!D16)</f>
        <v>64037354</v>
      </c>
      <c r="D11" s="2283">
        <f>IF(A11="","",'Loan Settlement Stmt'!E16)</f>
        <v>21910146</v>
      </c>
      <c r="E11" s="2284">
        <f>IF(A11="","",+C11+D11)</f>
        <v>85947500</v>
      </c>
      <c r="F11" s="2285">
        <f>IF(A11="","",'Loan Settlement Stmt'!G16)</f>
        <v>0</v>
      </c>
      <c r="G11" s="2353">
        <f>IF(A11="","",+F11+B29)</f>
        <v>0</v>
      </c>
      <c r="H11" s="2287">
        <f>IF(A11="","",(C11*G11/360))</f>
        <v>0</v>
      </c>
      <c r="I11" s="2288">
        <f>+C11</f>
        <v>64037354</v>
      </c>
      <c r="J11" s="2275"/>
      <c r="K11" s="2345"/>
      <c r="O11" s="2398" t="s">
        <v>1613</v>
      </c>
      <c r="P11" s="2399"/>
      <c r="Q11" s="2399"/>
      <c r="R11" s="2399"/>
      <c r="S11" s="2399"/>
      <c r="T11" s="2399"/>
      <c r="U11" s="2399"/>
      <c r="V11" s="2399"/>
      <c r="W11" s="2399"/>
      <c r="X11" s="2399"/>
      <c r="Y11" s="2399"/>
      <c r="Z11" s="2397"/>
      <c r="AA11" s="2397"/>
    </row>
    <row r="12" spans="1:27" ht="15.75">
      <c r="A12" s="450" t="str">
        <f>IF(COUNTIF('Loan Settlement Stmt'!B17,"*A*"),'Loan Settlement Stmt'!B17,"")</f>
        <v/>
      </c>
      <c r="B12" s="411"/>
      <c r="C12" s="2283" t="str">
        <f>IF(A12="","",'Loan Settlement Stmt'!D17)</f>
        <v/>
      </c>
      <c r="D12" s="2283" t="str">
        <f>IF(A12="","",'Loan Settlement Stmt'!E17)</f>
        <v/>
      </c>
      <c r="E12" s="2284" t="str">
        <f t="shared" ref="E12:E17" si="0">IF(A12="","",+C12+D12)</f>
        <v/>
      </c>
      <c r="F12" s="2285" t="str">
        <f>IF(A12="","",'Loan Settlement Stmt'!G17)</f>
        <v/>
      </c>
      <c r="G12" s="2353" t="str">
        <f t="shared" ref="G12:G17" si="1">IF(A12="","",+F12+B30)</f>
        <v/>
      </c>
      <c r="H12" s="2287" t="str">
        <f t="shared" ref="H12:H17" si="2">IF(A12="","",(C12*G12/360))</f>
        <v/>
      </c>
      <c r="I12" s="2288" t="str">
        <f t="shared" ref="I12:I17" si="3">+C12</f>
        <v/>
      </c>
      <c r="J12" s="2275"/>
      <c r="K12" s="2345"/>
      <c r="O12" s="2398" t="s">
        <v>1614</v>
      </c>
      <c r="P12" s="2399"/>
      <c r="Q12" s="2399"/>
      <c r="R12" s="2399"/>
      <c r="S12" s="2399"/>
      <c r="T12" s="2399"/>
      <c r="U12" s="2399"/>
      <c r="V12" s="2399"/>
      <c r="W12" s="2399"/>
      <c r="X12" s="2399"/>
      <c r="Y12" s="2399"/>
      <c r="Z12" s="2397"/>
      <c r="AA12" s="2397"/>
    </row>
    <row r="13" spans="1:27" ht="15.75">
      <c r="A13" s="450" t="str">
        <f>IF(COUNTIF('Loan Settlement Stmt'!B18,"*A*"),'Loan Settlement Stmt'!B18,"")</f>
        <v/>
      </c>
      <c r="B13" s="411"/>
      <c r="C13" s="2283" t="str">
        <f>IF(A13="","",'Loan Settlement Stmt'!D18)</f>
        <v/>
      </c>
      <c r="D13" s="2283" t="str">
        <f>IF(A13="","",'Loan Settlement Stmt'!E18)</f>
        <v/>
      </c>
      <c r="E13" s="2284" t="str">
        <f t="shared" si="0"/>
        <v/>
      </c>
      <c r="F13" s="2285" t="str">
        <f>IF(A13="","",'Loan Settlement Stmt'!G18)</f>
        <v/>
      </c>
      <c r="G13" s="2353" t="str">
        <f t="shared" si="1"/>
        <v/>
      </c>
      <c r="H13" s="2287" t="str">
        <f t="shared" si="2"/>
        <v/>
      </c>
      <c r="I13" s="2288" t="str">
        <f t="shared" si="3"/>
        <v/>
      </c>
      <c r="J13" s="2275"/>
      <c r="O13" s="2398" t="s">
        <v>1615</v>
      </c>
      <c r="P13" s="2397"/>
      <c r="Q13" s="2397"/>
      <c r="R13" s="2397"/>
      <c r="S13" s="2397"/>
      <c r="T13" s="2397"/>
      <c r="U13" s="2397"/>
      <c r="V13" s="2397"/>
      <c r="W13" s="2397"/>
      <c r="X13" s="2397"/>
      <c r="Y13" s="2397"/>
      <c r="Z13" s="2397"/>
      <c r="AA13" s="2397"/>
    </row>
    <row r="14" spans="1:27" ht="15.75">
      <c r="A14" s="450" t="str">
        <f>IF(COUNTIF('Loan Settlement Stmt'!B19,"*A*"),'Loan Settlement Stmt'!B19,"")</f>
        <v>Note A2</v>
      </c>
      <c r="B14" s="411"/>
      <c r="C14" s="2283">
        <f>IF(A14="","",'Loan Settlement Stmt'!D19)</f>
        <v>13916143</v>
      </c>
      <c r="D14" s="2283">
        <f>IF(A14="","",'Loan Settlement Stmt'!E19)</f>
        <v>4761357</v>
      </c>
      <c r="E14" s="2284">
        <f t="shared" si="0"/>
        <v>18677500</v>
      </c>
      <c r="F14" s="2285">
        <f>IF(A14="","",'Loan Settlement Stmt'!G19)</f>
        <v>0</v>
      </c>
      <c r="G14" s="2353">
        <f t="shared" si="1"/>
        <v>0</v>
      </c>
      <c r="H14" s="2287">
        <f t="shared" si="2"/>
        <v>0</v>
      </c>
      <c r="I14" s="2288">
        <f t="shared" si="3"/>
        <v>13916143</v>
      </c>
      <c r="J14" s="2275"/>
      <c r="O14" s="2397"/>
      <c r="P14" s="2397"/>
      <c r="Q14" s="2397"/>
      <c r="R14" s="2397"/>
      <c r="S14" s="2397"/>
      <c r="T14" s="2397"/>
      <c r="U14" s="2397"/>
      <c r="V14" s="2397"/>
      <c r="W14" s="2397"/>
      <c r="X14" s="2397"/>
      <c r="Y14" s="2397"/>
      <c r="Z14" s="2397"/>
      <c r="AA14" s="2397"/>
    </row>
    <row r="15" spans="1:27" ht="15.75">
      <c r="A15" s="450" t="str">
        <f>IF(COUNTIF('Loan Settlement Stmt'!B20,"*A*"),'Loan Settlement Stmt'!B20,"")</f>
        <v/>
      </c>
      <c r="B15" s="411"/>
      <c r="C15" s="2283" t="str">
        <f>IF(A15="","",'Loan Settlement Stmt'!D20)</f>
        <v/>
      </c>
      <c r="D15" s="2283" t="str">
        <f>IF(A15="","",'Loan Settlement Stmt'!E20)</f>
        <v/>
      </c>
      <c r="E15" s="2284" t="str">
        <f t="shared" si="0"/>
        <v/>
      </c>
      <c r="F15" s="2285" t="str">
        <f>IF(A15="","",'Loan Settlement Stmt'!G20)</f>
        <v/>
      </c>
      <c r="G15" s="2353" t="str">
        <f t="shared" si="1"/>
        <v/>
      </c>
      <c r="H15" s="2287" t="str">
        <f t="shared" si="2"/>
        <v/>
      </c>
      <c r="I15" s="2288" t="str">
        <f t="shared" si="3"/>
        <v/>
      </c>
      <c r="J15" s="2275"/>
    </row>
    <row r="16" spans="1:27" ht="15.75">
      <c r="A16" s="450" t="str">
        <f>IF(COUNTIF('Loan Settlement Stmt'!B21,"*A*"),'Loan Settlement Stmt'!B21,"")</f>
        <v/>
      </c>
      <c r="B16" s="411"/>
      <c r="C16" s="2283" t="str">
        <f>IF(A16="","",'Loan Settlement Stmt'!D21)</f>
        <v/>
      </c>
      <c r="D16" s="2283" t="str">
        <f>IF(A16="","",'Loan Settlement Stmt'!E21)</f>
        <v/>
      </c>
      <c r="E16" s="2284" t="str">
        <f t="shared" si="0"/>
        <v/>
      </c>
      <c r="F16" s="2285" t="str">
        <f>IF(A16="","",'Loan Settlement Stmt'!G21)</f>
        <v/>
      </c>
      <c r="G16" s="2353" t="str">
        <f t="shared" si="1"/>
        <v/>
      </c>
      <c r="H16" s="2287" t="str">
        <f t="shared" si="2"/>
        <v/>
      </c>
      <c r="I16" s="2288" t="str">
        <f t="shared" si="3"/>
        <v/>
      </c>
      <c r="J16" s="2275"/>
    </row>
    <row r="17" spans="1:26" ht="15.75">
      <c r="A17" s="450" t="str">
        <f>IF(COUNTIF('Loan Settlement Stmt'!B22,"*A*"),'Loan Settlement Stmt'!B22,"")</f>
        <v>Note A3</v>
      </c>
      <c r="B17" s="411"/>
      <c r="C17" s="2283">
        <f>IF(A17="","",'Loan Settlement Stmt'!D22)</f>
        <v>26561932</v>
      </c>
      <c r="D17" s="2283">
        <f>IF(A17="","",'Loan Settlement Stmt'!E22)</f>
        <v>9088068</v>
      </c>
      <c r="E17" s="2284">
        <f t="shared" si="0"/>
        <v>35650000</v>
      </c>
      <c r="F17" s="2285">
        <f>IF(A17="","",'Loan Settlement Stmt'!G22)</f>
        <v>0</v>
      </c>
      <c r="G17" s="2353">
        <f t="shared" si="1"/>
        <v>0</v>
      </c>
      <c r="H17" s="2287">
        <f t="shared" si="2"/>
        <v>0</v>
      </c>
      <c r="I17" s="2288">
        <f t="shared" si="3"/>
        <v>26561932</v>
      </c>
      <c r="J17" s="2275"/>
      <c r="Q17" s="367" t="s">
        <v>1616</v>
      </c>
      <c r="U17" s="2" t="s">
        <v>1617</v>
      </c>
      <c r="Z17" s="2" t="s">
        <v>1618</v>
      </c>
    </row>
    <row r="18" spans="1:26" ht="15.75" outlineLevel="1">
      <c r="A18" s="2289" t="s">
        <v>1619</v>
      </c>
      <c r="B18" s="2290"/>
      <c r="C18" s="2291"/>
      <c r="D18" s="2291"/>
      <c r="E18" s="2291"/>
      <c r="F18" s="2292"/>
      <c r="G18" s="2293"/>
      <c r="H18" s="2294"/>
      <c r="I18" s="2295"/>
      <c r="J18" s="2275"/>
      <c r="N18" s="2296"/>
      <c r="O18" s="2354">
        <f>+F37-1</f>
        <v>44843</v>
      </c>
      <c r="P18" s="206" t="s">
        <v>1620</v>
      </c>
      <c r="Q18" s="2297"/>
      <c r="R18" s="2297"/>
      <c r="S18" s="2297"/>
      <c r="T18" s="2297"/>
      <c r="U18" s="3">
        <v>24</v>
      </c>
      <c r="V18" s="3">
        <v>44838</v>
      </c>
      <c r="W18" s="3">
        <v>44838</v>
      </c>
      <c r="X18" s="3">
        <v>44838</v>
      </c>
      <c r="Y18" s="3">
        <v>44838</v>
      </c>
      <c r="Z18" s="2298"/>
    </row>
    <row r="19" spans="1:26" ht="15.75" outlineLevel="1">
      <c r="A19" s="450" t="str">
        <f>IF(COUNTIF('Loan Settlement Stmt'!B16,"*F*"),'Loan Settlement Stmt'!B16, "")</f>
        <v/>
      </c>
      <c r="B19" s="2299"/>
      <c r="C19" s="2283"/>
      <c r="D19" s="2283"/>
      <c r="E19" s="2284" t="str">
        <f>IF(A19="","",+C19+D19)</f>
        <v/>
      </c>
      <c r="F19" s="2285"/>
      <c r="G19" s="2353" t="str">
        <f>IF(A19="","",+F19+B37)</f>
        <v/>
      </c>
      <c r="H19" s="2287" t="str">
        <f>IF(A19="","",(C19*G19/360))</f>
        <v/>
      </c>
      <c r="I19" s="2288">
        <f>+C19</f>
        <v>0</v>
      </c>
      <c r="J19" s="2275"/>
      <c r="N19" s="2296"/>
      <c r="O19" s="2300">
        <v>0</v>
      </c>
      <c r="P19" s="206" t="s">
        <v>1621</v>
      </c>
      <c r="Q19" s="2283"/>
      <c r="R19" s="2283"/>
      <c r="S19" s="2283"/>
      <c r="T19" s="2283"/>
      <c r="U19" s="3">
        <v>0</v>
      </c>
      <c r="V19" s="3">
        <v>0</v>
      </c>
      <c r="W19" s="3">
        <v>0</v>
      </c>
      <c r="X19" s="3">
        <v>0</v>
      </c>
      <c r="Y19" s="3">
        <v>0</v>
      </c>
      <c r="Z19" s="2298">
        <v>0</v>
      </c>
    </row>
    <row r="20" spans="1:26" ht="15.75" outlineLevel="1">
      <c r="A20" s="450" t="str">
        <f>IF(COUNTIF('Loan Settlement Stmt'!B17,"*F*"),'Loan Settlement Stmt'!B17, "")</f>
        <v/>
      </c>
      <c r="B20" s="2299"/>
      <c r="C20" s="2283"/>
      <c r="D20" s="2283"/>
      <c r="E20" s="2284" t="str">
        <f t="shared" ref="E20:E25" si="4">IF(A20="","",+C20+D20)</f>
        <v/>
      </c>
      <c r="F20" s="2285"/>
      <c r="G20" s="2353" t="str">
        <f t="shared" ref="G20:G25" si="5">IF(A20="","",+F20+B38)</f>
        <v/>
      </c>
      <c r="H20" s="2287" t="str">
        <f t="shared" ref="H20:H25" si="6">IF(A20="","",(C20*G20/360))</f>
        <v/>
      </c>
      <c r="I20" s="2288">
        <f t="shared" ref="I20:I25" si="7">+C20</f>
        <v>0</v>
      </c>
      <c r="J20" s="2275"/>
      <c r="O20" s="2300">
        <v>0</v>
      </c>
      <c r="P20" s="206" t="s">
        <v>1621</v>
      </c>
      <c r="Q20" s="2283"/>
      <c r="R20" s="2283"/>
      <c r="S20" s="2283"/>
      <c r="T20" s="2283"/>
      <c r="U20" s="3">
        <v>0</v>
      </c>
      <c r="V20" s="3">
        <v>0</v>
      </c>
      <c r="W20" s="3">
        <v>0</v>
      </c>
      <c r="X20" s="3">
        <v>0</v>
      </c>
      <c r="Y20" s="3">
        <v>0</v>
      </c>
      <c r="Z20" s="2298">
        <v>0</v>
      </c>
    </row>
    <row r="21" spans="1:26" ht="15.75" outlineLevel="1">
      <c r="A21" s="450" t="str">
        <f>IF(COUNTIF('Loan Settlement Stmt'!B18,"*F*"),'Loan Settlement Stmt'!B18, "")</f>
        <v/>
      </c>
      <c r="B21" s="2299"/>
      <c r="C21" s="2283"/>
      <c r="D21" s="2283"/>
      <c r="E21" s="2284" t="str">
        <f t="shared" si="4"/>
        <v/>
      </c>
      <c r="F21" s="2285"/>
      <c r="G21" s="2353" t="str">
        <f t="shared" si="5"/>
        <v/>
      </c>
      <c r="H21" s="2287" t="str">
        <f t="shared" si="6"/>
        <v/>
      </c>
      <c r="I21" s="2288">
        <f t="shared" si="7"/>
        <v>0</v>
      </c>
      <c r="J21" s="2275"/>
      <c r="O21" s="2300">
        <v>0</v>
      </c>
      <c r="P21" s="206" t="s">
        <v>1621</v>
      </c>
      <c r="Q21" s="2283"/>
      <c r="R21" s="2283"/>
      <c r="S21" s="2283"/>
      <c r="T21" s="2283"/>
      <c r="U21" s="3">
        <v>0</v>
      </c>
      <c r="V21" s="3">
        <v>0</v>
      </c>
      <c r="W21" s="3">
        <v>0</v>
      </c>
      <c r="X21" s="3">
        <v>0</v>
      </c>
      <c r="Y21" s="3">
        <v>0</v>
      </c>
      <c r="Z21" s="2298">
        <v>0</v>
      </c>
    </row>
    <row r="22" spans="1:26" ht="15.75" outlineLevel="1">
      <c r="A22" s="450" t="str">
        <f>IF(COUNTIF('Loan Settlement Stmt'!B19,"*F*"),'Loan Settlement Stmt'!B19, "")</f>
        <v/>
      </c>
      <c r="B22" s="2299"/>
      <c r="C22" s="2283"/>
      <c r="D22" s="2283"/>
      <c r="E22" s="2284" t="str">
        <f t="shared" si="4"/>
        <v/>
      </c>
      <c r="F22" s="2285"/>
      <c r="G22" s="2353" t="str">
        <f t="shared" si="5"/>
        <v/>
      </c>
      <c r="H22" s="2287" t="str">
        <f t="shared" si="6"/>
        <v/>
      </c>
      <c r="I22" s="2288">
        <f t="shared" si="7"/>
        <v>0</v>
      </c>
      <c r="J22" s="2275"/>
      <c r="O22" s="2300">
        <v>0</v>
      </c>
      <c r="P22" s="206" t="s">
        <v>1621</v>
      </c>
      <c r="Q22" s="2283"/>
      <c r="R22" s="2283"/>
      <c r="S22" s="2283"/>
      <c r="T22" s="2283"/>
      <c r="U22" s="3">
        <v>0</v>
      </c>
      <c r="V22" s="3">
        <v>0</v>
      </c>
      <c r="W22" s="3">
        <v>0</v>
      </c>
      <c r="X22" s="3">
        <v>0</v>
      </c>
      <c r="Y22" s="3">
        <v>0</v>
      </c>
      <c r="Z22" s="2298">
        <v>0</v>
      </c>
    </row>
    <row r="23" spans="1:26" ht="15.75" outlineLevel="1">
      <c r="A23" s="450" t="str">
        <f>IF(COUNTIF('Loan Settlement Stmt'!B20,"*F*"),'Loan Settlement Stmt'!B20, "")</f>
        <v/>
      </c>
      <c r="B23" s="2299"/>
      <c r="C23" s="2283"/>
      <c r="D23" s="2283"/>
      <c r="E23" s="2284" t="str">
        <f t="shared" si="4"/>
        <v/>
      </c>
      <c r="F23" s="2285"/>
      <c r="G23" s="2353" t="str">
        <f t="shared" si="5"/>
        <v/>
      </c>
      <c r="H23" s="2287" t="str">
        <f t="shared" si="6"/>
        <v/>
      </c>
      <c r="I23" s="2288">
        <f t="shared" si="7"/>
        <v>0</v>
      </c>
      <c r="J23" s="2275"/>
      <c r="O23" s="2300">
        <v>0</v>
      </c>
      <c r="P23" s="206" t="s">
        <v>1621</v>
      </c>
      <c r="Q23" s="2283"/>
      <c r="R23" s="2283"/>
      <c r="S23" s="2283"/>
      <c r="T23" s="2283"/>
      <c r="U23" s="3">
        <v>0</v>
      </c>
      <c r="V23" s="3">
        <v>0</v>
      </c>
      <c r="W23" s="3">
        <v>0</v>
      </c>
      <c r="X23" s="3">
        <v>0</v>
      </c>
      <c r="Y23" s="3">
        <v>0</v>
      </c>
      <c r="Z23" s="2298">
        <v>0</v>
      </c>
    </row>
    <row r="24" spans="1:26" ht="15.75" outlineLevel="1">
      <c r="A24" s="450" t="str">
        <f>IF(COUNTIF('Loan Settlement Stmt'!B21,"*F*"),'Loan Settlement Stmt'!B21, "")</f>
        <v/>
      </c>
      <c r="B24" s="2299"/>
      <c r="C24" s="2283"/>
      <c r="D24" s="2283"/>
      <c r="E24" s="2284" t="str">
        <f t="shared" si="4"/>
        <v/>
      </c>
      <c r="F24" s="2285"/>
      <c r="G24" s="2353" t="str">
        <f t="shared" si="5"/>
        <v/>
      </c>
      <c r="H24" s="2287" t="str">
        <f t="shared" si="6"/>
        <v/>
      </c>
      <c r="I24" s="2288">
        <f t="shared" si="7"/>
        <v>0</v>
      </c>
      <c r="J24" s="2275"/>
      <c r="O24" s="2300">
        <v>0</v>
      </c>
      <c r="P24" s="206" t="s">
        <v>1621</v>
      </c>
      <c r="Q24" s="2283"/>
      <c r="R24" s="2283"/>
      <c r="S24" s="2283"/>
      <c r="T24" s="2283"/>
      <c r="U24" s="3">
        <v>0</v>
      </c>
      <c r="V24" s="3">
        <v>0</v>
      </c>
      <c r="W24" s="3">
        <v>0</v>
      </c>
      <c r="X24" s="3">
        <v>0</v>
      </c>
      <c r="Y24" s="3">
        <v>0</v>
      </c>
      <c r="Z24" s="2298">
        <v>0</v>
      </c>
    </row>
    <row r="25" spans="1:26" ht="15.75" outlineLevel="1">
      <c r="A25" s="450" t="str">
        <f>IF(COUNTIF('Loan Settlement Stmt'!B22,"*F*"),'Loan Settlement Stmt'!B22, "")</f>
        <v/>
      </c>
      <c r="B25" s="2299"/>
      <c r="C25" s="2283"/>
      <c r="D25" s="2283"/>
      <c r="E25" s="2284" t="str">
        <f t="shared" si="4"/>
        <v/>
      </c>
      <c r="F25" s="2285"/>
      <c r="G25" s="2353" t="str">
        <f t="shared" si="5"/>
        <v/>
      </c>
      <c r="H25" s="2287" t="str">
        <f t="shared" si="6"/>
        <v/>
      </c>
      <c r="I25" s="2288">
        <f t="shared" si="7"/>
        <v>0</v>
      </c>
      <c r="J25" s="2275"/>
      <c r="O25" s="2300">
        <v>0</v>
      </c>
      <c r="P25" s="206" t="s">
        <v>1621</v>
      </c>
      <c r="Q25" s="2283"/>
      <c r="R25" s="2283"/>
      <c r="S25" s="2283"/>
      <c r="T25" s="2283"/>
      <c r="U25" s="3">
        <v>0</v>
      </c>
      <c r="V25" s="3">
        <v>0</v>
      </c>
      <c r="W25" s="3">
        <v>0</v>
      </c>
      <c r="X25" s="3">
        <v>0</v>
      </c>
      <c r="Y25" s="3">
        <v>0</v>
      </c>
      <c r="Z25" s="2298">
        <v>0</v>
      </c>
    </row>
    <row r="26" spans="1:26" ht="15.75">
      <c r="A26" s="447"/>
      <c r="B26" s="2290"/>
      <c r="C26" s="2301"/>
      <c r="D26" s="2301"/>
      <c r="E26" s="2301"/>
      <c r="F26" s="2302"/>
      <c r="G26" s="2303"/>
      <c r="H26" s="2304"/>
      <c r="I26" s="2305"/>
      <c r="J26" s="2275"/>
    </row>
    <row r="27" spans="1:26" ht="15.75">
      <c r="A27" s="411" t="s">
        <v>1622</v>
      </c>
      <c r="B27" s="2299"/>
      <c r="C27" s="2284">
        <f>SUM(C11:C25)</f>
        <v>104515429</v>
      </c>
      <c r="D27" s="2284">
        <f>SUM(D11:D25)</f>
        <v>35759571</v>
      </c>
      <c r="E27" s="2284">
        <f>SUM(E11:E25)</f>
        <v>140275000</v>
      </c>
      <c r="F27" s="2355">
        <f>+SUMPRODUCT(F11:F25,E11:E25)/E27</f>
        <v>0</v>
      </c>
      <c r="G27" s="2356">
        <f>SUMPRODUCT(G11:G25,E11:E25)/E27</f>
        <v>0</v>
      </c>
      <c r="H27" s="2287">
        <f>SUM(H10)</f>
        <v>0</v>
      </c>
      <c r="I27" s="2306"/>
      <c r="J27" s="2275"/>
    </row>
    <row r="28" spans="1:26" ht="15.75">
      <c r="A28" s="411"/>
      <c r="B28" s="2299"/>
      <c r="C28" s="2307"/>
      <c r="D28" s="2307"/>
      <c r="E28" s="2307"/>
      <c r="F28" s="2299"/>
      <c r="G28" s="2286"/>
      <c r="H28" s="2287"/>
      <c r="I28" s="2306"/>
      <c r="J28" s="2275"/>
    </row>
    <row r="29" spans="1:26" ht="15.75">
      <c r="A29" s="411" t="s">
        <v>1623</v>
      </c>
      <c r="B29" s="2351"/>
      <c r="C29" s="2287" t="s">
        <v>1624</v>
      </c>
      <c r="D29" s="2308"/>
      <c r="E29" s="2307"/>
      <c r="F29" s="2299"/>
      <c r="G29" s="2286"/>
      <c r="H29" s="2287"/>
      <c r="I29" s="2306"/>
      <c r="J29" s="2275"/>
    </row>
    <row r="30" spans="1:26" ht="15.75">
      <c r="A30" s="411"/>
      <c r="B30" s="411"/>
      <c r="C30" s="2309"/>
      <c r="D30" s="2310"/>
      <c r="E30" s="2310"/>
      <c r="F30" s="2311"/>
      <c r="G30" s="2311"/>
      <c r="H30" s="2310"/>
      <c r="I30" s="2312"/>
      <c r="J30" s="2275"/>
      <c r="O30" s="2313" t="s">
        <v>1625</v>
      </c>
    </row>
    <row r="31" spans="1:26" ht="15.75">
      <c r="A31" s="411" t="s">
        <v>1626</v>
      </c>
      <c r="B31" s="411"/>
      <c r="C31" s="2357">
        <f>+C27</f>
        <v>104515429</v>
      </c>
      <c r="D31" s="2310"/>
      <c r="E31" s="2310"/>
      <c r="F31" s="2311"/>
      <c r="G31" s="2311"/>
      <c r="H31" s="2310"/>
      <c r="I31" s="2314">
        <f>+C31</f>
        <v>104515429</v>
      </c>
      <c r="J31" s="2275"/>
    </row>
    <row r="32" spans="1:26" ht="15.75">
      <c r="A32" s="411" t="s">
        <v>1627</v>
      </c>
      <c r="B32" s="411"/>
      <c r="C32" s="2357">
        <f>+D27</f>
        <v>35759571</v>
      </c>
      <c r="D32" s="2310"/>
      <c r="E32" s="2310"/>
      <c r="F32" s="2315"/>
      <c r="G32" s="2315"/>
      <c r="H32" s="2278"/>
      <c r="I32" s="2316"/>
      <c r="J32" s="2275"/>
    </row>
    <row r="33" spans="1:15" ht="15.75">
      <c r="A33" s="411" t="s">
        <v>1628</v>
      </c>
      <c r="B33" s="411"/>
      <c r="C33" s="2317"/>
      <c r="D33" s="2315"/>
      <c r="E33" s="2315"/>
      <c r="F33" s="2315"/>
      <c r="G33" s="2315"/>
      <c r="H33" s="2315"/>
      <c r="I33" s="2318">
        <v>1</v>
      </c>
      <c r="J33" s="2275"/>
    </row>
    <row r="34" spans="1:15" ht="16.5" thickBot="1">
      <c r="A34" s="2319" t="s">
        <v>1629</v>
      </c>
      <c r="B34" s="2319"/>
      <c r="C34" s="2320"/>
      <c r="D34" s="2321"/>
      <c r="E34" s="2321"/>
      <c r="F34" s="2321"/>
      <c r="G34" s="2321"/>
      <c r="H34" s="2321" t="s">
        <v>1332</v>
      </c>
      <c r="I34" s="2358">
        <f>ROUND(+I31*I33,2)</f>
        <v>104515429</v>
      </c>
      <c r="J34" s="2321"/>
    </row>
    <row r="35" spans="1:15" ht="16.5" thickTop="1">
      <c r="A35" s="411"/>
      <c r="B35" s="411"/>
      <c r="C35" s="2317"/>
      <c r="D35" s="2315"/>
      <c r="E35" s="2315"/>
      <c r="F35" s="2315"/>
      <c r="G35" s="2315"/>
      <c r="H35" s="2315"/>
      <c r="I35" s="2312"/>
      <c r="J35" s="2275"/>
    </row>
    <row r="36" spans="1:15" ht="15.75">
      <c r="A36" s="78" t="s">
        <v>1630</v>
      </c>
      <c r="B36" s="411"/>
      <c r="C36" s="411"/>
      <c r="D36" s="411"/>
      <c r="E36" s="411"/>
      <c r="F36" s="411"/>
      <c r="G36" s="411"/>
      <c r="H36" s="411"/>
      <c r="I36" s="2306"/>
      <c r="J36" s="2275"/>
    </row>
    <row r="37" spans="1:15" ht="15.75">
      <c r="A37" s="411" t="s">
        <v>556</v>
      </c>
      <c r="B37" s="411"/>
      <c r="C37" s="2352">
        <v>44854</v>
      </c>
      <c r="D37" s="411"/>
      <c r="E37" s="2315" t="s">
        <v>1631</v>
      </c>
      <c r="F37" s="2322">
        <v>44844</v>
      </c>
      <c r="G37" s="411"/>
      <c r="H37" s="411"/>
      <c r="I37" s="2306"/>
      <c r="J37" s="2275"/>
      <c r="O37" s="2323" t="s">
        <v>1632</v>
      </c>
    </row>
    <row r="38" spans="1:15" ht="15.75">
      <c r="A38" s="411" t="s">
        <v>1633</v>
      </c>
      <c r="B38" s="411"/>
      <c r="C38" s="2058">
        <f>+IF(O5="Yes","Various daycounts due to recent fundings since last payment",(-(F37-C37)))</f>
        <v>10</v>
      </c>
      <c r="D38" s="411"/>
      <c r="E38" s="411"/>
      <c r="F38" s="411"/>
      <c r="G38" s="411"/>
      <c r="H38" s="411"/>
      <c r="I38" s="2306"/>
      <c r="J38" s="2275"/>
    </row>
    <row r="39" spans="1:15" ht="15.75">
      <c r="A39" s="411" t="s">
        <v>1634</v>
      </c>
      <c r="B39" s="411"/>
      <c r="C39" s="411"/>
      <c r="D39" s="440"/>
      <c r="E39" s="3"/>
      <c r="F39" s="440"/>
      <c r="G39" s="440"/>
      <c r="I39" s="2306"/>
      <c r="J39" s="2275">
        <f>IF(O5="Yes",(+SUM(H11:H17)*U18)+SUM(Z19:Z25),+H27*C38)</f>
        <v>0</v>
      </c>
      <c r="K39" s="2347"/>
      <c r="L39" s="2324"/>
      <c r="M39" s="2324"/>
      <c r="N39" s="2324"/>
    </row>
    <row r="40" spans="1:15" ht="15.75">
      <c r="A40" s="411" t="s">
        <v>1635</v>
      </c>
      <c r="B40" s="411"/>
      <c r="C40" s="2325"/>
      <c r="D40" s="411"/>
      <c r="E40" s="440"/>
      <c r="F40" s="440"/>
      <c r="G40" s="411"/>
      <c r="H40" s="411"/>
      <c r="I40" s="2306"/>
      <c r="J40" s="2275">
        <f>-(I34+C32)*C40</f>
        <v>0</v>
      </c>
      <c r="K40" s="2347"/>
      <c r="L40" s="2324"/>
      <c r="M40" s="2324"/>
      <c r="N40" s="2324"/>
    </row>
    <row r="41" spans="1:15" ht="16.5" thickBot="1">
      <c r="A41" s="2326" t="s">
        <v>1636</v>
      </c>
      <c r="B41" s="2326"/>
      <c r="C41" s="2326"/>
      <c r="D41" s="2326"/>
      <c r="E41" s="2326"/>
      <c r="F41" s="2326"/>
      <c r="G41" s="2326"/>
      <c r="H41" s="2327" t="s">
        <v>1637</v>
      </c>
      <c r="I41" s="2328"/>
      <c r="J41" s="2359">
        <f>ROUND(+SUM(J39:J40),2)</f>
        <v>0</v>
      </c>
      <c r="K41" s="2348"/>
      <c r="L41" s="367"/>
      <c r="M41" s="367"/>
      <c r="N41" s="367"/>
      <c r="O41" s="2"/>
    </row>
    <row r="42" spans="1:15" ht="15.75">
      <c r="A42" s="411"/>
      <c r="B42" s="411"/>
      <c r="C42" s="411"/>
      <c r="D42" s="411"/>
      <c r="E42" s="411"/>
      <c r="F42" s="411"/>
      <c r="G42" s="411"/>
      <c r="H42" s="411"/>
      <c r="I42" s="2306"/>
      <c r="J42" s="2275"/>
    </row>
    <row r="43" spans="1:15" ht="15.75">
      <c r="A43" s="411"/>
      <c r="B43" s="411"/>
      <c r="C43" s="411"/>
      <c r="D43" s="411"/>
      <c r="E43" s="411"/>
      <c r="F43" s="411"/>
      <c r="G43" s="411"/>
      <c r="H43" s="411"/>
      <c r="I43" s="2306"/>
      <c r="J43" s="2275"/>
      <c r="K43" s="2346"/>
    </row>
    <row r="44" spans="1:15" ht="16.350000000000001" customHeight="1" thickBot="1">
      <c r="A44" s="2329" t="s">
        <v>1638</v>
      </c>
      <c r="B44" s="2617">
        <f>+A71</f>
        <v>0</v>
      </c>
      <c r="C44" s="2617"/>
      <c r="D44" s="2617"/>
      <c r="E44" s="2617"/>
      <c r="F44" s="2329"/>
      <c r="G44" s="2329"/>
      <c r="H44" s="2330" t="s">
        <v>1639</v>
      </c>
      <c r="I44" s="2360">
        <f>+I34+J41</f>
        <v>104515429</v>
      </c>
      <c r="J44" s="2331"/>
      <c r="K44" s="2346"/>
    </row>
    <row r="45" spans="1:15" ht="15.75">
      <c r="A45" s="2332"/>
      <c r="B45" s="2332"/>
      <c r="C45" s="2332"/>
      <c r="D45" s="2332"/>
      <c r="E45" s="2332"/>
      <c r="F45" s="2332"/>
      <c r="G45" s="2332"/>
      <c r="H45" s="2332"/>
      <c r="I45" s="2332"/>
      <c r="J45" s="2275"/>
    </row>
    <row r="46" spans="1:15" ht="15.75">
      <c r="A46" s="2333" t="s">
        <v>1640</v>
      </c>
      <c r="B46" s="2332"/>
      <c r="C46" s="2332"/>
      <c r="D46" s="2332"/>
      <c r="F46" s="2332"/>
      <c r="G46" s="2332"/>
      <c r="H46" s="2332"/>
      <c r="I46" s="2334"/>
      <c r="J46" s="2275"/>
    </row>
    <row r="47" spans="1:15" ht="15.75">
      <c r="A47" s="1241"/>
      <c r="B47" s="2332"/>
      <c r="C47" s="2332"/>
      <c r="D47" s="2332"/>
      <c r="F47" s="2332"/>
      <c r="G47" s="2332"/>
      <c r="H47" s="2332"/>
      <c r="I47" s="2334"/>
      <c r="J47" s="2275"/>
    </row>
    <row r="48" spans="1:15" ht="15.75">
      <c r="A48" s="2344" t="s">
        <v>1641</v>
      </c>
      <c r="B48" s="2344"/>
      <c r="C48" s="2344"/>
    </row>
    <row r="49" spans="1:10" ht="15.75">
      <c r="A49" s="1241" t="s">
        <v>1642</v>
      </c>
      <c r="B49" s="2335"/>
      <c r="C49" s="450"/>
    </row>
    <row r="50" spans="1:10" ht="15.75">
      <c r="A50" s="1241" t="s">
        <v>1560</v>
      </c>
      <c r="B50" s="2335"/>
      <c r="C50" s="450"/>
    </row>
    <row r="51" spans="1:10" ht="15.75">
      <c r="A51" s="1241" t="s">
        <v>1643</v>
      </c>
      <c r="B51" s="2350"/>
      <c r="C51" s="450"/>
    </row>
    <row r="52" spans="1:10" ht="15.75">
      <c r="A52" s="1241" t="s">
        <v>1644</v>
      </c>
      <c r="B52" s="2350"/>
      <c r="C52" s="450"/>
    </row>
    <row r="53" spans="1:10" ht="15.75">
      <c r="A53" s="1241" t="s">
        <v>1645</v>
      </c>
      <c r="B53" s="2335"/>
      <c r="C53" s="450"/>
    </row>
    <row r="54" spans="1:10" ht="15.75">
      <c r="A54" s="1241" t="s">
        <v>1564</v>
      </c>
      <c r="B54" s="2349"/>
      <c r="C54" s="2465">
        <f>+C27</f>
        <v>104515429</v>
      </c>
      <c r="D54" s="2332"/>
      <c r="F54" s="2332"/>
      <c r="G54" s="2332"/>
      <c r="H54" s="2332"/>
      <c r="I54" s="2334"/>
      <c r="J54" s="2275"/>
    </row>
    <row r="55" spans="1:10" ht="15.75">
      <c r="A55" s="411" t="s">
        <v>1646</v>
      </c>
      <c r="B55" s="2335"/>
      <c r="C55" s="450"/>
      <c r="D55" s="2332"/>
      <c r="F55" s="2332"/>
      <c r="G55" s="2332"/>
      <c r="H55" s="2332"/>
      <c r="I55" s="2334"/>
      <c r="J55" s="2275"/>
    </row>
    <row r="56" spans="1:10" ht="15.75">
      <c r="A56" s="411"/>
      <c r="B56" s="411"/>
      <c r="C56" s="411"/>
      <c r="D56" s="411"/>
      <c r="F56" s="2332"/>
      <c r="G56" s="2332"/>
      <c r="H56" s="2332"/>
      <c r="I56" s="2334"/>
      <c r="J56" s="2275"/>
    </row>
    <row r="57" spans="1:10" ht="15.75" hidden="1" outlineLevel="1">
      <c r="A57" s="2344" t="s">
        <v>1641</v>
      </c>
      <c r="B57" s="2344"/>
      <c r="C57" s="2344"/>
    </row>
    <row r="58" spans="1:10" ht="15.75" hidden="1" outlineLevel="1">
      <c r="A58" s="1241" t="s">
        <v>1642</v>
      </c>
      <c r="B58" s="2335"/>
      <c r="C58" s="450"/>
    </row>
    <row r="59" spans="1:10" ht="15.75" hidden="1" outlineLevel="1">
      <c r="A59" s="1241" t="s">
        <v>1560</v>
      </c>
      <c r="B59" s="2335"/>
      <c r="C59" s="450"/>
    </row>
    <row r="60" spans="1:10" ht="15.75" hidden="1" outlineLevel="1">
      <c r="A60" s="1241" t="s">
        <v>1643</v>
      </c>
      <c r="B60" s="2350"/>
      <c r="C60" s="450"/>
    </row>
    <row r="61" spans="1:10" ht="15.75" hidden="1" outlineLevel="1">
      <c r="A61" s="1241" t="s">
        <v>1644</v>
      </c>
      <c r="B61" s="2350"/>
      <c r="C61" s="450"/>
    </row>
    <row r="62" spans="1:10" ht="15.75" hidden="1" outlineLevel="1">
      <c r="A62" s="1241" t="s">
        <v>1645</v>
      </c>
      <c r="B62" s="2335"/>
      <c r="C62" s="450"/>
    </row>
    <row r="63" spans="1:10" ht="15.75" hidden="1" outlineLevel="1">
      <c r="A63" s="1241" t="s">
        <v>1564</v>
      </c>
      <c r="B63" s="2349"/>
      <c r="C63" s="2364">
        <f>+C20+K48</f>
        <v>0</v>
      </c>
      <c r="D63" s="2332"/>
      <c r="F63" s="2332"/>
      <c r="G63" s="2332"/>
      <c r="H63" s="2332"/>
      <c r="I63" s="2334"/>
      <c r="J63" s="2275"/>
    </row>
    <row r="64" spans="1:10" ht="15.75" hidden="1" outlineLevel="1">
      <c r="A64" s="411" t="s">
        <v>1646</v>
      </c>
      <c r="B64" s="2335"/>
      <c r="C64" s="450"/>
      <c r="D64" s="2332"/>
      <c r="F64" s="2332"/>
      <c r="G64" s="2332"/>
      <c r="H64" s="2332"/>
      <c r="I64" s="2334"/>
      <c r="J64" s="2275"/>
    </row>
    <row r="65" spans="1:14" ht="15.75" collapsed="1">
      <c r="A65" s="411"/>
      <c r="B65" s="411"/>
      <c r="C65" s="411"/>
      <c r="D65" s="2332"/>
      <c r="F65" s="2332"/>
      <c r="G65" s="2332"/>
      <c r="H65" s="2332"/>
      <c r="I65" s="2334"/>
      <c r="J65" s="2275"/>
    </row>
    <row r="66" spans="1:14" ht="15.75">
      <c r="A66" s="2618" t="s">
        <v>1647</v>
      </c>
      <c r="B66" s="2618"/>
      <c r="C66" s="2618"/>
      <c r="D66" s="2618"/>
      <c r="E66" s="2618"/>
      <c r="F66" s="2618"/>
      <c r="G66" s="2618"/>
      <c r="H66" s="2618"/>
      <c r="I66" s="2618"/>
      <c r="J66" s="2618"/>
    </row>
    <row r="67" spans="1:14" ht="15.75">
      <c r="A67" s="1241"/>
      <c r="B67" s="2336"/>
      <c r="C67" s="411"/>
      <c r="D67" s="2332"/>
      <c r="F67" s="2332"/>
      <c r="G67" s="2332"/>
      <c r="H67" s="2332"/>
      <c r="I67" s="2334"/>
      <c r="J67" s="2275"/>
      <c r="K67" s="186">
        <f>+C54+C63</f>
        <v>104515429</v>
      </c>
    </row>
    <row r="68" spans="1:14" ht="15.75">
      <c r="A68" s="411"/>
      <c r="B68" s="411"/>
      <c r="C68" s="411"/>
      <c r="D68" s="411"/>
      <c r="E68" s="411"/>
      <c r="F68" s="411"/>
      <c r="G68" s="411"/>
      <c r="H68" s="411"/>
      <c r="I68" s="2275"/>
      <c r="J68" s="2275"/>
      <c r="K68" s="186">
        <f>+I44-K67</f>
        <v>0</v>
      </c>
    </row>
    <row r="69" spans="1:14" ht="15.75">
      <c r="A69" s="440" t="s">
        <v>1605</v>
      </c>
      <c r="B69" s="411"/>
      <c r="C69" s="411"/>
      <c r="D69" s="411"/>
      <c r="E69" s="411"/>
      <c r="F69" s="411"/>
      <c r="G69" s="411"/>
      <c r="H69" s="411"/>
      <c r="I69" s="2275"/>
      <c r="J69" s="2275"/>
    </row>
    <row r="70" spans="1:14" ht="15.75">
      <c r="A70" s="440"/>
      <c r="B70" s="411"/>
      <c r="C70" s="411"/>
      <c r="D70" s="411"/>
      <c r="E70" s="411"/>
      <c r="F70" s="411"/>
      <c r="G70" s="411"/>
      <c r="H70" s="411"/>
      <c r="I70" s="2275"/>
      <c r="J70" s="2275"/>
    </row>
    <row r="71" spans="1:14" ht="15.75">
      <c r="A71" s="2395">
        <f>+B5</f>
        <v>0</v>
      </c>
      <c r="B71" s="450"/>
      <c r="C71" s="450"/>
      <c r="D71" s="450"/>
      <c r="E71" s="450"/>
      <c r="F71" s="411"/>
      <c r="G71" s="411"/>
      <c r="H71" s="411"/>
      <c r="I71" s="2275"/>
      <c r="J71" s="2275"/>
    </row>
    <row r="72" spans="1:14" ht="15.75">
      <c r="A72" s="411"/>
      <c r="B72" s="411"/>
      <c r="C72" s="411"/>
      <c r="D72" s="411"/>
      <c r="E72" s="411"/>
      <c r="F72" s="411"/>
      <c r="G72" s="411"/>
      <c r="H72" s="411"/>
      <c r="I72" s="2275"/>
      <c r="J72" s="2275"/>
    </row>
    <row r="73" spans="1:14" ht="15.75">
      <c r="A73" s="411"/>
      <c r="B73" s="411"/>
      <c r="C73" s="411"/>
      <c r="D73" s="411"/>
      <c r="E73" s="411"/>
      <c r="F73" s="411"/>
      <c r="G73" s="411"/>
      <c r="H73" s="411"/>
      <c r="I73" s="2275"/>
      <c r="J73" s="2275"/>
    </row>
    <row r="74" spans="1:14" ht="15.75">
      <c r="A74" s="411"/>
      <c r="B74" s="411"/>
      <c r="C74" s="411"/>
      <c r="D74" s="411"/>
      <c r="E74" s="411"/>
      <c r="F74" s="411"/>
      <c r="G74" s="411"/>
      <c r="H74" s="411"/>
      <c r="I74" s="2275"/>
      <c r="J74" s="2275"/>
    </row>
    <row r="75" spans="1:14" ht="15.75">
      <c r="A75" s="411" t="s">
        <v>1648</v>
      </c>
      <c r="B75" s="2614"/>
      <c r="C75" s="2614"/>
      <c r="D75" s="2614"/>
      <c r="E75" s="2614"/>
      <c r="F75" s="2614"/>
      <c r="G75" s="411"/>
      <c r="H75" s="411"/>
      <c r="I75" s="2337"/>
      <c r="J75" s="2275"/>
    </row>
    <row r="76" spans="1:14" ht="15.75">
      <c r="A76" s="411"/>
      <c r="B76" s="411" t="s">
        <v>1592</v>
      </c>
      <c r="C76" s="407"/>
      <c r="D76" s="1069"/>
      <c r="E76" s="1069"/>
      <c r="F76" s="411"/>
      <c r="G76" s="411"/>
      <c r="H76" s="411"/>
      <c r="I76" s="2338"/>
      <c r="J76" s="2275"/>
    </row>
    <row r="77" spans="1:14" ht="15.75">
      <c r="A77" s="411"/>
      <c r="B77" s="411" t="s">
        <v>1649</v>
      </c>
      <c r="C77" s="407"/>
      <c r="D77" s="411"/>
      <c r="E77" s="411"/>
      <c r="F77" s="411"/>
      <c r="G77" s="411"/>
      <c r="H77" s="411"/>
      <c r="I77" s="2339"/>
      <c r="J77" s="2275"/>
    </row>
    <row r="78" spans="1:14" ht="15.75">
      <c r="A78" s="440"/>
      <c r="B78" s="411"/>
      <c r="C78" s="411"/>
      <c r="D78" s="411"/>
      <c r="E78" s="411"/>
      <c r="F78" s="411"/>
      <c r="G78" s="411"/>
      <c r="H78" s="411"/>
      <c r="I78" s="2275"/>
      <c r="J78" s="2275"/>
    </row>
    <row r="79" spans="1:14" ht="15.75">
      <c r="A79" s="440" t="s">
        <v>1650</v>
      </c>
      <c r="B79" s="411"/>
      <c r="C79" s="411"/>
      <c r="D79" s="411"/>
      <c r="E79" s="411"/>
      <c r="F79" s="411"/>
      <c r="G79" s="411"/>
      <c r="H79" s="411"/>
      <c r="I79" s="2339"/>
      <c r="J79" s="2275"/>
    </row>
    <row r="80" spans="1:14" ht="15.75">
      <c r="A80" s="2340"/>
      <c r="B80" s="411"/>
      <c r="C80" s="411"/>
      <c r="D80" s="411"/>
      <c r="E80" s="411"/>
      <c r="F80" s="411"/>
      <c r="G80" s="411"/>
      <c r="H80" s="411"/>
      <c r="I80" s="2339"/>
      <c r="J80" s="2275"/>
      <c r="K80" s="28"/>
      <c r="L80" s="2341"/>
      <c r="M80" s="2341"/>
      <c r="N80" s="2341"/>
    </row>
    <row r="81" spans="1:14" ht="15.75">
      <c r="A81" s="2395">
        <f>+B6</f>
        <v>0</v>
      </c>
      <c r="B81" s="450"/>
      <c r="C81" s="450"/>
      <c r="D81" s="450"/>
      <c r="E81" s="450"/>
      <c r="F81" s="411"/>
      <c r="G81" s="411"/>
      <c r="H81" s="411"/>
      <c r="I81" s="2339"/>
      <c r="J81" s="2275"/>
      <c r="K81" s="28"/>
      <c r="L81" s="2341"/>
      <c r="M81" s="2341"/>
      <c r="N81" s="2341"/>
    </row>
    <row r="82" spans="1:14" ht="15.75">
      <c r="A82" s="411"/>
      <c r="B82" s="411"/>
      <c r="C82" s="411"/>
      <c r="D82" s="411"/>
      <c r="E82" s="411"/>
      <c r="F82" s="411"/>
      <c r="G82" s="411"/>
      <c r="H82" s="411"/>
      <c r="I82" s="2275"/>
      <c r="J82" s="2275"/>
    </row>
    <row r="83" spans="1:14" ht="15.75">
      <c r="A83" s="411"/>
      <c r="B83" s="411"/>
      <c r="C83" s="411"/>
      <c r="D83" s="411"/>
      <c r="E83" s="411"/>
      <c r="F83" s="411"/>
      <c r="G83" s="411"/>
      <c r="H83" s="411"/>
      <c r="I83" s="2275"/>
      <c r="J83" s="2275"/>
    </row>
    <row r="84" spans="1:14" ht="15.75">
      <c r="A84" s="411"/>
      <c r="B84" s="411"/>
      <c r="C84" s="411"/>
      <c r="D84" s="411"/>
      <c r="E84" s="411"/>
      <c r="F84" s="411"/>
      <c r="G84" s="411"/>
      <c r="H84" s="411"/>
      <c r="I84" s="2275"/>
      <c r="J84" s="2275"/>
    </row>
    <row r="85" spans="1:14" ht="15.75">
      <c r="A85" s="411" t="s">
        <v>1648</v>
      </c>
      <c r="B85" s="2614"/>
      <c r="C85" s="2614"/>
      <c r="D85" s="2614"/>
      <c r="E85" s="2614"/>
      <c r="F85" s="2614"/>
      <c r="G85" s="411"/>
      <c r="H85" s="411"/>
      <c r="I85" s="2337"/>
      <c r="J85" s="2275"/>
    </row>
    <row r="86" spans="1:14" ht="15.75">
      <c r="A86" s="411"/>
      <c r="B86" s="411" t="s">
        <v>1592</v>
      </c>
      <c r="C86" s="407"/>
      <c r="D86" s="1069"/>
      <c r="E86" s="1069"/>
      <c r="F86" s="411"/>
      <c r="G86" s="411"/>
      <c r="H86" s="411"/>
      <c r="I86" s="2338"/>
      <c r="J86" s="2275"/>
    </row>
    <row r="87" spans="1:14" ht="15.75">
      <c r="A87" s="411"/>
      <c r="B87" s="411" t="s">
        <v>1649</v>
      </c>
      <c r="C87" s="407"/>
      <c r="D87" s="411"/>
      <c r="E87" s="411"/>
      <c r="F87" s="411"/>
      <c r="G87" s="411"/>
      <c r="H87" s="411"/>
      <c r="I87" s="2339"/>
      <c r="J87" s="2275"/>
    </row>
    <row r="88" spans="1:14" ht="15.75">
      <c r="A88" s="411"/>
      <c r="B88" s="411"/>
      <c r="C88" s="411"/>
      <c r="D88" s="411"/>
      <c r="E88" s="411"/>
      <c r="F88" s="411"/>
      <c r="G88" s="411"/>
      <c r="H88" s="411"/>
      <c r="I88" s="2275"/>
      <c r="J88" s="2275"/>
    </row>
    <row r="89" spans="1:14" ht="15.75">
      <c r="A89" s="411"/>
      <c r="B89" s="411"/>
      <c r="C89" s="411"/>
      <c r="D89" s="411"/>
      <c r="E89" s="411"/>
      <c r="F89" s="411"/>
      <c r="G89" s="411"/>
      <c r="H89" s="411"/>
      <c r="I89" s="2275"/>
      <c r="J89" s="2275"/>
    </row>
    <row r="90" spans="1:14" ht="15.75">
      <c r="A90" s="411"/>
      <c r="B90" s="411"/>
      <c r="C90" s="411"/>
      <c r="D90" s="411"/>
      <c r="E90" s="411"/>
      <c r="F90" s="411"/>
      <c r="G90" s="411"/>
      <c r="H90" s="411"/>
      <c r="I90" s="2275"/>
      <c r="J90" s="2275"/>
    </row>
    <row r="91" spans="1:14" ht="15.75">
      <c r="A91" s="411"/>
      <c r="B91" s="411"/>
      <c r="C91" s="411"/>
      <c r="D91" s="411"/>
      <c r="E91" s="411"/>
      <c r="F91" s="411"/>
      <c r="G91" s="411"/>
      <c r="H91" s="411"/>
      <c r="I91" s="2275"/>
      <c r="J91" s="2275"/>
    </row>
  </sheetData>
  <mergeCells count="8">
    <mergeCell ref="B85:F85"/>
    <mergeCell ref="B7:G7"/>
    <mergeCell ref="A3:J3"/>
    <mergeCell ref="B5:G5"/>
    <mergeCell ref="B44:E44"/>
    <mergeCell ref="B75:F75"/>
    <mergeCell ref="A66:J66"/>
    <mergeCell ref="B6:G6"/>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A6153-F6E5-4558-80F4-EDCBD7B4A848}">
  <sheetPr codeName="Sheet17"/>
  <dimension ref="A1:Z110"/>
  <sheetViews>
    <sheetView workbookViewId="0">
      <selection activeCell="E75" sqref="E75"/>
    </sheetView>
  </sheetViews>
  <sheetFormatPr defaultColWidth="8.85546875" defaultRowHeight="12.75" outlineLevelRow="1"/>
  <cols>
    <col min="1" max="1" width="20.85546875" style="28" customWidth="1"/>
    <col min="2" max="2" width="15" style="28" customWidth="1"/>
    <col min="3" max="4" width="17.42578125" style="28" customWidth="1"/>
    <col min="5" max="5" width="19.5703125" style="28" customWidth="1"/>
    <col min="6" max="6" width="15.42578125" style="28" customWidth="1"/>
    <col min="7" max="7" width="13.85546875" style="28" customWidth="1"/>
    <col min="8" max="8" width="14.42578125" style="28" customWidth="1"/>
    <col min="9" max="9" width="18.42578125" style="29" customWidth="1"/>
    <col min="10" max="10" width="15.5703125" style="29" customWidth="1"/>
    <col min="11" max="11" width="17.85546875" style="3" customWidth="1"/>
    <col min="12" max="14" width="3.85546875" style="367" customWidth="1"/>
    <col min="15" max="15" width="25" style="3" customWidth="1"/>
    <col min="16" max="16" width="9.5703125" style="3" customWidth="1"/>
    <col min="17" max="18" width="17.140625" style="3" customWidth="1"/>
    <col min="19" max="19" width="15.42578125" style="3" customWidth="1"/>
    <col min="20" max="21" width="11" style="3" customWidth="1"/>
    <col min="22" max="16384" width="8.85546875" style="3"/>
  </cols>
  <sheetData>
    <row r="1" spans="1:23" ht="15.75">
      <c r="A1" s="411"/>
      <c r="B1" s="411"/>
      <c r="C1" s="411"/>
      <c r="D1" s="411"/>
      <c r="E1" s="411"/>
      <c r="F1" s="411"/>
      <c r="G1" s="411"/>
      <c r="H1" s="411"/>
      <c r="I1" s="2275"/>
      <c r="J1" s="2275"/>
      <c r="W1" s="3" t="s">
        <v>1601</v>
      </c>
    </row>
    <row r="2" spans="1:23" ht="15.75">
      <c r="A2" s="411"/>
      <c r="B2" s="411"/>
      <c r="C2" s="411"/>
      <c r="D2" s="411"/>
      <c r="E2" s="411"/>
      <c r="F2" s="411"/>
      <c r="G2" s="411"/>
      <c r="H2" s="411"/>
      <c r="I2" s="2275"/>
      <c r="J2" s="2275"/>
    </row>
    <row r="3" spans="1:23" ht="17.25">
      <c r="A3" s="2616" t="s">
        <v>1651</v>
      </c>
      <c r="B3" s="2616"/>
      <c r="C3" s="2616"/>
      <c r="D3" s="2616"/>
      <c r="E3" s="2616"/>
      <c r="F3" s="2616"/>
      <c r="G3" s="2616"/>
      <c r="H3" s="2616"/>
      <c r="I3" s="2616"/>
      <c r="J3" s="2616"/>
      <c r="P3" s="2276"/>
      <c r="Q3" s="2276"/>
      <c r="R3" s="2276"/>
      <c r="W3" s="2277" t="s">
        <v>10</v>
      </c>
    </row>
    <row r="4" spans="1:23" ht="16.5" thickBot="1">
      <c r="A4" s="411"/>
      <c r="B4" s="411"/>
      <c r="C4" s="411"/>
      <c r="D4" s="411"/>
      <c r="E4" s="411"/>
      <c r="F4" s="411"/>
      <c r="G4" s="411"/>
      <c r="H4" s="411"/>
      <c r="I4" s="2278" t="s">
        <v>1603</v>
      </c>
      <c r="J4" s="2343"/>
      <c r="O4" s="367" t="s">
        <v>1604</v>
      </c>
      <c r="P4" s="2276"/>
      <c r="Q4" s="2276"/>
      <c r="R4" s="2276"/>
      <c r="W4" s="2277" t="s">
        <v>9</v>
      </c>
    </row>
    <row r="5" spans="1:23" ht="15.75" customHeight="1" thickBot="1">
      <c r="A5" s="411" t="s">
        <v>1652</v>
      </c>
      <c r="B5" s="2619"/>
      <c r="C5" s="2619"/>
      <c r="D5" s="2619"/>
      <c r="E5" s="2619"/>
      <c r="F5" s="2619"/>
      <c r="G5" s="2619"/>
      <c r="H5" s="411"/>
      <c r="I5" s="2275"/>
      <c r="J5" s="2275"/>
      <c r="O5" s="2279" t="s">
        <v>9</v>
      </c>
      <c r="P5" s="3" t="s">
        <v>1606</v>
      </c>
    </row>
    <row r="6" spans="1:23" ht="15.75" customHeight="1">
      <c r="A6" s="411" t="s">
        <v>1653</v>
      </c>
      <c r="B6" s="2363"/>
      <c r="C6" s="2431"/>
      <c r="D6" s="2431"/>
      <c r="E6" s="2431"/>
      <c r="F6" s="2431"/>
      <c r="G6" s="2431"/>
      <c r="H6" s="411"/>
      <c r="I6" s="2275"/>
      <c r="J6" s="2275"/>
      <c r="O6" s="2342"/>
    </row>
    <row r="7" spans="1:23" ht="33" customHeight="1">
      <c r="A7" s="411" t="s">
        <v>1508</v>
      </c>
      <c r="B7" s="2615" t="str">
        <f>+'Loan Settlement Stmt'!D8</f>
        <v>6363 &amp; 6399 &amp; 6501 S Fiddler's Green Circle, Englewood, CO</v>
      </c>
      <c r="C7" s="2615"/>
      <c r="D7" s="2615"/>
      <c r="E7" s="2615"/>
      <c r="F7" s="2615"/>
      <c r="G7" s="2615"/>
      <c r="H7" s="411"/>
      <c r="I7" s="2275"/>
      <c r="J7" s="2275"/>
    </row>
    <row r="8" spans="1:23" ht="15.75">
      <c r="A8" s="411"/>
      <c r="B8" s="411"/>
      <c r="C8" s="411"/>
      <c r="D8" s="411"/>
      <c r="E8" s="411"/>
      <c r="F8" s="411"/>
      <c r="G8" s="411"/>
      <c r="H8" s="411"/>
    </row>
    <row r="9" spans="1:23" ht="16.5" thickBot="1">
      <c r="A9" s="78" t="s">
        <v>1654</v>
      </c>
      <c r="B9" s="411"/>
      <c r="C9" s="411"/>
      <c r="D9" s="411"/>
      <c r="E9" s="411"/>
      <c r="F9" s="411"/>
      <c r="G9" s="411"/>
      <c r="H9" s="411"/>
      <c r="I9" s="2275"/>
      <c r="J9" s="2275"/>
    </row>
    <row r="10" spans="1:23" ht="45">
      <c r="A10" s="2372" t="s">
        <v>299</v>
      </c>
      <c r="B10" s="2375"/>
      <c r="C10" s="2372" t="s">
        <v>1609</v>
      </c>
      <c r="D10" s="2385" t="s">
        <v>330</v>
      </c>
      <c r="E10" s="2386" t="s">
        <v>22</v>
      </c>
      <c r="F10" s="2386" t="s">
        <v>1655</v>
      </c>
      <c r="G10" s="2375" t="s">
        <v>1656</v>
      </c>
      <c r="H10" s="2386" t="s">
        <v>306</v>
      </c>
      <c r="I10" s="2374" t="s">
        <v>1610</v>
      </c>
      <c r="J10" s="2375" t="s">
        <v>1611</v>
      </c>
    </row>
    <row r="11" spans="1:23" ht="15">
      <c r="A11" s="2373"/>
      <c r="B11" s="2376"/>
      <c r="C11" s="1611"/>
      <c r="D11" s="1603"/>
      <c r="E11" s="1603"/>
      <c r="F11" s="1603" t="e">
        <f t="shared" ref="F11:G13" si="0">C11*(0/$E$27)</f>
        <v>#DIV/0!</v>
      </c>
      <c r="G11" s="2389" t="e">
        <f t="shared" si="0"/>
        <v>#DIV/0!</v>
      </c>
      <c r="H11" s="2387"/>
      <c r="I11" s="2387">
        <f>+H11+B30</f>
        <v>3.5790000000000002E-2</v>
      </c>
      <c r="J11" s="2389" t="e">
        <f>F11*+I11/360</f>
        <v>#DIV/0!</v>
      </c>
    </row>
    <row r="12" spans="1:23" ht="15">
      <c r="A12" s="2373"/>
      <c r="B12" s="2376"/>
      <c r="C12" s="1611"/>
      <c r="D12" s="1603"/>
      <c r="E12" s="1603"/>
      <c r="F12" s="1603" t="e">
        <f t="shared" si="0"/>
        <v>#DIV/0!</v>
      </c>
      <c r="G12" s="2389" t="e">
        <f t="shared" si="0"/>
        <v>#DIV/0!</v>
      </c>
      <c r="H12" s="2387"/>
      <c r="I12" s="2387">
        <f>+H12+B31</f>
        <v>0</v>
      </c>
      <c r="J12" s="2389" t="e">
        <f>F12*+I12/360</f>
        <v>#DIV/0!</v>
      </c>
      <c r="S12" s="1038"/>
    </row>
    <row r="13" spans="1:23" ht="15.75" thickBot="1">
      <c r="A13" s="2379"/>
      <c r="B13" s="2380"/>
      <c r="C13" s="2390"/>
      <c r="D13" s="1605"/>
      <c r="E13" s="1605"/>
      <c r="F13" s="1603" t="e">
        <f t="shared" si="0"/>
        <v>#DIV/0!</v>
      </c>
      <c r="G13" s="2389" t="e">
        <f t="shared" si="0"/>
        <v>#DIV/0!</v>
      </c>
      <c r="H13" s="2391"/>
      <c r="I13" s="2387">
        <f>+H13+B32</f>
        <v>0</v>
      </c>
      <c r="J13" s="1606" t="e">
        <f>F13*+I13/360</f>
        <v>#DIV/0!</v>
      </c>
      <c r="S13" s="1038"/>
    </row>
    <row r="14" spans="1:23" ht="15.75" hidden="1" outlineLevel="1" thickBot="1">
      <c r="A14" s="23"/>
      <c r="B14" s="110"/>
      <c r="C14" s="2382"/>
      <c r="D14" s="2383"/>
      <c r="E14" s="2383"/>
      <c r="F14" s="20"/>
      <c r="G14" s="2384"/>
      <c r="H14" s="2383"/>
      <c r="I14" s="2383"/>
      <c r="J14" s="2384"/>
      <c r="S14" s="1038"/>
    </row>
    <row r="15" spans="1:23" ht="15.75" hidden="1" outlineLevel="1" thickBot="1">
      <c r="A15" s="2379"/>
      <c r="B15" s="2380"/>
      <c r="C15" s="1612"/>
      <c r="D15" s="1617"/>
      <c r="E15" s="1617"/>
      <c r="F15" s="20"/>
      <c r="G15" s="2381"/>
      <c r="H15" s="1617"/>
      <c r="I15" s="1617"/>
      <c r="J15" s="2381"/>
      <c r="S15" s="1038"/>
    </row>
    <row r="16" spans="1:23" ht="15.75" hidden="1" outlineLevel="1" thickBot="1">
      <c r="A16" s="2379"/>
      <c r="B16" s="2380"/>
      <c r="C16" s="1612"/>
      <c r="D16" s="1617"/>
      <c r="E16" s="1617"/>
      <c r="F16" s="20"/>
      <c r="G16" s="2381"/>
      <c r="H16" s="1617"/>
      <c r="I16" s="1617"/>
      <c r="J16" s="2381"/>
      <c r="S16" s="1037"/>
    </row>
    <row r="17" spans="1:26" ht="15.75" hidden="1" outlineLevel="1" thickBot="1">
      <c r="A17" s="2379"/>
      <c r="B17" s="2380"/>
      <c r="C17" s="1612"/>
      <c r="D17" s="1617"/>
      <c r="E17" s="1617"/>
      <c r="F17" s="20"/>
      <c r="G17" s="2381"/>
      <c r="H17" s="1617"/>
      <c r="I17" s="1617"/>
      <c r="J17" s="2381"/>
      <c r="U17" s="2" t="s">
        <v>1617</v>
      </c>
      <c r="Z17" s="2" t="s">
        <v>1618</v>
      </c>
    </row>
    <row r="18" spans="1:26" ht="16.5" hidden="1" outlineLevel="1" thickBot="1">
      <c r="A18" s="2379"/>
      <c r="B18" s="2380"/>
      <c r="C18" s="1612"/>
      <c r="D18" s="1617"/>
      <c r="E18" s="1617"/>
      <c r="F18" s="20"/>
      <c r="G18" s="2381"/>
      <c r="H18" s="1617"/>
      <c r="I18" s="1617"/>
      <c r="J18" s="2381"/>
      <c r="N18" s="2296"/>
      <c r="S18" s="2297"/>
      <c r="T18" s="2297"/>
      <c r="U18" s="3">
        <f>-(F38-C38)</f>
        <v>0</v>
      </c>
      <c r="V18" s="3">
        <f>-(Q18-$C$38)</f>
        <v>0</v>
      </c>
      <c r="W18" s="3">
        <f>-(R18-$C$38)</f>
        <v>0</v>
      </c>
      <c r="X18" s="3">
        <f>-(S18-$C$38)</f>
        <v>0</v>
      </c>
      <c r="Y18" s="3">
        <f>-(T18-$C$38)</f>
        <v>0</v>
      </c>
      <c r="Z18" s="2298"/>
    </row>
    <row r="19" spans="1:26" ht="16.5" hidden="1" outlineLevel="1" thickBot="1">
      <c r="A19" s="2379"/>
      <c r="B19" s="2380"/>
      <c r="C19" s="1612"/>
      <c r="D19" s="1617"/>
      <c r="E19" s="1617"/>
      <c r="F19" s="20"/>
      <c r="G19" s="2381"/>
      <c r="H19" s="1617"/>
      <c r="I19" s="1617"/>
      <c r="J19" s="2381"/>
      <c r="N19" s="2296"/>
      <c r="S19" s="2283"/>
      <c r="T19" s="2283"/>
      <c r="U19" s="3">
        <f t="shared" ref="U19:U25" si="1">O19*+$I19/360*U$18</f>
        <v>0</v>
      </c>
      <c r="V19" s="3">
        <f t="shared" ref="V19:Y25" si="2">Q19*+$I19/360*V$18</f>
        <v>0</v>
      </c>
      <c r="W19" s="3">
        <f t="shared" si="2"/>
        <v>0</v>
      </c>
      <c r="X19" s="3">
        <f t="shared" si="2"/>
        <v>0</v>
      </c>
      <c r="Y19" s="3">
        <f t="shared" si="2"/>
        <v>0</v>
      </c>
      <c r="Z19" s="2298">
        <f t="shared" ref="Z19:Z25" si="3">+SUM(U19:Y19)</f>
        <v>0</v>
      </c>
    </row>
    <row r="20" spans="1:26" ht="16.5" hidden="1" outlineLevel="1" thickBot="1">
      <c r="A20" s="2379"/>
      <c r="B20" s="2380"/>
      <c r="C20" s="1612"/>
      <c r="D20" s="1617"/>
      <c r="E20" s="1617"/>
      <c r="F20" s="20"/>
      <c r="G20" s="2381"/>
      <c r="H20" s="1617"/>
      <c r="I20" s="1617"/>
      <c r="J20" s="2381"/>
      <c r="S20" s="2283"/>
      <c r="T20" s="2283"/>
      <c r="U20" s="3">
        <f t="shared" si="1"/>
        <v>0</v>
      </c>
      <c r="V20" s="3">
        <f t="shared" si="2"/>
        <v>0</v>
      </c>
      <c r="W20" s="3">
        <f t="shared" si="2"/>
        <v>0</v>
      </c>
      <c r="X20" s="3">
        <f t="shared" si="2"/>
        <v>0</v>
      </c>
      <c r="Y20" s="3">
        <f t="shared" si="2"/>
        <v>0</v>
      </c>
      <c r="Z20" s="2298">
        <f t="shared" si="3"/>
        <v>0</v>
      </c>
    </row>
    <row r="21" spans="1:26" ht="16.5" hidden="1" outlineLevel="1" thickBot="1">
      <c r="A21" s="2379"/>
      <c r="B21" s="2380"/>
      <c r="C21" s="1612"/>
      <c r="D21" s="1617"/>
      <c r="E21" s="1617"/>
      <c r="F21" s="20"/>
      <c r="G21" s="2381"/>
      <c r="H21" s="1617"/>
      <c r="I21" s="1617"/>
      <c r="J21" s="2381"/>
      <c r="S21" s="2283"/>
      <c r="T21" s="2283"/>
      <c r="U21" s="3">
        <f t="shared" si="1"/>
        <v>0</v>
      </c>
      <c r="V21" s="3">
        <f t="shared" si="2"/>
        <v>0</v>
      </c>
      <c r="W21" s="3">
        <f t="shared" si="2"/>
        <v>0</v>
      </c>
      <c r="X21" s="3">
        <f t="shared" si="2"/>
        <v>0</v>
      </c>
      <c r="Y21" s="3">
        <f t="shared" si="2"/>
        <v>0</v>
      </c>
      <c r="Z21" s="2298">
        <f t="shared" si="3"/>
        <v>0</v>
      </c>
    </row>
    <row r="22" spans="1:26" ht="16.5" hidden="1" outlineLevel="1" thickBot="1">
      <c r="A22" s="2379"/>
      <c r="B22" s="2380"/>
      <c r="C22" s="1612"/>
      <c r="D22" s="1617"/>
      <c r="E22" s="1617"/>
      <c r="F22" s="20"/>
      <c r="G22" s="2381"/>
      <c r="H22" s="1617"/>
      <c r="I22" s="1617"/>
      <c r="J22" s="2381"/>
      <c r="S22" s="2283"/>
      <c r="T22" s="2283"/>
      <c r="U22" s="3">
        <f t="shared" si="1"/>
        <v>0</v>
      </c>
      <c r="V22" s="3">
        <f t="shared" si="2"/>
        <v>0</v>
      </c>
      <c r="W22" s="3">
        <f t="shared" si="2"/>
        <v>0</v>
      </c>
      <c r="X22" s="3">
        <f t="shared" si="2"/>
        <v>0</v>
      </c>
      <c r="Y22" s="3">
        <f t="shared" si="2"/>
        <v>0</v>
      </c>
      <c r="Z22" s="2298">
        <f t="shared" si="3"/>
        <v>0</v>
      </c>
    </row>
    <row r="23" spans="1:26" ht="16.5" hidden="1" outlineLevel="1" thickBot="1">
      <c r="A23" s="2379"/>
      <c r="B23" s="2380"/>
      <c r="C23" s="1612"/>
      <c r="D23" s="1617"/>
      <c r="E23" s="1617"/>
      <c r="F23" s="20"/>
      <c r="G23" s="2381"/>
      <c r="H23" s="1617"/>
      <c r="I23" s="1617"/>
      <c r="J23" s="2381"/>
      <c r="S23" s="2283"/>
      <c r="T23" s="2283"/>
      <c r="U23" s="3">
        <f t="shared" si="1"/>
        <v>0</v>
      </c>
      <c r="V23" s="3">
        <f t="shared" si="2"/>
        <v>0</v>
      </c>
      <c r="W23" s="3">
        <f t="shared" si="2"/>
        <v>0</v>
      </c>
      <c r="X23" s="3">
        <f t="shared" si="2"/>
        <v>0</v>
      </c>
      <c r="Y23" s="3">
        <f t="shared" si="2"/>
        <v>0</v>
      </c>
      <c r="Z23" s="2298">
        <f t="shared" si="3"/>
        <v>0</v>
      </c>
    </row>
    <row r="24" spans="1:26" ht="16.5" hidden="1" outlineLevel="1" thickBot="1">
      <c r="A24" s="2379"/>
      <c r="B24" s="2380"/>
      <c r="C24" s="1612"/>
      <c r="D24" s="1617"/>
      <c r="E24" s="1617"/>
      <c r="F24" s="20"/>
      <c r="G24" s="2381"/>
      <c r="H24" s="1617"/>
      <c r="I24" s="1617"/>
      <c r="J24" s="2381"/>
      <c r="S24" s="2283"/>
      <c r="T24" s="2283"/>
      <c r="U24" s="3">
        <f t="shared" si="1"/>
        <v>0</v>
      </c>
      <c r="V24" s="3">
        <f t="shared" si="2"/>
        <v>0</v>
      </c>
      <c r="W24" s="3">
        <f t="shared" si="2"/>
        <v>0</v>
      </c>
      <c r="X24" s="3">
        <f t="shared" si="2"/>
        <v>0</v>
      </c>
      <c r="Y24" s="3">
        <f t="shared" si="2"/>
        <v>0</v>
      </c>
      <c r="Z24" s="2298">
        <f t="shared" si="3"/>
        <v>0</v>
      </c>
    </row>
    <row r="25" spans="1:26" ht="16.5" hidden="1" outlineLevel="1" thickBot="1">
      <c r="A25" s="2379"/>
      <c r="B25" s="2380"/>
      <c r="C25" s="1612"/>
      <c r="D25" s="1617"/>
      <c r="E25" s="1617"/>
      <c r="F25" s="20"/>
      <c r="G25" s="2381"/>
      <c r="H25" s="1617"/>
      <c r="I25" s="1617"/>
      <c r="J25" s="2381"/>
      <c r="S25" s="2283"/>
      <c r="T25" s="2283"/>
      <c r="U25" s="3">
        <f t="shared" si="1"/>
        <v>0</v>
      </c>
      <c r="V25" s="3">
        <f t="shared" si="2"/>
        <v>0</v>
      </c>
      <c r="W25" s="3">
        <f t="shared" si="2"/>
        <v>0</v>
      </c>
      <c r="X25" s="3">
        <f t="shared" si="2"/>
        <v>0</v>
      </c>
      <c r="Y25" s="3">
        <f t="shared" si="2"/>
        <v>0</v>
      </c>
      <c r="Z25" s="2298">
        <f t="shared" si="3"/>
        <v>0</v>
      </c>
    </row>
    <row r="26" spans="1:26" ht="14.45" hidden="1" customHeight="1" outlineLevel="1">
      <c r="A26" s="2379"/>
      <c r="B26" s="2380"/>
      <c r="C26" s="1612"/>
      <c r="D26" s="1617"/>
      <c r="E26" s="1617"/>
      <c r="F26" s="20"/>
      <c r="G26" s="2381"/>
      <c r="H26" s="1617"/>
      <c r="I26" s="1617"/>
      <c r="J26" s="2381"/>
    </row>
    <row r="27" spans="1:26" ht="15.75" collapsed="1" thickBot="1">
      <c r="A27" s="2377" t="s">
        <v>1622</v>
      </c>
      <c r="B27" s="2378"/>
      <c r="C27" s="2369">
        <f>SUM(C11:C25)</f>
        <v>0</v>
      </c>
      <c r="D27" s="2369">
        <f>SUM(D11:D25)</f>
        <v>0</v>
      </c>
      <c r="E27" s="2370">
        <f>SUM(E11:E25)</f>
        <v>0</v>
      </c>
      <c r="F27" s="2371" t="e">
        <f>SUM(F11:F25)</f>
        <v>#DIV/0!</v>
      </c>
      <c r="G27" s="2371" t="e">
        <f>SUM(G11:G25)</f>
        <v>#DIV/0!</v>
      </c>
      <c r="H27" s="2394" t="e">
        <f>+SUMPRODUCT(H11:H25,E11:E25)/E27</f>
        <v>#DIV/0!</v>
      </c>
      <c r="I27" s="2393" t="e">
        <f>SUMPRODUCT(I11:I25,E11:E25)/E27</f>
        <v>#DIV/0!</v>
      </c>
      <c r="J27" s="2371" t="e">
        <f>SUM(J11:J25)</f>
        <v>#DIV/0!</v>
      </c>
    </row>
    <row r="28" spans="1:26" ht="15">
      <c r="A28" s="1349"/>
      <c r="B28" s="2388"/>
      <c r="C28" s="2388"/>
      <c r="D28" s="2388"/>
      <c r="E28" s="2388"/>
      <c r="F28" s="2388"/>
      <c r="G28" s="2388"/>
      <c r="H28" s="2392"/>
      <c r="I28" s="2392"/>
      <c r="J28" s="2388"/>
    </row>
    <row r="29" spans="1:26" ht="18">
      <c r="A29" s="411"/>
      <c r="B29" s="2299"/>
      <c r="C29" s="2307"/>
      <c r="D29" s="2307"/>
      <c r="E29" s="2307"/>
      <c r="F29" s="2299"/>
      <c r="G29" s="2286"/>
      <c r="H29" s="2287"/>
      <c r="I29" s="1287" t="s">
        <v>338</v>
      </c>
      <c r="J29" s="1287" t="s">
        <v>339</v>
      </c>
    </row>
    <row r="30" spans="1:26" ht="15.75">
      <c r="A30" s="411" t="s">
        <v>1623</v>
      </c>
      <c r="B30" s="2368">
        <f>ROUNDUP(0.0357844,5)</f>
        <v>3.5790000000000002E-2</v>
      </c>
      <c r="C30" s="2287" t="s">
        <v>1624</v>
      </c>
      <c r="D30" s="2308"/>
      <c r="E30" s="2307"/>
      <c r="F30" s="2299"/>
      <c r="G30" s="2286"/>
      <c r="H30" s="2287"/>
      <c r="I30" s="2306"/>
      <c r="J30" s="2275"/>
    </row>
    <row r="31" spans="1:26" ht="15.75">
      <c r="A31" s="411"/>
      <c r="B31" s="411"/>
      <c r="C31" s="2309"/>
      <c r="D31" s="2310"/>
      <c r="E31" s="2310"/>
      <c r="F31" s="2311"/>
      <c r="G31" s="2311"/>
      <c r="H31" s="2310"/>
      <c r="I31" s="2312"/>
      <c r="J31" s="2275"/>
      <c r="O31" s="2313" t="s">
        <v>1625</v>
      </c>
    </row>
    <row r="32" spans="1:26" ht="15.75">
      <c r="A32" s="411" t="s">
        <v>1657</v>
      </c>
      <c r="B32" s="411"/>
      <c r="C32" s="2357" t="e">
        <f>(0/E27)*(C12+C13)</f>
        <v>#DIV/0!</v>
      </c>
      <c r="D32" s="2310"/>
      <c r="E32" s="2310"/>
      <c r="F32" s="2311"/>
      <c r="G32" s="2311"/>
      <c r="H32" s="2310"/>
      <c r="I32" s="2367" t="e">
        <f>+C32</f>
        <v>#DIV/0!</v>
      </c>
      <c r="J32" s="2275"/>
    </row>
    <row r="33" spans="1:15" ht="15.75">
      <c r="A33" s="411" t="s">
        <v>1627</v>
      </c>
      <c r="B33" s="411"/>
      <c r="C33" s="2357" t="e">
        <f>(0/E27)*D11</f>
        <v>#DIV/0!</v>
      </c>
      <c r="D33" s="2310"/>
      <c r="E33" s="2310"/>
      <c r="F33" s="2315"/>
      <c r="G33" s="2315"/>
      <c r="H33" s="2278"/>
      <c r="I33" s="2316"/>
      <c r="J33" s="2275"/>
    </row>
    <row r="34" spans="1:15" ht="15.75">
      <c r="A34" s="411" t="s">
        <v>1628</v>
      </c>
      <c r="B34" s="411"/>
      <c r="C34" s="2317"/>
      <c r="D34" s="2315"/>
      <c r="E34" s="2315"/>
      <c r="F34" s="2315"/>
      <c r="G34" s="2315"/>
      <c r="H34" s="2315"/>
      <c r="I34" s="2318">
        <v>1</v>
      </c>
      <c r="J34" s="2275"/>
    </row>
    <row r="35" spans="1:15" ht="16.5" thickBot="1">
      <c r="A35" s="2319" t="s">
        <v>1658</v>
      </c>
      <c r="B35" s="2319"/>
      <c r="C35" s="2320"/>
      <c r="D35" s="2321"/>
      <c r="E35" s="2321"/>
      <c r="F35" s="2321"/>
      <c r="G35" s="2321"/>
      <c r="H35" s="2321" t="s">
        <v>1332</v>
      </c>
      <c r="I35" s="2358" t="e">
        <f>ROUND(+I32*I34,2)</f>
        <v>#DIV/0!</v>
      </c>
      <c r="J35" s="2321"/>
    </row>
    <row r="36" spans="1:15" ht="16.5" thickTop="1">
      <c r="A36" s="411"/>
      <c r="B36" s="411"/>
      <c r="C36" s="2317"/>
      <c r="D36" s="2315"/>
      <c r="E36" s="2315"/>
      <c r="F36" s="2315"/>
      <c r="G36" s="2315"/>
      <c r="H36" s="2315"/>
      <c r="I36" s="2312"/>
      <c r="J36" s="2275"/>
    </row>
    <row r="37" spans="1:15" ht="15.75">
      <c r="A37" s="78" t="s">
        <v>1630</v>
      </c>
      <c r="B37" s="411"/>
      <c r="C37" s="411"/>
      <c r="D37" s="411"/>
      <c r="E37" s="411"/>
      <c r="F37" s="411"/>
      <c r="G37" s="411"/>
      <c r="H37" s="411"/>
      <c r="I37" s="2306"/>
      <c r="J37" s="2275"/>
    </row>
    <row r="38" spans="1:15" ht="15.75">
      <c r="A38" s="411" t="s">
        <v>556</v>
      </c>
      <c r="B38" s="411"/>
      <c r="C38" s="2352"/>
      <c r="D38" s="411"/>
      <c r="E38" s="2315" t="s">
        <v>1631</v>
      </c>
      <c r="F38" s="2322"/>
      <c r="G38" s="411"/>
      <c r="H38" s="411"/>
      <c r="I38" s="2306"/>
      <c r="J38" s="2275"/>
      <c r="O38" s="2323" t="s">
        <v>1632</v>
      </c>
    </row>
    <row r="39" spans="1:15" ht="15.75">
      <c r="A39" s="411" t="s">
        <v>1633</v>
      </c>
      <c r="B39" s="411"/>
      <c r="C39" s="2058">
        <f>+IF(O5="Yes","Various daycounts due to recent fundings since last payment",(-(F38-C38)))</f>
        <v>0</v>
      </c>
      <c r="D39" s="411"/>
      <c r="E39" s="411"/>
      <c r="F39" s="411"/>
      <c r="G39" s="411"/>
      <c r="H39" s="411"/>
      <c r="I39" s="2306"/>
      <c r="J39" s="2275"/>
    </row>
    <row r="40" spans="1:15" ht="15.75">
      <c r="A40" s="411" t="s">
        <v>1659</v>
      </c>
      <c r="B40" s="411"/>
      <c r="C40" s="411"/>
      <c r="D40" s="440"/>
      <c r="E40" s="3"/>
      <c r="F40" s="440"/>
      <c r="G40" s="440"/>
      <c r="I40" s="2306"/>
      <c r="J40" s="2275" t="e">
        <f>IF(O5="Yes",(+SUM(J11:J17)*U18)+SUM(Z19:Z25),+J27*C39)</f>
        <v>#DIV/0!</v>
      </c>
      <c r="K40" s="2347"/>
      <c r="L40" s="2324"/>
      <c r="M40" s="2324"/>
      <c r="N40" s="2324"/>
    </row>
    <row r="41" spans="1:15" ht="15.75">
      <c r="A41" s="411" t="s">
        <v>1635</v>
      </c>
      <c r="B41" s="411"/>
      <c r="C41" s="2400"/>
      <c r="D41" s="411"/>
      <c r="E41" s="440"/>
      <c r="F41" s="440"/>
      <c r="G41" s="411"/>
      <c r="H41" s="411"/>
      <c r="I41" s="2306"/>
      <c r="J41" s="2275" t="e">
        <f>-1*((C32+C33)*C41)</f>
        <v>#DIV/0!</v>
      </c>
      <c r="K41" s="2347"/>
      <c r="L41" s="2324"/>
      <c r="M41" s="2324"/>
      <c r="N41" s="2324"/>
    </row>
    <row r="42" spans="1:15" s="2" customFormat="1" ht="16.5" thickBot="1">
      <c r="A42" s="2326" t="s">
        <v>1636</v>
      </c>
      <c r="B42" s="2326"/>
      <c r="C42" s="2326"/>
      <c r="D42" s="2326"/>
      <c r="E42" s="2326"/>
      <c r="F42" s="2326"/>
      <c r="G42" s="2326"/>
      <c r="H42" s="2327" t="s">
        <v>1637</v>
      </c>
      <c r="I42" s="2328"/>
      <c r="J42" s="2359" t="e">
        <f>ROUND(+SUM(J40:J41),2)</f>
        <v>#DIV/0!</v>
      </c>
      <c r="K42" s="2348"/>
      <c r="L42" s="367"/>
      <c r="M42" s="367"/>
      <c r="N42" s="367"/>
    </row>
    <row r="43" spans="1:15" ht="15.75">
      <c r="A43" s="411"/>
      <c r="B43" s="411"/>
      <c r="C43" s="411"/>
      <c r="D43" s="411"/>
      <c r="E43" s="411"/>
      <c r="F43" s="411"/>
      <c r="G43" s="411"/>
      <c r="H43" s="411"/>
      <c r="I43" s="2306"/>
      <c r="J43" s="2275"/>
    </row>
    <row r="44" spans="1:15" ht="15.75">
      <c r="A44" s="411"/>
      <c r="B44" s="411"/>
      <c r="C44" s="411"/>
      <c r="D44" s="411"/>
      <c r="E44" s="411"/>
      <c r="F44" s="411"/>
      <c r="G44" s="411"/>
      <c r="H44" s="411"/>
      <c r="I44" s="2306"/>
      <c r="J44" s="2275"/>
      <c r="K44" s="2346"/>
    </row>
    <row r="45" spans="1:15" ht="30.6" customHeight="1" thickBot="1">
      <c r="A45" s="2329" t="s">
        <v>1638</v>
      </c>
      <c r="B45" s="2617">
        <f>+A72</f>
        <v>0</v>
      </c>
      <c r="C45" s="2617"/>
      <c r="D45" s="2617"/>
      <c r="E45" s="2617"/>
      <c r="F45" s="2329"/>
      <c r="G45" s="2329"/>
      <c r="H45" s="2330" t="s">
        <v>1639</v>
      </c>
      <c r="I45" s="2360" t="e">
        <f>+I35+J42</f>
        <v>#DIV/0!</v>
      </c>
      <c r="J45" s="2331"/>
      <c r="K45" s="2346"/>
    </row>
    <row r="46" spans="1:15" ht="15.75">
      <c r="A46" s="2332"/>
      <c r="B46" s="2332"/>
      <c r="C46" s="2332"/>
      <c r="D46" s="2332"/>
      <c r="E46" s="2332"/>
      <c r="F46" s="2332"/>
      <c r="G46" s="2332"/>
      <c r="H46" s="2332"/>
      <c r="I46" s="2332"/>
      <c r="J46" s="2275"/>
    </row>
    <row r="47" spans="1:15" ht="15.75">
      <c r="A47" s="2333" t="s">
        <v>1660</v>
      </c>
      <c r="B47" s="2332"/>
      <c r="C47" s="2332"/>
      <c r="D47" s="2332"/>
      <c r="F47" s="2332"/>
      <c r="G47" s="2332"/>
      <c r="H47" s="2332"/>
      <c r="I47" s="2334"/>
      <c r="J47" s="2275"/>
    </row>
    <row r="48" spans="1:15" ht="15.75">
      <c r="A48" s="1241"/>
      <c r="B48" s="2332"/>
      <c r="C48" s="2332"/>
      <c r="D48" s="2332"/>
      <c r="F48" s="2332"/>
      <c r="G48" s="2332"/>
      <c r="H48" s="2332"/>
      <c r="I48" s="2334"/>
      <c r="J48" s="2275"/>
    </row>
    <row r="49" spans="1:10" ht="15.75">
      <c r="A49" s="2344" t="s">
        <v>1641</v>
      </c>
      <c r="B49" s="2344"/>
      <c r="C49" s="2344"/>
    </row>
    <row r="50" spans="1:10" ht="15.75">
      <c r="A50" s="1241" t="s">
        <v>1642</v>
      </c>
      <c r="B50" s="2335"/>
      <c r="C50" s="450"/>
    </row>
    <row r="51" spans="1:10" ht="15.75">
      <c r="A51" s="1241" t="s">
        <v>1560</v>
      </c>
      <c r="B51" s="2335"/>
      <c r="C51" s="450"/>
    </row>
    <row r="52" spans="1:10" ht="15.75">
      <c r="A52" s="1241" t="s">
        <v>1643</v>
      </c>
      <c r="B52" s="2350"/>
      <c r="C52" s="450"/>
    </row>
    <row r="53" spans="1:10" ht="15.75">
      <c r="A53" s="1241" t="s">
        <v>1644</v>
      </c>
      <c r="B53" s="2350"/>
      <c r="C53" s="450"/>
    </row>
    <row r="54" spans="1:10" ht="15.75">
      <c r="A54" s="1241" t="s">
        <v>1645</v>
      </c>
      <c r="B54" s="2335"/>
      <c r="C54" s="450"/>
    </row>
    <row r="55" spans="1:10" ht="15.75">
      <c r="A55" s="1241" t="s">
        <v>1564</v>
      </c>
      <c r="B55" s="2349" t="e">
        <f>+I32+J42</f>
        <v>#DIV/0!</v>
      </c>
      <c r="C55" s="2364"/>
      <c r="D55" s="2332"/>
      <c r="F55" s="2332"/>
      <c r="G55" s="2332"/>
      <c r="H55" s="2332"/>
      <c r="I55" s="2334"/>
      <c r="J55" s="2275"/>
    </row>
    <row r="56" spans="1:10" ht="15.75">
      <c r="A56" s="411" t="s">
        <v>1646</v>
      </c>
      <c r="B56" s="2335" t="str">
        <f>+B7</f>
        <v>6363 &amp; 6399 &amp; 6501 S Fiddler's Green Circle, Englewood, CO</v>
      </c>
      <c r="C56" s="450"/>
      <c r="D56" s="2332"/>
      <c r="F56" s="2332"/>
      <c r="G56" s="2332"/>
      <c r="H56" s="2332"/>
      <c r="I56" s="2334"/>
      <c r="J56" s="2275"/>
    </row>
    <row r="57" spans="1:10" ht="15.75">
      <c r="A57" s="411"/>
      <c r="B57" s="411"/>
      <c r="C57" s="411"/>
      <c r="D57" s="411"/>
      <c r="F57" s="2332"/>
      <c r="G57" s="2332"/>
      <c r="H57" s="2332"/>
      <c r="I57" s="2334"/>
      <c r="J57" s="2275"/>
    </row>
    <row r="58" spans="1:10" ht="15.75" hidden="1" outlineLevel="1">
      <c r="A58" s="2344" t="s">
        <v>1661</v>
      </c>
      <c r="B58" s="2335"/>
      <c r="C58" s="450"/>
      <c r="D58" s="2332"/>
      <c r="F58" s="2332"/>
      <c r="G58" s="2332"/>
      <c r="H58" s="2332"/>
      <c r="I58" s="2334"/>
      <c r="J58" s="2275"/>
    </row>
    <row r="59" spans="1:10" ht="15.75" hidden="1" outlineLevel="1">
      <c r="A59" s="1241" t="s">
        <v>1642</v>
      </c>
      <c r="B59" s="2361" t="str">
        <f>+[10]INPUT!E563</f>
        <v>The Bank of New York Mellon</v>
      </c>
      <c r="C59" s="450"/>
      <c r="D59" s="2332"/>
      <c r="F59" s="2332"/>
      <c r="G59" s="2332"/>
      <c r="H59" s="2332"/>
      <c r="I59" s="2334"/>
      <c r="J59" s="2275"/>
    </row>
    <row r="60" spans="1:10" ht="15.75" hidden="1" outlineLevel="1">
      <c r="A60" s="1241" t="s">
        <v>1560</v>
      </c>
      <c r="B60" s="2361" t="str">
        <f>+[10]INPUT!F563</f>
        <v>New York, NY</v>
      </c>
      <c r="C60" s="450"/>
      <c r="D60" s="2332"/>
      <c r="F60" s="2332"/>
      <c r="G60" s="2332"/>
      <c r="H60" s="2332"/>
      <c r="I60" s="2334"/>
      <c r="J60" s="2275"/>
    </row>
    <row r="61" spans="1:10" ht="15.75" hidden="1" outlineLevel="1">
      <c r="A61" s="1241" t="s">
        <v>1643</v>
      </c>
      <c r="B61" s="2365" t="str">
        <f>+[10]INPUT!G563</f>
        <v>021000018</v>
      </c>
      <c r="C61" s="450"/>
      <c r="D61" s="2332"/>
      <c r="F61" s="2332"/>
      <c r="G61" s="2332"/>
      <c r="H61" s="2332"/>
      <c r="I61" s="2334"/>
      <c r="J61" s="2275"/>
    </row>
    <row r="62" spans="1:10" ht="15.75" hidden="1" outlineLevel="1">
      <c r="A62" s="1241" t="s">
        <v>1644</v>
      </c>
      <c r="B62" s="2366" t="str">
        <f>+[10]INPUT!I563</f>
        <v>6948678400</v>
      </c>
      <c r="C62" s="450"/>
      <c r="D62" s="2332"/>
      <c r="F62" s="2332"/>
      <c r="G62" s="2332"/>
      <c r="H62" s="2332"/>
      <c r="I62" s="2334"/>
      <c r="J62" s="2275"/>
    </row>
    <row r="63" spans="1:10" ht="15.75" hidden="1" outlineLevel="1">
      <c r="A63" s="1241" t="s">
        <v>1645</v>
      </c>
      <c r="B63" s="2361" t="str">
        <f>+[10]INPUT!H563</f>
        <v>Delphi CRE Funding</v>
      </c>
      <c r="C63" s="450"/>
      <c r="D63" s="2332"/>
      <c r="F63" s="2332"/>
      <c r="G63" s="2332"/>
      <c r="H63" s="2332"/>
      <c r="I63" s="2334"/>
      <c r="J63" s="2275"/>
    </row>
    <row r="64" spans="1:10" ht="15.75" hidden="1" outlineLevel="1">
      <c r="A64" s="1241" t="s">
        <v>1564</v>
      </c>
      <c r="B64" s="2362"/>
      <c r="C64" s="2364">
        <f>+C12+K41</f>
        <v>0</v>
      </c>
      <c r="D64" s="2332"/>
      <c r="F64" s="2332"/>
      <c r="G64" s="2332"/>
      <c r="H64" s="2332"/>
      <c r="I64" s="2334"/>
      <c r="J64" s="2275"/>
    </row>
    <row r="65" spans="1:11" ht="15.75" hidden="1" outlineLevel="1">
      <c r="A65" s="411" t="s">
        <v>1646</v>
      </c>
      <c r="B65" s="2335" t="str">
        <f>+B7</f>
        <v>6363 &amp; 6399 &amp; 6501 S Fiddler's Green Circle, Englewood, CO</v>
      </c>
      <c r="C65" s="450"/>
      <c r="D65" s="2332"/>
      <c r="F65" s="2332"/>
      <c r="G65" s="2332"/>
      <c r="H65" s="2332"/>
      <c r="I65" s="2334"/>
      <c r="J65" s="2275"/>
    </row>
    <row r="66" spans="1:11" ht="15.75" hidden="1" outlineLevel="1">
      <c r="A66" s="411"/>
      <c r="B66" s="411"/>
      <c r="C66" s="411"/>
      <c r="D66" s="2332"/>
      <c r="F66" s="2332"/>
      <c r="G66" s="2332"/>
      <c r="H66" s="2332"/>
      <c r="I66" s="2334"/>
      <c r="J66" s="2275"/>
    </row>
    <row r="67" spans="1:11" ht="15.75" collapsed="1">
      <c r="A67" s="2618" t="s">
        <v>1647</v>
      </c>
      <c r="B67" s="2618"/>
      <c r="C67" s="2618"/>
      <c r="D67" s="2618"/>
      <c r="E67" s="2618"/>
      <c r="F67" s="2618"/>
      <c r="G67" s="2618"/>
      <c r="H67" s="2618"/>
      <c r="I67" s="2618"/>
      <c r="J67" s="2618"/>
    </row>
    <row r="68" spans="1:11" ht="15.75">
      <c r="A68" s="1241"/>
      <c r="B68" s="2336"/>
      <c r="C68" s="411"/>
      <c r="D68" s="2332"/>
      <c r="F68" s="2332"/>
      <c r="G68" s="2332"/>
      <c r="H68" s="2332"/>
      <c r="I68" s="2334"/>
      <c r="J68" s="2275"/>
      <c r="K68" s="186">
        <f>+C55+C64</f>
        <v>0</v>
      </c>
    </row>
    <row r="69" spans="1:11" ht="15.75">
      <c r="A69" s="411"/>
      <c r="B69" s="411"/>
      <c r="C69" s="411"/>
      <c r="D69" s="411"/>
      <c r="E69" s="411"/>
      <c r="F69" s="411"/>
      <c r="G69" s="411"/>
      <c r="H69" s="411"/>
      <c r="I69" s="2275"/>
      <c r="J69" s="2275"/>
      <c r="K69" s="186" t="e">
        <f>+I45-K68</f>
        <v>#DIV/0!</v>
      </c>
    </row>
    <row r="70" spans="1:11" ht="15.75">
      <c r="A70" s="440" t="s">
        <v>1652</v>
      </c>
      <c r="B70" s="411"/>
      <c r="C70" s="411"/>
      <c r="D70" s="411"/>
      <c r="E70" s="411"/>
      <c r="F70" s="411"/>
      <c r="G70" s="411"/>
      <c r="H70" s="411"/>
      <c r="I70" s="2275"/>
      <c r="J70" s="2275"/>
    </row>
    <row r="71" spans="1:11" ht="15.75">
      <c r="A71" s="440"/>
      <c r="B71" s="411"/>
      <c r="C71" s="411"/>
      <c r="D71" s="411"/>
      <c r="E71" s="411"/>
      <c r="F71" s="411"/>
      <c r="G71" s="411"/>
      <c r="H71" s="411"/>
      <c r="I71" s="2275"/>
      <c r="J71" s="2275"/>
    </row>
    <row r="72" spans="1:11" ht="15.75">
      <c r="A72" s="2395">
        <f>+B5</f>
        <v>0</v>
      </c>
      <c r="B72" s="450"/>
      <c r="C72" s="450"/>
      <c r="D72" s="450"/>
      <c r="E72" s="450"/>
      <c r="F72" s="411"/>
      <c r="G72" s="411"/>
      <c r="H72" s="411"/>
      <c r="I72" s="2275"/>
      <c r="J72" s="2275"/>
    </row>
    <row r="73" spans="1:11" ht="15.75">
      <c r="A73" s="411"/>
      <c r="B73" s="411"/>
      <c r="C73" s="411"/>
      <c r="D73" s="411"/>
      <c r="E73" s="411"/>
      <c r="F73" s="411"/>
      <c r="G73" s="411"/>
      <c r="H73" s="411"/>
      <c r="I73" s="2275"/>
      <c r="J73" s="2275"/>
    </row>
    <row r="74" spans="1:11" ht="15.75">
      <c r="A74" s="411"/>
      <c r="B74" s="411"/>
      <c r="C74" s="411"/>
      <c r="D74" s="411"/>
      <c r="E74" s="411"/>
      <c r="F74" s="411"/>
      <c r="G74" s="411"/>
      <c r="H74" s="411"/>
      <c r="I74" s="2275"/>
      <c r="J74" s="2275"/>
    </row>
    <row r="75" spans="1:11" ht="15.75">
      <c r="A75" s="411"/>
      <c r="B75" s="411"/>
      <c r="C75" s="411"/>
      <c r="D75" s="411"/>
      <c r="E75" s="411"/>
      <c r="F75" s="411"/>
      <c r="G75" s="411"/>
      <c r="H75" s="411"/>
      <c r="I75" s="2275"/>
      <c r="J75" s="2275"/>
    </row>
    <row r="76" spans="1:11" ht="15.75">
      <c r="A76" s="411" t="s">
        <v>1648</v>
      </c>
      <c r="B76" s="2614"/>
      <c r="C76" s="2614"/>
      <c r="D76" s="2614"/>
      <c r="E76" s="2614"/>
      <c r="F76" s="2614"/>
      <c r="G76" s="411"/>
      <c r="H76" s="411"/>
      <c r="I76" s="2337"/>
      <c r="J76" s="2275"/>
    </row>
    <row r="77" spans="1:11" ht="15.75">
      <c r="A77" s="411"/>
      <c r="B77" s="411" t="s">
        <v>1592</v>
      </c>
      <c r="C77" s="407"/>
      <c r="D77" s="1069"/>
      <c r="E77" s="1069"/>
      <c r="F77" s="411"/>
      <c r="G77" s="411"/>
      <c r="H77" s="411"/>
      <c r="I77" s="2338"/>
      <c r="J77" s="2275"/>
    </row>
    <row r="78" spans="1:11" ht="15.75">
      <c r="A78" s="411"/>
      <c r="B78" s="411" t="s">
        <v>1649</v>
      </c>
      <c r="C78" s="407"/>
      <c r="D78" s="411"/>
      <c r="E78" s="411"/>
      <c r="F78" s="411"/>
      <c r="G78" s="411"/>
      <c r="H78" s="411"/>
      <c r="I78" s="2339"/>
      <c r="J78" s="2275"/>
    </row>
    <row r="79" spans="1:11" ht="15.75">
      <c r="A79" s="440"/>
      <c r="B79" s="411"/>
      <c r="C79" s="411"/>
      <c r="D79" s="411"/>
      <c r="E79" s="411"/>
      <c r="F79" s="411"/>
      <c r="G79" s="411"/>
      <c r="H79" s="411"/>
      <c r="I79" s="2275"/>
      <c r="J79" s="2275"/>
    </row>
    <row r="80" spans="1:11" ht="15.75">
      <c r="A80" s="440" t="s">
        <v>1653</v>
      </c>
      <c r="B80" s="411"/>
      <c r="C80" s="411"/>
      <c r="D80" s="411"/>
      <c r="E80" s="411"/>
      <c r="F80" s="411"/>
      <c r="G80" s="411"/>
      <c r="H80" s="411"/>
      <c r="I80" s="2339"/>
      <c r="J80" s="2275"/>
    </row>
    <row r="81" spans="1:14" s="28" customFormat="1" ht="15.75">
      <c r="A81" s="2340"/>
      <c r="B81" s="411"/>
      <c r="C81" s="411"/>
      <c r="D81" s="411"/>
      <c r="E81" s="411"/>
      <c r="F81" s="411"/>
      <c r="G81" s="411"/>
      <c r="H81" s="411"/>
      <c r="I81" s="2339"/>
      <c r="J81" s="2275"/>
      <c r="L81" s="2341"/>
      <c r="M81" s="2341"/>
      <c r="N81" s="2341"/>
    </row>
    <row r="82" spans="1:14" s="28" customFormat="1" ht="15.75">
      <c r="A82" s="2395">
        <f>+B6</f>
        <v>0</v>
      </c>
      <c r="B82" s="450"/>
      <c r="C82" s="450"/>
      <c r="D82" s="450"/>
      <c r="E82" s="450"/>
      <c r="F82" s="411"/>
      <c r="G82" s="411"/>
      <c r="H82" s="411"/>
      <c r="I82" s="2339"/>
      <c r="J82" s="2275"/>
      <c r="L82" s="2341"/>
      <c r="M82" s="2341"/>
      <c r="N82" s="2341"/>
    </row>
    <row r="87" spans="1:14" ht="15.75">
      <c r="A87" s="411" t="s">
        <v>1648</v>
      </c>
      <c r="B87" s="2614"/>
      <c r="C87" s="2614"/>
      <c r="D87" s="2614"/>
      <c r="E87" s="2614"/>
      <c r="F87" s="2614"/>
      <c r="G87" s="411"/>
      <c r="H87" s="411"/>
      <c r="I87" s="2337"/>
      <c r="J87" s="2275"/>
    </row>
    <row r="88" spans="1:14" ht="15.75">
      <c r="A88" s="411"/>
      <c r="B88" s="411" t="s">
        <v>1592</v>
      </c>
      <c r="C88" s="407"/>
      <c r="D88" s="411"/>
      <c r="E88" s="411"/>
      <c r="F88" s="411"/>
      <c r="G88" s="411"/>
      <c r="H88" s="411"/>
      <c r="I88" s="2338"/>
      <c r="J88" s="2275"/>
    </row>
    <row r="89" spans="1:14" ht="15.75">
      <c r="A89" s="411"/>
      <c r="B89" s="411" t="s">
        <v>1593</v>
      </c>
      <c r="C89" s="407"/>
      <c r="D89" s="411"/>
      <c r="E89" s="411"/>
      <c r="F89" s="411"/>
      <c r="G89" s="411"/>
      <c r="H89" s="411"/>
      <c r="I89" s="2339"/>
      <c r="J89" s="2275"/>
    </row>
    <row r="90" spans="1:14" ht="15.75">
      <c r="A90" s="411"/>
      <c r="B90" s="411"/>
      <c r="C90"/>
      <c r="D90" s="411"/>
      <c r="E90" s="411"/>
      <c r="F90" s="411"/>
      <c r="G90" s="411"/>
      <c r="H90" s="411"/>
      <c r="I90" s="2339"/>
      <c r="J90" s="2275"/>
    </row>
    <row r="92" spans="1:14" ht="15.75" hidden="1" outlineLevel="1">
      <c r="A92" s="440" t="str">
        <f>+'[10]Loan Settlement Stmt'!A357</f>
        <v>Delphi CRE Funding LLC, a Delaware Limited Liability Company</v>
      </c>
      <c r="B92" s="411"/>
      <c r="C92" s="411"/>
      <c r="D92" s="411"/>
      <c r="E92" s="411"/>
      <c r="F92" s="411"/>
      <c r="G92" s="411"/>
      <c r="H92" s="411"/>
      <c r="I92" s="2275"/>
      <c r="J92" s="2275"/>
    </row>
    <row r="93" spans="1:14" ht="15.75" hidden="1" outlineLevel="1">
      <c r="A93" s="411" t="str">
        <f>+'[10]Loan Settlement Stmt'!A358</f>
        <v xml:space="preserve">    By:  ACORE Capital Mortgage, LP, a Delaware Limited Partnership, as Authorized Agent</v>
      </c>
      <c r="B93" s="411"/>
      <c r="C93" s="411"/>
      <c r="D93" s="411"/>
      <c r="E93" s="411"/>
      <c r="F93" s="411"/>
      <c r="G93" s="411"/>
      <c r="H93" s="411"/>
      <c r="I93" s="2275"/>
      <c r="J93" s="2275"/>
    </row>
    <row r="94" spans="1:14" ht="15.75" hidden="1" outlineLevel="1">
      <c r="A94" s="411" t="str">
        <f>+'[10]Loan Settlement Stmt'!A359</f>
        <v xml:space="preserve">        By:  ACORE Capital Mortgage GP, LLC, a Delaware Limited Liability Company, its General Partner</v>
      </c>
      <c r="B94" s="411"/>
      <c r="C94" s="411"/>
      <c r="D94" s="411"/>
      <c r="E94" s="411"/>
      <c r="F94" s="411"/>
      <c r="G94" s="411"/>
      <c r="H94" s="411"/>
      <c r="I94" s="2275"/>
      <c r="J94" s="2275"/>
    </row>
    <row r="95" spans="1:14" ht="15.75" hidden="1" outlineLevel="1">
      <c r="A95" s="411"/>
      <c r="B95" s="411"/>
      <c r="C95" s="411"/>
      <c r="D95" s="411"/>
      <c r="E95" s="411"/>
      <c r="F95" s="411"/>
      <c r="G95" s="411"/>
      <c r="H95" s="411"/>
      <c r="I95" s="2275"/>
      <c r="J95" s="2275"/>
    </row>
    <row r="96" spans="1:14" ht="15.75" hidden="1" outlineLevel="1">
      <c r="A96" s="411"/>
      <c r="B96" s="411"/>
      <c r="C96" s="411"/>
      <c r="D96" s="411"/>
      <c r="E96" s="411"/>
      <c r="F96" s="411"/>
      <c r="G96" s="411"/>
      <c r="H96" s="411"/>
      <c r="I96" s="2275"/>
      <c r="J96" s="2275"/>
    </row>
    <row r="97" spans="1:10" ht="15.75" hidden="1" outlineLevel="1">
      <c r="A97" s="411"/>
      <c r="B97" s="411"/>
      <c r="C97" s="411"/>
      <c r="D97" s="411"/>
      <c r="E97" s="411"/>
      <c r="F97" s="411"/>
      <c r="G97" s="411"/>
      <c r="H97" s="411"/>
      <c r="I97" s="2275"/>
      <c r="J97" s="2275"/>
    </row>
    <row r="98" spans="1:10" ht="15.75" hidden="1" outlineLevel="1">
      <c r="A98" s="411" t="s">
        <v>1648</v>
      </c>
      <c r="B98" s="2614"/>
      <c r="C98" s="2614"/>
      <c r="D98" s="2614"/>
      <c r="E98" s="2614"/>
      <c r="F98" s="2614"/>
      <c r="G98" s="411"/>
      <c r="H98" s="411"/>
      <c r="I98" s="2337"/>
      <c r="J98" s="2275"/>
    </row>
    <row r="99" spans="1:10" ht="15.75" hidden="1" outlineLevel="1">
      <c r="A99" s="411"/>
      <c r="B99" s="411" t="s">
        <v>1592</v>
      </c>
      <c r="C99" s="411"/>
      <c r="D99" s="411"/>
      <c r="E99" s="411"/>
      <c r="F99" s="411"/>
      <c r="G99" s="411"/>
      <c r="H99" s="411"/>
      <c r="I99" s="2338"/>
      <c r="J99" s="2275"/>
    </row>
    <row r="100" spans="1:10" ht="15.75" hidden="1" outlineLevel="1">
      <c r="A100" s="411"/>
      <c r="B100" s="411" t="s">
        <v>1593</v>
      </c>
      <c r="C100" s="407"/>
      <c r="D100" s="411"/>
      <c r="E100" s="411"/>
      <c r="F100" s="411"/>
      <c r="G100" s="411"/>
      <c r="H100" s="411"/>
      <c r="I100" s="2339"/>
      <c r="J100" s="2275"/>
    </row>
    <row r="101" spans="1:10" collapsed="1"/>
    <row r="102" spans="1:10" ht="15">
      <c r="B102" s="20"/>
      <c r="C102" s="20"/>
      <c r="D102" s="20"/>
    </row>
    <row r="103" spans="1:10" ht="15">
      <c r="A103" s="25"/>
      <c r="B103" s="20"/>
      <c r="C103" s="20"/>
      <c r="D103" s="20"/>
    </row>
    <row r="104" spans="1:10" ht="15">
      <c r="A104" s="873"/>
      <c r="B104" s="20"/>
      <c r="C104" s="20"/>
      <c r="D104" s="20"/>
    </row>
    <row r="105" spans="1:10" ht="15">
      <c r="A105" s="873"/>
      <c r="B105" s="873"/>
      <c r="C105" s="873"/>
      <c r="D105" s="873"/>
    </row>
    <row r="106" spans="1:10" ht="15">
      <c r="A106" s="873"/>
      <c r="B106" s="873"/>
      <c r="C106" s="873"/>
      <c r="D106" s="873"/>
    </row>
    <row r="107" spans="1:10" ht="15">
      <c r="A107" s="873"/>
      <c r="B107" s="873"/>
      <c r="C107" s="873"/>
      <c r="D107" s="873"/>
    </row>
    <row r="108" spans="1:10" ht="15">
      <c r="A108" s="873"/>
      <c r="B108" s="873"/>
      <c r="C108" s="873"/>
      <c r="D108" s="873"/>
    </row>
    <row r="109" spans="1:10" ht="15">
      <c r="A109" s="873"/>
      <c r="B109" s="20"/>
      <c r="C109" s="20"/>
      <c r="D109" s="20"/>
    </row>
    <row r="110" spans="1:10" ht="15">
      <c r="A110" s="873"/>
      <c r="B110" s="20"/>
      <c r="C110" s="20"/>
      <c r="D110" s="20"/>
    </row>
  </sheetData>
  <mergeCells count="8">
    <mergeCell ref="B87:F87"/>
    <mergeCell ref="B98:F98"/>
    <mergeCell ref="A3:J3"/>
    <mergeCell ref="B5:G5"/>
    <mergeCell ref="B7:G7"/>
    <mergeCell ref="B45:E45"/>
    <mergeCell ref="A67:J67"/>
    <mergeCell ref="B76:F76"/>
  </mergeCells>
  <dataValidations count="1">
    <dataValidation type="list" allowBlank="1" showInputMessage="1" showErrorMessage="1" sqref="O5:O6" xr:uid="{91F596E3-3CDC-49A8-B31F-290773094FDF}">
      <formula1>$W$2:$W$4</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B050"/>
  </sheetPr>
  <dimension ref="A1:O69"/>
  <sheetViews>
    <sheetView workbookViewId="0">
      <selection activeCell="H51" sqref="H51"/>
    </sheetView>
  </sheetViews>
  <sheetFormatPr defaultRowHeight="15" outlineLevelRow="1"/>
  <cols>
    <col min="1" max="1" width="32.5703125" customWidth="1"/>
    <col min="2" max="2" width="21" customWidth="1"/>
    <col min="3" max="3" width="14.5703125" customWidth="1"/>
    <col min="4" max="4" width="16.42578125" customWidth="1"/>
    <col min="5" max="5" width="16.5703125" customWidth="1"/>
    <col min="6" max="6" width="17.5703125" customWidth="1"/>
    <col min="7" max="7" width="18.5703125" customWidth="1"/>
    <col min="8" max="8" width="14.42578125" customWidth="1"/>
    <col min="9" max="9" width="13.5703125" customWidth="1"/>
    <col min="10" max="10" width="10.5703125" customWidth="1"/>
    <col min="11" max="11" width="11.5703125" bestFit="1" customWidth="1"/>
    <col min="12" max="12" width="11.5703125" customWidth="1"/>
    <col min="13" max="13" width="15.5703125" bestFit="1" customWidth="1"/>
    <col min="14" max="14" width="17.5703125" bestFit="1" customWidth="1"/>
    <col min="15" max="15" width="14.5703125" bestFit="1" customWidth="1"/>
  </cols>
  <sheetData>
    <row r="1" spans="1:14">
      <c r="A1" s="822" t="s">
        <v>1662</v>
      </c>
    </row>
    <row r="3" spans="1:14" ht="18.75" outlineLevel="1">
      <c r="A3" s="729" t="s">
        <v>1663</v>
      </c>
    </row>
    <row r="4" spans="1:14" outlineLevel="1">
      <c r="F4" t="s">
        <v>1664</v>
      </c>
    </row>
    <row r="5" spans="1:14" outlineLevel="1">
      <c r="A5" t="s">
        <v>331</v>
      </c>
      <c r="C5" s="844">
        <v>0</v>
      </c>
    </row>
    <row r="6" spans="1:14" outlineLevel="1">
      <c r="A6" t="s">
        <v>1665</v>
      </c>
      <c r="C6" s="844">
        <v>0</v>
      </c>
    </row>
    <row r="7" spans="1:14" outlineLevel="1">
      <c r="A7" t="s">
        <v>1666</v>
      </c>
      <c r="C7" s="874">
        <v>0</v>
      </c>
    </row>
    <row r="8" spans="1:14" outlineLevel="1">
      <c r="A8" t="s">
        <v>1667</v>
      </c>
      <c r="C8" s="844">
        <v>0</v>
      </c>
      <c r="D8" s="787" t="e">
        <f>C8/C6</f>
        <v>#DIV/0!</v>
      </c>
    </row>
    <row r="9" spans="1:14" outlineLevel="1">
      <c r="A9" t="s">
        <v>1668</v>
      </c>
      <c r="C9" s="742">
        <f>C6-C8</f>
        <v>0</v>
      </c>
      <c r="D9" s="787" t="e">
        <f>C9/C6</f>
        <v>#DIV/0!</v>
      </c>
      <c r="M9" s="181"/>
      <c r="N9" s="181"/>
    </row>
    <row r="10" spans="1:14" outlineLevel="1">
      <c r="A10" t="s">
        <v>1669</v>
      </c>
      <c r="C10" s="845">
        <v>2.5000000000000001E-2</v>
      </c>
      <c r="D10" s="846">
        <f>IF(C10=0,0,0.13)</f>
        <v>0.13</v>
      </c>
      <c r="M10" s="796"/>
      <c r="N10" s="790"/>
    </row>
    <row r="11" spans="1:14" outlineLevel="1">
      <c r="A11" t="s">
        <v>1670</v>
      </c>
      <c r="C11" s="821"/>
      <c r="D11" s="789"/>
      <c r="M11" s="796"/>
      <c r="N11" s="790"/>
    </row>
    <row r="12" spans="1:14" ht="15.75" outlineLevel="1" thickBot="1">
      <c r="M12" s="790"/>
      <c r="N12" s="790"/>
    </row>
    <row r="13" spans="1:14" outlineLevel="1">
      <c r="A13" s="798" t="s">
        <v>1671</v>
      </c>
      <c r="B13" s="799" t="s">
        <v>1513</v>
      </c>
      <c r="C13" s="799" t="s">
        <v>11</v>
      </c>
      <c r="D13" s="799" t="s">
        <v>322</v>
      </c>
      <c r="E13" s="799" t="s">
        <v>306</v>
      </c>
      <c r="F13" s="799" t="s">
        <v>1485</v>
      </c>
      <c r="G13" s="799" t="s">
        <v>22</v>
      </c>
      <c r="H13" s="799" t="s">
        <v>322</v>
      </c>
      <c r="I13" s="800" t="s">
        <v>306</v>
      </c>
      <c r="J13" s="135"/>
      <c r="M13" s="796" t="s">
        <v>1672</v>
      </c>
      <c r="N13" s="790"/>
    </row>
    <row r="14" spans="1:14" outlineLevel="1">
      <c r="A14" s="141" t="s">
        <v>1673</v>
      </c>
      <c r="B14" t="s">
        <v>7</v>
      </c>
      <c r="C14" s="95" t="e">
        <f>ROUND((H14*$C$5),0)</f>
        <v>#DIV/0!</v>
      </c>
      <c r="D14" s="862" t="e">
        <f>C14/$C$18</f>
        <v>#DIV/0!</v>
      </c>
      <c r="E14" s="789" t="e">
        <f>I14</f>
        <v>#DIV/0!</v>
      </c>
      <c r="F14" s="728" t="e">
        <f>G14-C14</f>
        <v>#DIV/0!</v>
      </c>
      <c r="G14" s="728">
        <f>ROUND(IF(C10=0,C8,(C8*(1-C10))),0)</f>
        <v>0</v>
      </c>
      <c r="H14" s="787" t="e">
        <f>G14/$G$18</f>
        <v>#DIV/0!</v>
      </c>
      <c r="I14" s="801" t="e">
        <f>IF(C10=0,C7,(M18-M17-M16)*(G14/(G14+G15))/G14)</f>
        <v>#DIV/0!</v>
      </c>
      <c r="J14" s="1461"/>
      <c r="M14" s="797" t="e">
        <f>IF(I14=0,0,G14*I14)</f>
        <v>#DIV/0!</v>
      </c>
      <c r="N14" s="790"/>
    </row>
    <row r="15" spans="1:14" outlineLevel="1">
      <c r="A15" s="141" t="s">
        <v>1674</v>
      </c>
      <c r="B15" t="s">
        <v>1675</v>
      </c>
      <c r="C15" s="95" t="e">
        <f>ROUND((H15*$C$5),0)</f>
        <v>#DIV/0!</v>
      </c>
      <c r="D15" s="862" t="e">
        <f>C15/$C$18</f>
        <v>#DIV/0!</v>
      </c>
      <c r="E15" s="789" t="e">
        <f>I15</f>
        <v>#DIV/0!</v>
      </c>
      <c r="F15" s="728" t="e">
        <f>G15-C15</f>
        <v>#DIV/0!</v>
      </c>
      <c r="G15" s="728">
        <f>ROUND(IF(C10=0,C9,(C9*(1-C10))),0)</f>
        <v>0</v>
      </c>
      <c r="H15" s="787" t="e">
        <f>G15/$G$18</f>
        <v>#DIV/0!</v>
      </c>
      <c r="I15" s="801" t="e">
        <f>M15/G15</f>
        <v>#DIV/0!</v>
      </c>
      <c r="J15" s="1461"/>
      <c r="M15" s="797" t="e">
        <f>M18-M14-M16-M17</f>
        <v>#DIV/0!</v>
      </c>
      <c r="N15" s="790"/>
    </row>
    <row r="16" spans="1:14" outlineLevel="1">
      <c r="A16" s="141" t="s">
        <v>1676</v>
      </c>
      <c r="B16" t="s">
        <v>7</v>
      </c>
      <c r="C16" s="95" t="e">
        <f>ROUND((H16*$C$5),0)</f>
        <v>#DIV/0!</v>
      </c>
      <c r="D16" s="862" t="e">
        <f>C16/$C$18</f>
        <v>#DIV/0!</v>
      </c>
      <c r="E16" s="789">
        <f>I16</f>
        <v>0.13</v>
      </c>
      <c r="F16" s="728" t="e">
        <f>G16-C16</f>
        <v>#DIV/0!</v>
      </c>
      <c r="G16" s="728">
        <f>IF(C10=0,0,ROUND((C10*C8),0))</f>
        <v>0</v>
      </c>
      <c r="H16" s="787" t="e">
        <f>G16/$G$18</f>
        <v>#DIV/0!</v>
      </c>
      <c r="I16" s="801">
        <f>IF(D10=0,0,D10)</f>
        <v>0.13</v>
      </c>
      <c r="J16" s="1461"/>
      <c r="M16" s="797">
        <f>IF(G16=0,0,G16*I16)</f>
        <v>0</v>
      </c>
      <c r="N16" s="790"/>
    </row>
    <row r="17" spans="1:15" outlineLevel="1">
      <c r="A17" s="141" t="s">
        <v>1677</v>
      </c>
      <c r="B17" t="s">
        <v>1675</v>
      </c>
      <c r="C17" s="95" t="e">
        <f>ROUND((H17*$C$5),0)</f>
        <v>#DIV/0!</v>
      </c>
      <c r="D17" s="862" t="e">
        <f>C17/$C$18</f>
        <v>#DIV/0!</v>
      </c>
      <c r="E17" s="789">
        <f>I17</f>
        <v>0.13</v>
      </c>
      <c r="F17" s="728" t="e">
        <f>G17-C17</f>
        <v>#DIV/0!</v>
      </c>
      <c r="G17" s="728">
        <f>IF(C10=0,0,ROUND((C10*C9),0))</f>
        <v>0</v>
      </c>
      <c r="H17" s="787" t="e">
        <f>G17/$G$18</f>
        <v>#DIV/0!</v>
      </c>
      <c r="I17" s="801">
        <f>IF(D10=0,0,D10)</f>
        <v>0.13</v>
      </c>
      <c r="J17" s="1461"/>
      <c r="M17" s="797">
        <f>IF(G17=0,0,G17*I17)</f>
        <v>0</v>
      </c>
      <c r="N17" s="790"/>
    </row>
    <row r="18" spans="1:15" ht="15.75" outlineLevel="1" thickBot="1">
      <c r="A18" s="802" t="s">
        <v>22</v>
      </c>
      <c r="B18" s="803"/>
      <c r="C18" s="804" t="e">
        <f>SUM(C14:C17)</f>
        <v>#DIV/0!</v>
      </c>
      <c r="D18" s="863" t="e">
        <f>SUM(D14:D17)</f>
        <v>#DIV/0!</v>
      </c>
      <c r="E18" s="820" t="e">
        <f>SUMPRODUCT(E14:E17,C14:C17)/C18</f>
        <v>#DIV/0!</v>
      </c>
      <c r="F18" s="805" t="e">
        <f>SUM(F14:F17)</f>
        <v>#DIV/0!</v>
      </c>
      <c r="G18" s="805">
        <f>SUM(G14:G17)</f>
        <v>0</v>
      </c>
      <c r="H18" s="851" t="e">
        <f>SUM(H14:H17)</f>
        <v>#DIV/0!</v>
      </c>
      <c r="I18" s="807">
        <f>C7</f>
        <v>0</v>
      </c>
      <c r="J18" s="1462"/>
      <c r="M18" s="797">
        <f>G18*I18</f>
        <v>0</v>
      </c>
      <c r="N18" s="790"/>
    </row>
    <row r="19" spans="1:15" outlineLevel="1">
      <c r="G19" s="728"/>
      <c r="H19" s="788"/>
      <c r="I19" s="789"/>
      <c r="J19" s="789"/>
      <c r="M19" s="797"/>
      <c r="N19" s="790"/>
    </row>
    <row r="20" spans="1:15" s="792" customFormat="1" ht="23.25" customHeight="1" outlineLevel="1">
      <c r="A20" s="837" t="s">
        <v>626</v>
      </c>
      <c r="G20" s="794"/>
      <c r="I20" s="795" t="e">
        <f>SUMPRODUCT(I14:I17,G14:G17)/G18</f>
        <v>#DIV/0!</v>
      </c>
      <c r="J20" s="795"/>
    </row>
    <row r="21" spans="1:15" s="792" customFormat="1" outlineLevel="1">
      <c r="C21" s="792" t="e">
        <f>IF(C18&lt;&gt;C5,"rounding error","in balance")</f>
        <v>#DIV/0!</v>
      </c>
      <c r="F21" s="794" t="e">
        <f>G18-C18</f>
        <v>#DIV/0!</v>
      </c>
      <c r="G21" s="791" t="str">
        <f>IF(G18&lt;&gt;C6,"Rounding error","in balance")</f>
        <v>in balance</v>
      </c>
      <c r="I21" s="792" t="e">
        <f>IF(I20&lt;&gt;I18,"spread off balance","in balance")</f>
        <v>#DIV/0!</v>
      </c>
    </row>
    <row r="22" spans="1:15" s="792" customFormat="1" outlineLevel="1">
      <c r="G22" s="791"/>
    </row>
    <row r="23" spans="1:15" s="793" customFormat="1" ht="15.75" outlineLevel="1" thickBot="1">
      <c r="B23" s="793" t="s">
        <v>11</v>
      </c>
      <c r="D23" s="793" t="s">
        <v>1485</v>
      </c>
      <c r="F23" s="793" t="s">
        <v>22</v>
      </c>
      <c r="H23" s="792" t="s">
        <v>1678</v>
      </c>
      <c r="I23" s="864" t="e">
        <f>H16+H17</f>
        <v>#DIV/0!</v>
      </c>
      <c r="J23" s="864"/>
    </row>
    <row r="24" spans="1:15" outlineLevel="1">
      <c r="A24" s="808" t="s">
        <v>1679</v>
      </c>
      <c r="B24" s="809" t="e">
        <f>C14+C16</f>
        <v>#DIV/0!</v>
      </c>
      <c r="C24" s="810" t="str">
        <f>B14</f>
        <v>TRE ACR</v>
      </c>
      <c r="D24" s="833" t="e">
        <f>F14+F16</f>
        <v>#DIV/0!</v>
      </c>
      <c r="E24" s="810"/>
      <c r="F24" s="811">
        <f>G14+G16</f>
        <v>0</v>
      </c>
      <c r="H24" s="790" t="str">
        <f>IF(F24&lt;&gt;C8,"off balance; should equal amount in C6","")</f>
        <v/>
      </c>
      <c r="I24" s="792" t="e">
        <f>IF(I23&lt;&gt;C10,"does not balance to cell c10","in balance")</f>
        <v>#DIV/0!</v>
      </c>
      <c r="J24" s="792"/>
      <c r="K24" s="790"/>
      <c r="L24" s="790"/>
      <c r="M24" s="181"/>
      <c r="N24" s="181"/>
    </row>
    <row r="25" spans="1:15" outlineLevel="1">
      <c r="A25" s="812" t="s">
        <v>1680</v>
      </c>
      <c r="B25" s="813" t="e">
        <f>C17+C15</f>
        <v>#DIV/0!</v>
      </c>
      <c r="C25" s="790" t="str">
        <f>B15</f>
        <v>Aflac</v>
      </c>
      <c r="D25" s="797" t="e">
        <f>F15+F17</f>
        <v>#DIV/0!</v>
      </c>
      <c r="E25" s="790"/>
      <c r="F25" s="814">
        <f>G15+G17</f>
        <v>0</v>
      </c>
      <c r="H25" s="790" t="str">
        <f>IF(F25&lt;&gt;C9,"off balance; should equal amount in cell C7","")</f>
        <v/>
      </c>
      <c r="I25" s="790"/>
      <c r="J25" s="790"/>
      <c r="K25" s="790"/>
      <c r="L25" s="790"/>
      <c r="M25" s="181"/>
      <c r="N25" s="181"/>
    </row>
    <row r="26" spans="1:15" ht="15.75" outlineLevel="1" thickBot="1">
      <c r="A26" s="815" t="s">
        <v>22</v>
      </c>
      <c r="B26" s="816" t="e">
        <f>SUM(B24:B25)</f>
        <v>#DIV/0!</v>
      </c>
      <c r="C26" s="817"/>
      <c r="D26" s="834" t="e">
        <f>SUM(D24:D25)</f>
        <v>#DIV/0!</v>
      </c>
      <c r="E26" s="817"/>
      <c r="F26" s="818">
        <f>SUM(F24:F25)</f>
        <v>0</v>
      </c>
      <c r="H26" s="790"/>
      <c r="I26" s="790"/>
      <c r="J26" s="790"/>
      <c r="K26" s="790"/>
      <c r="L26" s="790"/>
      <c r="M26" s="181"/>
      <c r="N26" s="181"/>
    </row>
    <row r="27" spans="1:15" outlineLevel="1">
      <c r="A27" s="819"/>
      <c r="B27" s="819"/>
      <c r="C27" s="819"/>
      <c r="D27" s="819"/>
      <c r="E27" s="819"/>
      <c r="F27" s="819"/>
      <c r="G27" s="819"/>
      <c r="H27" s="819"/>
      <c r="I27" s="819"/>
      <c r="J27" s="819"/>
      <c r="K27" s="819"/>
      <c r="L27" s="819"/>
      <c r="M27" s="819"/>
      <c r="N27" s="819"/>
      <c r="O27" s="819"/>
    </row>
    <row r="29" spans="1:15" ht="18.75" outlineLevel="1">
      <c r="A29" s="729" t="s">
        <v>1681</v>
      </c>
      <c r="B29" t="s">
        <v>1682</v>
      </c>
    </row>
    <row r="30" spans="1:15" outlineLevel="1"/>
    <row r="31" spans="1:15" outlineLevel="1">
      <c r="A31" t="s">
        <v>1683</v>
      </c>
      <c r="B31" s="841">
        <v>0</v>
      </c>
    </row>
    <row r="32" spans="1:15" outlineLevel="1">
      <c r="A32" t="s">
        <v>1684</v>
      </c>
      <c r="B32" s="841">
        <v>0</v>
      </c>
    </row>
    <row r="33" spans="1:15" outlineLevel="1">
      <c r="A33" t="s">
        <v>1685</v>
      </c>
      <c r="B33" s="842">
        <v>0</v>
      </c>
    </row>
    <row r="34" spans="1:15" outlineLevel="1">
      <c r="A34" t="s">
        <v>1686</v>
      </c>
      <c r="B34" s="843" t="s">
        <v>1687</v>
      </c>
      <c r="C34" t="s">
        <v>1688</v>
      </c>
    </row>
    <row r="35" spans="1:15" ht="15.75" outlineLevel="1" thickBot="1"/>
    <row r="36" spans="1:15" outlineLevel="1">
      <c r="A36" s="798"/>
      <c r="B36" s="839" t="s">
        <v>11</v>
      </c>
      <c r="C36" s="839" t="s">
        <v>322</v>
      </c>
      <c r="D36" s="839" t="s">
        <v>306</v>
      </c>
      <c r="E36" s="839" t="s">
        <v>1485</v>
      </c>
      <c r="F36" s="839" t="s">
        <v>22</v>
      </c>
      <c r="G36" s="839" t="s">
        <v>322</v>
      </c>
      <c r="H36" s="840" t="s">
        <v>306</v>
      </c>
      <c r="M36" s="848" t="s">
        <v>1689</v>
      </c>
    </row>
    <row r="37" spans="1:15" outlineLevel="1">
      <c r="A37" s="141" t="s">
        <v>1673</v>
      </c>
      <c r="B37" s="742">
        <f>ROUND((G37*B32),0)</f>
        <v>0</v>
      </c>
      <c r="C37" s="858" t="e">
        <f>B37/B40</f>
        <v>#DIV/0!</v>
      </c>
      <c r="D37" s="850">
        <f>H37</f>
        <v>0.02</v>
      </c>
      <c r="E37" s="95">
        <f>F37-B37</f>
        <v>0</v>
      </c>
      <c r="F37" s="742">
        <f>ROUND((G37*$B$31),0)</f>
        <v>0</v>
      </c>
      <c r="G37" s="860">
        <v>0.7</v>
      </c>
      <c r="H37" s="2251">
        <v>0.02</v>
      </c>
      <c r="M37" s="849">
        <f>(F37*H37)</f>
        <v>0</v>
      </c>
    </row>
    <row r="38" spans="1:15" outlineLevel="1">
      <c r="A38" s="141" t="s">
        <v>1690</v>
      </c>
      <c r="B38" s="742">
        <f>B40-B37-B39</f>
        <v>0</v>
      </c>
      <c r="C38" s="858" t="e">
        <f>B38/B40</f>
        <v>#DIV/0!</v>
      </c>
      <c r="D38" s="850" t="e">
        <f>H38</f>
        <v>#DIV/0!</v>
      </c>
      <c r="E38" s="95">
        <f>F38-B38</f>
        <v>0</v>
      </c>
      <c r="F38" s="742">
        <f>ROUND((G38*$B$31),0)</f>
        <v>0</v>
      </c>
      <c r="G38" s="858">
        <f>100%-G37-G39</f>
        <v>0.27500000000000002</v>
      </c>
      <c r="H38" s="2252" t="e">
        <f>IF(M38=0,0,M38/F38)</f>
        <v>#DIV/0!</v>
      </c>
      <c r="M38" s="854" t="e">
        <f>(M40-M37)*(F38/(F38+F39))</f>
        <v>#DIV/0!</v>
      </c>
    </row>
    <row r="39" spans="1:15" outlineLevel="1">
      <c r="A39" s="141" t="s">
        <v>804</v>
      </c>
      <c r="B39" s="742">
        <f>IF(B34="yes",F39,ROUND((G39*B32),0))</f>
        <v>0</v>
      </c>
      <c r="C39" s="858" t="e">
        <f>B39/B40</f>
        <v>#DIV/0!</v>
      </c>
      <c r="D39" s="850" t="e">
        <f>H39</f>
        <v>#DIV/0!</v>
      </c>
      <c r="E39" s="95">
        <f>F39-B39</f>
        <v>0</v>
      </c>
      <c r="F39" s="742">
        <f>ROUND((G39*$B$31),0)</f>
        <v>0</v>
      </c>
      <c r="G39" s="860">
        <v>2.5000000000000001E-2</v>
      </c>
      <c r="H39" s="2252" t="e">
        <f>IF(M39=0,0,M39/F39)</f>
        <v>#DIV/0!</v>
      </c>
      <c r="M39" s="849" t="e">
        <f>M40-M37-M38</f>
        <v>#DIV/0!</v>
      </c>
    </row>
    <row r="40" spans="1:15" ht="15.75" outlineLevel="1" thickBot="1">
      <c r="A40" s="802" t="s">
        <v>22</v>
      </c>
      <c r="B40" s="836">
        <f>B32</f>
        <v>0</v>
      </c>
      <c r="C40" s="835" t="e">
        <f>SUM(C37:C39)</f>
        <v>#DIV/0!</v>
      </c>
      <c r="D40" s="852" t="e">
        <f>SUMPRODUCT(D37:D39,B37:B39)/B40</f>
        <v>#DIV/0!</v>
      </c>
      <c r="E40" s="804">
        <f>SUM(E37:E39)</f>
        <v>0</v>
      </c>
      <c r="F40" s="836">
        <f>B31</f>
        <v>0</v>
      </c>
      <c r="G40" s="861">
        <f>SUM(G37:G39)</f>
        <v>1</v>
      </c>
      <c r="H40" s="2253">
        <f>B33</f>
        <v>0</v>
      </c>
      <c r="M40" s="849">
        <f>F40*H40</f>
        <v>0</v>
      </c>
    </row>
    <row r="41" spans="1:15" outlineLevel="1">
      <c r="C41" s="855"/>
      <c r="G41" s="859"/>
      <c r="M41" s="849"/>
    </row>
    <row r="42" spans="1:15" outlineLevel="1">
      <c r="M42" s="847"/>
    </row>
    <row r="43" spans="1:15" s="790" customFormat="1" outlineLevel="1">
      <c r="A43" s="837" t="s">
        <v>626</v>
      </c>
      <c r="B43" s="813">
        <f>SUM(B37:B39)</f>
        <v>0</v>
      </c>
      <c r="E43" s="813">
        <f>F40-B40</f>
        <v>0</v>
      </c>
      <c r="F43" s="813">
        <f>SUM(F37:F39)</f>
        <v>0</v>
      </c>
      <c r="G43" s="792" t="str">
        <f>IF(G40&gt;100%,"advance rates exceed 100%","ok")</f>
        <v>ok</v>
      </c>
      <c r="H43" s="853" t="e">
        <f>SUMPRODUCT(H37:H39,F37:F39)/F40</f>
        <v>#DIV/0!</v>
      </c>
      <c r="M43" s="813" t="e">
        <f>SUM(M37:M39)</f>
        <v>#DIV/0!</v>
      </c>
    </row>
    <row r="44" spans="1:15" s="790" customFormat="1" outlineLevel="1">
      <c r="B44" s="792" t="str">
        <f>IF(B43&lt;&gt;B40,"rounding error","in balance")</f>
        <v>in balance</v>
      </c>
      <c r="E44" s="792" t="str">
        <f>IF(E43&lt;&gt;E40,"not in balance","in balance")</f>
        <v>in balance</v>
      </c>
      <c r="F44" s="792" t="str">
        <f>IF(F43&lt;&gt;F40,"rounding error","in balance")</f>
        <v>in balance</v>
      </c>
      <c r="H44" s="792" t="e">
        <f>IF(H43&lt;&gt;H40,"rounding error","in balance")</f>
        <v>#DIV/0!</v>
      </c>
      <c r="M44" s="792" t="e">
        <f>IF(M43&lt;&gt;M40,"off balance","in balance")</f>
        <v>#DIV/0!</v>
      </c>
    </row>
    <row r="45" spans="1:15" s="838" customFormat="1" outlineLevel="1">
      <c r="A45" s="819"/>
      <c r="B45" s="819"/>
      <c r="C45" s="819"/>
      <c r="D45" s="819"/>
      <c r="E45" s="819"/>
      <c r="F45" s="819"/>
      <c r="G45" s="819"/>
      <c r="H45" s="819"/>
      <c r="I45" s="819"/>
      <c r="J45" s="819"/>
      <c r="K45" s="819"/>
      <c r="L45" s="819"/>
      <c r="M45" s="819"/>
      <c r="N45" s="819"/>
      <c r="O45" s="819"/>
    </row>
    <row r="46" spans="1:15" s="181" customFormat="1"/>
    <row r="47" spans="1:15" ht="18.75" outlineLevel="1">
      <c r="A47" s="729" t="s">
        <v>1681</v>
      </c>
      <c r="B47" t="s">
        <v>1691</v>
      </c>
    </row>
    <row r="48" spans="1:15" ht="18.75" outlineLevel="1">
      <c r="A48" s="729"/>
    </row>
    <row r="49" spans="1:13" outlineLevel="1">
      <c r="A49" t="s">
        <v>1683</v>
      </c>
      <c r="B49" s="841">
        <v>0</v>
      </c>
    </row>
    <row r="50" spans="1:13" outlineLevel="1">
      <c r="A50" t="s">
        <v>1684</v>
      </c>
      <c r="B50" s="841">
        <v>0</v>
      </c>
    </row>
    <row r="51" spans="1:13" outlineLevel="1">
      <c r="A51" t="s">
        <v>1685</v>
      </c>
      <c r="B51" s="842">
        <v>0</v>
      </c>
    </row>
    <row r="52" spans="1:13" outlineLevel="1">
      <c r="A52" t="s">
        <v>1686</v>
      </c>
      <c r="B52" s="843" t="s">
        <v>10</v>
      </c>
      <c r="C52" t="s">
        <v>1688</v>
      </c>
    </row>
    <row r="53" spans="1:13" ht="15.75" outlineLevel="1" thickBot="1">
      <c r="B53" s="855"/>
    </row>
    <row r="54" spans="1:13" outlineLevel="1">
      <c r="A54" s="798"/>
      <c r="B54" s="839" t="s">
        <v>11</v>
      </c>
      <c r="C54" s="839" t="s">
        <v>322</v>
      </c>
      <c r="D54" s="839" t="s">
        <v>306</v>
      </c>
      <c r="E54" s="839" t="s">
        <v>1485</v>
      </c>
      <c r="F54" s="839" t="s">
        <v>22</v>
      </c>
      <c r="G54" s="839" t="s">
        <v>322</v>
      </c>
      <c r="H54" s="840" t="s">
        <v>306</v>
      </c>
      <c r="M54" s="848" t="s">
        <v>1689</v>
      </c>
    </row>
    <row r="55" spans="1:13" outlineLevel="1">
      <c r="A55" t="s">
        <v>1673</v>
      </c>
      <c r="B55" s="742">
        <f>ROUND((G55*$B$62),0)</f>
        <v>0</v>
      </c>
      <c r="C55" s="788" t="e">
        <f>B55/$B$62</f>
        <v>#DIV/0!</v>
      </c>
      <c r="D55" s="789">
        <f>H55</f>
        <v>1.9E-2</v>
      </c>
      <c r="E55" s="95">
        <f>F55-B55</f>
        <v>0</v>
      </c>
      <c r="F55" s="742">
        <f>ROUND((G55*$F$62),0)</f>
        <v>0</v>
      </c>
      <c r="G55" s="856">
        <v>0.45</v>
      </c>
      <c r="H55" s="2254">
        <v>1.9E-2</v>
      </c>
      <c r="M55" s="866">
        <f>F55*H55</f>
        <v>0</v>
      </c>
    </row>
    <row r="56" spans="1:13" outlineLevel="1">
      <c r="A56" t="s">
        <v>1674</v>
      </c>
      <c r="B56" s="742">
        <f>ROUND((G56*$B$62),0)</f>
        <v>0</v>
      </c>
      <c r="C56" s="788" t="e">
        <f t="shared" ref="C56:C61" si="0">B56/$B$62</f>
        <v>#DIV/0!</v>
      </c>
      <c r="D56" s="789">
        <f>H56</f>
        <v>0.02</v>
      </c>
      <c r="E56" s="95">
        <f t="shared" ref="E56:E61" si="1">F56-B56</f>
        <v>0</v>
      </c>
      <c r="F56" s="742">
        <f t="shared" ref="F56:F61" si="2">ROUND((G56*$F$62),0)</f>
        <v>0</v>
      </c>
      <c r="G56" s="856">
        <v>0.15</v>
      </c>
      <c r="H56" s="2254">
        <v>0.02</v>
      </c>
      <c r="M56" s="866">
        <f>F56*H56</f>
        <v>0</v>
      </c>
    </row>
    <row r="57" spans="1:13" ht="15.75" outlineLevel="1" thickBot="1">
      <c r="A57" t="s">
        <v>1692</v>
      </c>
      <c r="B57" s="742">
        <f>ROUND((G57*$B$62),0)</f>
        <v>0</v>
      </c>
      <c r="C57" s="788" t="e">
        <f t="shared" si="0"/>
        <v>#DIV/0!</v>
      </c>
      <c r="D57" s="789">
        <f>H57</f>
        <v>2.0500000000000001E-2</v>
      </c>
      <c r="E57" s="95">
        <f t="shared" si="1"/>
        <v>0</v>
      </c>
      <c r="F57" s="742">
        <f t="shared" si="2"/>
        <v>0</v>
      </c>
      <c r="G57" s="856">
        <v>0.1</v>
      </c>
      <c r="H57" s="2254">
        <v>2.0500000000000001E-2</v>
      </c>
      <c r="M57" s="866">
        <f>F57*H57</f>
        <v>0</v>
      </c>
    </row>
    <row r="58" spans="1:13" outlineLevel="1">
      <c r="A58" t="s">
        <v>1690</v>
      </c>
      <c r="B58" s="742" t="e">
        <f>MIN($B$62-$B$55-$B$56-$B$57-$B$61,ROUND(($B$62-$B$55-$B$56-$B$57-$B$61)*(F58/($F$58+$F$59+$F$60)),0))</f>
        <v>#DIV/0!</v>
      </c>
      <c r="C58" s="788" t="e">
        <f t="shared" si="0"/>
        <v>#DIV/0!</v>
      </c>
      <c r="D58" s="1757">
        <f>ROUND((H58),8)</f>
        <v>0</v>
      </c>
      <c r="E58" s="95" t="e">
        <f t="shared" si="1"/>
        <v>#DIV/0!</v>
      </c>
      <c r="F58" s="742">
        <f t="shared" si="2"/>
        <v>0</v>
      </c>
      <c r="G58" s="856">
        <v>0.105</v>
      </c>
      <c r="H58" s="2255">
        <f>IF(F58=0,0,M58/F58)</f>
        <v>0</v>
      </c>
      <c r="I58" t="s">
        <v>1693</v>
      </c>
      <c r="M58" s="95" t="e">
        <f>($M$62-$M$55-$M$56-$M$57)*(F58/(SUM($F$58:$F$61)))</f>
        <v>#DIV/0!</v>
      </c>
    </row>
    <row r="59" spans="1:13" outlineLevel="1">
      <c r="A59" t="s">
        <v>1694</v>
      </c>
      <c r="B59" s="742" t="e">
        <f>MIN($B$62-$B$55-$B$56-$B$57-$B$58-$B$61,ROUND(($B$62-$B$55-$B$56-$B$57-$B$61)*(F59/($F$58+$F$59+$F$60)),0))</f>
        <v>#DIV/0!</v>
      </c>
      <c r="C59" s="788" t="e">
        <f t="shared" si="0"/>
        <v>#DIV/0!</v>
      </c>
      <c r="D59" s="1757">
        <f>ROUND((H59),8)</f>
        <v>0</v>
      </c>
      <c r="E59" s="95" t="e">
        <f t="shared" si="1"/>
        <v>#DIV/0!</v>
      </c>
      <c r="F59" s="742">
        <f t="shared" si="2"/>
        <v>0</v>
      </c>
      <c r="G59" s="856">
        <v>0.1</v>
      </c>
      <c r="H59" s="2256">
        <f>IF(F59=0,0,M59/F59)</f>
        <v>0</v>
      </c>
      <c r="I59" t="s">
        <v>1693</v>
      </c>
      <c r="M59" s="95" t="e">
        <f>($M$62-$M$55-$M$56-$M$57)*(F59/(SUM($F$58:$F$61)))</f>
        <v>#DIV/0!</v>
      </c>
    </row>
    <row r="60" spans="1:13" outlineLevel="1">
      <c r="A60" t="s">
        <v>1695</v>
      </c>
      <c r="B60" s="742" t="e">
        <f>MIN($B$62-$B$55-$B$56-$B$57-$B$58-B59-$B$61,ROUND(($B$62-$B$55-$B$56-$B$57-$B$61)*(F60/($F$58+$F$59+$F$60)),0))</f>
        <v>#DIV/0!</v>
      </c>
      <c r="C60" s="788" t="e">
        <f t="shared" si="0"/>
        <v>#DIV/0!</v>
      </c>
      <c r="D60" s="1757">
        <f>ROUND((H60),8)</f>
        <v>0</v>
      </c>
      <c r="E60" s="95" t="e">
        <f t="shared" si="1"/>
        <v>#DIV/0!</v>
      </c>
      <c r="F60" s="742">
        <f t="shared" si="2"/>
        <v>0</v>
      </c>
      <c r="G60" s="856">
        <v>7.0000000000000007E-2</v>
      </c>
      <c r="H60" s="2256">
        <f>IF(F60=0,0,M60/F60)</f>
        <v>0</v>
      </c>
      <c r="I60" t="s">
        <v>1693</v>
      </c>
      <c r="M60" s="95" t="e">
        <f>($M$62-$M$55-$M$56-$M$57)*(F60/(SUM($F$58:$F$61)))</f>
        <v>#DIV/0!</v>
      </c>
    </row>
    <row r="61" spans="1:13" ht="15.75" outlineLevel="1" thickBot="1">
      <c r="A61" t="s">
        <v>804</v>
      </c>
      <c r="B61" s="742">
        <f>IF(B52="yes",F61,ROUND((G61*B62),0))</f>
        <v>0</v>
      </c>
      <c r="C61" s="788" t="e">
        <f t="shared" si="0"/>
        <v>#DIV/0!</v>
      </c>
      <c r="D61" s="1757">
        <f>ROUND((H61),8)</f>
        <v>0</v>
      </c>
      <c r="E61" s="95">
        <f t="shared" si="1"/>
        <v>0</v>
      </c>
      <c r="F61" s="742">
        <f t="shared" si="2"/>
        <v>0</v>
      </c>
      <c r="G61" s="856">
        <v>2.5000000000000001E-2</v>
      </c>
      <c r="H61" s="2257">
        <f>IF(F61=0,0,M61/F61)</f>
        <v>0</v>
      </c>
      <c r="I61" t="s">
        <v>1693</v>
      </c>
      <c r="M61" s="95" t="e">
        <f>($M$62-$M$55-$M$56-$M$57)*(F61/(SUM($F$58:$F$61)))</f>
        <v>#DIV/0!</v>
      </c>
    </row>
    <row r="62" spans="1:13" ht="15.75" outlineLevel="1" thickBot="1">
      <c r="A62" s="803" t="s">
        <v>22</v>
      </c>
      <c r="B62" s="836">
        <f>B50</f>
        <v>0</v>
      </c>
      <c r="C62" s="870" t="e">
        <f>SUM(C55:C61)</f>
        <v>#DIV/0!</v>
      </c>
      <c r="D62" s="820" t="e">
        <f>SUMPRODUCT(D55:D61,B55:B61)/B62</f>
        <v>#DIV/0!</v>
      </c>
      <c r="E62" s="804" t="e">
        <f>SUM(E55:E61)</f>
        <v>#DIV/0!</v>
      </c>
      <c r="F62" s="836">
        <f>B49</f>
        <v>0</v>
      </c>
      <c r="G62" s="806">
        <f>SUM(G55:G61)</f>
        <v>0.99999999999999989</v>
      </c>
      <c r="H62" s="2258">
        <f>B51</f>
        <v>0</v>
      </c>
      <c r="I62" s="1"/>
      <c r="J62" s="1"/>
      <c r="K62" s="1"/>
      <c r="L62" s="1"/>
      <c r="M62" s="867">
        <f>F62*H62</f>
        <v>0</v>
      </c>
    </row>
    <row r="63" spans="1:13" outlineLevel="1">
      <c r="G63" s="857"/>
    </row>
    <row r="64" spans="1:13" outlineLevel="1">
      <c r="M64" s="865"/>
    </row>
    <row r="65" spans="1:15" s="790" customFormat="1" outlineLevel="1">
      <c r="A65" s="837" t="s">
        <v>626</v>
      </c>
      <c r="B65" s="813" t="e">
        <f>SUM(B55:B61)</f>
        <v>#DIV/0!</v>
      </c>
      <c r="E65" s="813">
        <f>F62-B62</f>
        <v>0</v>
      </c>
      <c r="F65" s="813">
        <f>SUM(F55:F61)</f>
        <v>0</v>
      </c>
      <c r="G65" s="792" t="str">
        <f>IF(G62&gt;100%,"advance rates exceed 100%","ok")</f>
        <v>ok</v>
      </c>
      <c r="H65" s="853" t="e">
        <f>SUMPRODUCT(H55:H61,F55:F61)/F62</f>
        <v>#DIV/0!</v>
      </c>
      <c r="M65" s="868" t="e">
        <f>SUM(M55:M61)</f>
        <v>#DIV/0!</v>
      </c>
    </row>
    <row r="66" spans="1:15" s="790" customFormat="1" outlineLevel="1">
      <c r="A66" s="837"/>
      <c r="B66" s="869" t="e">
        <f>IF(B65&lt;&gt;B62,"rounding error","in balance")</f>
        <v>#DIV/0!</v>
      </c>
      <c r="E66" s="792" t="e">
        <f>IF(E65&lt;&gt;E62,"off balance","in balance")</f>
        <v>#DIV/0!</v>
      </c>
      <c r="F66" s="792" t="str">
        <f>IF(F65&lt;&gt;F62,"rounding error","in balance")</f>
        <v>in balance</v>
      </c>
      <c r="H66" s="792" t="e">
        <f>IF(H65&lt;&gt;H62,"off balance","in balance")</f>
        <v>#DIV/0!</v>
      </c>
      <c r="M66" s="792" t="e">
        <f>IF(M65&lt;&gt;M62,"off balance","in balance")</f>
        <v>#DIV/0!</v>
      </c>
    </row>
    <row r="67" spans="1:15" s="790" customFormat="1" outlineLevel="1"/>
    <row r="68" spans="1:15" s="790" customFormat="1" outlineLevel="1">
      <c r="A68" s="819"/>
      <c r="B68" s="819"/>
      <c r="C68" s="819"/>
      <c r="D68" s="819"/>
      <c r="E68" s="819"/>
      <c r="F68" s="819"/>
      <c r="G68" s="819"/>
      <c r="H68" s="819"/>
      <c r="I68" s="819"/>
      <c r="J68" s="819"/>
      <c r="K68" s="819"/>
      <c r="L68" s="819"/>
      <c r="M68" s="819"/>
      <c r="N68" s="819"/>
      <c r="O68" s="819"/>
    </row>
    <row r="69" spans="1:15" s="790" customFormat="1"/>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'Drop Lists'!$A$35:$A$38</xm:f>
          </x14:formula1>
          <xm:sqref>B35 B53</xm:sqref>
        </x14:dataValidation>
        <x14:dataValidation type="list" allowBlank="1" showInputMessage="1" showErrorMessage="1" xr:uid="{E3CCC67A-1B70-4377-9F58-69AA17464020}">
          <x14:formula1>
            <xm:f>'Drop Lists'!$M$5:$M$6</xm:f>
          </x14:formula1>
          <xm:sqref>B34 B52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7030A0"/>
    <pageSetUpPr fitToPage="1"/>
  </sheetPr>
  <dimension ref="A1:L36"/>
  <sheetViews>
    <sheetView topLeftCell="C5" workbookViewId="0">
      <selection activeCell="F12" sqref="F12"/>
    </sheetView>
  </sheetViews>
  <sheetFormatPr defaultRowHeight="15"/>
  <cols>
    <col min="1" max="1" width="46.5703125" customWidth="1"/>
    <col min="2" max="2" width="22.5703125" customWidth="1"/>
    <col min="3" max="3" width="15.42578125" customWidth="1"/>
    <col min="4" max="4" width="33.5703125" customWidth="1"/>
    <col min="5" max="5" width="17" customWidth="1"/>
    <col min="6" max="6" width="17.42578125" style="728" customWidth="1"/>
    <col min="7" max="7" width="15.5703125" customWidth="1"/>
    <col min="8" max="8" width="21.5703125" customWidth="1"/>
    <col min="9" max="9" width="20.5703125" customWidth="1"/>
    <col min="10" max="10" width="11.42578125" customWidth="1"/>
    <col min="11" max="11" width="12.42578125" customWidth="1"/>
    <col min="12" max="12" width="133.42578125" customWidth="1"/>
  </cols>
  <sheetData>
    <row r="1" spans="1:12" ht="19.5" thickBot="1">
      <c r="A1" s="729" t="str">
        <f>IF(INPUT!E16="","",INPUT!E16)</f>
        <v>LSS Test 1</v>
      </c>
    </row>
    <row r="2" spans="1:12" ht="151.5" thickBot="1">
      <c r="A2" s="708" t="s">
        <v>1696</v>
      </c>
      <c r="E2" s="486" t="s">
        <v>1697</v>
      </c>
      <c r="L2" s="486" t="s">
        <v>1698</v>
      </c>
    </row>
    <row r="3" spans="1:12" ht="15.75" thickBot="1"/>
    <row r="4" spans="1:12" s="14" customFormat="1" ht="45.75" thickBot="1">
      <c r="A4" s="730" t="s">
        <v>1699</v>
      </c>
      <c r="B4" s="731" t="s">
        <v>1700</v>
      </c>
      <c r="C4" s="731" t="s">
        <v>632</v>
      </c>
      <c r="D4" s="731" t="s">
        <v>633</v>
      </c>
      <c r="E4" s="731" t="s">
        <v>1701</v>
      </c>
      <c r="F4" s="732" t="s">
        <v>1702</v>
      </c>
      <c r="G4" s="731" t="s">
        <v>1703</v>
      </c>
      <c r="H4" s="731" t="s">
        <v>643</v>
      </c>
      <c r="I4" s="731" t="s">
        <v>661</v>
      </c>
      <c r="J4" s="731" t="s">
        <v>1704</v>
      </c>
      <c r="K4" s="731" t="s">
        <v>640</v>
      </c>
      <c r="L4" s="733" t="s">
        <v>1705</v>
      </c>
    </row>
    <row r="5" spans="1:12" ht="15.75" thickBot="1">
      <c r="A5" s="734" t="str">
        <f>'Drop Lists'!AR5</f>
        <v>Capital Expenditure Reserve</v>
      </c>
      <c r="B5" s="735" t="str">
        <f>VLOOKUP(A5,'Drop Lists'!$AR$5:$AS$39,2,FALSE)</f>
        <v>CapEx</v>
      </c>
      <c r="C5" s="736" t="str">
        <f>VLOOKUP(A5,'Drop Lists'!$AR$5:$AT$39,3,FALSE)</f>
        <v>CA</v>
      </c>
      <c r="D5" s="735" t="str">
        <f>VLOOKUP(A5,'Drop Lists'!$AR$5:$AU$39,4,FALSE)</f>
        <v>Capital Reserve</v>
      </c>
      <c r="E5" s="737">
        <f>SUMIF(INPUT!$A$296:$A$310,'Backshop Escrows-Requires Input'!A5,INPUT!$H$296:$H$310)+SUMIF(INPUT!$A$340:$A$351,'Backshop Escrows-Requires Input'!A5,INPUT!$H$340:$H$351)</f>
        <v>0</v>
      </c>
      <c r="F5" s="1841"/>
      <c r="G5" s="1842"/>
      <c r="H5" s="1841"/>
      <c r="I5" s="1843"/>
      <c r="J5" s="1844"/>
      <c r="K5" s="1843"/>
      <c r="L5" s="1845"/>
    </row>
    <row r="6" spans="1:12" ht="15.75" thickBot="1">
      <c r="A6" s="734" t="str">
        <f>'Drop Lists'!AR6</f>
        <v xml:space="preserve">Construction Draw Reserve </v>
      </c>
      <c r="B6" s="735" t="str">
        <f>VLOOKUP(A6,'Drop Lists'!$AR$5:$AS$39,2,FALSE)</f>
        <v>Construction Draw Reserve</v>
      </c>
      <c r="C6" s="736" t="str">
        <f>VLOOKUP(A6,'Drop Lists'!$AR$5:$AT$39,3,FALSE)</f>
        <v>CN</v>
      </c>
      <c r="D6" s="735" t="str">
        <f>VLOOKUP(A6,'Drop Lists'!$AR$5:$AU$39,4,FALSE)</f>
        <v>Construction Draw Reserve</v>
      </c>
      <c r="E6" s="737">
        <f>SUMIF(INPUT!$A$296:$A$310,'Backshop Escrows-Requires Input'!A6,INPUT!$H$296:$H$310)+SUMIF(INPUT!$A$340:$A$351,'Backshop Escrows-Requires Input'!A6,INPUT!$H$340:$H$351)</f>
        <v>0</v>
      </c>
      <c r="F6" s="1841"/>
      <c r="G6" s="1842"/>
      <c r="H6" s="1841"/>
      <c r="I6" s="1843"/>
      <c r="J6" s="1844"/>
      <c r="K6" s="1843"/>
      <c r="L6" s="1845"/>
    </row>
    <row r="7" spans="1:12" ht="15.75" thickBot="1">
      <c r="A7" s="734" t="str">
        <f>'Drop Lists'!AR7</f>
        <v>Debt Service Reserve</v>
      </c>
      <c r="B7" s="735" t="str">
        <f>VLOOKUP(A7,'Drop Lists'!$AR$5:$AS$39,2,FALSE)</f>
        <v>Debt Service</v>
      </c>
      <c r="C7" s="736" t="str">
        <f>VLOOKUP(A7,'Drop Lists'!$AR$5:$AT$39,3,FALSE)</f>
        <v>DS</v>
      </c>
      <c r="D7" s="735" t="str">
        <f>VLOOKUP(A7,'Drop Lists'!$AR$5:$AU$39,4,FALSE)</f>
        <v>Debt Service Reserve</v>
      </c>
      <c r="E7" s="737">
        <f>SUMIF(INPUT!$A$296:$A$310,'Backshop Escrows-Requires Input'!A7,INPUT!$H$296:$H$310)+SUMIF(INPUT!$A$340:$A$351,'Backshop Escrows-Requires Input'!A7,INPUT!$H$340:$H$351)</f>
        <v>0</v>
      </c>
      <c r="F7" s="1841"/>
      <c r="G7" s="1842"/>
      <c r="H7" s="1841"/>
      <c r="I7" s="1843"/>
      <c r="J7" s="1844"/>
      <c r="K7" s="1843"/>
      <c r="L7" s="1845"/>
    </row>
    <row r="8" spans="1:12" ht="15.75" thickBot="1">
      <c r="A8" s="734" t="str">
        <f>'Drop Lists'!AR9</f>
        <v>Environmental Reserve</v>
      </c>
      <c r="B8" s="735" t="str">
        <f>VLOOKUP(A8,'Drop Lists'!$AR$5:$AS$39,2,FALSE)</f>
        <v>Environmental Reserve</v>
      </c>
      <c r="C8" s="736" t="str">
        <f>VLOOKUP(A8,'Drop Lists'!$AR$5:$AT$39,3,FALSE)</f>
        <v>ER</v>
      </c>
      <c r="D8" s="735" t="str">
        <f>VLOOKUP(A8,'Drop Lists'!$AR$5:$AU$39,4,FALSE)</f>
        <v>Environmental Reserve</v>
      </c>
      <c r="E8" s="737">
        <f>SUMIF(INPUT!$A$296:$A$310,'Backshop Escrows-Requires Input'!A8,INPUT!$H$296:$H$310)+SUMIF(INPUT!$A$340:$A$351,'Backshop Escrows-Requires Input'!A8,INPUT!$H$340:$H$351)</f>
        <v>0</v>
      </c>
      <c r="F8" s="1841"/>
      <c r="G8" s="1842"/>
      <c r="H8" s="1841"/>
      <c r="I8" s="1843"/>
      <c r="J8" s="1844"/>
      <c r="K8" s="1843"/>
      <c r="L8" s="1845"/>
    </row>
    <row r="9" spans="1:12" ht="15.75" thickBot="1">
      <c r="A9" s="734" t="str">
        <f>'Drop Lists'!AR10</f>
        <v>Excess Cash Flow Reserve</v>
      </c>
      <c r="B9" s="735" t="str">
        <f>VLOOKUP(A9,'Drop Lists'!$AR$5:$AS$39,2,FALSE)</f>
        <v>Excess Cash</v>
      </c>
      <c r="C9" s="736" t="str">
        <f>VLOOKUP(A9,'Drop Lists'!$AR$5:$AT$39,3,FALSE)</f>
        <v>OR</v>
      </c>
      <c r="D9" s="735" t="str">
        <f>VLOOKUP(A9,'Drop Lists'!$AR$5:$AU$39,4,FALSE)</f>
        <v>Other</v>
      </c>
      <c r="E9" s="737">
        <f>SUMIF(INPUT!$A$296:$A$310,'Backshop Escrows-Requires Input'!A9,INPUT!$H$296:$H$310)+SUMIF(INPUT!$A$340:$A$351,'Backshop Escrows-Requires Input'!A9,INPUT!$H$340:$H$351)</f>
        <v>0</v>
      </c>
      <c r="F9" s="1841"/>
      <c r="G9" s="1842"/>
      <c r="H9" s="1841"/>
      <c r="I9" s="1843"/>
      <c r="J9" s="1844"/>
      <c r="K9" s="1843"/>
      <c r="L9" s="1845"/>
    </row>
    <row r="10" spans="1:12" ht="15.75" thickBot="1">
      <c r="A10" s="734" t="str">
        <f>'Drop Lists'!AR11</f>
        <v>Expense Reserve</v>
      </c>
      <c r="B10" s="735" t="str">
        <f>VLOOKUP(A10,'Drop Lists'!$AR$5:$AS$39,2,FALSE)</f>
        <v>Expense Reserve</v>
      </c>
      <c r="C10" s="736" t="str">
        <f>VLOOKUP(A10,'Drop Lists'!$AR$5:$AT$39,3,FALSE)</f>
        <v>EE</v>
      </c>
      <c r="D10" s="735" t="str">
        <f>VLOOKUP(A10,'Drop Lists'!$AR$5:$AU$39,4,FALSE)</f>
        <v>Extra Expense</v>
      </c>
      <c r="E10" s="737">
        <f>SUMIF(INPUT!$A$296:$A$310,'Backshop Escrows-Requires Input'!A10,INPUT!$H$296:$H$310)+SUMIF(INPUT!$A$340:$A$351,'Backshop Escrows-Requires Input'!A10,INPUT!$H$340:$H$351)</f>
        <v>0</v>
      </c>
      <c r="F10" s="1841"/>
      <c r="G10" s="1842"/>
      <c r="H10" s="1841"/>
      <c r="I10" s="1843"/>
      <c r="J10" s="1844"/>
      <c r="K10" s="1843"/>
      <c r="L10" s="1845"/>
    </row>
    <row r="11" spans="1:12" ht="15.75" thickBot="1">
      <c r="A11" s="734" t="str">
        <f>'Drop Lists'!AR12</f>
        <v>Free Rent Reserve</v>
      </c>
      <c r="B11" s="735" t="str">
        <f>VLOOKUP(A11,'Drop Lists'!$AR$5:$AS$39,2,FALSE)</f>
        <v>Free Rent Reserve</v>
      </c>
      <c r="C11" s="736" t="str">
        <f>VLOOKUP(A11,'Drop Lists'!$AR$5:$AT$39,3,FALSE)</f>
        <v>FR</v>
      </c>
      <c r="D11" s="735" t="str">
        <f>VLOOKUP(A11,'Drop Lists'!$AR$5:$AU$39,4,FALSE)</f>
        <v>Free Rent Reserve</v>
      </c>
      <c r="E11" s="737">
        <f>SUMIF(INPUT!$A$296:$A$310,'Backshop Escrows-Requires Input'!A11,INPUT!$H$296:$H$310)+SUMIF(INPUT!$A$340:$A$351,'Backshop Escrows-Requires Input'!A11,INPUT!$H$340:$H$351)</f>
        <v>0</v>
      </c>
      <c r="F11" s="1841"/>
      <c r="G11" s="1842"/>
      <c r="H11" s="1841"/>
      <c r="I11" s="1843"/>
      <c r="J11" s="1844"/>
      <c r="K11" s="1843"/>
      <c r="L11" s="1845"/>
    </row>
    <row r="12" spans="1:12" ht="15.75" thickBot="1">
      <c r="A12" s="734" t="str">
        <f>'Drop Lists'!AR13</f>
        <v>FF&amp;E Reserve</v>
      </c>
      <c r="B12" s="735" t="str">
        <f>VLOOKUP(A12,'Drop Lists'!$AR$5:$AS$39,2,FALSE)</f>
        <v>FF &amp; E Reserve</v>
      </c>
      <c r="C12" s="736" t="str">
        <f>VLOOKUP(A12,'Drop Lists'!$AR$5:$AT$39,3,FALSE)</f>
        <v>FF</v>
      </c>
      <c r="D12" s="735" t="str">
        <f>VLOOKUP(A12,'Drop Lists'!$AR$5:$AU$39,4,FALSE)</f>
        <v>FF&amp;E Reserves</v>
      </c>
      <c r="E12" s="737">
        <f>SUMIF(INPUT!$A$296:$A$310,'Backshop Escrows-Requires Input'!A12,INPUT!$H$296:$H$310)+SUMIF(INPUT!$A$340:$A$351,'Backshop Escrows-Requires Input'!A12,INPUT!$H$340:$H$351)</f>
        <v>0</v>
      </c>
      <c r="F12" s="1841"/>
      <c r="G12" s="1842"/>
      <c r="H12" s="1841"/>
      <c r="I12" s="1843"/>
      <c r="J12" s="1844"/>
      <c r="K12" s="1843"/>
      <c r="L12" s="1845"/>
    </row>
    <row r="13" spans="1:12" ht="15.75" thickBot="1">
      <c r="A13" s="734" t="str">
        <f>'Drop Lists'!AR14</f>
        <v>Ground Rent Reserve</v>
      </c>
      <c r="B13" s="735" t="str">
        <f>VLOOKUP(A13,'Drop Lists'!$AR$5:$AS$39,2,FALSE)</f>
        <v>Ground Rent</v>
      </c>
      <c r="C13" s="736" t="str">
        <f>VLOOKUP(A13,'Drop Lists'!$AR$5:$AT$39,3,FALSE)</f>
        <v>GT</v>
      </c>
      <c r="D13" s="735" t="str">
        <f>VLOOKUP(A13,'Drop Lists'!$AR$5:$AU$39,4,FALSE)</f>
        <v>Ground Rent</v>
      </c>
      <c r="E13" s="737">
        <f>SUMIF(INPUT!$A$296:$A$310,'Backshop Escrows-Requires Input'!A13,INPUT!$H$296:$H$310)+SUMIF(INPUT!$A$340:$A$351,'Backshop Escrows-Requires Input'!A13,INPUT!$H$340:$H$351)</f>
        <v>0</v>
      </c>
      <c r="F13" s="1841"/>
      <c r="G13" s="1842"/>
      <c r="H13" s="1841"/>
      <c r="I13" s="1843"/>
      <c r="J13" s="1844"/>
      <c r="K13" s="1843"/>
      <c r="L13" s="1845"/>
    </row>
    <row r="14" spans="1:12" ht="15.75" thickBot="1">
      <c r="A14" s="734" t="str">
        <f>'Drop Lists'!AR15</f>
        <v>Immediate Repair Reserve</v>
      </c>
      <c r="B14" s="735" t="str">
        <f>VLOOKUP(A14,'Drop Lists'!$AR$5:$AS$39,2,FALSE)</f>
        <v>Immediate Repairs</v>
      </c>
      <c r="C14" s="736" t="str">
        <f>VLOOKUP(A14,'Drop Lists'!$AR$5:$AT$39,3,FALSE)</f>
        <v>1R</v>
      </c>
      <c r="D14" s="735" t="str">
        <f>VLOOKUP(A14,'Drop Lists'!$AR$5:$AU$39,4,FALSE)</f>
        <v>Immediate Repair Reserve G</v>
      </c>
      <c r="E14" s="737">
        <f>SUMIF(INPUT!$A$296:$A$310,'Backshop Escrows-Requires Input'!A14,INPUT!$H$296:$H$310)+SUMIF(INPUT!$A$340:$A$351,'Backshop Escrows-Requires Input'!A14,INPUT!$H$340:$H$351)</f>
        <v>0</v>
      </c>
      <c r="F14" s="1841"/>
      <c r="G14" s="1842"/>
      <c r="H14" s="1841"/>
      <c r="I14" s="1843"/>
      <c r="J14" s="1844"/>
      <c r="K14" s="1843"/>
      <c r="L14" s="1845"/>
    </row>
    <row r="15" spans="1:12" ht="15.75" thickBot="1">
      <c r="A15" s="734" t="str">
        <f>'Drop Lists'!AR16</f>
        <v>Insurance Reserve</v>
      </c>
      <c r="B15" s="735" t="str">
        <f>VLOOKUP(A15,'Drop Lists'!$AR$5:$AS$39,2,FALSE)</f>
        <v>Insurance</v>
      </c>
      <c r="C15" s="736" t="str">
        <f>VLOOKUP(A15,'Drop Lists'!$AR$5:$AT$39,3,FALSE)</f>
        <v>IE</v>
      </c>
      <c r="D15" s="735" t="str">
        <f>VLOOKUP(A15,'Drop Lists'!$AR$5:$AU$39,4,FALSE)</f>
        <v>Insurance Escrow</v>
      </c>
      <c r="E15" s="737">
        <f>SUMIF(INPUT!$A$296:$A$310,'Backshop Escrows-Requires Input'!A15,INPUT!$H$296:$H$310)+SUMIF(INPUT!$A$340:$A$351,'Backshop Escrows-Requires Input'!A15,INPUT!$H$340:$H$351)</f>
        <v>0</v>
      </c>
      <c r="F15" s="1841"/>
      <c r="G15" s="1842"/>
      <c r="H15" s="1841"/>
      <c r="I15" s="1843"/>
      <c r="J15" s="1844"/>
      <c r="K15" s="1843"/>
      <c r="L15" s="1845"/>
    </row>
    <row r="16" spans="1:12" ht="15.75" thickBot="1">
      <c r="A16" s="734" t="str">
        <f>'Drop Lists'!AR18</f>
        <v>Interest Reserve</v>
      </c>
      <c r="B16" s="735" t="str">
        <f>VLOOKUP(A16,'Drop Lists'!$AR$5:$AS$39,2,FALSE)</f>
        <v>Interest</v>
      </c>
      <c r="C16" s="736" t="str">
        <f>VLOOKUP(A16,'Drop Lists'!$AR$5:$AT$39,3,FALSE)</f>
        <v>IN</v>
      </c>
      <c r="D16" s="735" t="str">
        <f>VLOOKUP(A16,'Drop Lists'!$AR$5:$AU$39,4,FALSE)</f>
        <v>Interest Reserve</v>
      </c>
      <c r="E16" s="737">
        <f>SUMIF(INPUT!$A$296:$A$310,'Backshop Escrows-Requires Input'!A16,INPUT!$H$296:$H$310)+SUMIF(INPUT!$A$340:$A$351,'Backshop Escrows-Requires Input'!A16,INPUT!$H$340:$H$351)</f>
        <v>0</v>
      </c>
      <c r="F16" s="1841"/>
      <c r="G16" s="1842"/>
      <c r="H16" s="1841"/>
      <c r="I16" s="1843"/>
      <c r="J16" s="1844"/>
      <c r="K16" s="1843"/>
      <c r="L16" s="1845"/>
    </row>
    <row r="17" spans="1:12" ht="15.75" thickBot="1">
      <c r="A17" s="734" t="str">
        <f>'Drop Lists'!AR19</f>
        <v>Liquidity Reserve</v>
      </c>
      <c r="B17" s="735" t="str">
        <f>VLOOKUP(A17,'Drop Lists'!$AR$5:$AS$39,2,FALSE)</f>
        <v>Liquidity Reserve</v>
      </c>
      <c r="C17" s="736" t="str">
        <f>VLOOKUP(A17,'Drop Lists'!$AR$5:$AT$39,3,FALSE)</f>
        <v>LR</v>
      </c>
      <c r="D17" s="735" t="str">
        <f>VLOOKUP(A17,'Drop Lists'!$AR$5:$AU$39,4,FALSE)</f>
        <v>Liquidity Reserve</v>
      </c>
      <c r="E17" s="737">
        <f>SUMIF(INPUT!$A$296:$A$310,'Backshop Escrows-Requires Input'!A17,INPUT!$H$296:$H$310)+SUMIF(INPUT!$A$340:$A$351,'Backshop Escrows-Requires Input'!A17,INPUT!$H$340:$H$351)</f>
        <v>0</v>
      </c>
      <c r="F17" s="1841"/>
      <c r="G17" s="1842"/>
      <c r="H17" s="1841"/>
      <c r="I17" s="1843"/>
      <c r="J17" s="1844"/>
      <c r="K17" s="1843"/>
      <c r="L17" s="1845"/>
    </row>
    <row r="18" spans="1:12" ht="15.75" thickBot="1">
      <c r="A18" s="734" t="str">
        <f>'Drop Lists'!AR20</f>
        <v>Loan Holdback / Earnout</v>
      </c>
      <c r="B18" s="735" t="str">
        <f>VLOOKUP(A18,'Drop Lists'!$AR$5:$AS$39,2,FALSE)</f>
        <v>Holdback</v>
      </c>
      <c r="C18" s="736" t="str">
        <f>VLOOKUP(A18,'Drop Lists'!$AR$5:$AT$39,3,FALSE)</f>
        <v>HR</v>
      </c>
      <c r="D18" s="735" t="str">
        <f>VLOOKUP(A18,'Drop Lists'!$AR$5:$AU$39,4,FALSE)</f>
        <v>Holdback Reserve</v>
      </c>
      <c r="E18" s="737">
        <f>SUMIF(INPUT!$A$296:$A$310,'Backshop Escrows-Requires Input'!A18,INPUT!$H$296:$H$310)+SUMIF(INPUT!$A$340:$A$351,'Backshop Escrows-Requires Input'!A18,INPUT!$H$340:$H$351)</f>
        <v>0</v>
      </c>
      <c r="F18" s="1841"/>
      <c r="G18" s="1842"/>
      <c r="H18" s="1841"/>
      <c r="I18" s="1843"/>
      <c r="J18" s="1844"/>
      <c r="K18" s="1843"/>
      <c r="L18" s="1845"/>
    </row>
    <row r="19" spans="1:12" ht="15.75" thickBot="1">
      <c r="A19" s="734" t="str">
        <f>'Drop Lists'!AR21</f>
        <v>Net Proceeds Reserve</v>
      </c>
      <c r="B19" s="735" t="str">
        <f>VLOOKUP(A19,'Drop Lists'!$AR$5:$AS$39,2,FALSE)</f>
        <v>Net Proceeds Reserve</v>
      </c>
      <c r="C19" s="736" t="str">
        <f>VLOOKUP(A19,'Drop Lists'!$AR$5:$AT$39,3,FALSE)</f>
        <v>OR</v>
      </c>
      <c r="D19" s="735" t="str">
        <f>VLOOKUP(A19,'Drop Lists'!$AR$5:$AU$39,4,FALSE)</f>
        <v>Other</v>
      </c>
      <c r="E19" s="737">
        <f>SUMIF(INPUT!$A$296:$A$310,'Backshop Escrows-Requires Input'!A19,INPUT!$H$296:$H$310)+SUMIF(INPUT!$A$340:$A$351,'Backshop Escrows-Requires Input'!A19,INPUT!$H$340:$H$351)</f>
        <v>0</v>
      </c>
      <c r="F19" s="1841"/>
      <c r="G19" s="1842"/>
      <c r="H19" s="1841"/>
      <c r="I19" s="1843"/>
      <c r="J19" s="1844"/>
      <c r="K19" s="1843"/>
      <c r="L19" s="1845"/>
    </row>
    <row r="20" spans="1:12" ht="15.75" thickBot="1">
      <c r="A20" s="734" t="str">
        <f>'Drop Lists'!AR22</f>
        <v>Operating Shortfall Reserve</v>
      </c>
      <c r="B20" s="735" t="str">
        <f>VLOOKUP(A20,'Drop Lists'!$AR$5:$AS$39,2,FALSE)</f>
        <v>Operating Reserve</v>
      </c>
      <c r="C20" s="736" t="str">
        <f>VLOOKUP(A20,'Drop Lists'!$AR$5:$AT$39,3,FALSE)</f>
        <v>OP</v>
      </c>
      <c r="D20" s="735" t="str">
        <f>VLOOKUP(A20,'Drop Lists'!$AR$5:$AU$39,4,FALSE)</f>
        <v>Operating Reserve</v>
      </c>
      <c r="E20" s="737">
        <f>SUMIF(INPUT!$A$296:$A$310,'Backshop Escrows-Requires Input'!A20,INPUT!$H$296:$H$310)+SUMIF(INPUT!$A$340:$A$351,'Backshop Escrows-Requires Input'!A20,INPUT!$H$340:$H$351)</f>
        <v>0</v>
      </c>
      <c r="F20" s="1841"/>
      <c r="G20" s="1842"/>
      <c r="H20" s="1841"/>
      <c r="I20" s="1843"/>
      <c r="J20" s="1844"/>
      <c r="K20" s="1843"/>
      <c r="L20" s="1845"/>
    </row>
    <row r="21" spans="1:12" ht="15.75" thickBot="1">
      <c r="A21" s="734" t="str">
        <f>'Drop Lists'!AR23</f>
        <v>Project Expenditure Reserve</v>
      </c>
      <c r="B21" s="735" t="str">
        <f>VLOOKUP(A21,'Drop Lists'!$AR$5:$AS$39,2,FALSE)</f>
        <v>Project Reserve</v>
      </c>
      <c r="C21" s="736" t="str">
        <f>VLOOKUP(A21,'Drop Lists'!$AR$5:$AT$39,3,FALSE)</f>
        <v>PJ</v>
      </c>
      <c r="D21" s="735" t="str">
        <f>VLOOKUP(A21,'Drop Lists'!$AR$5:$AU$39,4,FALSE)</f>
        <v>Project Reserve</v>
      </c>
      <c r="E21" s="737">
        <f>SUMIF(INPUT!$A$296:$A$310,'Backshop Escrows-Requires Input'!A21,INPUT!$H$296:$H$310)+SUMIF(INPUT!$A$340:$A$351,'Backshop Escrows-Requires Input'!A21,INPUT!$H$340:$H$351)</f>
        <v>0</v>
      </c>
      <c r="F21" s="1841"/>
      <c r="G21" s="1842"/>
      <c r="H21" s="1841"/>
      <c r="I21" s="1843"/>
      <c r="J21" s="1844"/>
      <c r="K21" s="1843"/>
      <c r="L21" s="1845"/>
    </row>
    <row r="22" spans="1:12" ht="15.75" thickBot="1">
      <c r="A22" s="734" t="str">
        <f>'Drop Lists'!AR24</f>
        <v>Property Improvement Plan (PIP) Reserve</v>
      </c>
      <c r="B22" s="735" t="str">
        <f>VLOOKUP(A22,'Drop Lists'!$AR$5:$AS$39,2,FALSE)</f>
        <v>PIP Reserve</v>
      </c>
      <c r="C22" s="736" t="str">
        <f>VLOOKUP(A22,'Drop Lists'!$AR$5:$AT$39,3,FALSE)</f>
        <v>PO</v>
      </c>
      <c r="D22" s="735" t="str">
        <f>VLOOKUP(A22,'Drop Lists'!$AR$5:$AU$39,4,FALSE)</f>
        <v>Required Prop Improvement Plan</v>
      </c>
      <c r="E22" s="737">
        <f>SUMIF(INPUT!$A$296:$A$310,'Backshop Escrows-Requires Input'!A22,INPUT!$H$296:$H$310)+SUMIF(INPUT!$A$340:$A$351,'Backshop Escrows-Requires Input'!A22,INPUT!$H$340:$H$351)</f>
        <v>0</v>
      </c>
      <c r="F22" s="1841"/>
      <c r="G22" s="1842"/>
      <c r="H22" s="1841"/>
      <c r="I22" s="1843"/>
      <c r="J22" s="1844"/>
      <c r="K22" s="1843"/>
      <c r="L22" s="1845"/>
    </row>
    <row r="23" spans="1:12" ht="15.75" thickBot="1">
      <c r="A23" s="734" t="str">
        <f>'Drop Lists'!AR25</f>
        <v>Replacement Reserve</v>
      </c>
      <c r="B23" s="735" t="str">
        <f>VLOOKUP(A23,'Drop Lists'!$AR$5:$AS$39,2,FALSE)</f>
        <v>Replacement Reserves</v>
      </c>
      <c r="C23" s="736" t="str">
        <f>VLOOKUP(A23,'Drop Lists'!$AR$5:$AT$39,3,FALSE)</f>
        <v>RR</v>
      </c>
      <c r="D23" s="735" t="str">
        <f>VLOOKUP(A23,'Drop Lists'!$AR$5:$AU$39,4,FALSE)</f>
        <v>Replacement Reserve G</v>
      </c>
      <c r="E23" s="737">
        <f>SUMIF(INPUT!$A$296:$A$310,'Backshop Escrows-Requires Input'!A23,INPUT!$H$296:$H$310)+SUMIF(INPUT!$A$340:$A$351,'Backshop Escrows-Requires Input'!A23,INPUT!$H$340:$H$351)</f>
        <v>0</v>
      </c>
      <c r="F23" s="1841"/>
      <c r="G23" s="1842"/>
      <c r="H23" s="1841"/>
      <c r="I23" s="1843"/>
      <c r="J23" s="1844"/>
      <c r="K23" s="1843"/>
      <c r="L23" s="1845"/>
    </row>
    <row r="24" spans="1:12" ht="15.75" thickBot="1">
      <c r="A24" s="734" t="str">
        <f>'Drop Lists'!AR26</f>
        <v>Retention Reserve</v>
      </c>
      <c r="B24" s="735" t="str">
        <f>VLOOKUP(A24,'Drop Lists'!$AR$5:$AS$39,2,FALSE)</f>
        <v>Retention Reserve</v>
      </c>
      <c r="C24" s="736" t="str">
        <f>VLOOKUP(A24,'Drop Lists'!$AR$5:$AT$39,3,FALSE)</f>
        <v>RN</v>
      </c>
      <c r="D24" s="735" t="str">
        <f>VLOOKUP(A24,'Drop Lists'!$AR$5:$AU$39,4,FALSE)</f>
        <v>Retention Reserve</v>
      </c>
      <c r="E24" s="737">
        <f>SUMIF(INPUT!$A$296:$A$310,'Backshop Escrows-Requires Input'!A24,INPUT!$H$296:$H$310)+SUMIF(INPUT!$A$340:$A$351,'Backshop Escrows-Requires Input'!A24,INPUT!$H$340:$H$351)</f>
        <v>0</v>
      </c>
      <c r="F24" s="1841"/>
      <c r="G24" s="1842"/>
      <c r="H24" s="1841"/>
      <c r="I24" s="1843"/>
      <c r="J24" s="1844"/>
      <c r="K24" s="1843"/>
      <c r="L24" s="1845"/>
    </row>
    <row r="25" spans="1:12" ht="15.75" thickBot="1">
      <c r="A25" s="734" t="str">
        <f>'Drop Lists'!AR27</f>
        <v>Rollover Reserve</v>
      </c>
      <c r="B25" s="735" t="str">
        <f>VLOOKUP(A25,'Drop Lists'!$AR$5:$AS$39,2,FALSE)</f>
        <v>Rollover Reserve</v>
      </c>
      <c r="C25" s="736" t="str">
        <f>VLOOKUP(A25,'Drop Lists'!$AR$5:$AT$39,3,FALSE)</f>
        <v>RV</v>
      </c>
      <c r="D25" s="735" t="str">
        <f>VLOOKUP(A25,'Drop Lists'!$AR$5:$AU$39,4,FALSE)</f>
        <v>Rollover Reserve</v>
      </c>
      <c r="E25" s="737">
        <f>SUMIF(INPUT!$A$296:$A$310,'Backshop Escrows-Requires Input'!A25,INPUT!$H$296:$H$310)+SUMIF(INPUT!$A$340:$A$351,'Backshop Escrows-Requires Input'!A25,INPUT!$H$340:$H$351)</f>
        <v>0</v>
      </c>
      <c r="F25" s="1841"/>
      <c r="G25" s="1842"/>
      <c r="H25" s="1841"/>
      <c r="I25" s="1843"/>
      <c r="J25" s="1844"/>
      <c r="K25" s="1843"/>
      <c r="L25" s="1845"/>
    </row>
    <row r="26" spans="1:12" ht="15.75" thickBot="1">
      <c r="A26" s="734" t="str">
        <f>'Drop Lists'!AR28</f>
        <v>Seasonality Reserve</v>
      </c>
      <c r="B26" s="735" t="str">
        <f>VLOOKUP(A26,'Drop Lists'!$AR$5:$AS$39,2,FALSE)</f>
        <v>Seasonality</v>
      </c>
      <c r="C26" s="736" t="str">
        <f>VLOOKUP(A26,'Drop Lists'!$AR$5:$AT$39,3,FALSE)</f>
        <v>SE</v>
      </c>
      <c r="D26" s="735" t="str">
        <f>VLOOKUP(A26,'Drop Lists'!$AR$5:$AU$39,4,FALSE)</f>
        <v>Seasonality</v>
      </c>
      <c r="E26" s="737">
        <f>SUMIF(INPUT!$A$296:$A$310,'Backshop Escrows-Requires Input'!A26,INPUT!$H$296:$H$310)+SUMIF(INPUT!$A$340:$A$351,'Backshop Escrows-Requires Input'!A26,INPUT!$H$340:$H$351)</f>
        <v>0</v>
      </c>
      <c r="F26" s="1841"/>
      <c r="G26" s="1842"/>
      <c r="H26" s="1841"/>
      <c r="I26" s="1843"/>
      <c r="J26" s="1844"/>
      <c r="K26" s="1843"/>
      <c r="L26" s="1845"/>
    </row>
    <row r="27" spans="1:12" ht="15.75" thickBot="1">
      <c r="A27" s="734" t="str">
        <f>'Drop Lists'!AR29</f>
        <v>Security Deposit Reserve</v>
      </c>
      <c r="B27" s="735" t="str">
        <f>VLOOKUP(A27,'Drop Lists'!$AR$5:$AS$39,2,FALSE)</f>
        <v>Security Deposit</v>
      </c>
      <c r="C27" s="736" t="str">
        <f>VLOOKUP(A27,'Drop Lists'!$AR$5:$AT$39,3,FALSE)</f>
        <v>SD</v>
      </c>
      <c r="D27" s="735" t="str">
        <f>VLOOKUP(A27,'Drop Lists'!$AR$5:$AU$39,4,FALSE)</f>
        <v>Security Deposit</v>
      </c>
      <c r="E27" s="737">
        <f>SUMIF(INPUT!$A$296:$A$310,'Backshop Escrows-Requires Input'!A27,INPUT!$H$296:$H$310)+SUMIF(INPUT!$A$340:$A$351,'Backshop Escrows-Requires Input'!A27,INPUT!$H$340:$H$351)</f>
        <v>0</v>
      </c>
      <c r="F27" s="1841"/>
      <c r="G27" s="1842"/>
      <c r="H27" s="1841"/>
      <c r="I27" s="1843"/>
      <c r="J27" s="1844"/>
      <c r="K27" s="1843"/>
      <c r="L27" s="1845"/>
    </row>
    <row r="28" spans="1:12" ht="15.75" thickBot="1">
      <c r="A28" s="734" t="str">
        <f>'Drop Lists'!AR30</f>
        <v>Tax Reserve</v>
      </c>
      <c r="B28" s="735" t="str">
        <f>VLOOKUP(A28,'Drop Lists'!$AR$5:$AS$39,2,FALSE)</f>
        <v>Taxes</v>
      </c>
      <c r="C28" s="736" t="str">
        <f>VLOOKUP(A28,'Drop Lists'!$AR$5:$AT$39,3,FALSE)</f>
        <v>TX</v>
      </c>
      <c r="D28" s="735" t="str">
        <f>VLOOKUP(A28,'Drop Lists'!$AR$5:$AU$39,4,FALSE)</f>
        <v>Tax Reserve</v>
      </c>
      <c r="E28" s="737">
        <f>SUMIF(INPUT!$A$296:$A$310,'Backshop Escrows-Requires Input'!A28,INPUT!$H$296:$H$310)+SUMIF(INPUT!$A$340:$A$351,'Backshop Escrows-Requires Input'!A28,INPUT!$H$340:$H$351)</f>
        <v>0</v>
      </c>
      <c r="F28" s="1841"/>
      <c r="G28" s="1842"/>
      <c r="H28" s="1841"/>
      <c r="I28" s="1843"/>
      <c r="J28" s="1844"/>
      <c r="K28" s="1843"/>
      <c r="L28" s="1845"/>
    </row>
    <row r="29" spans="1:12" ht="15.75" thickBot="1">
      <c r="A29" s="734" t="str">
        <f>'Drop Lists'!AR31</f>
        <v>Tenant Improvement Reserve (Hard Cost)</v>
      </c>
      <c r="B29" s="735" t="str">
        <f>VLOOKUP(A29,'Drop Lists'!$AR$5:$AS$39,2,FALSE)</f>
        <v>TI and LC</v>
      </c>
      <c r="C29" s="736" t="str">
        <f>VLOOKUP(A29,'Drop Lists'!$AR$5:$AT$39,3,FALSE)</f>
        <v>IA</v>
      </c>
      <c r="D29" s="735" t="str">
        <f>VLOOKUP(A29,'Drop Lists'!$AR$5:$AU$39,4,FALSE)</f>
        <v>Tenant Improvements</v>
      </c>
      <c r="E29" s="737">
        <f>SUMIF(INPUT!$A$296:$A$310,'Backshop Escrows-Requires Input'!A29,INPUT!$H$296:$H$310)+SUMIF(INPUT!$A$340:$A$351,'Backshop Escrows-Requires Input'!A29,INPUT!$H$340:$H$351)</f>
        <v>0</v>
      </c>
      <c r="F29" s="1841"/>
      <c r="G29" s="1842"/>
      <c r="H29" s="1841"/>
      <c r="I29" s="1843"/>
      <c r="J29" s="1844"/>
      <c r="K29" s="1843"/>
      <c r="L29" s="1845"/>
    </row>
    <row r="30" spans="1:12" ht="15.75" thickBot="1">
      <c r="A30" s="734" t="str">
        <f>'Drop Lists'!AR32</f>
        <v>Leasing Commissions Reserve (Soft Costs)</v>
      </c>
      <c r="B30" s="735" t="str">
        <f>VLOOKUP(A30,'Drop Lists'!$AR$5:$AS$39,2,FALSE)</f>
        <v>Leasing Commissions</v>
      </c>
      <c r="C30" s="736" t="str">
        <f>VLOOKUP(A30,'Drop Lists'!$AR$5:$AT$39,3,FALSE)</f>
        <v>LC</v>
      </c>
      <c r="D30" s="735" t="str">
        <f>VLOOKUP(A30,'Drop Lists'!$AR$5:$AU$39,4,FALSE)</f>
        <v>Leasing Commissions</v>
      </c>
      <c r="E30" s="737">
        <f>SUMIF(INPUT!$A$296:$A$310,'Backshop Escrows-Requires Input'!A30,INPUT!$H$296:$H$310)+SUMIF(INPUT!$A$340:$A$351,'Backshop Escrows-Requires Input'!A30,INPUT!$H$340:$H$351)</f>
        <v>0</v>
      </c>
      <c r="F30" s="1841"/>
      <c r="G30" s="1842"/>
      <c r="H30" s="1841"/>
      <c r="I30" s="1843"/>
      <c r="J30" s="1844"/>
      <c r="K30" s="1843"/>
      <c r="L30" s="1845"/>
    </row>
    <row r="31" spans="1:12" ht="15.75" thickBot="1">
      <c r="A31" s="734" t="str">
        <f>'Drop Lists'!AR33</f>
        <v>Construction Hard Costs Reserve</v>
      </c>
      <c r="B31" s="735" t="str">
        <f>VLOOKUP(A31,'Drop Lists'!$AR$5:$AS$39,2,FALSE)</f>
        <v>Construction Draw Reserve</v>
      </c>
      <c r="C31" s="736" t="str">
        <f>VLOOKUP(A31,'Drop Lists'!$AR$5:$AT$39,3,FALSE)</f>
        <v>OR</v>
      </c>
      <c r="D31" s="735" t="str">
        <f>VLOOKUP(A31,'Drop Lists'!$AR$5:$AU$39,4,FALSE)</f>
        <v>Other</v>
      </c>
      <c r="E31" s="737">
        <f>SUMIF(INPUT!$A$296:$A$310,'Backshop Escrows-Requires Input'!A31,INPUT!$H$296:$H$310)+SUMIF(INPUT!$A$340:$A$351,'Backshop Escrows-Requires Input'!A31,INPUT!$H$340:$H$351)</f>
        <v>0</v>
      </c>
      <c r="F31" s="1841"/>
      <c r="G31" s="1842"/>
      <c r="H31" s="1841"/>
      <c r="I31" s="1843"/>
      <c r="J31" s="1844"/>
      <c r="K31" s="1843"/>
      <c r="L31" s="1845"/>
    </row>
    <row r="32" spans="1:12" ht="15.75" thickBot="1">
      <c r="A32" s="734" t="str">
        <f>'Drop Lists'!AR34</f>
        <v>Construction Soft Costs Reserve</v>
      </c>
      <c r="B32" s="735" t="str">
        <f>VLOOKUP(A32,'Drop Lists'!$AR$5:$AS$39,2,FALSE)</f>
        <v>Construction Draw Reserve</v>
      </c>
      <c r="C32" s="736" t="str">
        <f>VLOOKUP(A32,'Drop Lists'!$AR$5:$AT$39,3,FALSE)</f>
        <v>OR</v>
      </c>
      <c r="D32" s="735" t="str">
        <f>VLOOKUP(A32,'Drop Lists'!$AR$5:$AU$39,4,FALSE)</f>
        <v>Other</v>
      </c>
      <c r="E32" s="737">
        <f>SUMIF(INPUT!$A$296:$A$310,'Backshop Escrows-Requires Input'!A32,INPUT!$H$296:$H$310)+SUMIF(INPUT!$A$340:$A$351,'Backshop Escrows-Requires Input'!A32,INPUT!$H$340:$H$351)</f>
        <v>0</v>
      </c>
      <c r="F32" s="1841"/>
      <c r="G32" s="1842"/>
      <c r="H32" s="1841"/>
      <c r="I32" s="1843"/>
      <c r="J32" s="1844"/>
      <c r="K32" s="1843"/>
      <c r="L32" s="1845"/>
    </row>
    <row r="33" spans="1:12" ht="15.75" thickBot="1">
      <c r="A33" s="734" t="str">
        <f>'Drop Lists'!AR35</f>
        <v>Define in Drop Lists Cell AR35</v>
      </c>
      <c r="B33" s="735" t="str">
        <f>VLOOKUP(A33,'Drop Lists'!$AR$5:$AS$39,2,FALSE)</f>
        <v>Other</v>
      </c>
      <c r="C33" s="736" t="str">
        <f>VLOOKUP(A33,'Drop Lists'!$AR$5:$AT$39,3,FALSE)</f>
        <v>OR</v>
      </c>
      <c r="D33" s="735" t="str">
        <f>VLOOKUP(A33,'Drop Lists'!$AR$5:$AU$39,4,FALSE)</f>
        <v>Other</v>
      </c>
      <c r="E33" s="737">
        <f>SUMIF(INPUT!$A$296:$A$310,'Backshop Escrows-Requires Input'!A33,INPUT!$H$296:$H$310)+SUMIF(INPUT!$A$340:$A$351,'Backshop Escrows-Requires Input'!A33,INPUT!$H$340:$H$351)</f>
        <v>0</v>
      </c>
      <c r="F33" s="1841"/>
      <c r="G33" s="1842"/>
      <c r="H33" s="1841"/>
      <c r="I33" s="1843"/>
      <c r="J33" s="1844"/>
      <c r="K33" s="1843"/>
      <c r="L33" s="1845"/>
    </row>
    <row r="34" spans="1:12" ht="15.75" thickBot="1">
      <c r="A34" s="734" t="str">
        <f>'Drop Lists'!AR36</f>
        <v>Define in Drop Lists Cell AR36</v>
      </c>
      <c r="B34" s="735" t="str">
        <f>VLOOKUP(A34,'Drop Lists'!$AR$5:$AS$39,2,FALSE)</f>
        <v>Other</v>
      </c>
      <c r="C34" s="736" t="str">
        <f>VLOOKUP(A34,'Drop Lists'!$AR$5:$AT$39,3,FALSE)</f>
        <v>OR</v>
      </c>
      <c r="D34" s="735" t="str">
        <f>VLOOKUP(A34,'Drop Lists'!$AR$5:$AU$39,4,FALSE)</f>
        <v>Other</v>
      </c>
      <c r="E34" s="737">
        <f>SUMIF(INPUT!$A$296:$A$310,'Backshop Escrows-Requires Input'!A34,INPUT!$H$296:$H$310)+SUMIF(INPUT!$A$340:$A$351,'Backshop Escrows-Requires Input'!A34,INPUT!$H$340:$H$351)</f>
        <v>0</v>
      </c>
      <c r="F34" s="1841"/>
      <c r="G34" s="1842"/>
      <c r="H34" s="1841"/>
      <c r="I34" s="1843"/>
      <c r="J34" s="1844"/>
      <c r="K34" s="1843"/>
      <c r="L34" s="1845"/>
    </row>
    <row r="35" spans="1:12" ht="15.75" thickBot="1">
      <c r="A35" s="734" t="str">
        <f>'Drop Lists'!AR37</f>
        <v>Define in Drop Lists Cell AR37</v>
      </c>
      <c r="B35" s="735" t="str">
        <f>VLOOKUP(A35,'Drop Lists'!$AR$5:$AS$39,2,FALSE)</f>
        <v>Other</v>
      </c>
      <c r="C35" s="736" t="str">
        <f>VLOOKUP(A35,'Drop Lists'!$AR$5:$AT$39,3,FALSE)</f>
        <v>OR</v>
      </c>
      <c r="D35" s="735" t="str">
        <f>VLOOKUP(A35,'Drop Lists'!$AR$5:$AU$39,4,FALSE)</f>
        <v>Other</v>
      </c>
      <c r="E35" s="737">
        <f>SUMIF(INPUT!$A$296:$A$310,'Backshop Escrows-Requires Input'!A35,INPUT!$H$296:$H$310)+SUMIF(INPUT!$A$340:$A$351,'Backshop Escrows-Requires Input'!A35,INPUT!$H$340:$H$351)</f>
        <v>0</v>
      </c>
      <c r="F35" s="1841"/>
      <c r="G35" s="1842"/>
      <c r="H35" s="1841"/>
      <c r="I35" s="1843"/>
      <c r="J35" s="1844"/>
      <c r="K35" s="1843"/>
      <c r="L35" s="1845"/>
    </row>
    <row r="36" spans="1:12" ht="15.75" thickBot="1">
      <c r="A36" s="738" t="str">
        <f>'Drop Lists'!AR38</f>
        <v>Define in Drop Lists Cell AR38</v>
      </c>
      <c r="B36" s="1217" t="str">
        <f>VLOOKUP(A36,'Drop Lists'!$AR$5:$AS$39,2,FALSE)</f>
        <v>Other</v>
      </c>
      <c r="C36" s="740" t="str">
        <f>VLOOKUP(A36,'Drop Lists'!$AR$5:$AT$39,3,FALSE)</f>
        <v>OR</v>
      </c>
      <c r="D36" s="739" t="str">
        <f>VLOOKUP(A36,'Drop Lists'!$AR$5:$AU$39,4,FALSE)</f>
        <v>Other</v>
      </c>
      <c r="E36" s="741">
        <f>SUMIF(INPUT!$A$296:$A$310,'Backshop Escrows-Requires Input'!A36,INPUT!$H$296:$H$310)+SUMIF(INPUT!$A$340:$A$351,'Backshop Escrows-Requires Input'!A36,INPUT!$H$340:$H$351)</f>
        <v>0</v>
      </c>
      <c r="F36" s="1846"/>
      <c r="G36" s="1847"/>
      <c r="H36" s="1846"/>
      <c r="I36" s="1848"/>
      <c r="J36" s="1849"/>
      <c r="K36" s="1848"/>
      <c r="L36" s="1850"/>
    </row>
  </sheetData>
  <pageMargins left="0.7" right="0.7" top="0.75" bottom="0.75" header="0.3" footer="0.3"/>
  <pageSetup scale="33"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'Drop Lists'!$BV$3:$BV$7</xm:f>
          </x14:formula1>
          <xm:sqref>I5:I36</xm:sqref>
        </x14:dataValidation>
        <x14:dataValidation type="list" allowBlank="1" showInputMessage="1" showErrorMessage="1" xr:uid="{00000000-0002-0000-0300-000003000000}">
          <x14:formula1>
            <xm:f>'Drop Lists'!$A$35:$A$38</xm:f>
          </x14:formula1>
          <xm:sqref>G5:G36</xm:sqref>
        </x14:dataValidation>
        <x14:dataValidation type="list" allowBlank="1" showInputMessage="1" showErrorMessage="1" xr:uid="{00000000-0002-0000-0300-000000000000}">
          <x14:formula1>
            <xm:f>'Drop Lists'!$S$3:$S$6</xm:f>
          </x14:formula1>
          <xm:sqref>K5:K36</xm:sqref>
        </x14:dataValidation>
        <x14:dataValidation type="list" allowBlank="1" showInputMessage="1" showErrorMessage="1" xr:uid="{00000000-0002-0000-0300-000002000000}">
          <x14:formula1>
            <xm:f>'Drop Lists'!$Z$3:$Z$6</xm:f>
          </x14:formula1>
          <xm:sqref>H5:H36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9966FF"/>
    <pageSetUpPr fitToPage="1"/>
  </sheetPr>
  <dimension ref="A1:M76"/>
  <sheetViews>
    <sheetView workbookViewId="0">
      <selection activeCell="L4" sqref="L4"/>
    </sheetView>
  </sheetViews>
  <sheetFormatPr defaultRowHeight="15"/>
  <cols>
    <col min="1" max="1" width="2.5703125" customWidth="1"/>
    <col min="2" max="2" width="50.5703125" customWidth="1"/>
    <col min="3" max="3" width="22.5703125" customWidth="1"/>
    <col min="4" max="4" width="28.42578125" customWidth="1"/>
    <col min="5" max="5" width="18.5703125" customWidth="1"/>
    <col min="6" max="6" width="25.42578125" customWidth="1"/>
    <col min="7" max="7" width="5.42578125" customWidth="1"/>
    <col min="11" max="11" width="49" customWidth="1"/>
  </cols>
  <sheetData>
    <row r="1" spans="1:13" ht="15.75">
      <c r="A1" s="411"/>
      <c r="B1" s="411"/>
      <c r="C1" s="411"/>
      <c r="D1" s="411"/>
      <c r="E1" s="411"/>
      <c r="F1" s="411"/>
      <c r="G1" s="20"/>
      <c r="K1" s="420" t="s">
        <v>1706</v>
      </c>
    </row>
    <row r="2" spans="1:13" ht="21.75" customHeight="1">
      <c r="A2" s="412"/>
      <c r="B2" s="412"/>
      <c r="C2" s="412"/>
      <c r="D2" s="414"/>
      <c r="E2" s="413"/>
      <c r="F2" s="415" t="s">
        <v>14</v>
      </c>
      <c r="G2" s="20"/>
      <c r="K2" t="s">
        <v>1653</v>
      </c>
      <c r="L2" t="str">
        <f>'Drop Lists'!AG15</f>
        <v>Delphi</v>
      </c>
    </row>
    <row r="3" spans="1:13" ht="15.75">
      <c r="A3" s="412"/>
      <c r="B3" s="412"/>
      <c r="C3" s="412"/>
      <c r="D3" s="412"/>
      <c r="E3" s="412"/>
      <c r="F3" s="419"/>
      <c r="G3" s="20"/>
      <c r="K3" t="s">
        <v>1707</v>
      </c>
      <c r="L3" t="str">
        <f>VLOOKUP(L2,'Drop Lists'!AG5:AH30,2,FALSE)</f>
        <v>Delphi</v>
      </c>
    </row>
    <row r="4" spans="1:13" ht="15.75">
      <c r="A4" s="412"/>
      <c r="B4" s="412"/>
      <c r="C4" s="412"/>
      <c r="D4" s="412"/>
      <c r="E4" s="412"/>
      <c r="F4" s="412"/>
      <c r="G4" s="20"/>
      <c r="K4" t="s">
        <v>1708</v>
      </c>
      <c r="L4" t="str">
        <f>VLOOKUP(L3,'Investor Profile'!A4:D14,4,FALSE)</f>
        <v>Yes</v>
      </c>
    </row>
    <row r="5" spans="1:13" ht="15.75">
      <c r="A5" s="412"/>
      <c r="B5" s="412"/>
      <c r="C5" s="412"/>
      <c r="D5" s="412"/>
      <c r="E5" s="412"/>
      <c r="F5" s="412"/>
      <c r="G5" s="20"/>
      <c r="K5" t="s">
        <v>1709</v>
      </c>
      <c r="L5" t="str">
        <f>VLOOKUP(L3,'Investor Profile'!A4:C14,3,FALSE)</f>
        <v>Yes</v>
      </c>
    </row>
    <row r="6" spans="1:13" ht="15.75">
      <c r="A6" s="2634" t="s">
        <v>1710</v>
      </c>
      <c r="B6" s="2634"/>
      <c r="C6" s="421"/>
      <c r="D6" s="2432"/>
      <c r="E6" s="422" t="s">
        <v>1603</v>
      </c>
      <c r="F6" s="423">
        <f>IF(INPUT!E127="","",INPUT!E127)</f>
        <v>44743</v>
      </c>
      <c r="G6" s="20"/>
      <c r="K6" t="s">
        <v>1711</v>
      </c>
      <c r="L6" t="str">
        <f>IF(VLOOKUP(L3,'Investor Profile'!A4:E14,5,FALSE)=0,"No","Yes")</f>
        <v>No</v>
      </c>
    </row>
    <row r="7" spans="1:13" ht="15.75">
      <c r="A7" s="2635" t="s">
        <v>1712</v>
      </c>
      <c r="B7" s="2635"/>
      <c r="C7" s="421"/>
      <c r="D7" s="423"/>
      <c r="E7" s="422" t="s">
        <v>1713</v>
      </c>
      <c r="F7" s="424" t="str">
        <f>IF(INPUT!E14="","",INPUT!E14)</f>
        <v>22-9999</v>
      </c>
      <c r="G7" s="20"/>
    </row>
    <row r="8" spans="1:13" ht="15.75">
      <c r="A8" s="2634" t="s">
        <v>1714</v>
      </c>
      <c r="B8" s="2634"/>
      <c r="C8" s="2636"/>
      <c r="D8" s="2636"/>
      <c r="E8" s="2636"/>
      <c r="F8" s="2636"/>
      <c r="G8" s="20"/>
    </row>
    <row r="9" spans="1:13" ht="15.75">
      <c r="A9" s="411"/>
      <c r="B9" s="411"/>
      <c r="C9" s="411"/>
      <c r="D9" s="411"/>
      <c r="E9" s="411"/>
      <c r="F9" s="411"/>
      <c r="G9" s="20"/>
    </row>
    <row r="10" spans="1:13" ht="15.75">
      <c r="A10" s="411"/>
      <c r="B10" s="2634" t="s">
        <v>1715</v>
      </c>
      <c r="C10" s="2634"/>
      <c r="D10" s="411"/>
      <c r="E10" s="411"/>
      <c r="F10" s="411"/>
      <c r="G10" s="20"/>
    </row>
    <row r="11" spans="1:13" ht="15.75">
      <c r="A11" s="411"/>
      <c r="B11" s="2214" t="s">
        <v>1716</v>
      </c>
      <c r="C11" s="411"/>
      <c r="D11" s="411"/>
      <c r="E11" s="411"/>
      <c r="F11" s="411"/>
      <c r="G11" s="20"/>
    </row>
    <row r="12" spans="1:13" ht="16.5" thickBot="1">
      <c r="A12" s="411"/>
      <c r="B12" s="411"/>
      <c r="C12" s="411"/>
      <c r="D12" s="411"/>
      <c r="E12" s="411"/>
      <c r="F12" s="411"/>
      <c r="G12" s="20"/>
    </row>
    <row r="13" spans="1:13" ht="16.5" thickBot="1">
      <c r="A13" s="411"/>
      <c r="B13" s="425" t="s">
        <v>376</v>
      </c>
      <c r="C13" s="2629" t="s">
        <v>1717</v>
      </c>
      <c r="D13" s="2630"/>
      <c r="E13" s="2631"/>
      <c r="F13" s="2437" t="s">
        <v>1718</v>
      </c>
      <c r="G13" s="20"/>
    </row>
    <row r="14" spans="1:13" ht="21.75" customHeight="1" thickBot="1">
      <c r="A14" s="411"/>
      <c r="B14" s="426" t="s">
        <v>1580</v>
      </c>
      <c r="C14" s="2623" t="str">
        <f>IF(INPUT!$E$26="",IF(INPUT!$E$25="",INPUT!$E$24,INPUT!$E$24&amp;" and "&amp;INPUT!$E$25),INPUT!$E$24&amp;", "&amp;INPUT!$E$25&amp;" et al")</f>
        <v>PV1 Properties, LLC , SWRCM FG I, LLC  et al</v>
      </c>
      <c r="D14" s="2624"/>
      <c r="E14" s="2625"/>
      <c r="F14" s="1018"/>
      <c r="G14" s="20"/>
      <c r="H14" s="370" t="s">
        <v>1719</v>
      </c>
    </row>
    <row r="15" spans="1:13" ht="29.25" customHeight="1" thickBot="1">
      <c r="A15" s="411"/>
      <c r="B15" s="426" t="s">
        <v>1720</v>
      </c>
      <c r="C15" s="2623" t="str">
        <f>IF(INPUT!$E$76="",IF(INPUT!$E$75="",INPUT!$E$74,INPUT!$E$74&amp;" and "&amp;INPUT!$E$75),INPUT!$E$74&amp;", "&amp;INPUT!$E$75&amp;" et al")</f>
        <v>PV1 Properties Member, LLC and SWRCM FG Member, LLC</v>
      </c>
      <c r="D15" s="2624"/>
      <c r="E15" s="2625"/>
      <c r="F15" s="1018"/>
      <c r="G15" s="20"/>
      <c r="M15" s="416"/>
    </row>
    <row r="16" spans="1:13" ht="16.5" thickBot="1">
      <c r="A16" s="411"/>
      <c r="B16" s="426" t="s">
        <v>1508</v>
      </c>
      <c r="C16" s="2626" t="str">
        <f>IF(C19=0,"",INPUT!E17)</f>
        <v/>
      </c>
      <c r="D16" s="2627"/>
      <c r="E16" s="2628"/>
      <c r="F16" s="1018"/>
      <c r="G16" s="20"/>
      <c r="M16" s="417"/>
    </row>
    <row r="17" spans="1:13" ht="16.5" thickBot="1">
      <c r="A17" s="411"/>
      <c r="B17" s="426" t="s">
        <v>1721</v>
      </c>
      <c r="C17" s="2436" t="str">
        <f>IF(C19=0,"",INPUT!E126)</f>
        <v/>
      </c>
      <c r="D17" s="428"/>
      <c r="E17" s="427"/>
      <c r="F17" s="1018"/>
      <c r="G17" s="20"/>
      <c r="M17" s="417"/>
    </row>
    <row r="18" spans="1:13" ht="16.5" thickBot="1">
      <c r="A18" s="411"/>
      <c r="B18" s="426" t="s">
        <v>1513</v>
      </c>
      <c r="C18" s="2436" t="str">
        <f>L2</f>
        <v>Delphi</v>
      </c>
      <c r="D18" s="428"/>
      <c r="E18" s="427"/>
      <c r="F18" s="1019"/>
      <c r="G18" s="20"/>
      <c r="M18" s="417"/>
    </row>
    <row r="19" spans="1:13" ht="30" customHeight="1" thickBot="1">
      <c r="A19" s="411"/>
      <c r="B19" s="426" t="s">
        <v>1722</v>
      </c>
      <c r="C19" s="429">
        <f>F20+SUMIF(INPUT!A186:A215,'Delphi Capital Call'!L2,INPUT!H186:H215)-(SUMIFS(INPUT!J186:J215,INPUT!A186:A215,'Delphi Capital Call'!L2,INPUT!Z186:Z215,"X"))</f>
        <v>0</v>
      </c>
      <c r="D19" s="430"/>
      <c r="E19" s="431"/>
      <c r="F19" s="432"/>
      <c r="G19" s="20"/>
    </row>
    <row r="20" spans="1:13" ht="16.5" thickBot="1">
      <c r="A20" s="411"/>
      <c r="B20" s="426" t="s">
        <v>1723</v>
      </c>
      <c r="C20" s="2623"/>
      <c r="D20" s="2632"/>
      <c r="E20" s="2633"/>
      <c r="F20" s="432">
        <f>SUMIF(INPUT!A186:A215,'Delphi Capital Call'!L2,INPUT!F186:F215)-SUMIFS(INPUT!F186:F215,INPUT!A186:A215,'Delphi Capital Call'!L2,INPUT!Z186:Z215,"X")</f>
        <v>0</v>
      </c>
      <c r="G20" s="20"/>
    </row>
    <row r="21" spans="1:13" ht="16.5" thickBot="1">
      <c r="A21" s="411"/>
      <c r="B21" s="433" t="s">
        <v>1724</v>
      </c>
      <c r="C21" s="1268" t="str">
        <f>IF(F20=0,"",INPUT!E129)</f>
        <v/>
      </c>
      <c r="D21" s="1271" t="s">
        <v>1725</v>
      </c>
      <c r="E21" s="1272" t="str">
        <f>IF(F20=0,"",INPUT!E130)</f>
        <v/>
      </c>
      <c r="F21" s="1020">
        <f>-SUMIFS(INPUT!Q186:Q215,INPUT!R186:R215,"Yes",INPUT!A186:A215,'Delphi Capital Call'!C18)</f>
        <v>0</v>
      </c>
      <c r="G21" s="20"/>
    </row>
    <row r="22" spans="1:13" ht="16.5" thickBot="1">
      <c r="A22" s="411"/>
      <c r="B22" s="434" t="s">
        <v>1610</v>
      </c>
      <c r="C22" s="2259" t="str">
        <f>IF(F20=0,"",(SUMPRODUCT(--(INPUT!A186:A215=C18),INPUT!F186:F215,INPUT!O186:O215))/SUMIF(INPUT!A186:A215,C18,INPUT!F186:F215))</f>
        <v/>
      </c>
      <c r="D22" s="1266"/>
      <c r="E22" s="1267"/>
      <c r="F22" s="1021"/>
      <c r="G22" s="20"/>
    </row>
    <row r="23" spans="1:13" ht="16.5" thickBot="1">
      <c r="A23" s="411"/>
      <c r="B23" s="426" t="s">
        <v>1726</v>
      </c>
      <c r="C23" s="1265" t="str">
        <f>IF(C19=0,"",INPUT!E170)</f>
        <v/>
      </c>
      <c r="D23" s="435"/>
      <c r="E23" s="436"/>
      <c r="F23" s="1020">
        <f>-SUMIFS(INPUT!U186:U215,INPUT!W186:W215,"Yes",INPUT!A186:A215,'Delphi Capital Call'!C18)</f>
        <v>0</v>
      </c>
      <c r="G23" s="20"/>
    </row>
    <row r="24" spans="1:13" ht="16.5" thickBot="1">
      <c r="A24" s="411"/>
      <c r="B24" s="426" t="str">
        <f>IF(L4="No","Orig. Fee to be Paid to Lender through Escrow/Title","")</f>
        <v/>
      </c>
      <c r="C24" s="437" t="str">
        <f>IF(L4="No",SUMIF(INPUT!A186:A215,'Delphi Capital Call'!L2,INPUT!U186:U215),"")</f>
        <v/>
      </c>
      <c r="D24" s="435"/>
      <c r="E24" s="436"/>
      <c r="F24" s="1022"/>
      <c r="G24" s="20"/>
    </row>
    <row r="25" spans="1:13" ht="31.5" customHeight="1" thickBot="1">
      <c r="A25" s="411"/>
      <c r="B25" s="426" t="s">
        <v>1727</v>
      </c>
      <c r="C25" s="1442" t="str">
        <f>IF(C19=0,"",VLOOKUP(L3,'Investor Profile'!A4:E14,5,FALSE))</f>
        <v/>
      </c>
      <c r="D25" s="435" t="str">
        <f>"  of "&amp;INPUT!E171</f>
        <v xml:space="preserve">  of Total Loan</v>
      </c>
      <c r="E25" s="439"/>
      <c r="F25" s="432">
        <f>IF(C19=0,0,ROUND((IF(C25=0,0,IF(E25="Initial",C25*F20,C25*C19))),2))</f>
        <v>0</v>
      </c>
      <c r="G25" s="20"/>
      <c r="H25" s="370" t="s">
        <v>1728</v>
      </c>
    </row>
    <row r="26" spans="1:13" ht="31.5" customHeight="1" thickBot="1">
      <c r="A26" s="411"/>
      <c r="B26" s="426" t="s">
        <v>1729</v>
      </c>
      <c r="C26" s="438"/>
      <c r="D26" s="435"/>
      <c r="E26" s="439"/>
      <c r="F26" s="1017">
        <v>0</v>
      </c>
      <c r="G26" s="20"/>
      <c r="H26" s="370" t="s">
        <v>1730</v>
      </c>
    </row>
    <row r="27" spans="1:13" ht="16.5" thickBot="1">
      <c r="A27" s="411"/>
      <c r="B27" s="426" t="s">
        <v>1731</v>
      </c>
      <c r="C27" s="1268" t="str">
        <f>IF(C19=0,"",INPUT!E129)</f>
        <v/>
      </c>
      <c r="D27" s="1269"/>
      <c r="E27" s="1270"/>
      <c r="F27" s="432"/>
      <c r="G27" s="20"/>
    </row>
    <row r="28" spans="1:13" s="1" customFormat="1" ht="16.5" thickBot="1">
      <c r="A28" s="440"/>
      <c r="B28" s="441" t="s">
        <v>1732</v>
      </c>
      <c r="C28" s="2620"/>
      <c r="D28" s="2621"/>
      <c r="E28" s="2622"/>
      <c r="F28" s="442">
        <f>SUM(F20:F26)</f>
        <v>0</v>
      </c>
      <c r="G28" s="25"/>
    </row>
    <row r="29" spans="1:13" ht="15.75">
      <c r="A29" s="411"/>
      <c r="B29" s="411"/>
      <c r="C29" s="411"/>
      <c r="D29" s="411"/>
      <c r="E29" s="411"/>
      <c r="F29" s="411"/>
      <c r="G29" s="20"/>
    </row>
    <row r="30" spans="1:13" ht="15.75">
      <c r="A30" s="411"/>
      <c r="B30" s="411"/>
      <c r="C30" s="411"/>
      <c r="D30" s="411"/>
      <c r="E30" s="411"/>
      <c r="F30" s="411"/>
      <c r="G30" s="20"/>
    </row>
    <row r="31" spans="1:13" ht="15.75">
      <c r="A31" s="411"/>
      <c r="B31" s="78" t="s">
        <v>1733</v>
      </c>
      <c r="C31" s="411"/>
      <c r="D31" s="411"/>
      <c r="E31" s="411"/>
      <c r="F31" s="411"/>
      <c r="G31" s="20"/>
    </row>
    <row r="32" spans="1:13" ht="15.75">
      <c r="A32" s="411"/>
      <c r="B32" s="411" t="s">
        <v>1559</v>
      </c>
      <c r="C32" s="1068" t="str">
        <f>IF(F20=0,"",INPUT!E554)</f>
        <v/>
      </c>
      <c r="D32" s="411"/>
      <c r="E32" s="411"/>
      <c r="F32" s="411"/>
      <c r="G32" s="20"/>
      <c r="H32" s="370" t="s">
        <v>1734</v>
      </c>
    </row>
    <row r="33" spans="1:8" ht="15.75">
      <c r="A33" s="411"/>
      <c r="B33" s="411" t="s">
        <v>1560</v>
      </c>
      <c r="C33" s="1068" t="str">
        <f>IF(C32="","",INPUT!F554)</f>
        <v/>
      </c>
      <c r="D33" s="411"/>
      <c r="E33" s="411"/>
      <c r="F33" s="411"/>
      <c r="G33" s="20"/>
    </row>
    <row r="34" spans="1:8" ht="15.75">
      <c r="A34" s="411"/>
      <c r="B34" s="411" t="s">
        <v>1561</v>
      </c>
      <c r="C34" s="1068" t="str">
        <f>IF(C32="","",INPUT!G554)</f>
        <v/>
      </c>
      <c r="D34" s="411"/>
      <c r="E34" s="411"/>
      <c r="F34" s="411"/>
      <c r="G34" s="20"/>
    </row>
    <row r="35" spans="1:8" ht="15.75">
      <c r="A35" s="411"/>
      <c r="B35" s="411" t="s">
        <v>1562</v>
      </c>
      <c r="C35" s="2239" t="str">
        <f>IF(C32="","",INPUT!H554)</f>
        <v/>
      </c>
      <c r="D35" s="411"/>
      <c r="E35" s="411"/>
      <c r="F35" s="411"/>
      <c r="G35" s="20"/>
    </row>
    <row r="36" spans="1:8" ht="15.75">
      <c r="A36" s="411"/>
      <c r="B36" s="411" t="s">
        <v>1563</v>
      </c>
      <c r="C36" s="1068" t="str">
        <f>IF(C32="","",INPUT!I554)</f>
        <v/>
      </c>
      <c r="D36" s="411"/>
      <c r="E36" s="411"/>
      <c r="F36" s="411"/>
      <c r="G36" s="20"/>
    </row>
    <row r="37" spans="1:8" ht="15.75">
      <c r="A37" s="411"/>
      <c r="B37" s="20" t="s">
        <v>1573</v>
      </c>
      <c r="C37" s="1068" t="str">
        <f>IF(C32="","",IF(INPUT!J554="","",INPUT!J554))</f>
        <v/>
      </c>
      <c r="D37" s="411"/>
      <c r="E37" s="411"/>
      <c r="F37" s="411"/>
      <c r="G37" s="20"/>
    </row>
    <row r="38" spans="1:8" ht="15.75">
      <c r="A38" s="411"/>
      <c r="B38" s="20" t="s">
        <v>1563</v>
      </c>
      <c r="C38" s="1068" t="str">
        <f>IF(C37="","",INPUT!K554)</f>
        <v/>
      </c>
      <c r="D38" s="411"/>
      <c r="E38" s="411"/>
      <c r="F38" s="411"/>
      <c r="G38" s="20"/>
    </row>
    <row r="39" spans="1:8" ht="15.75">
      <c r="A39" s="411"/>
      <c r="B39" s="25" t="s">
        <v>1564</v>
      </c>
      <c r="C39" s="446">
        <f>F20+F21+F23</f>
        <v>0</v>
      </c>
      <c r="D39" s="411"/>
      <c r="E39" s="411"/>
      <c r="F39" s="411"/>
      <c r="G39" s="20"/>
    </row>
    <row r="40" spans="1:8" ht="15.75">
      <c r="A40" s="411"/>
      <c r="B40" s="20" t="s">
        <v>1567</v>
      </c>
      <c r="C40" s="445" t="str">
        <f>IF(C32="","",INPUT!L554)</f>
        <v/>
      </c>
      <c r="D40" s="411"/>
      <c r="E40" s="411"/>
      <c r="F40" s="411"/>
      <c r="G40" s="20"/>
    </row>
    <row r="41" spans="1:8" ht="15.75">
      <c r="A41" s="411"/>
      <c r="B41" s="20" t="s">
        <v>1568</v>
      </c>
      <c r="C41" s="445" t="str">
        <f>IF(C32="","",INPUT!M554)</f>
        <v/>
      </c>
      <c r="D41" s="411"/>
      <c r="E41" s="411"/>
      <c r="F41" s="411"/>
      <c r="G41" s="20"/>
    </row>
    <row r="42" spans="1:8" ht="15.75">
      <c r="A42" s="411"/>
      <c r="B42" s="411" t="s">
        <v>1735</v>
      </c>
      <c r="C42" s="445" t="str">
        <f>IF(C32="","",INPUT!O554&amp;" -- "&amp;INPUT!N554)</f>
        <v/>
      </c>
      <c r="D42" s="411"/>
      <c r="E42" s="411"/>
      <c r="F42" s="411"/>
      <c r="G42" s="20"/>
    </row>
    <row r="43" spans="1:8" ht="15.75">
      <c r="A43" s="411"/>
      <c r="B43" s="411"/>
      <c r="C43" s="1069"/>
      <c r="D43" s="411"/>
      <c r="E43" s="411"/>
      <c r="F43" s="411"/>
      <c r="G43" s="20"/>
      <c r="H43" s="370"/>
    </row>
    <row r="44" spans="1:8" ht="15.75" hidden="1">
      <c r="A44" s="411"/>
      <c r="B44" s="444" t="str">
        <f>IF(F25+F26=0,"","Wiring Instructions from "&amp;L2&amp;" to ACORE Capital")</f>
        <v/>
      </c>
      <c r="C44" s="1068"/>
      <c r="D44" s="411"/>
      <c r="E44" s="411"/>
      <c r="F44" s="411"/>
      <c r="G44" s="20"/>
      <c r="H44" s="370" t="s">
        <v>1736</v>
      </c>
    </row>
    <row r="45" spans="1:8" ht="15.75" hidden="1">
      <c r="A45" s="411"/>
      <c r="B45" s="445" t="str">
        <f>IF(B44="","","Pay to Bank:")</f>
        <v/>
      </c>
      <c r="C45" s="1068" t="str">
        <f>IF(B44="","","First Republic Bank")</f>
        <v/>
      </c>
      <c r="D45" s="411"/>
      <c r="E45" s="411"/>
      <c r="F45" s="411"/>
      <c r="G45" s="20"/>
      <c r="H45" t="s">
        <v>1737</v>
      </c>
    </row>
    <row r="46" spans="1:8" ht="15.75" hidden="1">
      <c r="A46" s="411"/>
      <c r="B46" s="445" t="str">
        <f>IF(B44="","","Address:")</f>
        <v/>
      </c>
      <c r="C46" s="1068" t="str">
        <f>IF(B45="","","San Francisco, CA 94111")</f>
        <v/>
      </c>
      <c r="D46" s="411"/>
      <c r="E46" s="411"/>
      <c r="F46" s="411"/>
      <c r="G46" s="20"/>
    </row>
    <row r="47" spans="1:8" ht="15.75" hidden="1">
      <c r="A47" s="411"/>
      <c r="B47" s="445" t="str">
        <f>IF(B44="","","ABA #:")</f>
        <v/>
      </c>
      <c r="C47" s="1068" t="str">
        <f>IF(B46="","","321081669")</f>
        <v/>
      </c>
      <c r="D47" s="411"/>
      <c r="E47" s="411"/>
      <c r="F47" s="411"/>
      <c r="G47" s="20"/>
    </row>
    <row r="48" spans="1:8" ht="15.75" hidden="1">
      <c r="A48" s="411"/>
      <c r="B48" s="445" t="str">
        <f>IF(B44="","","Beneficiary:")</f>
        <v/>
      </c>
      <c r="C48" s="1068" t="str">
        <f>IF(B47="","","ACORE Capital, LP - Operating Account")</f>
        <v/>
      </c>
      <c r="D48" s="411"/>
      <c r="E48" s="411"/>
      <c r="F48" s="411"/>
      <c r="G48" s="20"/>
    </row>
    <row r="49" spans="1:7" ht="15.75" hidden="1">
      <c r="A49" s="411"/>
      <c r="B49" s="445" t="str">
        <f>IF(B44="","","Account #:")</f>
        <v/>
      </c>
      <c r="C49" s="1068" t="str">
        <f>IF(B48="","","80003128733")</f>
        <v/>
      </c>
      <c r="D49" s="411"/>
      <c r="E49" s="411"/>
      <c r="F49" s="411"/>
      <c r="G49" s="20"/>
    </row>
    <row r="50" spans="1:7" ht="15.75" hidden="1">
      <c r="A50" s="411"/>
      <c r="B50" s="445" t="str">
        <f>IF(B44="","","Contact:")</f>
        <v/>
      </c>
      <c r="C50" s="1068" t="str">
        <f>IF(B50="","","David Cordova - 212-235-1203")</f>
        <v/>
      </c>
      <c r="D50" s="411"/>
      <c r="E50" s="411"/>
      <c r="F50" s="411"/>
      <c r="G50" s="20"/>
    </row>
    <row r="51" spans="1:7" ht="15.75" hidden="1">
      <c r="A51" s="411"/>
      <c r="B51" s="445" t="str">
        <f>IF(B44="","","Amount:")</f>
        <v/>
      </c>
      <c r="C51" s="446" t="str">
        <f>IF(B44="","",F25+F26)</f>
        <v/>
      </c>
      <c r="D51" s="411"/>
      <c r="E51" s="411"/>
      <c r="F51" s="411"/>
      <c r="G51" s="20"/>
    </row>
    <row r="52" spans="1:7" ht="15.75" hidden="1">
      <c r="A52" s="411"/>
      <c r="B52" s="445" t="str">
        <f>IF(B44="","","Reference:")</f>
        <v/>
      </c>
      <c r="C52" s="1068" t="str">
        <f>IF(B52="","",INPUT!E16&amp;" Fees/Expenses from "&amp;'Delphi Capital Call'!L3)</f>
        <v/>
      </c>
      <c r="D52" s="411"/>
      <c r="E52" s="411"/>
      <c r="F52" s="411"/>
      <c r="G52" s="20"/>
    </row>
    <row r="53" spans="1:7" ht="15.75">
      <c r="A53" s="411"/>
      <c r="B53" s="411"/>
      <c r="C53" s="443"/>
      <c r="D53" s="411"/>
      <c r="E53" s="411"/>
      <c r="F53" s="411"/>
      <c r="G53" s="20"/>
    </row>
    <row r="54" spans="1:7" ht="32.25" customHeight="1">
      <c r="A54" s="411"/>
      <c r="B54" s="411"/>
      <c r="C54" s="1069"/>
      <c r="D54" s="411"/>
      <c r="E54" s="411"/>
      <c r="F54" s="411"/>
      <c r="G54" s="20"/>
    </row>
    <row r="55" spans="1:7" ht="15.75">
      <c r="A55" s="411" t="s">
        <v>1738</v>
      </c>
      <c r="B55" s="20"/>
      <c r="C55" s="447"/>
      <c r="D55" s="447"/>
      <c r="E55" s="447"/>
      <c r="F55" s="411"/>
      <c r="G55" s="20"/>
    </row>
    <row r="56" spans="1:7" ht="15.75">
      <c r="A56" s="411" t="s">
        <v>1592</v>
      </c>
      <c r="B56" s="20"/>
      <c r="C56" s="450"/>
      <c r="D56" s="411"/>
      <c r="E56" s="411"/>
      <c r="F56" s="411"/>
      <c r="G56" s="20"/>
    </row>
    <row r="57" spans="1:7" ht="15.75">
      <c r="A57" s="411" t="s">
        <v>1739</v>
      </c>
      <c r="B57" s="20"/>
      <c r="C57" s="411" t="s">
        <v>696</v>
      </c>
      <c r="D57" s="411"/>
      <c r="E57" s="411"/>
      <c r="F57" s="411"/>
      <c r="G57" s="20"/>
    </row>
    <row r="58" spans="1:7" ht="15.75">
      <c r="A58" s="411"/>
      <c r="B58" s="411"/>
      <c r="C58" s="411"/>
      <c r="D58" s="411"/>
      <c r="E58" s="411"/>
      <c r="F58" s="411"/>
      <c r="G58" s="20"/>
    </row>
    <row r="59" spans="1:7" ht="15.75">
      <c r="A59" s="411"/>
      <c r="B59" s="411"/>
      <c r="C59" s="411"/>
      <c r="D59" s="411"/>
      <c r="E59" s="411"/>
      <c r="F59" s="411"/>
      <c r="G59" s="20"/>
    </row>
    <row r="60" spans="1:7" ht="15.75">
      <c r="A60" s="411"/>
      <c r="B60" s="411"/>
      <c r="C60" s="411"/>
      <c r="D60" s="411"/>
      <c r="E60" s="411"/>
      <c r="F60" s="411"/>
      <c r="G60" s="20"/>
    </row>
    <row r="61" spans="1:7" ht="15.75">
      <c r="A61" s="411"/>
      <c r="B61" s="411"/>
      <c r="C61" s="411"/>
      <c r="D61" s="411"/>
      <c r="E61" s="411"/>
      <c r="F61" s="411"/>
      <c r="G61" s="20"/>
    </row>
    <row r="62" spans="1:7" ht="15.75">
      <c r="A62" s="411"/>
      <c r="B62" s="411"/>
      <c r="C62" s="411"/>
      <c r="D62" s="411"/>
      <c r="E62" s="411"/>
      <c r="F62" s="411"/>
      <c r="G62" s="20"/>
    </row>
    <row r="63" spans="1:7" ht="15.75">
      <c r="A63" s="411"/>
      <c r="B63" s="411"/>
      <c r="C63" s="411"/>
      <c r="D63" s="411"/>
      <c r="E63" s="411"/>
      <c r="F63" s="411"/>
      <c r="G63" s="20"/>
    </row>
    <row r="64" spans="1:7" ht="15.75" hidden="1">
      <c r="A64" s="411"/>
      <c r="B64" s="440" t="s">
        <v>1740</v>
      </c>
      <c r="C64" s="411"/>
      <c r="D64" s="411"/>
      <c r="E64" s="411"/>
      <c r="F64" s="411"/>
      <c r="G64" s="20"/>
    </row>
    <row r="65" spans="1:7" ht="15.75" hidden="1">
      <c r="A65" s="411"/>
      <c r="B65" s="448" t="s">
        <v>1741</v>
      </c>
      <c r="C65" s="448" t="s">
        <v>1742</v>
      </c>
      <c r="D65" s="448" t="s">
        <v>1743</v>
      </c>
      <c r="E65" s="448" t="s">
        <v>1744</v>
      </c>
      <c r="F65" s="448" t="s">
        <v>1745</v>
      </c>
      <c r="G65" s="20"/>
    </row>
    <row r="66" spans="1:7" ht="15.75" hidden="1">
      <c r="A66" s="411"/>
      <c r="B66" s="449" t="s">
        <v>1746</v>
      </c>
      <c r="C66" s="1273"/>
      <c r="D66" s="1273"/>
      <c r="E66" s="1273"/>
      <c r="F66" s="1273"/>
      <c r="G66" s="20"/>
    </row>
    <row r="67" spans="1:7" ht="15.75" hidden="1">
      <c r="A67" s="411"/>
      <c r="B67" s="449" t="s">
        <v>1747</v>
      </c>
      <c r="C67" s="1273"/>
      <c r="D67" s="1273"/>
      <c r="E67" s="1273"/>
      <c r="F67" s="1273"/>
      <c r="G67" s="20"/>
    </row>
    <row r="68" spans="1:7" ht="15.75" hidden="1">
      <c r="A68" s="411"/>
      <c r="B68" s="449" t="s">
        <v>1748</v>
      </c>
      <c r="C68" s="1273"/>
      <c r="D68" s="1273"/>
      <c r="E68" s="1273"/>
      <c r="F68" s="1273"/>
      <c r="G68" s="20"/>
    </row>
    <row r="69" spans="1:7" ht="15.75" hidden="1">
      <c r="A69" s="411"/>
      <c r="B69" s="449" t="s">
        <v>1749</v>
      </c>
      <c r="C69" s="1273"/>
      <c r="D69" s="1273"/>
      <c r="E69" s="1273"/>
      <c r="F69" s="1273"/>
      <c r="G69" s="20"/>
    </row>
    <row r="70" spans="1:7" ht="15.75" hidden="1">
      <c r="A70" s="411"/>
      <c r="B70" s="449" t="s">
        <v>1750</v>
      </c>
      <c r="C70" s="1273"/>
      <c r="D70" s="1273"/>
      <c r="E70" s="1273"/>
      <c r="F70" s="1273"/>
      <c r="G70" s="20"/>
    </row>
    <row r="71" spans="1:7" ht="15.75" hidden="1">
      <c r="A71" s="411"/>
      <c r="B71" s="449" t="s">
        <v>1751</v>
      </c>
      <c r="C71" s="1273"/>
      <c r="D71" s="1273"/>
      <c r="E71" s="1273"/>
      <c r="F71" s="1273"/>
      <c r="G71" s="20"/>
    </row>
    <row r="72" spans="1:7" ht="15.75" hidden="1">
      <c r="A72" s="411"/>
      <c r="B72" s="449" t="s">
        <v>1752</v>
      </c>
      <c r="C72" s="1273"/>
      <c r="D72" s="1273"/>
      <c r="E72" s="1273"/>
      <c r="F72" s="1273"/>
      <c r="G72" s="20"/>
    </row>
    <row r="73" spans="1:7" ht="15.75" hidden="1">
      <c r="A73" s="411"/>
      <c r="B73" s="449" t="s">
        <v>1753</v>
      </c>
      <c r="C73" s="1273"/>
      <c r="D73" s="1273"/>
      <c r="E73" s="1273"/>
      <c r="F73" s="1273"/>
      <c r="G73" s="20"/>
    </row>
    <row r="74" spans="1:7" ht="8.25" hidden="1" customHeight="1">
      <c r="A74" s="20"/>
      <c r="B74" s="20"/>
      <c r="C74" s="20"/>
      <c r="D74" s="20"/>
      <c r="E74" s="20"/>
      <c r="F74" s="20"/>
      <c r="G74" s="20"/>
    </row>
    <row r="75" spans="1:7" hidden="1"/>
    <row r="76" spans="1:7" hidden="1"/>
  </sheetData>
  <mergeCells count="11">
    <mergeCell ref="A6:B6"/>
    <mergeCell ref="A7:B7"/>
    <mergeCell ref="A8:B8"/>
    <mergeCell ref="C8:F8"/>
    <mergeCell ref="B10:C10"/>
    <mergeCell ref="C28:E28"/>
    <mergeCell ref="C14:E14"/>
    <mergeCell ref="C16:E16"/>
    <mergeCell ref="C15:E15"/>
    <mergeCell ref="C13:E13"/>
    <mergeCell ref="C20:E20"/>
  </mergeCells>
  <pageMargins left="0.7" right="0.7" top="0.75" bottom="0.75" header="0.3" footer="0.3"/>
  <pageSetup scale="61"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'Drop Lists'!$BC$23:$BC$45</xm:f>
          </x14:formula1>
          <xm:sqref>C56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theme="9" tint="0.39997558519241921"/>
    <pageSetUpPr fitToPage="1"/>
  </sheetPr>
  <dimension ref="A1:L72"/>
  <sheetViews>
    <sheetView topLeftCell="A10" zoomScale="86" zoomScaleNormal="86" workbookViewId="0">
      <selection activeCell="G24" sqref="G24"/>
    </sheetView>
  </sheetViews>
  <sheetFormatPr defaultColWidth="9.42578125" defaultRowHeight="15"/>
  <cols>
    <col min="1" max="1" width="4.5703125" customWidth="1"/>
    <col min="2" max="2" width="6.42578125" customWidth="1"/>
    <col min="3" max="3" width="40.42578125" customWidth="1"/>
    <col min="4" max="4" width="22.5703125" customWidth="1"/>
    <col min="5" max="5" width="13.5703125" customWidth="1"/>
    <col min="6" max="6" width="14" customWidth="1"/>
    <col min="7" max="7" width="39.5703125" customWidth="1"/>
    <col min="8" max="8" width="17" bestFit="1" customWidth="1"/>
    <col min="9" max="9" width="15.5703125" bestFit="1" customWidth="1"/>
    <col min="10" max="10" width="12.5703125" customWidth="1"/>
    <col min="12" max="12" width="22.5703125" customWidth="1"/>
  </cols>
  <sheetData>
    <row r="1" spans="1:12" ht="16.5" thickBot="1">
      <c r="A1" s="411"/>
      <c r="B1" s="411"/>
      <c r="C1" s="411"/>
      <c r="D1" s="411"/>
      <c r="E1" s="411"/>
      <c r="F1" s="411"/>
      <c r="G1" s="411"/>
      <c r="H1" s="411"/>
      <c r="I1" s="1248"/>
      <c r="J1" s="1248"/>
      <c r="K1" s="1248"/>
      <c r="L1" s="1248"/>
    </row>
    <row r="2" spans="1:12" ht="34.5" thickBot="1">
      <c r="A2" s="411"/>
      <c r="B2" s="412"/>
      <c r="C2" s="412"/>
      <c r="D2" s="412"/>
      <c r="E2" s="1508"/>
      <c r="F2" s="1509"/>
      <c r="G2" s="1510" t="s">
        <v>1754</v>
      </c>
      <c r="H2" s="440"/>
      <c r="I2" s="1249"/>
      <c r="J2" s="1249"/>
      <c r="K2" s="1260" t="s">
        <v>1707</v>
      </c>
      <c r="L2" s="1261" t="s">
        <v>12</v>
      </c>
    </row>
    <row r="3" spans="1:12" ht="15.75">
      <c r="A3" s="411"/>
      <c r="B3" s="412"/>
      <c r="C3" s="412"/>
      <c r="D3" s="412"/>
      <c r="E3" s="412"/>
      <c r="F3" s="412"/>
      <c r="G3" s="412"/>
      <c r="H3" s="440"/>
      <c r="I3" s="1249"/>
      <c r="J3" s="1249"/>
      <c r="K3" s="1249"/>
    </row>
    <row r="4" spans="1:12" ht="15.75">
      <c r="A4" s="411"/>
      <c r="B4" s="412"/>
      <c r="C4" s="412"/>
      <c r="D4" s="412"/>
      <c r="E4" s="412"/>
      <c r="F4" s="412"/>
      <c r="G4" s="412"/>
      <c r="H4" s="440"/>
      <c r="I4" s="1249"/>
      <c r="J4" s="1249"/>
      <c r="K4" s="1249"/>
    </row>
    <row r="5" spans="1:12" ht="15.75" customHeight="1">
      <c r="A5" s="411"/>
      <c r="B5" s="412"/>
      <c r="C5" s="412"/>
      <c r="D5" s="412"/>
      <c r="E5" s="412"/>
      <c r="F5" s="412"/>
      <c r="G5" s="412"/>
      <c r="H5" s="440"/>
      <c r="I5" s="1249"/>
      <c r="J5" s="1249"/>
      <c r="K5" s="1249"/>
    </row>
    <row r="6" spans="1:12" ht="15" customHeight="1">
      <c r="A6" s="411"/>
      <c r="B6" s="2637" t="s">
        <v>1710</v>
      </c>
      <c r="C6" s="2637"/>
      <c r="D6" s="412"/>
      <c r="E6" s="2439"/>
      <c r="F6" s="1224" t="s">
        <v>1603</v>
      </c>
      <c r="G6" s="1225">
        <f>IF(INPUT!E127="","",INPUT!E127)</f>
        <v>44743</v>
      </c>
      <c r="H6" s="440"/>
      <c r="I6" s="1249"/>
      <c r="J6" s="1249"/>
      <c r="K6" s="1249"/>
    </row>
    <row r="7" spans="1:12" ht="15.75" customHeight="1">
      <c r="A7" s="411"/>
      <c r="B7" s="2637" t="s">
        <v>1712</v>
      </c>
      <c r="C7" s="2637"/>
      <c r="D7" s="412"/>
      <c r="E7" s="1225"/>
      <c r="F7" s="1224" t="s">
        <v>1755</v>
      </c>
      <c r="G7" s="1226" t="str">
        <f>IF(INPUT!E14="","",INPUT!E14)</f>
        <v>22-9999</v>
      </c>
      <c r="H7" s="440"/>
      <c r="I7" s="1249"/>
      <c r="J7" s="1249"/>
      <c r="K7" s="1249"/>
    </row>
    <row r="8" spans="1:12" ht="14.25" customHeight="1">
      <c r="A8" s="411"/>
      <c r="B8" s="2637" t="s">
        <v>1714</v>
      </c>
      <c r="C8" s="2637"/>
      <c r="D8" s="2638"/>
      <c r="E8" s="2638"/>
      <c r="F8" s="2638"/>
      <c r="G8" s="2638"/>
      <c r="H8" s="440"/>
      <c r="I8" s="1249"/>
      <c r="J8" s="1249"/>
      <c r="K8" s="1249"/>
    </row>
    <row r="9" spans="1:12" ht="14.25" customHeight="1">
      <c r="A9" s="411"/>
      <c r="B9" s="2439"/>
      <c r="C9" s="2439"/>
      <c r="D9" s="2440"/>
      <c r="E9" s="2440"/>
      <c r="F9" s="2440"/>
      <c r="G9" s="2440"/>
      <c r="H9" s="440"/>
      <c r="I9" s="1249"/>
      <c r="J9" s="1249"/>
      <c r="K9" s="1249"/>
    </row>
    <row r="10" spans="1:12" ht="14.25" customHeight="1">
      <c r="A10" s="411"/>
      <c r="B10" s="2439"/>
      <c r="C10" s="2439"/>
      <c r="D10" s="2440"/>
      <c r="E10" s="2440"/>
      <c r="F10" s="2440"/>
      <c r="G10" s="2440"/>
      <c r="H10" s="440"/>
      <c r="I10" s="1249"/>
      <c r="J10" s="1249"/>
      <c r="K10" s="1249"/>
    </row>
    <row r="11" spans="1:12" ht="15.75">
      <c r="A11" s="411"/>
      <c r="B11" s="2637"/>
      <c r="C11" s="2637"/>
      <c r="D11" s="2638"/>
      <c r="E11" s="2638"/>
      <c r="F11" s="2638"/>
      <c r="G11" s="2638"/>
      <c r="H11" s="440"/>
      <c r="I11" s="1249"/>
      <c r="J11" s="1249"/>
      <c r="K11" s="1249"/>
    </row>
    <row r="12" spans="1:12" ht="18.75">
      <c r="A12" s="411"/>
      <c r="B12" s="1227" t="s">
        <v>1756</v>
      </c>
      <c r="C12" s="2643" t="s">
        <v>1757</v>
      </c>
      <c r="D12" s="2643"/>
      <c r="E12" s="2439"/>
      <c r="F12" s="1228"/>
      <c r="G12" s="2439"/>
      <c r="H12" s="440"/>
      <c r="I12" s="1249"/>
      <c r="J12" s="1249"/>
      <c r="K12" s="1249"/>
    </row>
    <row r="13" spans="1:12" ht="3.75" customHeight="1">
      <c r="A13" s="411"/>
      <c r="B13" s="2439"/>
      <c r="C13" s="2439"/>
      <c r="D13" s="2439"/>
      <c r="E13" s="2439"/>
      <c r="F13" s="2439"/>
      <c r="G13" s="2439"/>
      <c r="H13" s="440"/>
      <c r="I13" s="1249"/>
      <c r="J13" s="1249"/>
      <c r="K13" s="1249"/>
    </row>
    <row r="14" spans="1:12" ht="3.75" customHeight="1">
      <c r="A14" s="411"/>
      <c r="B14" s="2439"/>
      <c r="C14" s="2439"/>
      <c r="D14" s="2439"/>
      <c r="E14" s="2439"/>
      <c r="F14" s="2439"/>
      <c r="G14" s="2439"/>
      <c r="H14" s="440"/>
      <c r="I14" s="1249"/>
      <c r="J14" s="1249"/>
      <c r="K14" s="1249"/>
    </row>
    <row r="15" spans="1:12" ht="15.75">
      <c r="A15" s="411"/>
      <c r="B15" s="2439"/>
      <c r="C15" s="2439"/>
      <c r="D15" s="2439"/>
      <c r="E15" s="2439"/>
      <c r="F15" s="2439"/>
      <c r="G15" s="2439"/>
      <c r="H15" s="440"/>
      <c r="I15" s="1249"/>
      <c r="J15" s="1249"/>
      <c r="K15" s="1249"/>
    </row>
    <row r="16" spans="1:12" ht="16.5" thickBot="1">
      <c r="A16" s="411"/>
      <c r="B16" s="1229"/>
      <c r="C16" s="412"/>
      <c r="D16" s="412"/>
      <c r="E16" s="412"/>
      <c r="F16" s="412"/>
      <c r="G16" s="412"/>
      <c r="H16" s="440"/>
      <c r="I16" s="1249"/>
      <c r="J16" s="1249"/>
      <c r="K16" s="1249"/>
    </row>
    <row r="17" spans="1:12" ht="16.5" thickBot="1">
      <c r="A17" s="411"/>
      <c r="B17" s="412"/>
      <c r="C17" s="425" t="s">
        <v>376</v>
      </c>
      <c r="D17" s="2629" t="s">
        <v>1717</v>
      </c>
      <c r="E17" s="2630"/>
      <c r="F17" s="2631"/>
      <c r="G17" s="2437" t="s">
        <v>226</v>
      </c>
      <c r="H17" s="440"/>
      <c r="I17" s="1249"/>
      <c r="J17" s="1249"/>
      <c r="K17" s="1249"/>
    </row>
    <row r="18" spans="1:12" ht="30" customHeight="1" thickBot="1">
      <c r="A18" s="411"/>
      <c r="B18" s="412"/>
      <c r="C18" s="441" t="s">
        <v>39</v>
      </c>
      <c r="D18" s="2620" t="str">
        <f>IF(INPUT!E16="","",INPUT!E16&amp;" - "&amp;INPUT!E17)</f>
        <v>LSS Test 1 - 6363 &amp; 6399 &amp; 6501 S Fiddler's Green Circle, Englewood, CO</v>
      </c>
      <c r="E18" s="2621"/>
      <c r="F18" s="2622"/>
      <c r="G18" s="442"/>
      <c r="H18" s="440"/>
      <c r="I18" s="1249"/>
      <c r="J18" s="1249"/>
      <c r="K18" s="1249"/>
    </row>
    <row r="19" spans="1:12" ht="16.5" thickBot="1">
      <c r="A19" s="411"/>
      <c r="B19" s="412"/>
      <c r="C19" s="441" t="s">
        <v>1758</v>
      </c>
      <c r="D19" s="2644" t="str">
        <f>IF(G21="","",IF(INPUT!E126="","",INPUT!E126))</f>
        <v>Lease Up</v>
      </c>
      <c r="E19" s="2621"/>
      <c r="F19" s="2622"/>
      <c r="G19" s="442"/>
      <c r="H19" s="440"/>
      <c r="I19" s="1249"/>
      <c r="J19" s="1249"/>
      <c r="K19" s="1249"/>
    </row>
    <row r="20" spans="1:12" ht="16.5" thickBot="1">
      <c r="A20" s="411"/>
      <c r="B20" s="412"/>
      <c r="C20" s="441" t="s">
        <v>1513</v>
      </c>
      <c r="D20" s="1244" t="s">
        <v>12</v>
      </c>
      <c r="E20" s="1245"/>
      <c r="F20" s="1246"/>
      <c r="G20" s="442"/>
      <c r="H20" s="440"/>
      <c r="I20" s="1249"/>
      <c r="J20" s="1249"/>
      <c r="K20" s="1249"/>
    </row>
    <row r="21" spans="1:12" ht="16.5" thickBot="1">
      <c r="A21" s="411"/>
      <c r="B21" s="412"/>
      <c r="C21" s="441" t="s">
        <v>563</v>
      </c>
      <c r="D21" s="2620"/>
      <c r="E21" s="2621"/>
      <c r="F21" s="2622"/>
      <c r="G21" s="442">
        <f>SUMIF(INPUT!$A$186:$A$215,D20,INPUT!$F$186:$F$215)-SUMIFS(INPUT!$F$186:$F$215,INPUT!$A$186:$A$215,D20,INPUT!Z186:Z215,"X")</f>
        <v>17956313</v>
      </c>
      <c r="H21" s="440"/>
      <c r="I21" s="1249"/>
      <c r="J21" s="1249"/>
      <c r="K21" s="1249"/>
      <c r="L21" s="504"/>
    </row>
    <row r="22" spans="1:12" ht="16.5" thickBot="1">
      <c r="A22" s="411"/>
      <c r="B22" s="412"/>
      <c r="C22" s="441" t="s">
        <v>1747</v>
      </c>
      <c r="D22" s="2639">
        <f>SUMIF(INPUT!$A$186:$A$215,D20,INPUT!$J$186:$J$215)-SUMIFS(INPUT!$J$186:$J$215,INPUT!$A$186:$A$215,D20,INPUT!Z186:Z215,"X")</f>
        <v>24100000</v>
      </c>
      <c r="E22" s="2640"/>
      <c r="F22" s="2641"/>
      <c r="G22" s="442"/>
      <c r="H22" s="440"/>
      <c r="I22" s="1249"/>
      <c r="J22" s="1249"/>
      <c r="K22" s="1249"/>
    </row>
    <row r="23" spans="1:12" ht="32.25" thickBot="1">
      <c r="A23" s="411"/>
      <c r="B23" s="412"/>
      <c r="C23" s="441" t="s">
        <v>1759</v>
      </c>
      <c r="D23" s="1232"/>
      <c r="E23" s="1233"/>
      <c r="F23" s="1234">
        <f>IFERROR((-G23/D22),0)</f>
        <v>0.01</v>
      </c>
      <c r="G23" s="442">
        <f>-SUMIF(INPUT!$A$186:$A$215,D20,INPUT!$U$186:$U$215)</f>
        <v>-241000</v>
      </c>
      <c r="H23" s="440"/>
      <c r="I23" s="1254"/>
      <c r="J23" s="1249"/>
      <c r="K23" s="1249"/>
    </row>
    <row r="24" spans="1:12" ht="32.25" thickBot="1">
      <c r="A24" s="411"/>
      <c r="B24" s="412"/>
      <c r="C24" s="441" t="s">
        <v>1760</v>
      </c>
      <c r="D24" s="1232"/>
      <c r="E24" s="1233"/>
      <c r="F24" s="1234">
        <f>IF(G21="","",VLOOKUP(L2,'Investor Profile'!$A$4:$E$14,5,FALSE))</f>
        <v>5.0000000000000001E-3</v>
      </c>
      <c r="G24" s="1235">
        <f>ROUND((F24*G21),2)</f>
        <v>89781.57</v>
      </c>
      <c r="H24" s="440"/>
      <c r="I24" s="1253" t="s">
        <v>1761</v>
      </c>
      <c r="J24" s="1249"/>
      <c r="K24" s="1249"/>
    </row>
    <row r="25" spans="1:12" ht="16.5" thickBot="1">
      <c r="A25" s="411"/>
      <c r="B25" s="412"/>
      <c r="C25" s="441" t="s">
        <v>1729</v>
      </c>
      <c r="D25" s="2620"/>
      <c r="E25" s="2621"/>
      <c r="F25" s="2622"/>
      <c r="G25" s="1247">
        <v>0</v>
      </c>
      <c r="H25" s="440"/>
      <c r="I25" s="1253" t="s">
        <v>1762</v>
      </c>
      <c r="J25" s="1249"/>
      <c r="K25" s="1249"/>
    </row>
    <row r="26" spans="1:12" ht="16.5" thickBot="1">
      <c r="A26" s="411"/>
      <c r="B26" s="412"/>
      <c r="C26" s="441" t="s">
        <v>1731</v>
      </c>
      <c r="D26" s="2642">
        <f>IF(G21="","",IF(INPUT!$E$129="","",INPUT!$E$129))</f>
        <v>44753</v>
      </c>
      <c r="E26" s="2630"/>
      <c r="F26" s="2631"/>
      <c r="G26" s="442"/>
      <c r="H26" s="440"/>
      <c r="I26" s="1249"/>
      <c r="J26" s="1249"/>
      <c r="K26" s="1249"/>
    </row>
    <row r="27" spans="1:12" ht="16.5" thickBot="1">
      <c r="A27" s="411"/>
      <c r="B27" s="412"/>
      <c r="C27" s="441" t="s">
        <v>1763</v>
      </c>
      <c r="D27" s="2433"/>
      <c r="E27" s="2434"/>
      <c r="F27" s="2435"/>
      <c r="G27" s="442">
        <f>SUM(G21:G26)</f>
        <v>17805094.57</v>
      </c>
      <c r="H27" s="1236"/>
      <c r="I27" s="1249"/>
      <c r="J27" s="1250"/>
      <c r="K27" s="1249"/>
    </row>
    <row r="28" spans="1:12" ht="15.75">
      <c r="A28" s="411"/>
      <c r="B28" s="412"/>
      <c r="C28" s="1229"/>
      <c r="D28" s="412"/>
      <c r="E28" s="412"/>
      <c r="F28" s="412"/>
      <c r="G28" s="412"/>
      <c r="H28" s="440"/>
      <c r="I28" s="1249"/>
      <c r="J28" s="1249"/>
      <c r="K28" s="1249"/>
    </row>
    <row r="29" spans="1:12" ht="15.75">
      <c r="A29" s="411"/>
      <c r="B29" s="412"/>
      <c r="C29" s="78" t="s">
        <v>1733</v>
      </c>
      <c r="D29" s="412"/>
      <c r="E29" s="412"/>
      <c r="F29" s="412"/>
      <c r="G29" s="412"/>
      <c r="H29" s="440"/>
      <c r="I29" s="1249"/>
      <c r="J29" s="1249"/>
      <c r="K29" s="1249"/>
    </row>
    <row r="30" spans="1:12" ht="15" customHeight="1">
      <c r="A30" s="411"/>
      <c r="B30" s="412"/>
      <c r="C30" s="411" t="s">
        <v>1559</v>
      </c>
      <c r="D30" s="1068">
        <f>IF(G21=0,"",INPUT!E554)</f>
        <v>0</v>
      </c>
      <c r="E30" s="412"/>
      <c r="F30" s="412"/>
      <c r="G30" s="412"/>
      <c r="H30" s="440"/>
      <c r="I30" s="370" t="s">
        <v>1734</v>
      </c>
      <c r="J30" s="1249"/>
      <c r="K30" s="1249"/>
    </row>
    <row r="31" spans="1:12" ht="15" customHeight="1">
      <c r="A31" s="411"/>
      <c r="B31" s="412"/>
      <c r="C31" s="411" t="s">
        <v>1560</v>
      </c>
      <c r="D31" s="1068">
        <f>IF(D30="","",INPUT!F554)</f>
        <v>0</v>
      </c>
      <c r="E31" s="412"/>
      <c r="F31" s="412"/>
      <c r="G31" s="412"/>
      <c r="H31" s="440"/>
      <c r="I31" s="1249"/>
      <c r="J31" s="1249"/>
      <c r="K31" s="1249"/>
    </row>
    <row r="32" spans="1:12" ht="15" customHeight="1">
      <c r="A32" s="411"/>
      <c r="B32" s="412"/>
      <c r="C32" s="411" t="s">
        <v>1561</v>
      </c>
      <c r="D32" s="1068">
        <f>IF(D30="","",INPUT!G554)</f>
        <v>0</v>
      </c>
      <c r="E32" s="412"/>
      <c r="F32" s="412"/>
      <c r="G32" s="412"/>
      <c r="H32" s="440"/>
      <c r="I32" s="1249"/>
      <c r="J32" s="1249"/>
      <c r="K32" s="1249"/>
    </row>
    <row r="33" spans="1:11" ht="15" customHeight="1">
      <c r="A33" s="411"/>
      <c r="B33" s="412"/>
      <c r="C33" s="411" t="s">
        <v>1562</v>
      </c>
      <c r="D33" s="1068">
        <f>IF(D30="","",INPUT!H554)</f>
        <v>0</v>
      </c>
      <c r="E33" s="412"/>
      <c r="F33" s="412"/>
      <c r="G33" s="412"/>
      <c r="H33" s="440"/>
      <c r="I33" s="1249"/>
      <c r="J33" s="1249"/>
      <c r="K33" s="1249"/>
    </row>
    <row r="34" spans="1:11" ht="15" customHeight="1">
      <c r="A34" s="411"/>
      <c r="B34" s="412"/>
      <c r="C34" s="411" t="s">
        <v>1563</v>
      </c>
      <c r="D34" s="1068">
        <f>IF(D30="","",INPUT!I554)</f>
        <v>0</v>
      </c>
      <c r="E34" s="412"/>
      <c r="F34" s="20"/>
      <c r="G34" s="412"/>
      <c r="H34" s="1239"/>
      <c r="I34" s="1249"/>
      <c r="J34" s="1251"/>
      <c r="K34" s="1249"/>
    </row>
    <row r="35" spans="1:11" ht="15" customHeight="1">
      <c r="A35" s="411"/>
      <c r="B35" s="412"/>
      <c r="C35" s="25" t="s">
        <v>1573</v>
      </c>
      <c r="D35" s="1068" t="str">
        <f>IF(D30="","",IF(INPUT!J554="","",INPUT!J554))</f>
        <v/>
      </c>
      <c r="E35" s="412"/>
      <c r="F35" s="412"/>
      <c r="G35" s="412"/>
      <c r="H35" s="1239"/>
      <c r="I35" s="1249"/>
      <c r="J35" s="1251"/>
      <c r="K35" s="1249"/>
    </row>
    <row r="36" spans="1:11" ht="15" customHeight="1">
      <c r="A36" s="411"/>
      <c r="B36" s="412"/>
      <c r="C36" s="20" t="s">
        <v>1563</v>
      </c>
      <c r="D36" s="1068" t="str">
        <f>IF(D35="","",IF(INPUT!K554="","",INPUT!K554))</f>
        <v/>
      </c>
      <c r="E36" s="412"/>
      <c r="F36" s="412"/>
      <c r="G36" s="412"/>
      <c r="H36" s="1239"/>
      <c r="I36" s="1249"/>
      <c r="J36" s="1251"/>
      <c r="K36" s="1249"/>
    </row>
    <row r="37" spans="1:11" ht="15" customHeight="1">
      <c r="A37" s="411"/>
      <c r="B37" s="412"/>
      <c r="C37" s="25" t="s">
        <v>1564</v>
      </c>
      <c r="D37" s="446">
        <f>G21+G23</f>
        <v>17715313</v>
      </c>
      <c r="E37" s="412"/>
      <c r="F37" s="412"/>
      <c r="G37" s="412"/>
      <c r="H37" s="440"/>
      <c r="I37" s="1249"/>
      <c r="J37" s="1249"/>
      <c r="K37" s="1249"/>
    </row>
    <row r="38" spans="1:11" ht="15" customHeight="1">
      <c r="A38" s="411"/>
      <c r="B38" s="412"/>
      <c r="C38" s="20" t="s">
        <v>1567</v>
      </c>
      <c r="D38" s="1443">
        <f>IF(D30="","",INPUT!L554)</f>
        <v>0</v>
      </c>
      <c r="E38" s="412"/>
      <c r="F38" s="412"/>
      <c r="G38" s="412"/>
      <c r="H38" s="440"/>
      <c r="I38" s="1249"/>
      <c r="J38" s="1249"/>
      <c r="K38" s="1249"/>
    </row>
    <row r="39" spans="1:11" ht="15.75">
      <c r="A39" s="411"/>
      <c r="B39" s="412"/>
      <c r="C39" s="20" t="s">
        <v>1568</v>
      </c>
      <c r="D39" s="409">
        <f>IF(D30="","",INPUT!M554)</f>
        <v>0</v>
      </c>
      <c r="E39" s="410"/>
      <c r="F39" s="410"/>
      <c r="G39" s="410"/>
      <c r="H39" s="440"/>
      <c r="I39" s="1249"/>
      <c r="J39" s="1249"/>
      <c r="K39" s="1249"/>
    </row>
    <row r="40" spans="1:11" ht="15.75">
      <c r="A40" s="411"/>
      <c r="B40" s="412"/>
      <c r="C40" s="411" t="s">
        <v>1735</v>
      </c>
      <c r="D40" s="409" t="str">
        <f>IF(D30="","",INPUT!O554&amp;" -- "&amp;INPUT!N554)</f>
        <v xml:space="preserve"> -- </v>
      </c>
      <c r="E40" s="1333"/>
      <c r="F40" s="1333"/>
      <c r="G40" s="1333"/>
      <c r="H40" s="440"/>
      <c r="I40" s="1249"/>
      <c r="J40" s="1249"/>
      <c r="K40" s="1249"/>
    </row>
    <row r="41" spans="1:11" ht="15.75">
      <c r="A41" s="411"/>
      <c r="B41" s="412"/>
      <c r="C41" s="412"/>
      <c r="D41" s="1333"/>
      <c r="E41" s="1333"/>
      <c r="F41" s="1333"/>
      <c r="G41" s="1333"/>
      <c r="H41" s="440"/>
      <c r="I41" s="1249"/>
      <c r="J41" s="1249"/>
      <c r="K41" s="1249"/>
    </row>
    <row r="42" spans="1:11" ht="15" customHeight="1">
      <c r="A42" s="411"/>
      <c r="B42" s="412"/>
      <c r="C42" s="412"/>
      <c r="D42" s="1069"/>
      <c r="E42" s="412"/>
      <c r="F42" s="412"/>
      <c r="G42" s="412"/>
      <c r="I42" s="1249"/>
      <c r="K42" s="1249"/>
    </row>
    <row r="43" spans="1:11" ht="15" customHeight="1">
      <c r="A43" s="411"/>
      <c r="B43" s="412"/>
      <c r="C43" s="1238" t="s">
        <v>1764</v>
      </c>
      <c r="D43" s="410"/>
      <c r="E43" s="412"/>
      <c r="F43" s="412"/>
      <c r="G43" s="412"/>
      <c r="H43" s="440"/>
      <c r="I43" s="1249"/>
      <c r="J43" s="1249"/>
      <c r="K43" s="1249"/>
    </row>
    <row r="44" spans="1:11" ht="15" customHeight="1">
      <c r="A44" s="411"/>
      <c r="B44" s="412"/>
      <c r="C44" s="1229" t="s">
        <v>1559</v>
      </c>
      <c r="D44" s="1334" t="s">
        <v>498</v>
      </c>
      <c r="E44" s="412"/>
      <c r="F44" s="412"/>
      <c r="G44" s="412"/>
      <c r="H44" s="440"/>
      <c r="I44" s="1249"/>
      <c r="J44" s="1249"/>
      <c r="K44" s="1249"/>
    </row>
    <row r="45" spans="1:11" ht="15" customHeight="1">
      <c r="A45" s="411"/>
      <c r="B45" s="412"/>
      <c r="C45" s="1229" t="s">
        <v>1560</v>
      </c>
      <c r="D45" s="1335" t="s">
        <v>1765</v>
      </c>
      <c r="E45" s="412"/>
      <c r="F45" s="412"/>
      <c r="G45" s="412"/>
      <c r="H45" s="440"/>
      <c r="I45" s="1249"/>
      <c r="J45" s="1249"/>
      <c r="K45" s="1249"/>
    </row>
    <row r="46" spans="1:11" ht="15" customHeight="1">
      <c r="A46" s="411"/>
      <c r="B46" s="412"/>
      <c r="C46" s="1229" t="s">
        <v>1643</v>
      </c>
      <c r="D46" s="1335">
        <v>321081669</v>
      </c>
      <c r="E46" s="412"/>
      <c r="F46" s="412"/>
      <c r="G46" s="412"/>
      <c r="H46" s="440"/>
      <c r="I46" s="1249"/>
      <c r="J46" s="1249"/>
      <c r="K46" s="1249"/>
    </row>
    <row r="47" spans="1:11" s="471" customFormat="1" ht="15" customHeight="1">
      <c r="A47" s="421"/>
      <c r="B47" s="412"/>
      <c r="C47" s="1229" t="s">
        <v>1562</v>
      </c>
      <c r="D47" s="1334" t="s">
        <v>1766</v>
      </c>
      <c r="E47" s="412"/>
      <c r="F47" s="412"/>
      <c r="G47" s="412"/>
      <c r="H47" s="440"/>
      <c r="I47" s="1252"/>
      <c r="J47" s="1249"/>
      <c r="K47" s="1252"/>
    </row>
    <row r="48" spans="1:11" s="471" customFormat="1" ht="15" customHeight="1">
      <c r="A48" s="421"/>
      <c r="B48" s="412"/>
      <c r="C48" s="1229" t="s">
        <v>1767</v>
      </c>
      <c r="D48" s="1335">
        <v>80003128733</v>
      </c>
      <c r="E48" s="412"/>
      <c r="F48" s="412"/>
      <c r="G48" s="412"/>
      <c r="H48" s="1239"/>
      <c r="I48" s="1252"/>
      <c r="J48" s="1251"/>
      <c r="K48" s="1252"/>
    </row>
    <row r="49" spans="1:11" s="471" customFormat="1" ht="15" customHeight="1">
      <c r="A49" s="421"/>
      <c r="B49" s="412"/>
      <c r="C49" s="1229" t="s">
        <v>1564</v>
      </c>
      <c r="D49" s="1336">
        <f>+G24+G25</f>
        <v>89781.57</v>
      </c>
      <c r="E49" s="412"/>
      <c r="F49" s="412"/>
      <c r="G49" s="412"/>
      <c r="H49" s="1239"/>
      <c r="I49" s="1252"/>
      <c r="J49" s="1251"/>
      <c r="K49" s="1252"/>
    </row>
    <row r="50" spans="1:11" s="471" customFormat="1" ht="15" customHeight="1">
      <c r="A50" s="421"/>
      <c r="B50" s="412"/>
      <c r="C50" s="1239" t="s">
        <v>1566</v>
      </c>
      <c r="D50" s="445" t="str">
        <f>IF(G21=0,"",IF(G25=0,"Aflac US Origination Fee to ACORE for "&amp;INPUT!$E$16,"Aflac US Orig. Fee &amp; Expenses to ACORE for "&amp;INPUT!$E$16))</f>
        <v>Aflac US Origination Fee to ACORE for LSS Test 1</v>
      </c>
      <c r="E50" s="412"/>
      <c r="F50" s="412"/>
      <c r="G50" s="412"/>
      <c r="H50" s="1239"/>
      <c r="I50" s="1252"/>
      <c r="J50" s="1251"/>
      <c r="K50" s="1252"/>
    </row>
    <row r="51" spans="1:11" s="471" customFormat="1" ht="15" customHeight="1">
      <c r="A51" s="421"/>
      <c r="B51" s="412"/>
      <c r="C51" s="1239"/>
      <c r="D51" s="1241"/>
      <c r="E51" s="412"/>
      <c r="F51" s="412"/>
      <c r="G51" s="412"/>
      <c r="H51" s="440"/>
      <c r="I51" s="1252"/>
      <c r="J51" s="1249"/>
      <c r="K51" s="1252"/>
    </row>
    <row r="52" spans="1:11" s="471" customFormat="1" ht="15" customHeight="1">
      <c r="A52" s="421"/>
      <c r="B52" s="412"/>
      <c r="C52" s="1239"/>
      <c r="D52" s="1241"/>
      <c r="E52" s="412"/>
      <c r="F52" s="412"/>
      <c r="G52" s="412"/>
      <c r="H52" s="440"/>
      <c r="I52" s="1252"/>
      <c r="J52" s="1249"/>
      <c r="K52" s="1252"/>
    </row>
    <row r="53" spans="1:11" s="471" customFormat="1" ht="15" customHeight="1">
      <c r="A53" s="421"/>
      <c r="B53" s="412"/>
      <c r="C53" s="412"/>
      <c r="D53" s="1241"/>
      <c r="E53" s="412"/>
      <c r="F53" s="412"/>
      <c r="G53" s="412"/>
      <c r="H53" s="412"/>
      <c r="I53" s="1252"/>
      <c r="J53" s="1252"/>
      <c r="K53" s="1252"/>
    </row>
    <row r="54" spans="1:11" s="471" customFormat="1" ht="15" customHeight="1">
      <c r="A54" s="421"/>
      <c r="B54" s="412"/>
      <c r="C54" s="412"/>
      <c r="D54" s="412"/>
      <c r="E54" s="412"/>
      <c r="F54" s="412"/>
      <c r="G54" s="412"/>
      <c r="H54" s="412"/>
      <c r="I54" s="1252"/>
      <c r="J54" s="1252"/>
      <c r="K54" s="1252"/>
    </row>
    <row r="55" spans="1:11" s="471" customFormat="1" ht="15" customHeight="1" thickBot="1">
      <c r="A55" s="421"/>
      <c r="B55" s="412"/>
      <c r="C55" s="412" t="s">
        <v>1738</v>
      </c>
      <c r="D55" s="1242"/>
      <c r="E55" s="1242"/>
      <c r="F55" s="1242"/>
      <c r="G55" s="412"/>
      <c r="H55" s="412"/>
      <c r="I55" s="1252"/>
      <c r="J55" s="1252"/>
      <c r="K55" s="1252"/>
    </row>
    <row r="56" spans="1:11" s="471" customFormat="1" ht="15" customHeight="1">
      <c r="A56" s="421"/>
      <c r="B56" s="412"/>
      <c r="C56" s="412"/>
      <c r="D56" s="412" t="s">
        <v>802</v>
      </c>
      <c r="E56" s="412"/>
      <c r="F56" s="412"/>
      <c r="G56" s="412"/>
      <c r="H56" s="412"/>
      <c r="I56" s="1252"/>
      <c r="J56" s="1252"/>
      <c r="K56" s="1252"/>
    </row>
    <row r="57" spans="1:11" ht="15.75">
      <c r="A57" s="20"/>
      <c r="B57" s="20"/>
      <c r="C57" s="20"/>
      <c r="D57" s="20"/>
      <c r="E57" s="20"/>
      <c r="F57" s="20"/>
      <c r="G57" s="20"/>
      <c r="H57" s="411"/>
      <c r="I57" s="1248"/>
    </row>
    <row r="58" spans="1:11" ht="15.75">
      <c r="A58" s="411"/>
      <c r="B58" s="440"/>
      <c r="C58" s="57" t="s">
        <v>1768</v>
      </c>
      <c r="D58" s="1051"/>
      <c r="E58" s="1051"/>
      <c r="F58" s="1051"/>
      <c r="G58" s="1051"/>
      <c r="H58" s="411"/>
      <c r="I58" s="1248"/>
    </row>
    <row r="59" spans="1:11" ht="15.75">
      <c r="A59" s="411"/>
      <c r="B59" s="440"/>
      <c r="C59" s="1243" t="s">
        <v>1741</v>
      </c>
      <c r="D59" s="1243" t="s">
        <v>1769</v>
      </c>
      <c r="E59" s="1243" t="s">
        <v>1770</v>
      </c>
      <c r="F59" s="1243" t="s">
        <v>1771</v>
      </c>
      <c r="G59" s="1243" t="s">
        <v>1745</v>
      </c>
      <c r="H59" s="411"/>
      <c r="I59" s="1253" t="s">
        <v>1772</v>
      </c>
    </row>
    <row r="60" spans="1:11" ht="15.75">
      <c r="A60" s="411"/>
      <c r="B60" s="440"/>
      <c r="C60" s="1506" t="s">
        <v>1773</v>
      </c>
      <c r="D60" s="1243"/>
      <c r="E60" s="1243"/>
      <c r="F60" s="1243"/>
      <c r="G60" s="1243"/>
      <c r="H60" s="411"/>
      <c r="I60" s="1248"/>
    </row>
    <row r="61" spans="1:11" ht="15.75">
      <c r="A61" s="411"/>
      <c r="B61" s="440"/>
      <c r="C61" s="1506" t="s">
        <v>1747</v>
      </c>
      <c r="D61" s="1243"/>
      <c r="E61" s="1243"/>
      <c r="F61" s="1243"/>
      <c r="G61" s="1243"/>
      <c r="H61" s="411"/>
      <c r="I61" s="1248"/>
    </row>
    <row r="62" spans="1:11" ht="15.75">
      <c r="A62" s="411"/>
      <c r="B62" s="411"/>
      <c r="C62" s="1506" t="s">
        <v>1774</v>
      </c>
      <c r="D62" s="1243"/>
      <c r="E62" s="1243"/>
      <c r="F62" s="1243"/>
      <c r="G62" s="1243"/>
      <c r="H62" s="411"/>
      <c r="I62" s="1248"/>
    </row>
    <row r="63" spans="1:11" ht="15.75">
      <c r="A63" s="20"/>
      <c r="B63" s="411"/>
      <c r="C63" s="1506" t="s">
        <v>1750</v>
      </c>
      <c r="D63" s="1243"/>
      <c r="E63" s="1243"/>
      <c r="F63" s="1243"/>
      <c r="G63" s="1243"/>
      <c r="H63" s="411"/>
      <c r="I63" s="1248"/>
    </row>
    <row r="64" spans="1:11" ht="15.75">
      <c r="A64" s="20"/>
      <c r="B64" s="411"/>
      <c r="C64" s="1506" t="s">
        <v>1763</v>
      </c>
      <c r="D64" s="1243"/>
      <c r="E64" s="1243"/>
      <c r="F64" s="1243"/>
      <c r="G64" s="1243"/>
      <c r="H64" s="411"/>
      <c r="I64" s="1248"/>
    </row>
    <row r="65" spans="1:9" ht="15.75">
      <c r="A65" s="20"/>
      <c r="B65" s="411"/>
      <c r="C65" s="1506" t="s">
        <v>1775</v>
      </c>
      <c r="D65" s="1243"/>
      <c r="E65" s="1243"/>
      <c r="F65" s="1243"/>
      <c r="G65" s="1243"/>
      <c r="H65" s="411"/>
      <c r="I65" s="1248"/>
    </row>
    <row r="66" spans="1:9" ht="26.25">
      <c r="A66" s="20"/>
      <c r="B66" s="20"/>
      <c r="C66" s="1507" t="s">
        <v>1776</v>
      </c>
      <c r="D66" s="1243"/>
      <c r="E66" s="1243"/>
      <c r="F66" s="1243"/>
      <c r="G66" s="1243"/>
      <c r="H66" s="411"/>
      <c r="I66" s="1248"/>
    </row>
    <row r="67" spans="1:9" ht="15.75">
      <c r="A67" s="20"/>
      <c r="B67" s="20"/>
      <c r="C67" s="20"/>
      <c r="D67" s="20"/>
      <c r="E67" s="20"/>
      <c r="F67" s="20"/>
      <c r="G67" s="20"/>
      <c r="H67" s="411"/>
      <c r="I67" s="1248"/>
    </row>
    <row r="68" spans="1:9">
      <c r="A68" s="20"/>
      <c r="B68" s="20"/>
      <c r="C68" s="20"/>
      <c r="D68" s="20"/>
      <c r="E68" s="20"/>
      <c r="F68" s="20"/>
      <c r="G68" s="20"/>
      <c r="H68" s="20"/>
    </row>
    <row r="69" spans="1:9">
      <c r="A69" s="20"/>
      <c r="B69" s="20"/>
      <c r="C69" s="20"/>
      <c r="D69" s="20"/>
      <c r="E69" s="20"/>
      <c r="F69" s="20"/>
      <c r="G69" s="20"/>
      <c r="H69" s="20"/>
    </row>
    <row r="70" spans="1:9">
      <c r="A70" s="20"/>
      <c r="B70" s="20"/>
      <c r="C70" s="20"/>
      <c r="D70" s="20"/>
      <c r="E70" s="20"/>
      <c r="F70" s="20"/>
      <c r="G70" s="20"/>
      <c r="H70" s="20"/>
    </row>
    <row r="71" spans="1:9">
      <c r="A71" s="20"/>
      <c r="B71" s="20"/>
      <c r="C71" s="20"/>
      <c r="D71" s="20"/>
      <c r="E71" s="20"/>
      <c r="F71" s="20"/>
      <c r="G71" s="20"/>
      <c r="H71" s="20"/>
    </row>
    <row r="72" spans="1:9">
      <c r="B72" s="20"/>
      <c r="C72" s="20"/>
      <c r="D72" s="20"/>
      <c r="E72" s="20"/>
      <c r="F72" s="20"/>
      <c r="G72" s="20"/>
      <c r="H72" s="20"/>
    </row>
  </sheetData>
  <mergeCells count="14">
    <mergeCell ref="D22:F22"/>
    <mergeCell ref="D25:F25"/>
    <mergeCell ref="D26:F26"/>
    <mergeCell ref="C12:D12"/>
    <mergeCell ref="D17:F17"/>
    <mergeCell ref="D18:F18"/>
    <mergeCell ref="D19:F19"/>
    <mergeCell ref="D21:F21"/>
    <mergeCell ref="B6:C6"/>
    <mergeCell ref="B7:C7"/>
    <mergeCell ref="B8:C8"/>
    <mergeCell ref="D8:G8"/>
    <mergeCell ref="B11:C11"/>
    <mergeCell ref="D11:G11"/>
  </mergeCells>
  <pageMargins left="0.25" right="0.25" top="0.75" bottom="0.75" header="0.3" footer="0.3"/>
  <pageSetup scale="62" orientation="portrait" r:id="rId1"/>
  <colBreaks count="1" manualBreakCount="1">
    <brk id="7"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'Drop Lists'!$AG$5:$AG$6</xm:f>
          </x14:formula1>
          <xm:sqref>D20</xm:sqref>
        </x14:dataValidation>
        <x14:dataValidation type="list" allowBlank="1" showInputMessage="1" showErrorMessage="1" xr:uid="{00000000-0002-0000-0600-000001000000}">
          <x14:formula1>
            <xm:f>'Drop Lists'!$BC$5:$BC$10</xm:f>
          </x14:formula1>
          <xm:sqref>D56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7" tint="0.39997558519241921"/>
  </sheetPr>
  <dimension ref="A1:L67"/>
  <sheetViews>
    <sheetView topLeftCell="A4" zoomScale="80" zoomScaleNormal="80" workbookViewId="0">
      <selection activeCell="G24" sqref="G24"/>
    </sheetView>
  </sheetViews>
  <sheetFormatPr defaultRowHeight="15"/>
  <cols>
    <col min="1" max="1" width="4.5703125" customWidth="1"/>
    <col min="2" max="2" width="6.42578125" customWidth="1"/>
    <col min="3" max="3" width="40.42578125" customWidth="1"/>
    <col min="4" max="4" width="22.5703125" customWidth="1"/>
    <col min="5" max="5" width="13.5703125" customWidth="1"/>
    <col min="6" max="6" width="23.42578125" customWidth="1"/>
    <col min="7" max="7" width="39.5703125" customWidth="1"/>
    <col min="8" max="8" width="17" bestFit="1" customWidth="1"/>
  </cols>
  <sheetData>
    <row r="1" spans="1:12" ht="16.5" thickBot="1">
      <c r="A1" s="411"/>
      <c r="B1" s="411"/>
      <c r="C1" s="411"/>
      <c r="D1" s="411"/>
      <c r="E1" s="411"/>
      <c r="F1" s="411"/>
      <c r="G1" s="411"/>
      <c r="H1" s="411"/>
      <c r="I1" s="1248"/>
    </row>
    <row r="2" spans="1:12" ht="34.5" thickBot="1">
      <c r="A2" s="411"/>
      <c r="B2" s="412"/>
      <c r="C2" s="412"/>
      <c r="D2" s="412"/>
      <c r="E2" s="1508"/>
      <c r="F2" s="1509"/>
      <c r="G2" s="1510" t="s">
        <v>1754</v>
      </c>
      <c r="H2" s="440"/>
      <c r="I2" s="1249"/>
      <c r="K2" s="1262" t="s">
        <v>1707</v>
      </c>
      <c r="L2" s="1263" t="str">
        <f>'Investor Profile'!A4</f>
        <v>TRE ACR</v>
      </c>
    </row>
    <row r="3" spans="1:12" ht="15.75">
      <c r="A3" s="411"/>
      <c r="B3" s="412"/>
      <c r="C3" s="412"/>
      <c r="D3" s="412"/>
      <c r="E3" s="412"/>
      <c r="F3" s="412"/>
      <c r="G3" s="412"/>
      <c r="H3" s="440"/>
      <c r="I3" s="1249"/>
    </row>
    <row r="4" spans="1:12" ht="15.75">
      <c r="A4" s="411"/>
      <c r="B4" s="412"/>
      <c r="C4" s="412"/>
      <c r="D4" s="412"/>
      <c r="E4" s="412"/>
      <c r="F4" s="412"/>
      <c r="G4" s="412"/>
      <c r="H4" s="440"/>
      <c r="I4" s="1249"/>
    </row>
    <row r="5" spans="1:12" ht="15.75" customHeight="1">
      <c r="A5" s="411"/>
      <c r="B5" s="412"/>
      <c r="C5" s="412"/>
      <c r="D5" s="412"/>
      <c r="E5" s="412"/>
      <c r="F5" s="412"/>
      <c r="G5" s="412"/>
      <c r="H5" s="440"/>
      <c r="I5" s="1249"/>
    </row>
    <row r="6" spans="1:12" ht="15" customHeight="1">
      <c r="A6" s="411"/>
      <c r="B6" s="2637" t="s">
        <v>1710</v>
      </c>
      <c r="C6" s="2637"/>
      <c r="D6" s="412"/>
      <c r="E6" s="2439"/>
      <c r="F6" s="1224" t="s">
        <v>1603</v>
      </c>
      <c r="G6" s="1225">
        <f>IF(INPUT!E127="","",INPUT!E127)</f>
        <v>44743</v>
      </c>
      <c r="H6" s="440"/>
      <c r="I6" s="1249"/>
    </row>
    <row r="7" spans="1:12" ht="15.75" customHeight="1">
      <c r="A7" s="411"/>
      <c r="B7" s="2637" t="s">
        <v>1712</v>
      </c>
      <c r="C7" s="2637"/>
      <c r="D7" s="412"/>
      <c r="E7" s="1225"/>
      <c r="F7" s="1224" t="s">
        <v>1755</v>
      </c>
      <c r="G7" s="1226" t="str">
        <f>IF(INPUT!E14="","",INPUT!E14)</f>
        <v>22-9999</v>
      </c>
      <c r="H7" s="440"/>
      <c r="I7" s="1249"/>
    </row>
    <row r="8" spans="1:12" ht="14.25" customHeight="1">
      <c r="A8" s="411"/>
      <c r="B8" s="2637" t="s">
        <v>1714</v>
      </c>
      <c r="C8" s="2637"/>
      <c r="D8" s="2638"/>
      <c r="E8" s="2638"/>
      <c r="F8" s="2638"/>
      <c r="G8" s="2638"/>
      <c r="H8" s="440"/>
      <c r="I8" s="1249"/>
    </row>
    <row r="9" spans="1:12" ht="14.25" customHeight="1">
      <c r="A9" s="411"/>
      <c r="B9" s="2439"/>
      <c r="C9" s="2439"/>
      <c r="D9" s="2440"/>
      <c r="E9" s="2440"/>
      <c r="F9" s="2440"/>
      <c r="G9" s="2440"/>
      <c r="H9" s="440"/>
      <c r="I9" s="1249"/>
    </row>
    <row r="10" spans="1:12" ht="14.25" customHeight="1">
      <c r="A10" s="411"/>
      <c r="B10" s="2439"/>
      <c r="C10" s="2439"/>
      <c r="D10" s="2440"/>
      <c r="E10" s="2440"/>
      <c r="F10" s="2440"/>
      <c r="G10" s="2440"/>
      <c r="H10" s="440"/>
      <c r="I10" s="1249"/>
    </row>
    <row r="11" spans="1:12" ht="15.75">
      <c r="A11" s="411"/>
      <c r="B11" s="2637"/>
      <c r="C11" s="2637"/>
      <c r="D11" s="2638"/>
      <c r="E11" s="2638"/>
      <c r="F11" s="2638"/>
      <c r="G11" s="2638"/>
      <c r="H11" s="440"/>
      <c r="I11" s="1249"/>
    </row>
    <row r="12" spans="1:12" ht="18.75">
      <c r="A12" s="411"/>
      <c r="B12" s="1227" t="s">
        <v>1756</v>
      </c>
      <c r="C12" s="2643" t="s">
        <v>1777</v>
      </c>
      <c r="D12" s="2643"/>
      <c r="E12" s="2439"/>
      <c r="F12" s="1228"/>
      <c r="G12" s="2439"/>
      <c r="H12" s="440"/>
      <c r="I12" s="1249"/>
    </row>
    <row r="13" spans="1:12" ht="2.25" customHeight="1">
      <c r="A13" s="411"/>
      <c r="B13" s="2439"/>
      <c r="C13" s="2439"/>
      <c r="D13" s="2439"/>
      <c r="E13" s="2439"/>
      <c r="F13" s="2439"/>
      <c r="G13" s="2439"/>
      <c r="H13" s="440"/>
      <c r="I13" s="1249"/>
    </row>
    <row r="14" spans="1:12" ht="2.25" customHeight="1">
      <c r="A14" s="411"/>
      <c r="B14" s="2439"/>
      <c r="C14" s="2439"/>
      <c r="D14" s="2439"/>
      <c r="E14" s="2439"/>
      <c r="F14" s="2439"/>
      <c r="G14" s="2439"/>
      <c r="H14" s="440"/>
      <c r="I14" s="1249"/>
    </row>
    <row r="15" spans="1:12" ht="15.75">
      <c r="A15" s="411"/>
      <c r="B15" s="2439"/>
      <c r="C15" s="2439"/>
      <c r="D15" s="2439"/>
      <c r="E15" s="2439"/>
      <c r="F15" s="2439"/>
      <c r="G15" s="2439"/>
      <c r="H15" s="440"/>
      <c r="I15" s="1249"/>
    </row>
    <row r="16" spans="1:12" ht="16.5" thickBot="1">
      <c r="A16" s="411"/>
      <c r="B16" s="1229"/>
      <c r="C16" s="412"/>
      <c r="D16" s="412"/>
      <c r="E16" s="412"/>
      <c r="F16" s="412"/>
      <c r="G16" s="412"/>
      <c r="H16" s="440"/>
      <c r="I16" s="1249"/>
    </row>
    <row r="17" spans="1:9" ht="16.5" thickBot="1">
      <c r="A17" s="411"/>
      <c r="B17" s="412"/>
      <c r="C17" s="425" t="s">
        <v>376</v>
      </c>
      <c r="D17" s="2629" t="s">
        <v>1717</v>
      </c>
      <c r="E17" s="2630"/>
      <c r="F17" s="2631"/>
      <c r="G17" s="2437" t="s">
        <v>226</v>
      </c>
      <c r="H17" s="440"/>
      <c r="I17" s="1249"/>
    </row>
    <row r="18" spans="1:9" ht="30" customHeight="1" thickBot="1">
      <c r="A18" s="411"/>
      <c r="B18" s="412"/>
      <c r="C18" s="441" t="s">
        <v>39</v>
      </c>
      <c r="D18" s="2620" t="str">
        <f>IF(INPUT!E16="","",INPUT!E16&amp;" - "&amp;INPUT!E17)</f>
        <v>LSS Test 1 - 6363 &amp; 6399 &amp; 6501 S Fiddler's Green Circle, Englewood, CO</v>
      </c>
      <c r="E18" s="2621"/>
      <c r="F18" s="2622"/>
      <c r="G18" s="1230"/>
      <c r="H18" s="440"/>
      <c r="I18" s="1249"/>
    </row>
    <row r="19" spans="1:9" ht="16.5" thickBot="1">
      <c r="A19" s="411"/>
      <c r="B19" s="412"/>
      <c r="C19" s="441" t="s">
        <v>1758</v>
      </c>
      <c r="D19" s="2644" t="str">
        <f>IF(INPUT!E126="","",INPUT!E126)</f>
        <v>Lease Up</v>
      </c>
      <c r="E19" s="2621"/>
      <c r="F19" s="2622"/>
      <c r="G19" s="1230"/>
      <c r="H19" s="440"/>
      <c r="I19" s="1249"/>
    </row>
    <row r="20" spans="1:9" ht="16.5" thickBot="1">
      <c r="A20" s="411"/>
      <c r="B20" s="412"/>
      <c r="C20" s="441" t="s">
        <v>1513</v>
      </c>
      <c r="D20" s="1244" t="s">
        <v>487</v>
      </c>
      <c r="E20" s="1245"/>
      <c r="F20" s="1246"/>
      <c r="G20" s="1230"/>
      <c r="H20" s="440"/>
      <c r="I20" s="1249"/>
    </row>
    <row r="21" spans="1:9" ht="16.5" thickBot="1">
      <c r="A21" s="411"/>
      <c r="B21" s="412"/>
      <c r="C21" s="441" t="s">
        <v>563</v>
      </c>
      <c r="D21" s="2620"/>
      <c r="E21" s="2621"/>
      <c r="F21" s="2622"/>
      <c r="G21" s="442">
        <f>SUMIF(INPUT!$A$186:$A$215,D20,INPUT!$F$186:$F$215)-SUMIFS(INPUT!$F$186:$F$215,INPUT!$A$186:$A$215,D20,INPUT!Z186:Z215,"X")</f>
        <v>82628844</v>
      </c>
      <c r="H21" s="440"/>
      <c r="I21" s="1249"/>
    </row>
    <row r="22" spans="1:9" ht="16.5" thickBot="1">
      <c r="A22" s="411"/>
      <c r="B22" s="412"/>
      <c r="C22" s="441" t="s">
        <v>1747</v>
      </c>
      <c r="D22" s="2639">
        <f>SUMIF(INPUT!$A$186:$A$215,D20,INPUT!$J$186:$J$215)-SUMIFS(INPUT!$J$186:$J$215,INPUT!$A$186:$A$215,D20,INPUT!Z186:Z215,"X")</f>
        <v>110900000</v>
      </c>
      <c r="E22" s="2640"/>
      <c r="F22" s="2641"/>
      <c r="G22" s="1231"/>
      <c r="H22" s="440"/>
      <c r="I22" s="1249"/>
    </row>
    <row r="23" spans="1:9" ht="32.25" thickBot="1">
      <c r="A23" s="411"/>
      <c r="B23" s="412"/>
      <c r="C23" s="441" t="s">
        <v>1759</v>
      </c>
      <c r="D23" s="1232"/>
      <c r="E23" s="1233"/>
      <c r="F23" s="1234">
        <f>IFERROR((-G23/D22),0)</f>
        <v>0.01</v>
      </c>
      <c r="G23" s="442">
        <f>-SUMIF(INPUT!$A$186:$A$215,D20,INPUT!$U$186:$U$215)</f>
        <v>-1109000</v>
      </c>
      <c r="H23" s="440"/>
      <c r="I23" s="1249"/>
    </row>
    <row r="24" spans="1:9" ht="32.25" thickBot="1">
      <c r="A24" s="411"/>
      <c r="B24" s="412"/>
      <c r="C24" s="441" t="s">
        <v>1760</v>
      </c>
      <c r="D24" s="1232"/>
      <c r="E24" s="1233"/>
      <c r="F24" s="1234">
        <f>IF(G21="","",VLOOKUP(L2,'Investor Profile'!$A$4:$E$14,5,FALSE))</f>
        <v>5.0000000000000001E-3</v>
      </c>
      <c r="G24" s="1235">
        <f>ROUND((F24*G21),2)</f>
        <v>413144.22</v>
      </c>
      <c r="H24" s="440"/>
      <c r="I24" s="1249"/>
    </row>
    <row r="25" spans="1:9" ht="16.5" thickBot="1">
      <c r="A25" s="411"/>
      <c r="B25" s="412"/>
      <c r="C25" s="441" t="s">
        <v>1729</v>
      </c>
      <c r="D25" s="2620"/>
      <c r="E25" s="2621"/>
      <c r="F25" s="2622"/>
      <c r="G25" s="1247">
        <v>0</v>
      </c>
      <c r="H25" s="440"/>
      <c r="I25" s="1253" t="s">
        <v>1762</v>
      </c>
    </row>
    <row r="26" spans="1:9" ht="16.5" thickBot="1">
      <c r="A26" s="411"/>
      <c r="B26" s="412"/>
      <c r="C26" s="441" t="s">
        <v>1731</v>
      </c>
      <c r="D26" s="2642">
        <f>IF(G21="","",IF(INPUT!$E$129="","",INPUT!$E$129))</f>
        <v>44753</v>
      </c>
      <c r="E26" s="2630"/>
      <c r="F26" s="2631"/>
      <c r="G26" s="1230"/>
      <c r="H26" s="440"/>
      <c r="I26" s="1249"/>
    </row>
    <row r="27" spans="1:9" ht="16.5" thickBot="1">
      <c r="A27" s="411"/>
      <c r="B27" s="412"/>
      <c r="C27" s="441" t="s">
        <v>1778</v>
      </c>
      <c r="D27" s="2433"/>
      <c r="E27" s="2434"/>
      <c r="F27" s="2435"/>
      <c r="G27" s="442">
        <f>SUM(G21:G25)</f>
        <v>81932988.219999999</v>
      </c>
      <c r="H27" s="1236"/>
      <c r="I27" s="1249"/>
    </row>
    <row r="28" spans="1:9" ht="15.75">
      <c r="A28" s="411"/>
      <c r="B28" s="412"/>
      <c r="C28" s="1229"/>
      <c r="D28" s="412"/>
      <c r="E28" s="412"/>
      <c r="F28" s="412"/>
      <c r="G28" s="1237"/>
      <c r="H28" s="440"/>
      <c r="I28" s="1249"/>
    </row>
    <row r="29" spans="1:9" ht="15.75">
      <c r="A29" s="411"/>
      <c r="B29" s="412"/>
      <c r="C29" s="78" t="s">
        <v>1733</v>
      </c>
      <c r="D29" s="412"/>
      <c r="E29" s="412"/>
      <c r="F29" s="412"/>
      <c r="G29" s="412"/>
      <c r="H29" s="440"/>
      <c r="I29" s="370" t="s">
        <v>1734</v>
      </c>
    </row>
    <row r="30" spans="1:9" ht="15.75">
      <c r="A30" s="411"/>
      <c r="B30" s="412"/>
      <c r="C30" s="411" t="s">
        <v>1559</v>
      </c>
      <c r="D30" s="1068">
        <f>IF(G21=0,"",INPUT!E554)</f>
        <v>0</v>
      </c>
      <c r="E30" s="412"/>
      <c r="F30" s="412"/>
      <c r="G30" s="412"/>
      <c r="H30" s="440"/>
      <c r="I30" s="1249"/>
    </row>
    <row r="31" spans="1:9" ht="15.75">
      <c r="A31" s="411"/>
      <c r="B31" s="412"/>
      <c r="C31" s="411" t="s">
        <v>1560</v>
      </c>
      <c r="D31" s="1068">
        <f>IF(D30="","",INPUT!F554)</f>
        <v>0</v>
      </c>
      <c r="E31" s="412"/>
      <c r="F31" s="412"/>
      <c r="G31" s="412"/>
      <c r="H31" s="440"/>
      <c r="I31" s="1249"/>
    </row>
    <row r="32" spans="1:9" ht="15.75">
      <c r="A32" s="411"/>
      <c r="B32" s="412"/>
      <c r="C32" s="411" t="s">
        <v>1561</v>
      </c>
      <c r="D32" s="1068">
        <f>IF(D30="","",INPUT!G554)</f>
        <v>0</v>
      </c>
      <c r="E32" s="412"/>
      <c r="F32" s="412"/>
      <c r="G32" s="412"/>
      <c r="H32" s="440"/>
      <c r="I32" s="1249"/>
    </row>
    <row r="33" spans="1:9" ht="15.75">
      <c r="A33" s="411"/>
      <c r="B33" s="412"/>
      <c r="C33" s="411" t="s">
        <v>1562</v>
      </c>
      <c r="D33" s="1068">
        <f>IF(D30="","",INPUT!H554)</f>
        <v>0</v>
      </c>
      <c r="E33" s="412"/>
      <c r="F33" s="412"/>
      <c r="G33" s="412"/>
      <c r="H33" s="440"/>
      <c r="I33" s="1249"/>
    </row>
    <row r="34" spans="1:9" ht="15.75">
      <c r="A34" s="411"/>
      <c r="B34" s="412"/>
      <c r="C34" s="411" t="s">
        <v>1563</v>
      </c>
      <c r="D34" s="1068">
        <f>IF(D30="","",INPUT!I554)</f>
        <v>0</v>
      </c>
      <c r="E34" s="412"/>
      <c r="F34" s="412"/>
      <c r="G34" s="412"/>
      <c r="H34" s="440"/>
      <c r="I34" s="1249"/>
    </row>
    <row r="35" spans="1:9" ht="15.75">
      <c r="A35" s="411"/>
      <c r="B35" s="412"/>
      <c r="C35" s="25" t="s">
        <v>1573</v>
      </c>
      <c r="D35" s="1068" t="str">
        <f>IF(D30="","",IF(INPUT!J554="","",INPUT!J554))</f>
        <v/>
      </c>
      <c r="E35" s="412"/>
      <c r="F35" s="412"/>
      <c r="G35" s="412"/>
      <c r="H35" s="440"/>
      <c r="I35" s="1249"/>
    </row>
    <row r="36" spans="1:9" ht="15.75">
      <c r="A36" s="411"/>
      <c r="B36" s="412"/>
      <c r="C36" s="20" t="s">
        <v>1563</v>
      </c>
      <c r="D36" s="1068" t="str">
        <f>IF(D35="","",INPUT!K554)</f>
        <v/>
      </c>
      <c r="E36" s="412"/>
      <c r="F36" s="412"/>
      <c r="G36" s="412"/>
      <c r="H36" s="440"/>
      <c r="I36" s="1249"/>
    </row>
    <row r="37" spans="1:9" ht="15.75">
      <c r="A37" s="411"/>
      <c r="B37" s="412"/>
      <c r="C37" s="25" t="s">
        <v>1564</v>
      </c>
      <c r="D37" s="446">
        <f>G21+G23</f>
        <v>81519844</v>
      </c>
      <c r="E37" s="412"/>
      <c r="F37" s="412"/>
      <c r="G37" s="412"/>
      <c r="H37" s="1239"/>
      <c r="I37" s="1249"/>
    </row>
    <row r="38" spans="1:9" ht="15.75">
      <c r="A38" s="411"/>
      <c r="B38" s="412"/>
      <c r="C38" s="20" t="s">
        <v>1567</v>
      </c>
      <c r="D38" s="1068">
        <f>IF(D30="","",INPUT!L554)</f>
        <v>0</v>
      </c>
      <c r="E38" s="412"/>
      <c r="F38" s="412"/>
      <c r="G38" s="412"/>
      <c r="H38" s="1239"/>
      <c r="I38" s="1249"/>
    </row>
    <row r="39" spans="1:9" ht="15.75">
      <c r="A39" s="411"/>
      <c r="B39" s="412"/>
      <c r="C39" s="20" t="s">
        <v>1568</v>
      </c>
      <c r="D39" s="1068">
        <f>IF(D30="","",INPUT!M554)</f>
        <v>0</v>
      </c>
      <c r="E39" s="412"/>
      <c r="F39" s="412"/>
      <c r="G39" s="412"/>
      <c r="H39" s="1239"/>
      <c r="I39" s="1249"/>
    </row>
    <row r="40" spans="1:9" ht="15.75">
      <c r="A40" s="411"/>
      <c r="B40" s="412"/>
      <c r="C40" s="411" t="s">
        <v>1735</v>
      </c>
      <c r="D40" s="1068" t="str">
        <f>IF(D30="","",INPUT!O554&amp;" -- "&amp;INPUT!N554)</f>
        <v xml:space="preserve"> -- </v>
      </c>
      <c r="E40" s="412"/>
      <c r="F40" s="412"/>
      <c r="G40" s="412"/>
      <c r="H40" s="440"/>
      <c r="I40" s="1249"/>
    </row>
    <row r="41" spans="1:9" ht="15.75">
      <c r="A41" s="411"/>
      <c r="B41" s="412"/>
      <c r="C41" s="412"/>
      <c r="D41" s="1240"/>
      <c r="E41" s="412"/>
      <c r="F41" s="412"/>
      <c r="G41" s="1237"/>
      <c r="H41" s="440"/>
      <c r="I41" s="1249"/>
    </row>
    <row r="42" spans="1:9" ht="15.75">
      <c r="A42" s="411"/>
      <c r="B42" s="412"/>
      <c r="C42" s="412"/>
      <c r="D42" s="1069"/>
      <c r="E42" s="412"/>
      <c r="F42" s="412"/>
      <c r="G42" s="412"/>
      <c r="I42" s="1249"/>
    </row>
    <row r="43" spans="1:9" ht="15.75">
      <c r="A43" s="411"/>
      <c r="B43" s="412"/>
      <c r="C43" s="1238" t="s">
        <v>1764</v>
      </c>
      <c r="D43" s="410"/>
      <c r="E43" s="412"/>
      <c r="F43" s="412"/>
      <c r="G43" s="412"/>
      <c r="H43" s="440"/>
      <c r="I43" s="1249"/>
    </row>
    <row r="44" spans="1:9" ht="15.75">
      <c r="A44" s="411"/>
      <c r="B44" s="412"/>
      <c r="C44" s="1229" t="s">
        <v>1559</v>
      </c>
      <c r="D44" s="1334" t="s">
        <v>498</v>
      </c>
      <c r="E44" s="412"/>
      <c r="F44" s="412"/>
      <c r="G44" s="412"/>
      <c r="H44" s="440"/>
      <c r="I44" s="1249"/>
    </row>
    <row r="45" spans="1:9" ht="15.75">
      <c r="A45" s="411"/>
      <c r="B45" s="412"/>
      <c r="C45" s="1229" t="s">
        <v>1560</v>
      </c>
      <c r="D45" s="1335" t="s">
        <v>1765</v>
      </c>
      <c r="E45" s="412"/>
      <c r="F45" s="412"/>
      <c r="G45" s="412"/>
      <c r="H45" s="440"/>
      <c r="I45" s="1249"/>
    </row>
    <row r="46" spans="1:9" ht="15.75">
      <c r="A46" s="411"/>
      <c r="B46" s="412"/>
      <c r="C46" s="1229" t="s">
        <v>1643</v>
      </c>
      <c r="D46" s="1335">
        <v>321081669</v>
      </c>
      <c r="E46" s="412"/>
      <c r="F46" s="412"/>
      <c r="G46" s="412"/>
      <c r="H46" s="440"/>
      <c r="I46" s="1249"/>
    </row>
    <row r="47" spans="1:9" s="471" customFormat="1" ht="15.75">
      <c r="A47" s="421"/>
      <c r="B47" s="412"/>
      <c r="C47" s="1229" t="s">
        <v>1562</v>
      </c>
      <c r="D47" s="1334" t="s">
        <v>1766</v>
      </c>
      <c r="E47" s="412"/>
      <c r="F47" s="412"/>
      <c r="G47" s="412"/>
      <c r="H47" s="440"/>
      <c r="I47" s="1252"/>
    </row>
    <row r="48" spans="1:9" s="471" customFormat="1" ht="15.75">
      <c r="A48" s="421"/>
      <c r="B48" s="412"/>
      <c r="C48" s="1229" t="s">
        <v>1767</v>
      </c>
      <c r="D48" s="1335">
        <v>80003128733</v>
      </c>
      <c r="E48" s="412"/>
      <c r="F48" s="412"/>
      <c r="G48" s="412"/>
      <c r="H48" s="1239"/>
      <c r="I48" s="1252"/>
    </row>
    <row r="49" spans="1:9" s="471" customFormat="1" ht="15.75">
      <c r="A49" s="421"/>
      <c r="B49" s="412"/>
      <c r="C49" s="1229" t="s">
        <v>1564</v>
      </c>
      <c r="D49" s="1336">
        <f>+G24+G25</f>
        <v>413144.22</v>
      </c>
      <c r="E49" s="412"/>
      <c r="F49" s="412"/>
      <c r="G49" s="412"/>
      <c r="H49" s="1239"/>
      <c r="I49" s="1252"/>
    </row>
    <row r="50" spans="1:9" s="471" customFormat="1" ht="15.75">
      <c r="A50" s="421"/>
      <c r="B50" s="412"/>
      <c r="C50" s="1239" t="s">
        <v>1566</v>
      </c>
      <c r="D50" s="1337" t="str">
        <f>IF(G21=0,"",IF(G25=0,"TRE ACR Origination Fee to ACORE for "&amp;INPUT!$E$16,"TRE ACR Orig. Fee &amp; Expenses to ACORE for "&amp;INPUT!$E$16))</f>
        <v>TRE ACR Origination Fee to ACORE for LSS Test 1</v>
      </c>
      <c r="E50" s="412"/>
      <c r="F50" s="412"/>
      <c r="G50" s="412"/>
      <c r="H50" s="1239"/>
      <c r="I50" s="1252"/>
    </row>
    <row r="51" spans="1:9" s="471" customFormat="1" ht="15.75">
      <c r="A51" s="421"/>
      <c r="B51" s="412"/>
      <c r="C51" s="1239"/>
      <c r="D51" s="440"/>
      <c r="E51" s="412"/>
      <c r="F51" s="412"/>
      <c r="G51" s="412"/>
      <c r="H51" s="1239"/>
      <c r="I51" s="1252"/>
    </row>
    <row r="52" spans="1:9" s="471" customFormat="1" ht="15.75">
      <c r="A52" s="421"/>
      <c r="B52" s="412"/>
      <c r="C52" s="1239"/>
      <c r="D52" s="440"/>
      <c r="E52" s="412"/>
      <c r="F52" s="412"/>
      <c r="G52" s="412"/>
      <c r="H52" s="1239"/>
      <c r="I52" s="1252"/>
    </row>
    <row r="53" spans="1:9" s="471" customFormat="1" ht="15.75">
      <c r="A53" s="421"/>
      <c r="B53" s="412"/>
      <c r="C53" s="1239"/>
      <c r="D53" s="1241"/>
      <c r="E53" s="412"/>
      <c r="F53" s="412"/>
      <c r="G53" s="412"/>
      <c r="H53" s="440"/>
      <c r="I53" s="1252"/>
    </row>
    <row r="54" spans="1:9" s="471" customFormat="1" ht="15.75">
      <c r="A54" s="421"/>
      <c r="B54" s="412"/>
      <c r="C54" s="412"/>
      <c r="D54" s="412"/>
      <c r="E54" s="412"/>
      <c r="F54" s="412"/>
      <c r="G54" s="412"/>
      <c r="H54" s="412"/>
      <c r="I54" s="1252"/>
    </row>
    <row r="55" spans="1:9" s="471" customFormat="1" ht="16.5" thickBot="1">
      <c r="A55" s="421"/>
      <c r="B55" s="412"/>
      <c r="C55" s="412" t="s">
        <v>1738</v>
      </c>
      <c r="D55" s="1242"/>
      <c r="E55" s="1242"/>
      <c r="F55" s="1242"/>
      <c r="G55" s="412"/>
      <c r="H55" s="412"/>
      <c r="I55" s="1252"/>
    </row>
    <row r="56" spans="1:9" s="471" customFormat="1" ht="15.75">
      <c r="A56" s="421"/>
      <c r="B56" s="412"/>
      <c r="C56" s="412"/>
      <c r="D56" s="412" t="s">
        <v>802</v>
      </c>
      <c r="E56" s="412"/>
      <c r="F56" s="412"/>
      <c r="G56" s="412"/>
      <c r="H56" s="412"/>
      <c r="I56" s="1252"/>
    </row>
    <row r="57" spans="1:9">
      <c r="A57" s="20"/>
      <c r="B57" s="20"/>
      <c r="C57" s="20"/>
      <c r="D57" s="20"/>
      <c r="E57" s="20"/>
      <c r="F57" s="20"/>
      <c r="G57" s="20"/>
      <c r="H57" s="20"/>
    </row>
    <row r="58" spans="1:9" ht="15.75">
      <c r="A58" s="411"/>
      <c r="B58" s="440"/>
      <c r="C58" s="57" t="s">
        <v>1768</v>
      </c>
      <c r="D58" s="1051"/>
      <c r="E58" s="1051"/>
      <c r="F58" s="1051"/>
      <c r="G58" s="1051"/>
      <c r="H58" s="411"/>
      <c r="I58" s="1248"/>
    </row>
    <row r="59" spans="1:9" ht="15.75">
      <c r="A59" s="411"/>
      <c r="B59" s="440"/>
      <c r="C59" s="1243" t="s">
        <v>1741</v>
      </c>
      <c r="D59" s="1243" t="s">
        <v>1769</v>
      </c>
      <c r="E59" s="1243" t="s">
        <v>1770</v>
      </c>
      <c r="F59" s="1243" t="s">
        <v>1771</v>
      </c>
      <c r="G59" s="1243" t="s">
        <v>1745</v>
      </c>
      <c r="H59" s="411"/>
      <c r="I59" s="1253" t="s">
        <v>1772</v>
      </c>
    </row>
    <row r="60" spans="1:9" ht="15.75">
      <c r="A60" s="411"/>
      <c r="B60" s="440"/>
      <c r="C60" s="1506" t="s">
        <v>1773</v>
      </c>
      <c r="D60" s="1243"/>
      <c r="E60" s="1243"/>
      <c r="F60" s="1243"/>
      <c r="G60" s="1243"/>
      <c r="H60" s="411"/>
      <c r="I60" s="1248"/>
    </row>
    <row r="61" spans="1:9" ht="15.75">
      <c r="A61" s="411"/>
      <c r="B61" s="440"/>
      <c r="C61" s="1506" t="s">
        <v>1747</v>
      </c>
      <c r="D61" s="1243"/>
      <c r="E61" s="1243"/>
      <c r="F61" s="1243"/>
      <c r="G61" s="1243"/>
      <c r="H61" s="411"/>
      <c r="I61" s="1248"/>
    </row>
    <row r="62" spans="1:9" ht="15.75">
      <c r="A62" s="411"/>
      <c r="B62" s="411"/>
      <c r="C62" s="1506" t="s">
        <v>1774</v>
      </c>
      <c r="D62" s="1243"/>
      <c r="E62" s="1243"/>
      <c r="F62" s="1243"/>
      <c r="G62" s="1243"/>
      <c r="H62" s="411"/>
      <c r="I62" s="1248"/>
    </row>
    <row r="63" spans="1:9" ht="15.75">
      <c r="A63" s="20"/>
      <c r="B63" s="411"/>
      <c r="C63" s="1506" t="s">
        <v>1750</v>
      </c>
      <c r="D63" s="1243"/>
      <c r="E63" s="1243"/>
      <c r="F63" s="1243"/>
      <c r="G63" s="1243"/>
      <c r="H63" s="411"/>
      <c r="I63" s="1248"/>
    </row>
    <row r="64" spans="1:9" ht="15.75">
      <c r="A64" s="20"/>
      <c r="B64" s="411"/>
      <c r="C64" s="1506" t="s">
        <v>1763</v>
      </c>
      <c r="D64" s="1243"/>
      <c r="E64" s="1243"/>
      <c r="F64" s="1243"/>
      <c r="G64" s="1243"/>
      <c r="H64" s="411"/>
      <c r="I64" s="1248"/>
    </row>
    <row r="65" spans="1:9" ht="15.75">
      <c r="A65" s="20"/>
      <c r="B65" s="411"/>
      <c r="C65" s="1506" t="s">
        <v>1775</v>
      </c>
      <c r="D65" s="1243"/>
      <c r="E65" s="1243"/>
      <c r="F65" s="1243"/>
      <c r="G65" s="1243"/>
      <c r="H65" s="411"/>
      <c r="I65" s="1248"/>
    </row>
    <row r="66" spans="1:9" ht="26.25">
      <c r="A66" s="20"/>
      <c r="B66" s="20"/>
      <c r="C66" s="1507" t="s">
        <v>1776</v>
      </c>
      <c r="D66" s="1243"/>
      <c r="E66" s="1243"/>
      <c r="F66" s="1243"/>
      <c r="G66" s="1243"/>
      <c r="H66" s="411"/>
      <c r="I66" s="1248"/>
    </row>
    <row r="67" spans="1:9">
      <c r="A67" s="20"/>
      <c r="B67" s="20"/>
      <c r="C67" s="20"/>
      <c r="D67" s="20"/>
      <c r="E67" s="20"/>
      <c r="F67" s="20"/>
      <c r="G67" s="20"/>
      <c r="H67" s="20"/>
    </row>
  </sheetData>
  <mergeCells count="14">
    <mergeCell ref="D22:F22"/>
    <mergeCell ref="D25:F25"/>
    <mergeCell ref="D26:F26"/>
    <mergeCell ref="C12:D12"/>
    <mergeCell ref="D17:F17"/>
    <mergeCell ref="D18:F18"/>
    <mergeCell ref="D19:F19"/>
    <mergeCell ref="D21:F21"/>
    <mergeCell ref="B6:C6"/>
    <mergeCell ref="B7:C7"/>
    <mergeCell ref="B8:C8"/>
    <mergeCell ref="D8:G8"/>
    <mergeCell ref="B11:C11"/>
    <mergeCell ref="D11:G11"/>
  </mergeCells>
  <pageMargins left="0.25" right="0.25" top="0.75" bottom="0.75" header="0.3" footer="0.3"/>
  <pageSetup scale="52"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0000000}">
          <x14:formula1>
            <xm:f>'Drop Lists'!$AG$5:$AG$6</xm:f>
          </x14:formula1>
          <xm:sqref>D20:F20</xm:sqref>
        </x14:dataValidation>
        <x14:dataValidation type="list" allowBlank="1" showInputMessage="1" showErrorMessage="1" xr:uid="{00000000-0002-0000-0700-000001000000}">
          <x14:formula1>
            <xm:f>'Drop Lists'!$BC$4:$BC$10</xm:f>
          </x14:formula1>
          <xm:sqref>D56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71863-493D-42F1-8694-C482F5AC734A}">
  <sheetPr codeName="Sheet22"/>
  <dimension ref="A1:L58"/>
  <sheetViews>
    <sheetView topLeftCell="A34" workbookViewId="0">
      <selection activeCell="L3" sqref="L3"/>
    </sheetView>
  </sheetViews>
  <sheetFormatPr defaultRowHeight="15"/>
  <cols>
    <col min="1" max="1" width="4.5703125" customWidth="1"/>
    <col min="2" max="2" width="6.42578125" customWidth="1"/>
    <col min="3" max="3" width="40.42578125" customWidth="1"/>
    <col min="4" max="4" width="22.5703125" customWidth="1"/>
    <col min="5" max="5" width="13.5703125" customWidth="1"/>
    <col min="6" max="6" width="23.42578125" customWidth="1"/>
    <col min="7" max="7" width="39.5703125" customWidth="1"/>
    <col min="8" max="8" width="17" bestFit="1" customWidth="1"/>
  </cols>
  <sheetData>
    <row r="1" spans="1:12" ht="16.5" thickBot="1">
      <c r="A1" s="411"/>
      <c r="B1" s="411"/>
      <c r="C1" s="411"/>
      <c r="D1" s="411"/>
      <c r="E1" s="411"/>
      <c r="F1" s="411"/>
      <c r="G1" s="411"/>
      <c r="H1" s="411"/>
      <c r="I1" s="1248"/>
    </row>
    <row r="2" spans="1:12" ht="34.5" thickBot="1">
      <c r="A2" s="411"/>
      <c r="B2" s="412"/>
      <c r="C2" s="412"/>
      <c r="D2" s="412"/>
      <c r="E2" s="1508"/>
      <c r="F2" s="1509"/>
      <c r="G2" s="1510" t="s">
        <v>1754</v>
      </c>
      <c r="H2" s="440"/>
      <c r="I2" s="1249"/>
      <c r="K2" s="1262" t="s">
        <v>1707</v>
      </c>
      <c r="L2" s="1263" t="str">
        <f>+'Investor Profile'!A10</f>
        <v>SILAC Insurance Company</v>
      </c>
    </row>
    <row r="3" spans="1:12" ht="15.75">
      <c r="A3" s="411"/>
      <c r="B3" s="412"/>
      <c r="C3" s="412"/>
      <c r="D3" s="412"/>
      <c r="E3" s="412"/>
      <c r="F3" s="412"/>
      <c r="G3" s="412"/>
      <c r="H3" s="440"/>
      <c r="I3" s="1249"/>
    </row>
    <row r="4" spans="1:12" ht="15.75">
      <c r="A4" s="411"/>
      <c r="B4" s="412"/>
      <c r="C4" s="412"/>
      <c r="D4" s="412"/>
      <c r="E4" s="412"/>
      <c r="F4" s="412"/>
      <c r="G4" s="412"/>
      <c r="H4" s="440"/>
      <c r="I4" s="1249"/>
    </row>
    <row r="5" spans="1:12" ht="15.75" customHeight="1">
      <c r="A5" s="411"/>
      <c r="B5" s="412"/>
      <c r="C5" s="412"/>
      <c r="D5" s="412"/>
      <c r="E5" s="412"/>
      <c r="F5" s="412"/>
      <c r="G5" s="412"/>
      <c r="H5" s="440"/>
      <c r="I5" s="1249"/>
    </row>
    <row r="6" spans="1:12" ht="15" customHeight="1">
      <c r="A6" s="411"/>
      <c r="B6" s="2637" t="s">
        <v>1710</v>
      </c>
      <c r="C6" s="2637"/>
      <c r="D6" s="412"/>
      <c r="E6" s="2439"/>
      <c r="F6" s="1224" t="s">
        <v>1603</v>
      </c>
      <c r="G6" s="1225">
        <f>IF(INPUT!E127="","",INPUT!E127)</f>
        <v>44743</v>
      </c>
      <c r="H6" s="440"/>
      <c r="I6" s="1249"/>
    </row>
    <row r="7" spans="1:12" ht="15.75" customHeight="1">
      <c r="A7" s="411"/>
      <c r="B7" s="2637" t="s">
        <v>1712</v>
      </c>
      <c r="C7" s="2637"/>
      <c r="D7" s="412"/>
      <c r="E7" s="1225"/>
      <c r="F7" s="1224" t="s">
        <v>1755</v>
      </c>
      <c r="G7" s="1226" t="str">
        <f>IF(INPUT!E14="","",INPUT!E14)</f>
        <v>22-9999</v>
      </c>
      <c r="H7" s="440"/>
      <c r="I7" s="1249"/>
    </row>
    <row r="8" spans="1:12" ht="14.25" customHeight="1">
      <c r="A8" s="411"/>
      <c r="B8" s="2637" t="s">
        <v>1714</v>
      </c>
      <c r="C8" s="2637"/>
      <c r="D8" s="2638"/>
      <c r="E8" s="2638"/>
      <c r="F8" s="2638"/>
      <c r="G8" s="2638"/>
      <c r="H8" s="440"/>
      <c r="I8" s="1249"/>
    </row>
    <row r="9" spans="1:12" ht="14.25" customHeight="1">
      <c r="A9" s="411"/>
      <c r="B9" s="2439"/>
      <c r="C9" s="2439"/>
      <c r="D9" s="2440"/>
      <c r="E9" s="2440"/>
      <c r="F9" s="2440"/>
      <c r="G9" s="2440"/>
      <c r="H9" s="440"/>
      <c r="I9" s="1249"/>
    </row>
    <row r="10" spans="1:12" ht="14.25" customHeight="1">
      <c r="A10" s="411"/>
      <c r="B10" s="2439"/>
      <c r="C10" s="2439"/>
      <c r="D10" s="2440"/>
      <c r="E10" s="2440"/>
      <c r="F10" s="2440"/>
      <c r="G10" s="2440"/>
      <c r="H10" s="440"/>
      <c r="I10" s="1249"/>
    </row>
    <row r="11" spans="1:12" ht="15.75">
      <c r="A11" s="411"/>
      <c r="B11" s="2637"/>
      <c r="C11" s="2637"/>
      <c r="D11" s="2638"/>
      <c r="E11" s="2638"/>
      <c r="F11" s="2638"/>
      <c r="G11" s="2638"/>
      <c r="H11" s="440"/>
      <c r="I11" s="1249"/>
    </row>
    <row r="12" spans="1:12" ht="18.75">
      <c r="A12" s="411"/>
      <c r="B12" s="1227" t="s">
        <v>1756</v>
      </c>
      <c r="C12" s="2439" t="s">
        <v>20</v>
      </c>
      <c r="D12" s="2438"/>
      <c r="E12" s="2439"/>
      <c r="F12" s="1228"/>
      <c r="G12" s="2439"/>
      <c r="H12" s="440"/>
      <c r="I12" s="1249"/>
    </row>
    <row r="13" spans="1:12" ht="2.25" customHeight="1">
      <c r="A13" s="411"/>
      <c r="B13" s="2439"/>
      <c r="C13" s="2439"/>
      <c r="D13" s="2439"/>
      <c r="E13" s="2439"/>
      <c r="F13" s="2439"/>
      <c r="G13" s="2439"/>
      <c r="H13" s="440"/>
      <c r="I13" s="1249"/>
    </row>
    <row r="14" spans="1:12" ht="2.25" customHeight="1">
      <c r="A14" s="411"/>
      <c r="B14" s="2439"/>
      <c r="C14" s="2439"/>
      <c r="D14" s="2439"/>
      <c r="E14" s="2439"/>
      <c r="F14" s="2439"/>
      <c r="G14" s="2439"/>
      <c r="H14" s="440"/>
      <c r="I14" s="1249"/>
    </row>
    <row r="15" spans="1:12" ht="15.75">
      <c r="A15" s="411"/>
      <c r="B15" s="2439"/>
      <c r="C15" s="2439"/>
      <c r="D15" s="2439"/>
      <c r="E15" s="2439"/>
      <c r="F15" s="2439"/>
      <c r="G15" s="2439"/>
      <c r="H15" s="440"/>
      <c r="I15" s="1249"/>
    </row>
    <row r="16" spans="1:12" ht="16.5" thickBot="1">
      <c r="A16" s="411"/>
      <c r="B16" s="1229"/>
      <c r="C16" s="412"/>
      <c r="D16" s="412"/>
      <c r="E16" s="412"/>
      <c r="F16" s="412"/>
      <c r="G16" s="412"/>
      <c r="H16" s="440"/>
      <c r="I16" s="1249"/>
    </row>
    <row r="17" spans="1:9" ht="16.5" thickBot="1">
      <c r="A17" s="411"/>
      <c r="B17" s="412"/>
      <c r="C17" s="425" t="s">
        <v>376</v>
      </c>
      <c r="D17" s="2629" t="s">
        <v>1717</v>
      </c>
      <c r="E17" s="2630"/>
      <c r="F17" s="2631"/>
      <c r="G17" s="2437" t="s">
        <v>226</v>
      </c>
      <c r="H17" s="440"/>
      <c r="I17" s="1249"/>
    </row>
    <row r="18" spans="1:9" ht="30" customHeight="1" thickBot="1">
      <c r="A18" s="411"/>
      <c r="B18" s="412"/>
      <c r="C18" s="441" t="s">
        <v>39</v>
      </c>
      <c r="D18" s="2623" t="str">
        <f>IF(INPUT!E16="","",INPUT!E16&amp;" - "&amp;INPUT!E17)</f>
        <v>LSS Test 1 - 6363 &amp; 6399 &amp; 6501 S Fiddler's Green Circle, Englewood, CO</v>
      </c>
      <c r="E18" s="2632"/>
      <c r="F18" s="2633"/>
      <c r="G18" s="1230"/>
      <c r="H18" s="440"/>
      <c r="I18" s="1249"/>
    </row>
    <row r="19" spans="1:9" ht="16.5" thickBot="1">
      <c r="A19" s="411"/>
      <c r="B19" s="412"/>
      <c r="C19" s="441" t="s">
        <v>1758</v>
      </c>
      <c r="D19" s="2648" t="str">
        <f>IF(INPUT!E126="","",INPUT!E126)</f>
        <v>Lease Up</v>
      </c>
      <c r="E19" s="2632"/>
      <c r="F19" s="2633"/>
      <c r="G19" s="1230"/>
      <c r="H19" s="440"/>
      <c r="I19" s="1249"/>
    </row>
    <row r="20" spans="1:9" ht="16.5" thickBot="1">
      <c r="A20" s="411"/>
      <c r="B20" s="412"/>
      <c r="C20" s="441" t="s">
        <v>1513</v>
      </c>
      <c r="D20" s="2436" t="s">
        <v>20</v>
      </c>
      <c r="E20" s="428"/>
      <c r="F20" s="427"/>
      <c r="G20" s="1230"/>
      <c r="H20" s="440"/>
      <c r="I20" s="1249"/>
    </row>
    <row r="21" spans="1:9" ht="16.5" thickBot="1">
      <c r="A21" s="411"/>
      <c r="B21" s="412"/>
      <c r="C21" s="441" t="s">
        <v>563</v>
      </c>
      <c r="D21" s="2623"/>
      <c r="E21" s="2632"/>
      <c r="F21" s="2633"/>
      <c r="G21" s="442">
        <f>SUMIF(INPUT!$A$186:$A$215,D20,INPUT!$F$186:$F$215)-SUMIFS(INPUT!$F$186:$F$215,INPUT!$A$186:$A$215,D20,INPUT!Z186:Z215,"X")</f>
        <v>11176129</v>
      </c>
      <c r="H21" s="440"/>
      <c r="I21" s="1249"/>
    </row>
    <row r="22" spans="1:9" ht="16.5" thickBot="1">
      <c r="A22" s="411"/>
      <c r="B22" s="412"/>
      <c r="C22" s="441" t="s">
        <v>1747</v>
      </c>
      <c r="D22" s="2649">
        <f>SUMIF(INPUT!$A$186:$A$215,D20,INPUT!$J$186:$J$215)-SUMIFS(INPUT!$J$186:$J$215,INPUT!$A$186:$A$215,D20,INPUT!Z186:Z215,"X")</f>
        <v>15000000</v>
      </c>
      <c r="E22" s="2650"/>
      <c r="F22" s="2651"/>
      <c r="G22" s="1231"/>
      <c r="H22" s="440"/>
      <c r="I22" s="1249"/>
    </row>
    <row r="23" spans="1:9" ht="32.25" thickBot="1">
      <c r="A23" s="411"/>
      <c r="B23" s="412"/>
      <c r="C23" s="441" t="s">
        <v>1724</v>
      </c>
      <c r="D23" s="1268" t="str">
        <f>IF(G22=0,"",INPUT!F131)</f>
        <v/>
      </c>
      <c r="E23" s="1271" t="s">
        <v>1725</v>
      </c>
      <c r="F23" s="1272" t="str">
        <f>IF(G22=0,"",INPUT!F132)</f>
        <v/>
      </c>
      <c r="G23" s="442">
        <f>-SUMIFS(INPUT!Q186:Q215,INPUT!R186:R215,"Yes",INPUT!A186:A215,'Funding Instruction - SILAC'!D20)</f>
        <v>-15702.47</v>
      </c>
      <c r="H23" s="440"/>
      <c r="I23" s="1249"/>
    </row>
    <row r="24" spans="1:9" ht="32.25" thickBot="1">
      <c r="A24" s="411"/>
      <c r="B24" s="412"/>
      <c r="C24" s="441" t="s">
        <v>1759</v>
      </c>
      <c r="D24" s="2260"/>
      <c r="E24" s="2261"/>
      <c r="F24" s="2262">
        <f>IFERROR((-G24/D22),0)</f>
        <v>0.01</v>
      </c>
      <c r="G24" s="442">
        <f>-SUMIF(INPUT!$A$186:$A$215,D20,INPUT!$U$186:$U$215)</f>
        <v>-150000</v>
      </c>
      <c r="H24" s="440"/>
      <c r="I24" s="1249"/>
    </row>
    <row r="25" spans="1:9" ht="16.5" thickBot="1">
      <c r="A25" s="411"/>
      <c r="B25" s="412"/>
      <c r="C25" s="2241" t="s">
        <v>1779</v>
      </c>
      <c r="D25" s="2260"/>
      <c r="E25" s="2261"/>
      <c r="F25" s="2262">
        <f>0.75*F24</f>
        <v>7.4999999999999997E-3</v>
      </c>
      <c r="G25" s="1235">
        <f>+F25*D22</f>
        <v>112500</v>
      </c>
      <c r="H25" s="440"/>
      <c r="I25" s="1249"/>
    </row>
    <row r="26" spans="1:9" ht="16.5" thickBot="1">
      <c r="A26" s="411"/>
      <c r="B26" s="412"/>
      <c r="C26" s="441" t="s">
        <v>1729</v>
      </c>
      <c r="D26" s="2623"/>
      <c r="E26" s="2632"/>
      <c r="F26" s="2633"/>
      <c r="G26" s="1247">
        <v>0</v>
      </c>
      <c r="H26" s="440"/>
      <c r="I26" s="1253" t="s">
        <v>1762</v>
      </c>
    </row>
    <row r="27" spans="1:9" ht="16.5" thickBot="1">
      <c r="A27" s="411"/>
      <c r="B27" s="412"/>
      <c r="C27" s="441" t="s">
        <v>1731</v>
      </c>
      <c r="D27" s="2645">
        <f>IF(G21="","",IF(INPUT!$E$129="","",INPUT!$E$129))</f>
        <v>44753</v>
      </c>
      <c r="E27" s="2646"/>
      <c r="F27" s="2647"/>
      <c r="G27" s="1230"/>
      <c r="H27" s="440"/>
      <c r="I27" s="1249"/>
    </row>
    <row r="28" spans="1:9" ht="16.5" thickBot="1">
      <c r="A28" s="411"/>
      <c r="B28" s="412"/>
      <c r="C28" s="441" t="s">
        <v>1778</v>
      </c>
      <c r="D28" s="2433"/>
      <c r="E28" s="2434"/>
      <c r="F28" s="2435"/>
      <c r="G28" s="442">
        <f>SUM(G21:G26)</f>
        <v>11122926.529999999</v>
      </c>
      <c r="H28" s="1236"/>
      <c r="I28" s="1249"/>
    </row>
    <row r="29" spans="1:9" ht="15.75">
      <c r="A29" s="411"/>
      <c r="B29" s="412"/>
      <c r="C29" s="1229"/>
      <c r="D29" s="412"/>
      <c r="E29" s="412"/>
      <c r="F29" s="412"/>
      <c r="G29" s="1237"/>
      <c r="H29" s="440"/>
      <c r="I29" s="1249"/>
    </row>
    <row r="30" spans="1:9" ht="15.75">
      <c r="A30" s="411"/>
      <c r="B30" s="412"/>
      <c r="C30" s="78" t="s">
        <v>1733</v>
      </c>
      <c r="D30" s="412"/>
      <c r="E30" s="412"/>
      <c r="F30" s="412"/>
      <c r="G30" s="412"/>
      <c r="H30" s="440"/>
      <c r="I30" s="370" t="s">
        <v>1734</v>
      </c>
    </row>
    <row r="31" spans="1:9" ht="15.75">
      <c r="A31" s="411"/>
      <c r="B31" s="412"/>
      <c r="C31" s="411" t="s">
        <v>1559</v>
      </c>
      <c r="D31" s="1068">
        <f>IF(G21=0,"",INPUT!E554)</f>
        <v>0</v>
      </c>
      <c r="E31" s="412"/>
      <c r="F31" s="412"/>
      <c r="G31" s="412"/>
      <c r="H31" s="440"/>
      <c r="I31" s="1249"/>
    </row>
    <row r="32" spans="1:9" ht="15.75">
      <c r="A32" s="411"/>
      <c r="B32" s="412"/>
      <c r="C32" s="411" t="s">
        <v>1560</v>
      </c>
      <c r="D32" s="1068">
        <f>IF(D31="","",INPUT!F554)</f>
        <v>0</v>
      </c>
      <c r="E32" s="412"/>
      <c r="F32" s="412"/>
      <c r="G32" s="412"/>
      <c r="H32" s="440"/>
      <c r="I32" s="1249"/>
    </row>
    <row r="33" spans="1:9" ht="15.75">
      <c r="A33" s="411"/>
      <c r="B33" s="412"/>
      <c r="C33" s="411" t="s">
        <v>1561</v>
      </c>
      <c r="D33" s="1068">
        <f>IF(D31="","",INPUT!G554)</f>
        <v>0</v>
      </c>
      <c r="E33" s="412"/>
      <c r="F33" s="412"/>
      <c r="G33" s="412"/>
      <c r="H33" s="440"/>
      <c r="I33" s="1249"/>
    </row>
    <row r="34" spans="1:9" ht="15.75">
      <c r="A34" s="411"/>
      <c r="B34" s="412"/>
      <c r="C34" s="411" t="s">
        <v>1562</v>
      </c>
      <c r="D34" s="1068">
        <f>IF(D31="","",INPUT!H554)</f>
        <v>0</v>
      </c>
      <c r="E34" s="412"/>
      <c r="F34" s="412"/>
      <c r="G34" s="412"/>
      <c r="H34" s="440"/>
      <c r="I34" s="1249"/>
    </row>
    <row r="35" spans="1:9" ht="15.75">
      <c r="A35" s="411"/>
      <c r="B35" s="412"/>
      <c r="C35" s="411" t="s">
        <v>1563</v>
      </c>
      <c r="D35" s="1068">
        <f>IF(D31="","",INPUT!I554)</f>
        <v>0</v>
      </c>
      <c r="E35" s="412"/>
      <c r="F35" s="412"/>
      <c r="G35" s="412"/>
      <c r="H35" s="440"/>
      <c r="I35" s="1249"/>
    </row>
    <row r="36" spans="1:9" ht="15.75">
      <c r="A36" s="411"/>
      <c r="B36" s="412"/>
      <c r="C36" s="25" t="s">
        <v>1573</v>
      </c>
      <c r="D36" s="1068" t="str">
        <f>IF(D31="","",IF(INPUT!J554="","",INPUT!J554))</f>
        <v/>
      </c>
      <c r="E36" s="412"/>
      <c r="F36" s="412"/>
      <c r="G36" s="412"/>
      <c r="H36" s="440"/>
      <c r="I36" s="1249"/>
    </row>
    <row r="37" spans="1:9" ht="15.75">
      <c r="A37" s="411"/>
      <c r="B37" s="412"/>
      <c r="C37" s="20" t="s">
        <v>1563</v>
      </c>
      <c r="D37" s="1068" t="str">
        <f>IF(D36="","",INPUT!K554)</f>
        <v/>
      </c>
      <c r="E37" s="412"/>
      <c r="F37" s="412"/>
      <c r="G37" s="412"/>
      <c r="H37" s="440"/>
      <c r="I37" s="1249"/>
    </row>
    <row r="38" spans="1:9" ht="15.75">
      <c r="A38" s="411"/>
      <c r="B38" s="412"/>
      <c r="C38" s="25" t="s">
        <v>1564</v>
      </c>
      <c r="D38" s="446">
        <f>G21+G24</f>
        <v>11026129</v>
      </c>
      <c r="E38" s="412"/>
      <c r="F38" s="412"/>
      <c r="G38" s="412"/>
      <c r="H38" s="1239"/>
      <c r="I38" s="1249"/>
    </row>
    <row r="39" spans="1:9" ht="15.75">
      <c r="A39" s="411"/>
      <c r="B39" s="412"/>
      <c r="C39" s="20" t="s">
        <v>1567</v>
      </c>
      <c r="D39" s="1068">
        <f>IF(D31="","",INPUT!L554)</f>
        <v>0</v>
      </c>
      <c r="E39" s="412"/>
      <c r="F39" s="412"/>
      <c r="G39" s="412"/>
      <c r="H39" s="1239"/>
      <c r="I39" s="1249"/>
    </row>
    <row r="40" spans="1:9" ht="15.75">
      <c r="A40" s="411"/>
      <c r="B40" s="412"/>
      <c r="C40" s="20" t="s">
        <v>1568</v>
      </c>
      <c r="D40" s="1068">
        <f>IF(D31="","",INPUT!M554)</f>
        <v>0</v>
      </c>
      <c r="E40" s="412"/>
      <c r="F40" s="412"/>
      <c r="G40" s="412"/>
      <c r="H40" s="1239"/>
      <c r="I40" s="1249"/>
    </row>
    <row r="41" spans="1:9" ht="15.75">
      <c r="A41" s="411"/>
      <c r="B41" s="412"/>
      <c r="C41" s="411" t="s">
        <v>1735</v>
      </c>
      <c r="D41" s="1068" t="str">
        <f>IF(D31="","",INPUT!O554&amp;" -- "&amp;INPUT!N554)</f>
        <v xml:space="preserve"> -- </v>
      </c>
      <c r="E41" s="412"/>
      <c r="F41" s="412"/>
      <c r="G41" s="412"/>
      <c r="H41" s="440"/>
      <c r="I41" s="1249"/>
    </row>
    <row r="42" spans="1:9" ht="15.75">
      <c r="A42" s="411"/>
      <c r="B42" s="412"/>
      <c r="C42" s="412"/>
      <c r="D42" s="1240"/>
      <c r="E42" s="412"/>
      <c r="F42" s="412"/>
      <c r="G42" s="1237"/>
      <c r="H42" s="440"/>
      <c r="I42" s="1249"/>
    </row>
    <row r="43" spans="1:9" ht="15.75">
      <c r="A43" s="411"/>
      <c r="B43" s="412"/>
      <c r="C43" s="412"/>
      <c r="D43" s="1069"/>
      <c r="E43" s="412"/>
      <c r="F43" s="412"/>
      <c r="G43" s="412"/>
      <c r="I43" s="1249"/>
    </row>
    <row r="44" spans="1:9" ht="15.75">
      <c r="A44" s="411"/>
      <c r="B44" s="412"/>
      <c r="C44" s="1238" t="s">
        <v>1764</v>
      </c>
      <c r="D44" s="410"/>
      <c r="E44" s="412"/>
      <c r="F44" s="412"/>
      <c r="G44" s="412"/>
      <c r="H44" s="440"/>
      <c r="I44" s="1249"/>
    </row>
    <row r="45" spans="1:9" ht="15.75">
      <c r="A45" s="411"/>
      <c r="B45" s="412"/>
      <c r="C45" s="1229" t="s">
        <v>1559</v>
      </c>
      <c r="D45" s="1334" t="s">
        <v>498</v>
      </c>
      <c r="E45" s="412"/>
      <c r="F45" s="412"/>
      <c r="G45" s="412"/>
      <c r="H45" s="440"/>
      <c r="I45" s="1249"/>
    </row>
    <row r="46" spans="1:9" ht="15.75">
      <c r="A46" s="411"/>
      <c r="B46" s="412"/>
      <c r="C46" s="1229" t="s">
        <v>1560</v>
      </c>
      <c r="D46" s="1335" t="s">
        <v>1765</v>
      </c>
      <c r="E46" s="412"/>
      <c r="F46" s="412"/>
      <c r="G46" s="412"/>
      <c r="H46" s="440"/>
      <c r="I46" s="1249"/>
    </row>
    <row r="47" spans="1:9" ht="15.75">
      <c r="A47" s="411"/>
      <c r="B47" s="412"/>
      <c r="C47" s="1229" t="s">
        <v>1643</v>
      </c>
      <c r="D47" s="1335">
        <v>321081669</v>
      </c>
      <c r="E47" s="412"/>
      <c r="F47" s="412"/>
      <c r="G47" s="412"/>
      <c r="H47" s="440"/>
      <c r="I47" s="1249"/>
    </row>
    <row r="48" spans="1:9" s="471" customFormat="1" ht="15.75">
      <c r="A48" s="421"/>
      <c r="B48" s="412"/>
      <c r="C48" s="1229" t="s">
        <v>1562</v>
      </c>
      <c r="D48" s="1334" t="s">
        <v>1766</v>
      </c>
      <c r="E48" s="412"/>
      <c r="F48" s="412"/>
      <c r="G48" s="412"/>
      <c r="H48" s="440"/>
      <c r="I48" s="1252"/>
    </row>
    <row r="49" spans="1:9" s="471" customFormat="1" ht="15.75">
      <c r="A49" s="421"/>
      <c r="B49" s="412"/>
      <c r="C49" s="1229" t="s">
        <v>1767</v>
      </c>
      <c r="D49" s="1335">
        <v>80003128733</v>
      </c>
      <c r="E49" s="412"/>
      <c r="F49" s="412"/>
      <c r="G49" s="412"/>
      <c r="H49" s="1239"/>
      <c r="I49" s="1252"/>
    </row>
    <row r="50" spans="1:9" s="471" customFormat="1" ht="15.75">
      <c r="A50" s="421"/>
      <c r="B50" s="412"/>
      <c r="C50" s="1229" t="s">
        <v>1564</v>
      </c>
      <c r="D50" s="1336">
        <f>+G25+G26</f>
        <v>112500</v>
      </c>
      <c r="E50" s="412"/>
      <c r="F50" s="412"/>
      <c r="G50" s="412"/>
      <c r="H50" s="1239"/>
      <c r="I50" s="1252"/>
    </row>
    <row r="51" spans="1:9" s="471" customFormat="1" ht="15.75">
      <c r="A51" s="421"/>
      <c r="B51" s="412"/>
      <c r="C51" s="1239" t="s">
        <v>1566</v>
      </c>
      <c r="D51" s="1337" t="str">
        <f>IF(G21=0,"",IF(G26=0,"TRE ACR Origination Fee to ACORE for "&amp;INPUT!$E$16,"TRE ACR Orig. Fee &amp; Expenses to ACORE for "&amp;INPUT!$E$16))</f>
        <v>TRE ACR Origination Fee to ACORE for LSS Test 1</v>
      </c>
      <c r="E51" s="412"/>
      <c r="F51" s="412"/>
      <c r="G51" s="412"/>
      <c r="H51" s="1239"/>
      <c r="I51" s="1252"/>
    </row>
    <row r="52" spans="1:9" s="471" customFormat="1" ht="15.75">
      <c r="A52" s="421"/>
      <c r="B52" s="412"/>
      <c r="C52" s="1239"/>
      <c r="D52" s="440"/>
      <c r="E52" s="412"/>
      <c r="F52" s="412"/>
      <c r="G52" s="412"/>
      <c r="H52" s="1239"/>
      <c r="I52" s="1252"/>
    </row>
    <row r="53" spans="1:9" s="471" customFormat="1" ht="15.75">
      <c r="A53" s="421"/>
      <c r="B53" s="412"/>
      <c r="C53" s="1239"/>
      <c r="D53" s="440"/>
      <c r="E53" s="412"/>
      <c r="F53" s="412"/>
      <c r="G53" s="412"/>
      <c r="H53" s="1239"/>
      <c r="I53" s="1252"/>
    </row>
    <row r="54" spans="1:9" s="471" customFormat="1" ht="15.75">
      <c r="A54" s="421"/>
      <c r="B54" s="412"/>
      <c r="C54" s="1239"/>
      <c r="D54" s="1241"/>
      <c r="E54" s="412"/>
      <c r="F54" s="412"/>
      <c r="G54" s="412"/>
      <c r="H54" s="440"/>
      <c r="I54" s="1252"/>
    </row>
    <row r="55" spans="1:9" s="471" customFormat="1" ht="15.75">
      <c r="A55" s="421"/>
      <c r="B55" s="412"/>
      <c r="C55" s="412"/>
      <c r="D55" s="412"/>
      <c r="E55" s="412"/>
      <c r="F55" s="412"/>
      <c r="G55" s="412"/>
      <c r="H55" s="412"/>
      <c r="I55" s="1252"/>
    </row>
    <row r="56" spans="1:9" s="471" customFormat="1" ht="16.5" thickBot="1">
      <c r="A56" s="421"/>
      <c r="B56" s="412"/>
      <c r="C56" s="412" t="s">
        <v>1738</v>
      </c>
      <c r="D56" s="1242"/>
      <c r="E56" s="1242"/>
      <c r="F56" s="1242"/>
      <c r="G56" s="412"/>
      <c r="H56" s="412"/>
      <c r="I56" s="1252"/>
    </row>
    <row r="57" spans="1:9" s="471" customFormat="1" ht="15.75">
      <c r="A57" s="421"/>
      <c r="B57" s="412"/>
      <c r="C57" s="412"/>
      <c r="D57" s="412"/>
      <c r="E57" s="412"/>
      <c r="F57" s="412"/>
      <c r="G57" s="412"/>
      <c r="H57" s="412"/>
      <c r="I57" s="1252"/>
    </row>
    <row r="58" spans="1:9">
      <c r="A58" s="20"/>
      <c r="B58" s="20"/>
      <c r="C58" s="20"/>
      <c r="D58" s="20"/>
      <c r="E58" s="20"/>
      <c r="F58" s="20"/>
      <c r="G58" s="20"/>
      <c r="H58" s="20"/>
    </row>
  </sheetData>
  <mergeCells count="13">
    <mergeCell ref="D26:F26"/>
    <mergeCell ref="D27:F27"/>
    <mergeCell ref="D17:F17"/>
    <mergeCell ref="D18:F18"/>
    <mergeCell ref="D19:F19"/>
    <mergeCell ref="D21:F21"/>
    <mergeCell ref="D22:F22"/>
    <mergeCell ref="B6:C6"/>
    <mergeCell ref="B7:C7"/>
    <mergeCell ref="B8:C8"/>
    <mergeCell ref="D8:G8"/>
    <mergeCell ref="B11:C11"/>
    <mergeCell ref="D11:G11"/>
  </mergeCell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E1197A66-9853-40AB-9266-B3F753E88DD2}">
          <x14:formula1>
            <xm:f>'Drop Lists'!$BC$4:$BC$10</xm:f>
          </x14:formula1>
          <xm:sqref>D57</xm:sqref>
        </x14:dataValidation>
        <x14:dataValidation type="list" allowBlank="1" showInputMessage="1" showErrorMessage="1" xr:uid="{20EFFB18-5B27-44FA-93EA-5C001CD37C4D}">
          <x14:formula1>
            <xm:f>'Drop Lists'!$AG$5:$AG$6</xm:f>
          </x14:formula1>
          <xm:sqref>E20:F20</xm:sqref>
        </x14:dataValidation>
        <x14:dataValidation type="list" allowBlank="1" showInputMessage="1" showErrorMessage="1" xr:uid="{A5FA3F1A-A169-4744-B89C-483602E3B5D0}">
          <x14:formula1>
            <xm:f>'Drop Lists'!$AG$5:$AG$31</xm:f>
          </x14:formula1>
          <xm:sqref>D20</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tabColor rgb="FF00B0F0"/>
  </sheetPr>
  <dimension ref="B1:T47"/>
  <sheetViews>
    <sheetView workbookViewId="0">
      <selection activeCell="C31" sqref="C31"/>
    </sheetView>
  </sheetViews>
  <sheetFormatPr defaultRowHeight="15" outlineLevelRow="1"/>
  <cols>
    <col min="2" max="2" width="22.5703125" customWidth="1"/>
    <col min="3" max="4" width="24" customWidth="1"/>
    <col min="5" max="5" width="16.42578125" customWidth="1"/>
    <col min="6" max="6" width="20.5703125" customWidth="1"/>
    <col min="7" max="7" width="13.5703125" customWidth="1"/>
    <col min="8" max="8" width="17.42578125" style="1082" customWidth="1"/>
    <col min="9" max="9" width="12.42578125" customWidth="1"/>
    <col min="10" max="10" width="16.42578125" customWidth="1"/>
    <col min="11" max="11" width="17" customWidth="1"/>
    <col min="12" max="12" width="12.5703125" customWidth="1"/>
    <col min="13" max="15" width="16.42578125" customWidth="1"/>
  </cols>
  <sheetData>
    <row r="1" spans="2:15" ht="15.75" thickBot="1"/>
    <row r="2" spans="2:15" ht="15.75" thickBot="1">
      <c r="B2" s="1083" t="s">
        <v>1780</v>
      </c>
      <c r="C2" s="1123"/>
    </row>
    <row r="3" spans="2:15" ht="15.75" thickBot="1">
      <c r="B3" s="1084" t="s">
        <v>1560</v>
      </c>
      <c r="C3" s="1123"/>
    </row>
    <row r="4" spans="2:15" ht="15.75" thickBot="1">
      <c r="B4" s="1084" t="s">
        <v>1781</v>
      </c>
      <c r="C4" s="1085"/>
    </row>
    <row r="5" spans="2:15" ht="15.75" thickBot="1">
      <c r="B5" s="1084" t="s">
        <v>1782</v>
      </c>
      <c r="C5" s="1085"/>
    </row>
    <row r="6" spans="2:15" ht="15.75" thickBot="1">
      <c r="B6" s="1084" t="s">
        <v>1783</v>
      </c>
      <c r="C6" s="1085"/>
    </row>
    <row r="7" spans="2:15" ht="15.75" thickBot="1">
      <c r="B7" s="1084" t="s">
        <v>1784</v>
      </c>
      <c r="C7" s="1085"/>
    </row>
    <row r="8" spans="2:15" ht="15.75" thickBot="1">
      <c r="B8" s="1084" t="s">
        <v>1785</v>
      </c>
      <c r="C8" s="1085"/>
    </row>
    <row r="9" spans="2:15" ht="24.6" customHeight="1" thickBot="1">
      <c r="B9" s="1084" t="s">
        <v>1786</v>
      </c>
      <c r="C9" s="1086"/>
      <c r="D9" s="1085"/>
      <c r="E9" s="1085"/>
      <c r="F9" s="1085"/>
    </row>
    <row r="10" spans="2:15" ht="30">
      <c r="B10" s="1087" t="s">
        <v>1787</v>
      </c>
    </row>
    <row r="11" spans="2:15" ht="30.6" customHeight="1">
      <c r="B11" s="1088"/>
      <c r="C11" t="s">
        <v>1788</v>
      </c>
      <c r="D11" s="1089"/>
      <c r="E11" t="s">
        <v>1789</v>
      </c>
      <c r="F11" s="1089"/>
      <c r="G11" t="s">
        <v>1564</v>
      </c>
      <c r="H11" s="1090"/>
    </row>
    <row r="12" spans="2:15" ht="48" thickBot="1">
      <c r="B12" s="1084" t="s">
        <v>1790</v>
      </c>
      <c r="C12" s="1084" t="s">
        <v>1791</v>
      </c>
      <c r="D12" s="1084" t="s">
        <v>1792</v>
      </c>
      <c r="E12" s="1084" t="s">
        <v>1793</v>
      </c>
      <c r="F12" s="1084" t="s">
        <v>1794</v>
      </c>
      <c r="G12" s="1084" t="s">
        <v>1795</v>
      </c>
      <c r="H12" s="1084" t="s">
        <v>1796</v>
      </c>
      <c r="I12" s="1084" t="s">
        <v>1794</v>
      </c>
      <c r="J12" s="1084" t="s">
        <v>1797</v>
      </c>
      <c r="K12" s="1084" t="s">
        <v>1798</v>
      </c>
      <c r="L12" s="1084" t="s">
        <v>1794</v>
      </c>
      <c r="M12" s="1084" t="s">
        <v>1799</v>
      </c>
      <c r="N12" s="1084" t="s">
        <v>1800</v>
      </c>
      <c r="O12" s="1084" t="s">
        <v>1794</v>
      </c>
    </row>
    <row r="13" spans="2:15" ht="15.75" thickBot="1">
      <c r="B13" s="1084"/>
      <c r="C13" s="1085"/>
      <c r="D13" s="1091"/>
      <c r="E13" s="1091"/>
      <c r="F13" s="1092"/>
      <c r="G13" s="1091"/>
      <c r="H13" s="1091"/>
      <c r="I13" s="1092"/>
      <c r="J13" s="1091"/>
      <c r="K13" s="1091"/>
      <c r="L13" s="1092"/>
      <c r="M13" s="1091"/>
      <c r="N13" s="1091"/>
      <c r="O13" s="1092"/>
    </row>
    <row r="14" spans="2:15" ht="15.75" hidden="1" outlineLevel="1" thickBot="1">
      <c r="B14" s="1084"/>
      <c r="C14" s="1085"/>
      <c r="D14" s="1091"/>
      <c r="E14" s="1091"/>
      <c r="F14" s="1092"/>
      <c r="G14" s="1091"/>
      <c r="H14" s="1091"/>
      <c r="I14" s="1092"/>
      <c r="J14" s="1091"/>
      <c r="K14" s="1091"/>
      <c r="L14" s="1092"/>
      <c r="M14" s="1091"/>
      <c r="N14" s="1091"/>
      <c r="O14" s="1092"/>
    </row>
    <row r="15" spans="2:15" ht="15.75" hidden="1" outlineLevel="1" thickBot="1">
      <c r="B15" s="1084"/>
      <c r="C15" s="1085"/>
      <c r="D15" s="1091"/>
      <c r="E15" s="1091"/>
      <c r="F15" s="1092"/>
      <c r="G15" s="1091"/>
      <c r="H15" s="1091"/>
      <c r="I15" s="1092"/>
      <c r="J15" s="1091"/>
      <c r="K15" s="1091"/>
      <c r="L15" s="1092"/>
      <c r="M15" s="1091"/>
      <c r="N15" s="1091"/>
      <c r="O15" s="1092"/>
    </row>
    <row r="16" spans="2:15" ht="15.75" hidden="1" outlineLevel="1" thickBot="1">
      <c r="B16" s="1084"/>
      <c r="C16" s="1085"/>
      <c r="D16" s="1091"/>
      <c r="E16" s="1091"/>
      <c r="F16" s="1092"/>
      <c r="G16" s="1091"/>
      <c r="H16" s="1091"/>
      <c r="I16" s="1092"/>
      <c r="J16" s="1091"/>
      <c r="K16" s="1091"/>
      <c r="L16" s="1092"/>
      <c r="M16" s="1091"/>
      <c r="N16" s="1091"/>
      <c r="O16" s="1092"/>
    </row>
    <row r="17" spans="2:20" ht="15.75" hidden="1" outlineLevel="1" thickBot="1">
      <c r="B17" s="1084"/>
      <c r="C17" s="1085"/>
      <c r="D17" s="1091"/>
      <c r="E17" s="1091"/>
      <c r="F17" s="1092"/>
      <c r="G17" s="1091"/>
      <c r="H17" s="1091"/>
      <c r="I17" s="1092"/>
      <c r="J17" s="1091"/>
      <c r="K17" s="1091"/>
      <c r="L17" s="1092"/>
      <c r="M17" s="1091"/>
      <c r="N17" s="1091"/>
      <c r="O17" s="1092"/>
    </row>
    <row r="18" spans="2:20" ht="15.75" hidden="1" outlineLevel="1" thickBot="1">
      <c r="B18" s="1084"/>
      <c r="C18" s="1085"/>
      <c r="D18" s="1091"/>
      <c r="E18" s="1091"/>
      <c r="F18" s="1092"/>
      <c r="G18" s="1091"/>
      <c r="H18" s="1091"/>
      <c r="I18" s="1092"/>
      <c r="J18" s="1091"/>
      <c r="K18" s="1091"/>
      <c r="L18" s="1092"/>
      <c r="M18" s="1091"/>
      <c r="N18" s="1091"/>
      <c r="O18" s="1092"/>
    </row>
    <row r="19" spans="2:20" ht="15.75" hidden="1" outlineLevel="1" thickBot="1">
      <c r="B19" s="1084"/>
      <c r="C19" s="1085"/>
      <c r="D19" s="1091"/>
      <c r="E19" s="1091"/>
      <c r="F19" s="1092"/>
      <c r="G19" s="1091"/>
      <c r="H19" s="1091"/>
      <c r="I19" s="1092"/>
      <c r="J19" s="1091"/>
      <c r="K19" s="1091"/>
      <c r="L19" s="1092"/>
      <c r="M19" s="1091"/>
      <c r="N19" s="1091"/>
      <c r="O19" s="1092"/>
    </row>
    <row r="20" spans="2:20" ht="15.75" hidden="1" outlineLevel="1" thickBot="1">
      <c r="B20" s="1084"/>
      <c r="C20" s="1085"/>
      <c r="D20" s="1091"/>
      <c r="E20" s="1091"/>
      <c r="F20" s="1092"/>
      <c r="G20" s="1091"/>
      <c r="H20" s="1091"/>
      <c r="I20" s="1092"/>
      <c r="J20" s="1091"/>
      <c r="K20" s="1091"/>
      <c r="L20" s="1092"/>
      <c r="M20" s="1091"/>
      <c r="N20" s="1091"/>
      <c r="O20" s="1092"/>
    </row>
    <row r="21" spans="2:20" ht="15.75" hidden="1" outlineLevel="1" thickBot="1">
      <c r="B21" s="1084"/>
      <c r="C21" s="1085"/>
      <c r="D21" s="1091"/>
      <c r="E21" s="1091"/>
      <c r="F21" s="1092"/>
      <c r="G21" s="1091"/>
      <c r="H21" s="1091"/>
      <c r="I21" s="1092"/>
      <c r="J21" s="1091"/>
      <c r="K21" s="1091"/>
      <c r="L21" s="1092"/>
      <c r="M21" s="1091"/>
      <c r="N21" s="1091"/>
      <c r="O21" s="1092"/>
    </row>
    <row r="22" spans="2:20" ht="15.75" hidden="1" outlineLevel="1" thickBot="1">
      <c r="B22" s="1084"/>
      <c r="C22" s="1085"/>
      <c r="D22" s="1091"/>
      <c r="E22" s="1091"/>
      <c r="F22" s="1092"/>
      <c r="G22" s="1091"/>
      <c r="H22" s="1091"/>
      <c r="I22" s="1092"/>
      <c r="J22" s="1091"/>
      <c r="K22" s="1091"/>
      <c r="L22" s="1092"/>
      <c r="M22" s="1091"/>
      <c r="N22" s="1091"/>
      <c r="O22" s="1092"/>
    </row>
    <row r="23" spans="2:20" ht="15.75" hidden="1" outlineLevel="1" thickBot="1">
      <c r="B23" s="1084"/>
      <c r="C23" s="1085"/>
      <c r="D23" s="1091"/>
      <c r="E23" s="1091"/>
      <c r="F23" s="1092"/>
      <c r="G23" s="1091"/>
      <c r="H23" s="1091"/>
      <c r="I23" s="1092"/>
      <c r="J23" s="1091"/>
      <c r="K23" s="1091"/>
      <c r="L23" s="1092"/>
      <c r="M23" s="1091"/>
      <c r="N23" s="1091"/>
      <c r="O23" s="1092"/>
    </row>
    <row r="24" spans="2:20" ht="15.75" hidden="1" outlineLevel="1" thickBot="1">
      <c r="B24" s="1084"/>
      <c r="C24" s="1085"/>
      <c r="D24" s="1091"/>
      <c r="E24" s="1091"/>
      <c r="F24" s="1092"/>
      <c r="G24" s="1091"/>
      <c r="H24" s="1091"/>
      <c r="I24" s="1092"/>
      <c r="J24" s="1091"/>
      <c r="K24" s="1091"/>
      <c r="L24" s="1092"/>
      <c r="M24" s="1091"/>
      <c r="N24" s="1091"/>
      <c r="O24" s="1092"/>
    </row>
    <row r="25" spans="2:20" ht="15.75" hidden="1" outlineLevel="1" thickBot="1">
      <c r="B25" s="1084"/>
      <c r="C25" s="1085"/>
      <c r="D25" s="1091"/>
      <c r="E25" s="1091"/>
      <c r="F25" s="1092"/>
      <c r="G25" s="1091"/>
      <c r="H25" s="1091"/>
      <c r="I25" s="1092"/>
      <c r="J25" s="1091"/>
      <c r="K25" s="1091"/>
      <c r="L25" s="1092"/>
      <c r="M25" s="1091"/>
      <c r="N25" s="1091"/>
      <c r="O25" s="1092"/>
    </row>
    <row r="26" spans="2:20" ht="15.75" hidden="1" outlineLevel="1" thickBot="1">
      <c r="B26" s="1084"/>
      <c r="C26" s="1085"/>
      <c r="D26" s="1091"/>
      <c r="E26" s="1091"/>
      <c r="F26" s="1092"/>
      <c r="G26" s="1091"/>
      <c r="H26" s="1091"/>
      <c r="I26" s="1092"/>
      <c r="J26" s="1091"/>
      <c r="K26" s="1091"/>
      <c r="L26" s="1092"/>
      <c r="M26" s="1091"/>
      <c r="N26" s="1091"/>
      <c r="O26" s="1092"/>
    </row>
    <row r="27" spans="2:20" ht="15.75" hidden="1" outlineLevel="1" thickBot="1">
      <c r="B27" s="1084"/>
      <c r="C27" s="1085"/>
      <c r="D27" s="1091"/>
      <c r="E27" s="1091"/>
      <c r="F27" s="1092"/>
      <c r="G27" s="1091"/>
      <c r="H27" s="1091"/>
      <c r="I27" s="1092"/>
      <c r="J27" s="1091"/>
      <c r="K27" s="1091"/>
      <c r="L27" s="1092"/>
      <c r="M27" s="1091"/>
      <c r="N27" s="1091"/>
      <c r="O27" s="1092"/>
    </row>
    <row r="28" spans="2:20" ht="15.75" hidden="1" outlineLevel="1" thickBot="1">
      <c r="B28" s="1084"/>
      <c r="C28" s="1085"/>
      <c r="D28" s="1091"/>
      <c r="E28" s="1091"/>
      <c r="F28" s="1092"/>
      <c r="G28" s="1091"/>
      <c r="H28" s="1091"/>
      <c r="I28" s="1092"/>
      <c r="J28" s="1091"/>
      <c r="K28" s="1091"/>
      <c r="L28" s="1092"/>
      <c r="M28" s="1091"/>
      <c r="N28" s="1091"/>
      <c r="O28" s="1092"/>
    </row>
    <row r="29" spans="2:20" ht="15.75" hidden="1" outlineLevel="1" thickBot="1">
      <c r="B29" s="1084"/>
      <c r="C29" s="1085"/>
      <c r="D29" s="1091"/>
      <c r="E29" s="1091"/>
      <c r="F29" s="1092"/>
      <c r="G29" s="1091"/>
      <c r="H29" s="1091"/>
      <c r="I29" s="1092"/>
      <c r="J29" s="1091"/>
      <c r="K29" s="1091"/>
      <c r="L29" s="1092"/>
      <c r="M29" s="1091"/>
      <c r="N29" s="1091"/>
      <c r="O29" s="1092"/>
    </row>
    <row r="30" spans="2:20" ht="15.75" hidden="1" outlineLevel="1" thickBot="1">
      <c r="B30" s="1084"/>
      <c r="C30" s="1085"/>
      <c r="D30" s="1091"/>
      <c r="E30" s="1091"/>
      <c r="F30" s="1092"/>
      <c r="G30" s="1091"/>
      <c r="H30" s="1091"/>
      <c r="I30" s="1092"/>
      <c r="J30" s="1091"/>
      <c r="K30" s="1091"/>
      <c r="L30" s="1092"/>
      <c r="M30" s="1091"/>
      <c r="N30" s="1091"/>
      <c r="O30" s="1092"/>
    </row>
    <row r="31" spans="2:20" ht="30" collapsed="1">
      <c r="B31" s="1087" t="s">
        <v>1801</v>
      </c>
    </row>
    <row r="32" spans="2:20" ht="30.6" customHeight="1">
      <c r="B32" s="1088"/>
      <c r="C32" t="s">
        <v>1802</v>
      </c>
      <c r="D32" s="1093"/>
      <c r="F32" s="1093"/>
      <c r="P32" s="1" t="s">
        <v>1803</v>
      </c>
      <c r="Q32" s="1"/>
      <c r="R32" s="1"/>
      <c r="S32" s="1"/>
      <c r="T32" s="1"/>
    </row>
    <row r="33" spans="2:10" ht="30.6" customHeight="1">
      <c r="B33" s="1087" t="s">
        <v>1804</v>
      </c>
      <c r="D33" s="1093"/>
      <c r="F33" s="1093"/>
      <c r="G33" s="1082"/>
    </row>
    <row r="34" spans="2:10" ht="30.6" customHeight="1">
      <c r="B34" s="1088"/>
      <c r="C34" t="s">
        <v>1805</v>
      </c>
      <c r="D34" s="1093"/>
      <c r="F34" s="1093"/>
      <c r="G34" s="1082"/>
    </row>
    <row r="35" spans="2:10" ht="30.6" customHeight="1" thickBot="1">
      <c r="B35" s="1087" t="s">
        <v>1806</v>
      </c>
      <c r="D35" s="1093"/>
      <c r="F35" s="1093"/>
      <c r="G35" s="1082"/>
    </row>
    <row r="36" spans="2:10" ht="30.6" customHeight="1" thickBot="1">
      <c r="B36" s="1088"/>
      <c r="C36" t="s">
        <v>1807</v>
      </c>
      <c r="D36" s="1093"/>
      <c r="F36" s="1093"/>
      <c r="G36" s="1082"/>
      <c r="H36" s="1094"/>
      <c r="I36" t="s">
        <v>1808</v>
      </c>
    </row>
    <row r="37" spans="2:10" ht="45" customHeight="1">
      <c r="B37" s="1087" t="s">
        <v>1809</v>
      </c>
      <c r="D37" s="1093"/>
      <c r="F37" s="1093"/>
      <c r="G37" s="1082"/>
    </row>
    <row r="38" spans="2:10" ht="30.6" customHeight="1">
      <c r="B38" s="1088"/>
      <c r="C38" t="s">
        <v>1810</v>
      </c>
      <c r="D38" s="1093"/>
      <c r="F38" s="1093"/>
      <c r="G38" s="1082"/>
    </row>
    <row r="39" spans="2:10" ht="45" customHeight="1" thickBot="1">
      <c r="B39" s="1087" t="s">
        <v>1811</v>
      </c>
      <c r="D39" s="1093"/>
      <c r="F39" s="1093"/>
      <c r="G39" s="1082"/>
    </row>
    <row r="40" spans="2:10" ht="30.6" customHeight="1" thickBot="1">
      <c r="B40" s="1088"/>
      <c r="C40" t="s">
        <v>1812</v>
      </c>
      <c r="D40" s="1093"/>
      <c r="F40" s="1093"/>
      <c r="G40" s="1082"/>
      <c r="J40" s="1094"/>
    </row>
    <row r="41" spans="2:10">
      <c r="B41" s="1087" t="s">
        <v>1813</v>
      </c>
      <c r="C41" s="1085"/>
    </row>
    <row r="42" spans="2:10" ht="30" customHeight="1" thickBot="1">
      <c r="B42" s="1084" t="s">
        <v>1814</v>
      </c>
      <c r="C42" s="1085"/>
    </row>
    <row r="43" spans="2:10">
      <c r="B43" s="1087" t="s">
        <v>1815</v>
      </c>
    </row>
    <row r="44" spans="2:10">
      <c r="B44" s="1087" t="s">
        <v>1816</v>
      </c>
      <c r="C44" s="1085"/>
    </row>
    <row r="45" spans="2:10" ht="15.75" thickBot="1">
      <c r="B45" s="1084" t="s">
        <v>1817</v>
      </c>
      <c r="C45" s="1085"/>
    </row>
    <row r="46" spans="2:10" ht="15.75" thickBot="1">
      <c r="B46" s="1084" t="s">
        <v>1818</v>
      </c>
      <c r="C46" s="1085"/>
    </row>
    <row r="47" spans="2:10" ht="27" customHeight="1" thickBot="1">
      <c r="B47" s="1095" t="s">
        <v>1819</v>
      </c>
      <c r="C47" s="1085"/>
    </row>
  </sheetData>
  <dataValidations count="1">
    <dataValidation type="list" allowBlank="1" showInputMessage="1" showErrorMessage="1" sqref="C13:C30" xr:uid="{00000000-0002-0000-0A00-000000000000}">
      <formula1>"Secured, Supplemental, Personal Property, PILOT"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Check Box 1">
              <controlPr defaultSize="0" autoFill="0" autoLine="0" autoPict="0">
                <anchor moveWithCells="1">
                  <from>
                    <xdr:col>2</xdr:col>
                    <xdr:colOff>180975</xdr:colOff>
                    <xdr:row>8</xdr:row>
                    <xdr:rowOff>28575</xdr:rowOff>
                  </from>
                  <to>
                    <xdr:col>2</xdr:col>
                    <xdr:colOff>1133475</xdr:colOff>
                    <xdr:row>9</xdr:row>
                    <xdr:rowOff>0</xdr:rowOff>
                  </to>
                </anchor>
              </controlPr>
            </control>
          </mc:Choice>
        </mc:AlternateContent>
        <mc:AlternateContent xmlns:mc="http://schemas.openxmlformats.org/markup-compatibility/2006">
          <mc:Choice Requires="x14">
            <control shapeId="64514" r:id="rId5" name="Check Box 2">
              <controlPr defaultSize="0" autoFill="0" autoLine="0" autoPict="0">
                <anchor moveWithCells="1">
                  <from>
                    <xdr:col>3</xdr:col>
                    <xdr:colOff>104775</xdr:colOff>
                    <xdr:row>8</xdr:row>
                    <xdr:rowOff>0</xdr:rowOff>
                  </from>
                  <to>
                    <xdr:col>3</xdr:col>
                    <xdr:colOff>828675</xdr:colOff>
                    <xdr:row>8</xdr:row>
                    <xdr:rowOff>295275</xdr:rowOff>
                  </to>
                </anchor>
              </controlPr>
            </control>
          </mc:Choice>
        </mc:AlternateContent>
        <mc:AlternateContent xmlns:mc="http://schemas.openxmlformats.org/markup-compatibility/2006">
          <mc:Choice Requires="x14">
            <control shapeId="64515" r:id="rId6" name="Check Box 3">
              <controlPr defaultSize="0" autoFill="0" autoLine="0" autoPict="0">
                <anchor moveWithCells="1">
                  <from>
                    <xdr:col>4</xdr:col>
                    <xdr:colOff>142875</xdr:colOff>
                    <xdr:row>7</xdr:row>
                    <xdr:rowOff>180975</xdr:rowOff>
                  </from>
                  <to>
                    <xdr:col>4</xdr:col>
                    <xdr:colOff>914400</xdr:colOff>
                    <xdr:row>8</xdr:row>
                    <xdr:rowOff>295275</xdr:rowOff>
                  </to>
                </anchor>
              </controlPr>
            </control>
          </mc:Choice>
        </mc:AlternateContent>
        <mc:AlternateContent xmlns:mc="http://schemas.openxmlformats.org/markup-compatibility/2006">
          <mc:Choice Requires="x14">
            <control shapeId="64516" r:id="rId7" name="Check Box 4">
              <controlPr defaultSize="0" autoFill="0" autoLine="0" autoPict="0">
                <anchor moveWithCells="1">
                  <from>
                    <xdr:col>5</xdr:col>
                    <xdr:colOff>142875</xdr:colOff>
                    <xdr:row>7</xdr:row>
                    <xdr:rowOff>142875</xdr:rowOff>
                  </from>
                  <to>
                    <xdr:col>6</xdr:col>
                    <xdr:colOff>28575</xdr:colOff>
                    <xdr:row>8</xdr:row>
                    <xdr:rowOff>295275</xdr:rowOff>
                  </to>
                </anchor>
              </controlPr>
            </control>
          </mc:Choice>
        </mc:AlternateContent>
        <mc:AlternateContent xmlns:mc="http://schemas.openxmlformats.org/markup-compatibility/2006">
          <mc:Choice Requires="x14">
            <control shapeId="64517" r:id="rId8" name="Check Box 5">
              <controlPr defaultSize="0" autoFill="0" autoLine="0" autoPict="0">
                <anchor moveWithCells="1">
                  <from>
                    <xdr:col>1</xdr:col>
                    <xdr:colOff>104775</xdr:colOff>
                    <xdr:row>9</xdr:row>
                    <xdr:rowOff>295275</xdr:rowOff>
                  </from>
                  <to>
                    <xdr:col>1</xdr:col>
                    <xdr:colOff>533400</xdr:colOff>
                    <xdr:row>10</xdr:row>
                    <xdr:rowOff>371475</xdr:rowOff>
                  </to>
                </anchor>
              </controlPr>
            </control>
          </mc:Choice>
        </mc:AlternateContent>
        <mc:AlternateContent xmlns:mc="http://schemas.openxmlformats.org/markup-compatibility/2006">
          <mc:Choice Requires="x14">
            <control shapeId="64518" r:id="rId9" name="Check Box 6">
              <controlPr defaultSize="0" autoFill="0" autoLine="0" autoPict="0">
                <anchor moveWithCells="1">
                  <from>
                    <xdr:col>1</xdr:col>
                    <xdr:colOff>638175</xdr:colOff>
                    <xdr:row>9</xdr:row>
                    <xdr:rowOff>333375</xdr:rowOff>
                  </from>
                  <to>
                    <xdr:col>1</xdr:col>
                    <xdr:colOff>1285875</xdr:colOff>
                    <xdr:row>10</xdr:row>
                    <xdr:rowOff>371475</xdr:rowOff>
                  </to>
                </anchor>
              </controlPr>
            </control>
          </mc:Choice>
        </mc:AlternateContent>
        <mc:AlternateContent xmlns:mc="http://schemas.openxmlformats.org/markup-compatibility/2006">
          <mc:Choice Requires="x14">
            <control shapeId="64519" r:id="rId10" name="Check Box 7">
              <controlPr defaultSize="0" autoFill="0" autoLine="0" autoPict="0">
                <anchor moveWithCells="1">
                  <from>
                    <xdr:col>1</xdr:col>
                    <xdr:colOff>38100</xdr:colOff>
                    <xdr:row>30</xdr:row>
                    <xdr:rowOff>333375</xdr:rowOff>
                  </from>
                  <to>
                    <xdr:col>1</xdr:col>
                    <xdr:colOff>790575</xdr:colOff>
                    <xdr:row>32</xdr:row>
                    <xdr:rowOff>104775</xdr:rowOff>
                  </to>
                </anchor>
              </controlPr>
            </control>
          </mc:Choice>
        </mc:AlternateContent>
        <mc:AlternateContent xmlns:mc="http://schemas.openxmlformats.org/markup-compatibility/2006">
          <mc:Choice Requires="x14">
            <control shapeId="64520" r:id="rId11" name="Check Box 8">
              <controlPr defaultSize="0" autoFill="0" autoLine="0" autoPict="0">
                <anchor moveWithCells="1">
                  <from>
                    <xdr:col>1</xdr:col>
                    <xdr:colOff>638175</xdr:colOff>
                    <xdr:row>30</xdr:row>
                    <xdr:rowOff>333375</xdr:rowOff>
                  </from>
                  <to>
                    <xdr:col>1</xdr:col>
                    <xdr:colOff>1447800</xdr:colOff>
                    <xdr:row>32</xdr:row>
                    <xdr:rowOff>76200</xdr:rowOff>
                  </to>
                </anchor>
              </controlPr>
            </control>
          </mc:Choice>
        </mc:AlternateContent>
        <mc:AlternateContent xmlns:mc="http://schemas.openxmlformats.org/markup-compatibility/2006">
          <mc:Choice Requires="x14">
            <control shapeId="64521" r:id="rId12" name="Check Box 9">
              <controlPr defaultSize="0" autoFill="0" autoLine="0" autoPict="0">
                <anchor moveWithCells="1">
                  <from>
                    <xdr:col>2</xdr:col>
                    <xdr:colOff>38100</xdr:colOff>
                    <xdr:row>40</xdr:row>
                    <xdr:rowOff>180975</xdr:rowOff>
                  </from>
                  <to>
                    <xdr:col>2</xdr:col>
                    <xdr:colOff>790575</xdr:colOff>
                    <xdr:row>42</xdr:row>
                    <xdr:rowOff>104775</xdr:rowOff>
                  </to>
                </anchor>
              </controlPr>
            </control>
          </mc:Choice>
        </mc:AlternateContent>
        <mc:AlternateContent xmlns:mc="http://schemas.openxmlformats.org/markup-compatibility/2006">
          <mc:Choice Requires="x14">
            <control shapeId="64522" r:id="rId13" name="Check Box 10">
              <controlPr defaultSize="0" autoFill="0" autoLine="0" autoPict="0">
                <anchor moveWithCells="1">
                  <from>
                    <xdr:col>2</xdr:col>
                    <xdr:colOff>638175</xdr:colOff>
                    <xdr:row>40</xdr:row>
                    <xdr:rowOff>180975</xdr:rowOff>
                  </from>
                  <to>
                    <xdr:col>2</xdr:col>
                    <xdr:colOff>1447800</xdr:colOff>
                    <xdr:row>42</xdr:row>
                    <xdr:rowOff>76200</xdr:rowOff>
                  </to>
                </anchor>
              </controlPr>
            </control>
          </mc:Choice>
        </mc:AlternateContent>
        <mc:AlternateContent xmlns:mc="http://schemas.openxmlformats.org/markup-compatibility/2006">
          <mc:Choice Requires="x14">
            <control shapeId="64523" r:id="rId14" name="Check Box 11">
              <controlPr defaultSize="0" autoFill="0" autoLine="0" autoPict="0">
                <anchor moveWithCells="1">
                  <from>
                    <xdr:col>1</xdr:col>
                    <xdr:colOff>38100</xdr:colOff>
                    <xdr:row>37</xdr:row>
                    <xdr:rowOff>28575</xdr:rowOff>
                  </from>
                  <to>
                    <xdr:col>1</xdr:col>
                    <xdr:colOff>638175</xdr:colOff>
                    <xdr:row>38</xdr:row>
                    <xdr:rowOff>104775</xdr:rowOff>
                  </to>
                </anchor>
              </controlPr>
            </control>
          </mc:Choice>
        </mc:AlternateContent>
        <mc:AlternateContent xmlns:mc="http://schemas.openxmlformats.org/markup-compatibility/2006">
          <mc:Choice Requires="x14">
            <control shapeId="64524" r:id="rId15" name="Check Box 12">
              <controlPr defaultSize="0" autoFill="0" autoLine="0" autoPict="0">
                <anchor moveWithCells="1">
                  <from>
                    <xdr:col>1</xdr:col>
                    <xdr:colOff>600075</xdr:colOff>
                    <xdr:row>37</xdr:row>
                    <xdr:rowOff>0</xdr:rowOff>
                  </from>
                  <to>
                    <xdr:col>1</xdr:col>
                    <xdr:colOff>1438275</xdr:colOff>
                    <xdr:row>38</xdr:row>
                    <xdr:rowOff>114300</xdr:rowOff>
                  </to>
                </anchor>
              </controlPr>
            </control>
          </mc:Choice>
        </mc:AlternateContent>
        <mc:AlternateContent xmlns:mc="http://schemas.openxmlformats.org/markup-compatibility/2006">
          <mc:Choice Requires="x14">
            <control shapeId="64525" r:id="rId16" name="Check Box 13">
              <controlPr defaultSize="0" autoFill="0" autoLine="0" autoPict="0">
                <anchor moveWithCells="1">
                  <from>
                    <xdr:col>1</xdr:col>
                    <xdr:colOff>38100</xdr:colOff>
                    <xdr:row>38</xdr:row>
                    <xdr:rowOff>561975</xdr:rowOff>
                  </from>
                  <to>
                    <xdr:col>1</xdr:col>
                    <xdr:colOff>790575</xdr:colOff>
                    <xdr:row>40</xdr:row>
                    <xdr:rowOff>104775</xdr:rowOff>
                  </to>
                </anchor>
              </controlPr>
            </control>
          </mc:Choice>
        </mc:AlternateContent>
        <mc:AlternateContent xmlns:mc="http://schemas.openxmlformats.org/markup-compatibility/2006">
          <mc:Choice Requires="x14">
            <control shapeId="64526" r:id="rId17" name="Check Box 14">
              <controlPr defaultSize="0" autoFill="0" autoLine="0" autoPict="0">
                <anchor moveWithCells="1">
                  <from>
                    <xdr:col>1</xdr:col>
                    <xdr:colOff>600075</xdr:colOff>
                    <xdr:row>39</xdr:row>
                    <xdr:rowOff>28575</xdr:rowOff>
                  </from>
                  <to>
                    <xdr:col>1</xdr:col>
                    <xdr:colOff>1438275</xdr:colOff>
                    <xdr:row>40</xdr:row>
                    <xdr:rowOff>38100</xdr:rowOff>
                  </to>
                </anchor>
              </controlPr>
            </control>
          </mc:Choice>
        </mc:AlternateContent>
        <mc:AlternateContent xmlns:mc="http://schemas.openxmlformats.org/markup-compatibility/2006">
          <mc:Choice Requires="x14">
            <control shapeId="64527" r:id="rId18" name="Check Box 15">
              <controlPr defaultSize="0" autoFill="0" autoLine="0" autoPict="0">
                <anchor moveWithCells="1">
                  <from>
                    <xdr:col>9</xdr:col>
                    <xdr:colOff>38100</xdr:colOff>
                    <xdr:row>38</xdr:row>
                    <xdr:rowOff>561975</xdr:rowOff>
                  </from>
                  <to>
                    <xdr:col>9</xdr:col>
                    <xdr:colOff>790575</xdr:colOff>
                    <xdr:row>40</xdr:row>
                    <xdr:rowOff>104775</xdr:rowOff>
                  </to>
                </anchor>
              </controlPr>
            </control>
          </mc:Choice>
        </mc:AlternateContent>
        <mc:AlternateContent xmlns:mc="http://schemas.openxmlformats.org/markup-compatibility/2006">
          <mc:Choice Requires="x14">
            <control shapeId="64528" r:id="rId19" name="Check Box 16">
              <controlPr defaultSize="0" autoFill="0" autoLine="0" autoPict="0">
                <anchor moveWithCells="1">
                  <from>
                    <xdr:col>9</xdr:col>
                    <xdr:colOff>638175</xdr:colOff>
                    <xdr:row>38</xdr:row>
                    <xdr:rowOff>561975</xdr:rowOff>
                  </from>
                  <to>
                    <xdr:col>10</xdr:col>
                    <xdr:colOff>333375</xdr:colOff>
                    <xdr:row>40</xdr:row>
                    <xdr:rowOff>76200</xdr:rowOff>
                  </to>
                </anchor>
              </controlPr>
            </control>
          </mc:Choice>
        </mc:AlternateContent>
        <mc:AlternateContent xmlns:mc="http://schemas.openxmlformats.org/markup-compatibility/2006">
          <mc:Choice Requires="x14">
            <control shapeId="64529" r:id="rId20" name="Check Box 17">
              <controlPr defaultSize="0" autoFill="0" autoLine="0" autoPict="0">
                <anchor moveWithCells="1">
                  <from>
                    <xdr:col>1</xdr:col>
                    <xdr:colOff>66675</xdr:colOff>
                    <xdr:row>32</xdr:row>
                    <xdr:rowOff>342900</xdr:rowOff>
                  </from>
                  <to>
                    <xdr:col>1</xdr:col>
                    <xdr:colOff>800100</xdr:colOff>
                    <xdr:row>34</xdr:row>
                    <xdr:rowOff>76200</xdr:rowOff>
                  </to>
                </anchor>
              </controlPr>
            </control>
          </mc:Choice>
        </mc:AlternateContent>
        <mc:AlternateContent xmlns:mc="http://schemas.openxmlformats.org/markup-compatibility/2006">
          <mc:Choice Requires="x14">
            <control shapeId="64530" r:id="rId21" name="Check Box 18">
              <controlPr defaultSize="0" autoFill="0" autoLine="0" autoPict="0">
                <anchor moveWithCells="1">
                  <from>
                    <xdr:col>1</xdr:col>
                    <xdr:colOff>752475</xdr:colOff>
                    <xdr:row>32</xdr:row>
                    <xdr:rowOff>371475</xdr:rowOff>
                  </from>
                  <to>
                    <xdr:col>2</xdr:col>
                    <xdr:colOff>28575</xdr:colOff>
                    <xdr:row>34</xdr:row>
                    <xdr:rowOff>76200</xdr:rowOff>
                  </to>
                </anchor>
              </controlPr>
            </control>
          </mc:Choice>
        </mc:AlternateContent>
        <mc:AlternateContent xmlns:mc="http://schemas.openxmlformats.org/markup-compatibility/2006">
          <mc:Choice Requires="x14">
            <control shapeId="64531" r:id="rId22" name="Check Box 19">
              <controlPr defaultSize="0" autoFill="0" autoLine="0" autoPict="0">
                <anchor moveWithCells="1">
                  <from>
                    <xdr:col>1</xdr:col>
                    <xdr:colOff>38100</xdr:colOff>
                    <xdr:row>34</xdr:row>
                    <xdr:rowOff>371475</xdr:rowOff>
                  </from>
                  <to>
                    <xdr:col>1</xdr:col>
                    <xdr:colOff>790575</xdr:colOff>
                    <xdr:row>36</xdr:row>
                    <xdr:rowOff>0</xdr:rowOff>
                  </to>
                </anchor>
              </controlPr>
            </control>
          </mc:Choice>
        </mc:AlternateContent>
        <mc:AlternateContent xmlns:mc="http://schemas.openxmlformats.org/markup-compatibility/2006">
          <mc:Choice Requires="x14">
            <control shapeId="64532" r:id="rId23" name="Check Box 20">
              <controlPr defaultSize="0" autoFill="0" autoLine="0" autoPict="0">
                <anchor moveWithCells="1">
                  <from>
                    <xdr:col>1</xdr:col>
                    <xdr:colOff>638175</xdr:colOff>
                    <xdr:row>34</xdr:row>
                    <xdr:rowOff>295275</xdr:rowOff>
                  </from>
                  <to>
                    <xdr:col>1</xdr:col>
                    <xdr:colOff>1447800</xdr:colOff>
                    <xdr:row>36</xdr:row>
                    <xdr:rowOff>76200</xdr:rowOff>
                  </to>
                </anchor>
              </controlPr>
            </control>
          </mc:Choice>
        </mc:AlternateContent>
        <mc:AlternateContent xmlns:mc="http://schemas.openxmlformats.org/markup-compatibility/2006">
          <mc:Choice Requires="x14">
            <control shapeId="64533" r:id="rId24" name="Check Box 21">
              <controlPr defaultSize="0" autoFill="0" autoLine="0" autoPict="0">
                <anchor moveWithCells="1">
                  <from>
                    <xdr:col>7</xdr:col>
                    <xdr:colOff>38100</xdr:colOff>
                    <xdr:row>34</xdr:row>
                    <xdr:rowOff>371475</xdr:rowOff>
                  </from>
                  <to>
                    <xdr:col>7</xdr:col>
                    <xdr:colOff>600075</xdr:colOff>
                    <xdr:row>36</xdr:row>
                    <xdr:rowOff>104775</xdr:rowOff>
                  </to>
                </anchor>
              </controlPr>
            </control>
          </mc:Choice>
        </mc:AlternateContent>
        <mc:AlternateContent xmlns:mc="http://schemas.openxmlformats.org/markup-compatibility/2006">
          <mc:Choice Requires="x14">
            <control shapeId="64534" r:id="rId25" name="Check Box 22">
              <controlPr defaultSize="0" autoFill="0" autoLine="0" autoPict="0">
                <anchor moveWithCells="1">
                  <from>
                    <xdr:col>7</xdr:col>
                    <xdr:colOff>638175</xdr:colOff>
                    <xdr:row>34</xdr:row>
                    <xdr:rowOff>371475</xdr:rowOff>
                  </from>
                  <to>
                    <xdr:col>8</xdr:col>
                    <xdr:colOff>0</xdr:colOff>
                    <xdr:row>36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C000"/>
    <pageSetUpPr fitToPage="1"/>
  </sheetPr>
  <dimension ref="A1:Z150"/>
  <sheetViews>
    <sheetView workbookViewId="0">
      <selection activeCell="A7" sqref="A7"/>
    </sheetView>
  </sheetViews>
  <sheetFormatPr defaultColWidth="9.42578125" defaultRowHeight="12.75" outlineLevelRow="1" outlineLevelCol="1"/>
  <cols>
    <col min="1" max="1" width="30.42578125" style="3" customWidth="1"/>
    <col min="2" max="2" width="19.5703125" style="3" customWidth="1"/>
    <col min="3" max="3" width="20" style="3" customWidth="1"/>
    <col min="4" max="4" width="12.5703125" style="3" customWidth="1"/>
    <col min="5" max="5" width="22.5703125" style="3" customWidth="1"/>
    <col min="6" max="6" width="18" style="3" customWidth="1"/>
    <col min="7" max="7" width="17.42578125" style="3" customWidth="1"/>
    <col min="8" max="8" width="16" style="3" customWidth="1"/>
    <col min="9" max="9" width="24.42578125" style="3" customWidth="1"/>
    <col min="10" max="10" width="16" style="3" customWidth="1"/>
    <col min="11" max="11" width="16.5703125" style="3" customWidth="1"/>
    <col min="12" max="16" width="17.42578125" style="3" customWidth="1"/>
    <col min="17" max="19" width="17.42578125" style="3" customWidth="1" outlineLevel="1"/>
    <col min="20" max="20" width="3.42578125" style="3" customWidth="1"/>
    <col min="21" max="23" width="17.42578125" style="3" customWidth="1" outlineLevel="1"/>
    <col min="24" max="24" width="17.42578125" style="2" customWidth="1"/>
    <col min="25" max="16384" width="9.42578125" style="3"/>
  </cols>
  <sheetData>
    <row r="1" spans="1:24">
      <c r="A1" s="396" t="s">
        <v>1820</v>
      </c>
    </row>
    <row r="2" spans="1:24" ht="13.5" thickBot="1"/>
    <row r="3" spans="1:24" s="28" customFormat="1">
      <c r="A3" s="223" t="s">
        <v>1821</v>
      </c>
      <c r="B3" s="1880"/>
      <c r="C3" s="243"/>
      <c r="D3" s="243"/>
      <c r="E3" s="243"/>
      <c r="F3" s="243"/>
      <c r="G3" s="2654" t="s">
        <v>1822</v>
      </c>
      <c r="H3" s="2655"/>
      <c r="I3" s="2655"/>
      <c r="J3" s="2656"/>
      <c r="K3" s="2652" t="s">
        <v>1823</v>
      </c>
      <c r="L3" s="2652"/>
      <c r="M3" s="2652"/>
      <c r="N3" s="2652"/>
      <c r="O3" s="2652"/>
      <c r="P3" s="2652"/>
      <c r="Q3" s="2652"/>
      <c r="R3" s="2652"/>
      <c r="S3" s="2652"/>
      <c r="T3" s="2652"/>
      <c r="U3" s="2652"/>
      <c r="V3" s="2652"/>
      <c r="W3" s="2652"/>
      <c r="X3" s="2653"/>
    </row>
    <row r="4" spans="1:24" s="2" customFormat="1">
      <c r="A4" s="1516"/>
      <c r="B4" s="1881"/>
      <c r="C4" s="1517"/>
      <c r="D4" s="1517"/>
      <c r="E4" s="1517"/>
      <c r="F4" s="1518"/>
      <c r="G4" s="1519"/>
      <c r="H4" s="57"/>
      <c r="I4" s="57"/>
      <c r="J4" s="1520"/>
      <c r="K4" s="1521"/>
      <c r="L4" s="1522" t="s">
        <v>1824</v>
      </c>
      <c r="M4" s="1804">
        <v>1</v>
      </c>
      <c r="N4" s="1523"/>
      <c r="O4" s="1522" t="s">
        <v>1824</v>
      </c>
      <c r="P4" s="1804">
        <v>2</v>
      </c>
      <c r="Q4" s="1523"/>
      <c r="R4" s="1522" t="s">
        <v>1824</v>
      </c>
      <c r="S4" s="1806">
        <v>3</v>
      </c>
      <c r="T4" s="1808"/>
      <c r="U4" s="1523"/>
      <c r="V4" s="1522" t="s">
        <v>1824</v>
      </c>
      <c r="W4" s="1806">
        <v>4</v>
      </c>
      <c r="X4" s="1920" t="s">
        <v>1825</v>
      </c>
    </row>
    <row r="5" spans="1:24" s="2" customFormat="1">
      <c r="A5" s="1516"/>
      <c r="B5" s="1881"/>
      <c r="C5" s="1517"/>
      <c r="D5" s="1517"/>
      <c r="E5" s="1517"/>
      <c r="F5" s="1518"/>
      <c r="G5" s="1519"/>
      <c r="H5" s="57"/>
      <c r="I5" s="57"/>
      <c r="J5" s="1520"/>
      <c r="K5" s="1524"/>
      <c r="L5" s="1512" t="s">
        <v>1826</v>
      </c>
      <c r="M5" s="1805"/>
      <c r="N5" s="1511"/>
      <c r="O5" s="1512" t="s">
        <v>1826</v>
      </c>
      <c r="P5" s="1805"/>
      <c r="Q5" s="1511"/>
      <c r="R5" s="1512" t="s">
        <v>1826</v>
      </c>
      <c r="S5" s="1807"/>
      <c r="T5" s="1809"/>
      <c r="U5" s="1511"/>
      <c r="V5" s="1513" t="s">
        <v>1826</v>
      </c>
      <c r="W5" s="1810"/>
      <c r="X5" s="1520"/>
    </row>
    <row r="6" spans="1:24" s="217" customFormat="1">
      <c r="A6" s="210" t="s">
        <v>1827</v>
      </c>
      <c r="B6" s="246" t="s">
        <v>47</v>
      </c>
      <c r="C6" s="211" t="s">
        <v>1828</v>
      </c>
      <c r="D6" s="211" t="s">
        <v>48</v>
      </c>
      <c r="E6" s="211" t="s">
        <v>1829</v>
      </c>
      <c r="F6" s="215" t="s">
        <v>1830</v>
      </c>
      <c r="G6" s="244" t="s">
        <v>1831</v>
      </c>
      <c r="H6" s="213" t="s">
        <v>1832</v>
      </c>
      <c r="I6" s="213" t="s">
        <v>1833</v>
      </c>
      <c r="J6" s="245" t="s">
        <v>226</v>
      </c>
      <c r="K6" s="246" t="s">
        <v>1833</v>
      </c>
      <c r="L6" s="211" t="s">
        <v>1834</v>
      </c>
      <c r="M6" s="247" t="s">
        <v>226</v>
      </c>
      <c r="N6" s="214" t="s">
        <v>1833</v>
      </c>
      <c r="O6" s="211" t="s">
        <v>1834</v>
      </c>
      <c r="P6" s="247" t="s">
        <v>226</v>
      </c>
      <c r="Q6" s="214" t="s">
        <v>1833</v>
      </c>
      <c r="R6" s="211" t="s">
        <v>1834</v>
      </c>
      <c r="S6" s="212" t="s">
        <v>226</v>
      </c>
      <c r="T6" s="248"/>
      <c r="U6" s="214" t="s">
        <v>1833</v>
      </c>
      <c r="V6" s="211" t="s">
        <v>1834</v>
      </c>
      <c r="W6" s="247" t="s">
        <v>226</v>
      </c>
      <c r="X6" s="245"/>
    </row>
    <row r="7" spans="1:24">
      <c r="A7" s="1792"/>
      <c r="B7" s="1882"/>
      <c r="C7" s="1793"/>
      <c r="D7" s="1794"/>
      <c r="E7" s="1794"/>
      <c r="F7" s="1795"/>
      <c r="G7" s="1913"/>
      <c r="H7" s="1830"/>
      <c r="I7" s="1914"/>
      <c r="J7" s="1915"/>
      <c r="K7" s="1798"/>
      <c r="L7" s="219" t="str">
        <f>IFERROR(DATE(YEAR(K7),MONTH(K7)-1,DAY(1)),"")</f>
        <v/>
      </c>
      <c r="M7" s="1811"/>
      <c r="N7" s="1813"/>
      <c r="O7" s="219" t="str">
        <f>IFERROR(DATE(YEAR(N7),MONTH(N7)-1,DAY(1)),"")</f>
        <v/>
      </c>
      <c r="P7" s="1811"/>
      <c r="Q7" s="1813"/>
      <c r="R7" s="219" t="str">
        <f>IFERROR(DATE(YEAR(Q7),MONTH(Q7)-1,DAY(1)),"")</f>
        <v/>
      </c>
      <c r="S7" s="1815"/>
      <c r="T7" s="1816"/>
      <c r="U7" s="1813"/>
      <c r="V7" s="219" t="str">
        <f>IFERROR(DATE(YEAR(U7),MONTH(U7)-1,DAY(1)),"")</f>
        <v/>
      </c>
      <c r="W7" s="1811"/>
      <c r="X7" s="68">
        <f>+M7+P7+S7+W7</f>
        <v>0</v>
      </c>
    </row>
    <row r="8" spans="1:24">
      <c r="A8" s="1792"/>
      <c r="B8" s="1882"/>
      <c r="C8" s="1793"/>
      <c r="D8" s="1794"/>
      <c r="E8" s="1794"/>
      <c r="F8" s="1795"/>
      <c r="G8" s="1913"/>
      <c r="H8" s="1830"/>
      <c r="I8" s="1914"/>
      <c r="J8" s="1915"/>
      <c r="K8" s="1798"/>
      <c r="L8" s="219" t="str">
        <f t="shared" ref="L8:L40" si="0">IFERROR(DATE(YEAR(K8),MONTH(K8)-1,DAY(1)),"")</f>
        <v/>
      </c>
      <c r="M8" s="1811"/>
      <c r="N8" s="1813"/>
      <c r="O8" s="219" t="str">
        <f t="shared" ref="O8:O40" si="1">IFERROR(DATE(YEAR(N8),MONTH(N8)-1,DAY(1)),"")</f>
        <v/>
      </c>
      <c r="P8" s="1811"/>
      <c r="Q8" s="1813"/>
      <c r="R8" s="219" t="str">
        <f t="shared" ref="R8:R40" si="2">IFERROR(DATE(YEAR(Q8),MONTH(Q8)-1,DAY(1)),"")</f>
        <v/>
      </c>
      <c r="S8" s="1815"/>
      <c r="T8" s="1816"/>
      <c r="U8" s="1813"/>
      <c r="V8" s="219" t="str">
        <f t="shared" ref="V8:V40" si="3">IFERROR(DATE(YEAR(U8),MONTH(U8)-1,DAY(1)),"")</f>
        <v/>
      </c>
      <c r="W8" s="1811"/>
      <c r="X8" s="68">
        <f t="shared" ref="X8:X40" si="4">+M8+P8+S8+W8</f>
        <v>0</v>
      </c>
    </row>
    <row r="9" spans="1:24">
      <c r="A9" s="1792"/>
      <c r="B9" s="1882"/>
      <c r="C9" s="1793"/>
      <c r="D9" s="1794"/>
      <c r="E9" s="1794"/>
      <c r="F9" s="1795"/>
      <c r="G9" s="1913"/>
      <c r="H9" s="1830"/>
      <c r="I9" s="1914"/>
      <c r="J9" s="1915"/>
      <c r="K9" s="1798"/>
      <c r="L9" s="219" t="str">
        <f t="shared" si="0"/>
        <v/>
      </c>
      <c r="M9" s="1811"/>
      <c r="N9" s="1813"/>
      <c r="O9" s="219" t="str">
        <f t="shared" si="1"/>
        <v/>
      </c>
      <c r="P9" s="1811"/>
      <c r="Q9" s="1813"/>
      <c r="R9" s="219" t="str">
        <f t="shared" si="2"/>
        <v/>
      </c>
      <c r="S9" s="1815"/>
      <c r="T9" s="1816"/>
      <c r="U9" s="1813"/>
      <c r="V9" s="219" t="str">
        <f t="shared" si="3"/>
        <v/>
      </c>
      <c r="W9" s="1811"/>
      <c r="X9" s="68">
        <f t="shared" si="4"/>
        <v>0</v>
      </c>
    </row>
    <row r="10" spans="1:24">
      <c r="A10" s="1792"/>
      <c r="B10" s="1882"/>
      <c r="C10" s="1793"/>
      <c r="D10" s="1794"/>
      <c r="E10" s="1794"/>
      <c r="F10" s="1795"/>
      <c r="G10" s="1913"/>
      <c r="H10" s="1830"/>
      <c r="I10" s="1914"/>
      <c r="J10" s="1915"/>
      <c r="K10" s="1798"/>
      <c r="L10" s="219" t="str">
        <f t="shared" si="0"/>
        <v/>
      </c>
      <c r="M10" s="1811"/>
      <c r="N10" s="1813"/>
      <c r="O10" s="219" t="str">
        <f t="shared" si="1"/>
        <v/>
      </c>
      <c r="P10" s="1811"/>
      <c r="Q10" s="1813"/>
      <c r="R10" s="219" t="str">
        <f t="shared" si="2"/>
        <v/>
      </c>
      <c r="S10" s="1815"/>
      <c r="T10" s="1816"/>
      <c r="U10" s="1813"/>
      <c r="V10" s="219" t="str">
        <f t="shared" si="3"/>
        <v/>
      </c>
      <c r="W10" s="1811"/>
      <c r="X10" s="68">
        <f t="shared" si="4"/>
        <v>0</v>
      </c>
    </row>
    <row r="11" spans="1:24">
      <c r="A11" s="1792"/>
      <c r="B11" s="1882"/>
      <c r="C11" s="1793"/>
      <c r="D11" s="1794"/>
      <c r="E11" s="1794"/>
      <c r="F11" s="1795"/>
      <c r="G11" s="1913"/>
      <c r="H11" s="1830"/>
      <c r="I11" s="1914"/>
      <c r="J11" s="1915"/>
      <c r="K11" s="1798"/>
      <c r="L11" s="219" t="str">
        <f t="shared" si="0"/>
        <v/>
      </c>
      <c r="M11" s="1811"/>
      <c r="N11" s="1813"/>
      <c r="O11" s="219" t="str">
        <f t="shared" si="1"/>
        <v/>
      </c>
      <c r="P11" s="1811"/>
      <c r="Q11" s="1813"/>
      <c r="R11" s="219" t="str">
        <f t="shared" si="2"/>
        <v/>
      </c>
      <c r="S11" s="1815"/>
      <c r="T11" s="1816"/>
      <c r="U11" s="1813"/>
      <c r="V11" s="219" t="str">
        <f t="shared" si="3"/>
        <v/>
      </c>
      <c r="W11" s="1811"/>
      <c r="X11" s="68">
        <f t="shared" si="4"/>
        <v>0</v>
      </c>
    </row>
    <row r="12" spans="1:24">
      <c r="A12" s="1792"/>
      <c r="B12" s="1882"/>
      <c r="C12" s="1793"/>
      <c r="D12" s="1794"/>
      <c r="E12" s="1794"/>
      <c r="F12" s="1795"/>
      <c r="G12" s="1913"/>
      <c r="H12" s="1830"/>
      <c r="I12" s="1914"/>
      <c r="J12" s="1915"/>
      <c r="K12" s="1798"/>
      <c r="L12" s="219" t="str">
        <f t="shared" si="0"/>
        <v/>
      </c>
      <c r="M12" s="1811"/>
      <c r="N12" s="1813"/>
      <c r="O12" s="219" t="str">
        <f t="shared" si="1"/>
        <v/>
      </c>
      <c r="P12" s="1811"/>
      <c r="Q12" s="1813"/>
      <c r="R12" s="219" t="str">
        <f t="shared" si="2"/>
        <v/>
      </c>
      <c r="S12" s="1815"/>
      <c r="T12" s="1816"/>
      <c r="U12" s="1813"/>
      <c r="V12" s="219" t="str">
        <f t="shared" si="3"/>
        <v/>
      </c>
      <c r="W12" s="1811"/>
      <c r="X12" s="68">
        <f t="shared" si="4"/>
        <v>0</v>
      </c>
    </row>
    <row r="13" spans="1:24">
      <c r="A13" s="1792"/>
      <c r="B13" s="1882"/>
      <c r="C13" s="1793"/>
      <c r="D13" s="1794"/>
      <c r="E13" s="1794"/>
      <c r="F13" s="1795"/>
      <c r="G13" s="1913"/>
      <c r="H13" s="1830"/>
      <c r="I13" s="1914"/>
      <c r="J13" s="1915"/>
      <c r="K13" s="1798"/>
      <c r="L13" s="219" t="str">
        <f t="shared" si="0"/>
        <v/>
      </c>
      <c r="M13" s="1811"/>
      <c r="N13" s="1813"/>
      <c r="O13" s="219" t="str">
        <f t="shared" si="1"/>
        <v/>
      </c>
      <c r="P13" s="1811"/>
      <c r="Q13" s="1813"/>
      <c r="R13" s="219" t="str">
        <f t="shared" si="2"/>
        <v/>
      </c>
      <c r="S13" s="1815"/>
      <c r="T13" s="1816"/>
      <c r="U13" s="1813"/>
      <c r="V13" s="219" t="str">
        <f t="shared" si="3"/>
        <v/>
      </c>
      <c r="W13" s="1811"/>
      <c r="X13" s="68">
        <f t="shared" si="4"/>
        <v>0</v>
      </c>
    </row>
    <row r="14" spans="1:24">
      <c r="A14" s="1792"/>
      <c r="B14" s="1882"/>
      <c r="C14" s="1793"/>
      <c r="D14" s="1794"/>
      <c r="E14" s="1794"/>
      <c r="F14" s="1795"/>
      <c r="G14" s="1913"/>
      <c r="H14" s="1830"/>
      <c r="I14" s="1914"/>
      <c r="J14" s="1915"/>
      <c r="K14" s="1798"/>
      <c r="L14" s="219" t="str">
        <f t="shared" si="0"/>
        <v/>
      </c>
      <c r="M14" s="1811"/>
      <c r="N14" s="1813"/>
      <c r="O14" s="219" t="str">
        <f t="shared" si="1"/>
        <v/>
      </c>
      <c r="P14" s="1811"/>
      <c r="Q14" s="1813"/>
      <c r="R14" s="219" t="str">
        <f t="shared" si="2"/>
        <v/>
      </c>
      <c r="S14" s="1815"/>
      <c r="T14" s="1816"/>
      <c r="U14" s="1813"/>
      <c r="V14" s="219" t="str">
        <f t="shared" si="3"/>
        <v/>
      </c>
      <c r="W14" s="1811"/>
      <c r="X14" s="68">
        <f t="shared" si="4"/>
        <v>0</v>
      </c>
    </row>
    <row r="15" spans="1:24">
      <c r="A15" s="1792"/>
      <c r="B15" s="1882"/>
      <c r="C15" s="1793"/>
      <c r="D15" s="1794"/>
      <c r="E15" s="1794"/>
      <c r="F15" s="1795"/>
      <c r="G15" s="1913"/>
      <c r="H15" s="1830"/>
      <c r="I15" s="1914"/>
      <c r="J15" s="1915"/>
      <c r="K15" s="1798"/>
      <c r="L15" s="219" t="str">
        <f t="shared" si="0"/>
        <v/>
      </c>
      <c r="M15" s="1811"/>
      <c r="N15" s="1813"/>
      <c r="O15" s="219" t="str">
        <f t="shared" si="1"/>
        <v/>
      </c>
      <c r="P15" s="1811"/>
      <c r="Q15" s="1813"/>
      <c r="R15" s="219" t="str">
        <f t="shared" si="2"/>
        <v/>
      </c>
      <c r="S15" s="1815"/>
      <c r="T15" s="1816"/>
      <c r="U15" s="1813"/>
      <c r="V15" s="219" t="str">
        <f t="shared" si="3"/>
        <v/>
      </c>
      <c r="W15" s="1811"/>
      <c r="X15" s="68">
        <f t="shared" si="4"/>
        <v>0</v>
      </c>
    </row>
    <row r="16" spans="1:24">
      <c r="A16" s="1792"/>
      <c r="B16" s="1882"/>
      <c r="C16" s="1793"/>
      <c r="D16" s="1794"/>
      <c r="E16" s="1794"/>
      <c r="F16" s="1795"/>
      <c r="G16" s="1913"/>
      <c r="H16" s="1830"/>
      <c r="I16" s="1914"/>
      <c r="J16" s="1915"/>
      <c r="K16" s="1798"/>
      <c r="L16" s="219" t="str">
        <f t="shared" si="0"/>
        <v/>
      </c>
      <c r="M16" s="1811"/>
      <c r="N16" s="1813"/>
      <c r="O16" s="219" t="str">
        <f t="shared" si="1"/>
        <v/>
      </c>
      <c r="P16" s="1811"/>
      <c r="Q16" s="1813"/>
      <c r="R16" s="219" t="str">
        <f t="shared" si="2"/>
        <v/>
      </c>
      <c r="S16" s="1815"/>
      <c r="T16" s="1816"/>
      <c r="U16" s="1813"/>
      <c r="V16" s="219" t="str">
        <f t="shared" si="3"/>
        <v/>
      </c>
      <c r="W16" s="1811"/>
      <c r="X16" s="68">
        <f t="shared" si="4"/>
        <v>0</v>
      </c>
    </row>
    <row r="17" spans="1:24">
      <c r="A17" s="1792"/>
      <c r="B17" s="1882"/>
      <c r="C17" s="1793"/>
      <c r="D17" s="1794"/>
      <c r="E17" s="1794"/>
      <c r="F17" s="1795"/>
      <c r="G17" s="1913"/>
      <c r="H17" s="1830"/>
      <c r="I17" s="1914"/>
      <c r="J17" s="1915"/>
      <c r="K17" s="1798"/>
      <c r="L17" s="219" t="str">
        <f t="shared" si="0"/>
        <v/>
      </c>
      <c r="M17" s="1811"/>
      <c r="N17" s="1813"/>
      <c r="O17" s="219" t="str">
        <f t="shared" si="1"/>
        <v/>
      </c>
      <c r="P17" s="1811"/>
      <c r="Q17" s="1813"/>
      <c r="R17" s="219" t="str">
        <f t="shared" si="2"/>
        <v/>
      </c>
      <c r="S17" s="1815"/>
      <c r="T17" s="1816"/>
      <c r="U17" s="1813"/>
      <c r="V17" s="219" t="str">
        <f t="shared" si="3"/>
        <v/>
      </c>
      <c r="W17" s="1811"/>
      <c r="X17" s="68">
        <f t="shared" si="4"/>
        <v>0</v>
      </c>
    </row>
    <row r="18" spans="1:24">
      <c r="A18" s="1792"/>
      <c r="B18" s="1882"/>
      <c r="C18" s="1793"/>
      <c r="D18" s="1794"/>
      <c r="E18" s="1794"/>
      <c r="F18" s="1795"/>
      <c r="G18" s="1913"/>
      <c r="H18" s="1830"/>
      <c r="I18" s="1914"/>
      <c r="J18" s="1915"/>
      <c r="K18" s="1798"/>
      <c r="L18" s="219" t="str">
        <f t="shared" si="0"/>
        <v/>
      </c>
      <c r="M18" s="1811"/>
      <c r="N18" s="1813"/>
      <c r="O18" s="219" t="str">
        <f t="shared" si="1"/>
        <v/>
      </c>
      <c r="P18" s="1811"/>
      <c r="Q18" s="1813"/>
      <c r="R18" s="219" t="str">
        <f t="shared" si="2"/>
        <v/>
      </c>
      <c r="S18" s="1815"/>
      <c r="T18" s="1816"/>
      <c r="U18" s="1813"/>
      <c r="V18" s="219" t="str">
        <f t="shared" si="3"/>
        <v/>
      </c>
      <c r="W18" s="1811"/>
      <c r="X18" s="68">
        <f t="shared" si="4"/>
        <v>0</v>
      </c>
    </row>
    <row r="19" spans="1:24">
      <c r="A19" s="1792"/>
      <c r="B19" s="1882"/>
      <c r="C19" s="1793"/>
      <c r="D19" s="1794"/>
      <c r="E19" s="1794"/>
      <c r="F19" s="1795"/>
      <c r="G19" s="1913"/>
      <c r="H19" s="1830"/>
      <c r="I19" s="1914"/>
      <c r="J19" s="1915"/>
      <c r="K19" s="1798"/>
      <c r="L19" s="219" t="str">
        <f t="shared" si="0"/>
        <v/>
      </c>
      <c r="M19" s="1811"/>
      <c r="N19" s="1813"/>
      <c r="O19" s="219" t="str">
        <f t="shared" si="1"/>
        <v/>
      </c>
      <c r="P19" s="1811"/>
      <c r="Q19" s="1813"/>
      <c r="R19" s="219" t="str">
        <f t="shared" si="2"/>
        <v/>
      </c>
      <c r="S19" s="1815"/>
      <c r="T19" s="1816"/>
      <c r="U19" s="1813"/>
      <c r="V19" s="219" t="str">
        <f t="shared" si="3"/>
        <v/>
      </c>
      <c r="W19" s="1811"/>
      <c r="X19" s="68">
        <f t="shared" si="4"/>
        <v>0</v>
      </c>
    </row>
    <row r="20" spans="1:24">
      <c r="A20" s="1792"/>
      <c r="B20" s="1882"/>
      <c r="C20" s="1793"/>
      <c r="D20" s="1794"/>
      <c r="E20" s="1794"/>
      <c r="F20" s="1795"/>
      <c r="G20" s="1913"/>
      <c r="H20" s="1830"/>
      <c r="I20" s="1914"/>
      <c r="J20" s="1915"/>
      <c r="K20" s="1798"/>
      <c r="L20" s="219" t="str">
        <f t="shared" si="0"/>
        <v/>
      </c>
      <c r="M20" s="1811"/>
      <c r="N20" s="1813"/>
      <c r="O20" s="219" t="str">
        <f t="shared" si="1"/>
        <v/>
      </c>
      <c r="P20" s="1811"/>
      <c r="Q20" s="1813"/>
      <c r="R20" s="219" t="str">
        <f t="shared" si="2"/>
        <v/>
      </c>
      <c r="S20" s="1815"/>
      <c r="T20" s="1816"/>
      <c r="U20" s="1813"/>
      <c r="V20" s="219" t="str">
        <f t="shared" si="3"/>
        <v/>
      </c>
      <c r="W20" s="1811"/>
      <c r="X20" s="68">
        <f t="shared" si="4"/>
        <v>0</v>
      </c>
    </row>
    <row r="21" spans="1:24">
      <c r="A21" s="1792"/>
      <c r="B21" s="1882"/>
      <c r="C21" s="1793"/>
      <c r="D21" s="1794"/>
      <c r="E21" s="1794"/>
      <c r="F21" s="1795"/>
      <c r="G21" s="1913"/>
      <c r="H21" s="1830"/>
      <c r="I21" s="1914"/>
      <c r="J21" s="1915"/>
      <c r="K21" s="1798"/>
      <c r="L21" s="219" t="str">
        <f t="shared" si="0"/>
        <v/>
      </c>
      <c r="M21" s="1811"/>
      <c r="N21" s="1813"/>
      <c r="O21" s="219" t="str">
        <f t="shared" si="1"/>
        <v/>
      </c>
      <c r="P21" s="1811"/>
      <c r="Q21" s="1813"/>
      <c r="R21" s="219" t="str">
        <f t="shared" si="2"/>
        <v/>
      </c>
      <c r="S21" s="1815"/>
      <c r="T21" s="1816"/>
      <c r="U21" s="1813"/>
      <c r="V21" s="219" t="str">
        <f t="shared" si="3"/>
        <v/>
      </c>
      <c r="W21" s="1811"/>
      <c r="X21" s="68">
        <f t="shared" si="4"/>
        <v>0</v>
      </c>
    </row>
    <row r="22" spans="1:24">
      <c r="A22" s="1792"/>
      <c r="B22" s="1882"/>
      <c r="C22" s="1793"/>
      <c r="D22" s="1794"/>
      <c r="E22" s="1794"/>
      <c r="F22" s="1795"/>
      <c r="G22" s="1913"/>
      <c r="H22" s="1830"/>
      <c r="I22" s="1914"/>
      <c r="J22" s="1915"/>
      <c r="K22" s="1798"/>
      <c r="L22" s="219" t="str">
        <f t="shared" si="0"/>
        <v/>
      </c>
      <c r="M22" s="1811"/>
      <c r="N22" s="1813"/>
      <c r="O22" s="219" t="str">
        <f t="shared" si="1"/>
        <v/>
      </c>
      <c r="P22" s="1811"/>
      <c r="Q22" s="1813"/>
      <c r="R22" s="219" t="str">
        <f t="shared" si="2"/>
        <v/>
      </c>
      <c r="S22" s="1815"/>
      <c r="T22" s="1816"/>
      <c r="U22" s="1813"/>
      <c r="V22" s="219" t="str">
        <f t="shared" si="3"/>
        <v/>
      </c>
      <c r="W22" s="1811"/>
      <c r="X22" s="68">
        <f t="shared" si="4"/>
        <v>0</v>
      </c>
    </row>
    <row r="23" spans="1:24">
      <c r="A23" s="1792"/>
      <c r="B23" s="1882"/>
      <c r="C23" s="1793"/>
      <c r="D23" s="1794"/>
      <c r="E23" s="1794"/>
      <c r="F23" s="1795"/>
      <c r="G23" s="1916"/>
      <c r="H23" s="1830"/>
      <c r="I23" s="1914"/>
      <c r="J23" s="1915"/>
      <c r="K23" s="1798"/>
      <c r="L23" s="219" t="str">
        <f t="shared" si="0"/>
        <v/>
      </c>
      <c r="M23" s="1811"/>
      <c r="N23" s="1813"/>
      <c r="O23" s="219" t="str">
        <f t="shared" si="1"/>
        <v/>
      </c>
      <c r="P23" s="1811"/>
      <c r="Q23" s="1813"/>
      <c r="R23" s="219" t="str">
        <f t="shared" si="2"/>
        <v/>
      </c>
      <c r="S23" s="1815"/>
      <c r="T23" s="1816"/>
      <c r="U23" s="1813"/>
      <c r="V23" s="219" t="str">
        <f t="shared" si="3"/>
        <v/>
      </c>
      <c r="W23" s="1811"/>
      <c r="X23" s="68">
        <f t="shared" si="4"/>
        <v>0</v>
      </c>
    </row>
    <row r="24" spans="1:24">
      <c r="A24" s="1792"/>
      <c r="B24" s="1882"/>
      <c r="C24" s="1793"/>
      <c r="D24" s="1794"/>
      <c r="E24" s="1794"/>
      <c r="F24" s="1795"/>
      <c r="G24" s="1913"/>
      <c r="H24" s="1830"/>
      <c r="I24" s="1914"/>
      <c r="J24" s="1915"/>
      <c r="K24" s="1798"/>
      <c r="L24" s="219" t="str">
        <f t="shared" si="0"/>
        <v/>
      </c>
      <c r="M24" s="1811"/>
      <c r="N24" s="1813"/>
      <c r="O24" s="219" t="str">
        <f t="shared" si="1"/>
        <v/>
      </c>
      <c r="P24" s="1811"/>
      <c r="Q24" s="1813"/>
      <c r="R24" s="219" t="str">
        <f t="shared" si="2"/>
        <v/>
      </c>
      <c r="S24" s="1815"/>
      <c r="T24" s="1816"/>
      <c r="U24" s="1813"/>
      <c r="V24" s="219" t="str">
        <f t="shared" si="3"/>
        <v/>
      </c>
      <c r="W24" s="1811"/>
      <c r="X24" s="68">
        <f t="shared" si="4"/>
        <v>0</v>
      </c>
    </row>
    <row r="25" spans="1:24">
      <c r="A25" s="1792"/>
      <c r="B25" s="1882"/>
      <c r="C25" s="1793"/>
      <c r="D25" s="1794"/>
      <c r="E25" s="1794"/>
      <c r="F25" s="1795"/>
      <c r="G25" s="1913"/>
      <c r="H25" s="1830"/>
      <c r="I25" s="1914"/>
      <c r="J25" s="1915"/>
      <c r="K25" s="1798"/>
      <c r="L25" s="219" t="str">
        <f t="shared" si="0"/>
        <v/>
      </c>
      <c r="M25" s="1811"/>
      <c r="N25" s="1813"/>
      <c r="O25" s="219" t="str">
        <f t="shared" si="1"/>
        <v/>
      </c>
      <c r="P25" s="1811"/>
      <c r="Q25" s="1813"/>
      <c r="R25" s="219" t="str">
        <f t="shared" si="2"/>
        <v/>
      </c>
      <c r="S25" s="1815"/>
      <c r="T25" s="1816"/>
      <c r="U25" s="1813"/>
      <c r="V25" s="219" t="str">
        <f t="shared" si="3"/>
        <v/>
      </c>
      <c r="W25" s="1811"/>
      <c r="X25" s="68">
        <f t="shared" si="4"/>
        <v>0</v>
      </c>
    </row>
    <row r="26" spans="1:24">
      <c r="A26" s="1792"/>
      <c r="B26" s="1882"/>
      <c r="C26" s="1793"/>
      <c r="D26" s="1794"/>
      <c r="E26" s="1794"/>
      <c r="F26" s="1795"/>
      <c r="G26" s="1913"/>
      <c r="H26" s="1830"/>
      <c r="I26" s="1914"/>
      <c r="J26" s="1915"/>
      <c r="K26" s="1798"/>
      <c r="L26" s="219" t="str">
        <f t="shared" si="0"/>
        <v/>
      </c>
      <c r="M26" s="1811"/>
      <c r="N26" s="1813"/>
      <c r="O26" s="219" t="str">
        <f t="shared" si="1"/>
        <v/>
      </c>
      <c r="P26" s="1811"/>
      <c r="Q26" s="1813"/>
      <c r="R26" s="219" t="str">
        <f t="shared" si="2"/>
        <v/>
      </c>
      <c r="S26" s="1815"/>
      <c r="T26" s="1816"/>
      <c r="U26" s="1813"/>
      <c r="V26" s="219" t="str">
        <f t="shared" si="3"/>
        <v/>
      </c>
      <c r="W26" s="1811"/>
      <c r="X26" s="68">
        <f t="shared" si="4"/>
        <v>0</v>
      </c>
    </row>
    <row r="27" spans="1:24">
      <c r="A27" s="1792"/>
      <c r="B27" s="1882"/>
      <c r="C27" s="1793"/>
      <c r="D27" s="1794"/>
      <c r="E27" s="1794"/>
      <c r="F27" s="1795"/>
      <c r="G27" s="1913"/>
      <c r="H27" s="1830"/>
      <c r="I27" s="1914"/>
      <c r="J27" s="1915"/>
      <c r="K27" s="1798"/>
      <c r="L27" s="219" t="str">
        <f t="shared" si="0"/>
        <v/>
      </c>
      <c r="M27" s="1811"/>
      <c r="N27" s="1813"/>
      <c r="O27" s="219" t="str">
        <f t="shared" si="1"/>
        <v/>
      </c>
      <c r="P27" s="1811"/>
      <c r="Q27" s="1813"/>
      <c r="R27" s="219" t="str">
        <f t="shared" si="2"/>
        <v/>
      </c>
      <c r="S27" s="1815"/>
      <c r="T27" s="1816"/>
      <c r="U27" s="1813"/>
      <c r="V27" s="219" t="str">
        <f t="shared" si="3"/>
        <v/>
      </c>
      <c r="W27" s="1811"/>
      <c r="X27" s="68">
        <f t="shared" si="4"/>
        <v>0</v>
      </c>
    </row>
    <row r="28" spans="1:24">
      <c r="A28" s="1792"/>
      <c r="B28" s="1882"/>
      <c r="C28" s="1793"/>
      <c r="D28" s="1794"/>
      <c r="E28" s="1794"/>
      <c r="F28" s="1795"/>
      <c r="G28" s="1913"/>
      <c r="H28" s="1830"/>
      <c r="I28" s="1914"/>
      <c r="J28" s="1915"/>
      <c r="K28" s="1798"/>
      <c r="L28" s="219" t="str">
        <f t="shared" si="0"/>
        <v/>
      </c>
      <c r="M28" s="1811"/>
      <c r="N28" s="1813"/>
      <c r="O28" s="219" t="str">
        <f t="shared" si="1"/>
        <v/>
      </c>
      <c r="P28" s="1811"/>
      <c r="Q28" s="1813"/>
      <c r="R28" s="219" t="str">
        <f t="shared" si="2"/>
        <v/>
      </c>
      <c r="S28" s="1815"/>
      <c r="T28" s="1816"/>
      <c r="U28" s="1813"/>
      <c r="V28" s="219" t="str">
        <f t="shared" si="3"/>
        <v/>
      </c>
      <c r="W28" s="1811"/>
      <c r="X28" s="68">
        <f t="shared" si="4"/>
        <v>0</v>
      </c>
    </row>
    <row r="29" spans="1:24">
      <c r="A29" s="1792"/>
      <c r="B29" s="1882"/>
      <c r="C29" s="1793"/>
      <c r="D29" s="1794"/>
      <c r="E29" s="1794"/>
      <c r="F29" s="1795"/>
      <c r="G29" s="1913"/>
      <c r="H29" s="1830"/>
      <c r="I29" s="1914"/>
      <c r="J29" s="1915"/>
      <c r="K29" s="1798"/>
      <c r="L29" s="219" t="str">
        <f t="shared" si="0"/>
        <v/>
      </c>
      <c r="M29" s="1811"/>
      <c r="N29" s="1813"/>
      <c r="O29" s="219" t="str">
        <f t="shared" si="1"/>
        <v/>
      </c>
      <c r="P29" s="1811"/>
      <c r="Q29" s="1813"/>
      <c r="R29" s="219" t="str">
        <f t="shared" si="2"/>
        <v/>
      </c>
      <c r="S29" s="1815"/>
      <c r="T29" s="1816"/>
      <c r="U29" s="1813"/>
      <c r="V29" s="219" t="str">
        <f t="shared" si="3"/>
        <v/>
      </c>
      <c r="W29" s="1811"/>
      <c r="X29" s="68">
        <f t="shared" si="4"/>
        <v>0</v>
      </c>
    </row>
    <row r="30" spans="1:24">
      <c r="A30" s="1792"/>
      <c r="B30" s="1882"/>
      <c r="C30" s="1793"/>
      <c r="D30" s="1794"/>
      <c r="E30" s="1794"/>
      <c r="F30" s="1795"/>
      <c r="G30" s="1913"/>
      <c r="H30" s="1830"/>
      <c r="I30" s="1914"/>
      <c r="J30" s="1915"/>
      <c r="K30" s="1798"/>
      <c r="L30" s="219" t="str">
        <f t="shared" si="0"/>
        <v/>
      </c>
      <c r="M30" s="1811"/>
      <c r="N30" s="1813"/>
      <c r="O30" s="219" t="str">
        <f t="shared" si="1"/>
        <v/>
      </c>
      <c r="P30" s="1811"/>
      <c r="Q30" s="1813"/>
      <c r="R30" s="219" t="str">
        <f t="shared" si="2"/>
        <v/>
      </c>
      <c r="S30" s="1815"/>
      <c r="T30" s="1816"/>
      <c r="U30" s="1813"/>
      <c r="V30" s="219" t="str">
        <f t="shared" si="3"/>
        <v/>
      </c>
      <c r="W30" s="1811"/>
      <c r="X30" s="68">
        <f t="shared" si="4"/>
        <v>0</v>
      </c>
    </row>
    <row r="31" spans="1:24">
      <c r="A31" s="1792"/>
      <c r="B31" s="1882"/>
      <c r="C31" s="1793"/>
      <c r="D31" s="1794"/>
      <c r="E31" s="1794"/>
      <c r="F31" s="1795"/>
      <c r="G31" s="1913"/>
      <c r="H31" s="1830"/>
      <c r="I31" s="1914"/>
      <c r="J31" s="1915"/>
      <c r="K31" s="1798"/>
      <c r="L31" s="219" t="str">
        <f t="shared" si="0"/>
        <v/>
      </c>
      <c r="M31" s="1811"/>
      <c r="N31" s="1813"/>
      <c r="O31" s="219" t="str">
        <f t="shared" si="1"/>
        <v/>
      </c>
      <c r="P31" s="1811"/>
      <c r="Q31" s="1813"/>
      <c r="R31" s="219" t="str">
        <f t="shared" si="2"/>
        <v/>
      </c>
      <c r="S31" s="1815"/>
      <c r="T31" s="1816"/>
      <c r="U31" s="1813"/>
      <c r="V31" s="219" t="str">
        <f t="shared" si="3"/>
        <v/>
      </c>
      <c r="W31" s="1811"/>
      <c r="X31" s="68">
        <f t="shared" si="4"/>
        <v>0</v>
      </c>
    </row>
    <row r="32" spans="1:24">
      <c r="A32" s="1792"/>
      <c r="B32" s="1882"/>
      <c r="C32" s="1793"/>
      <c r="D32" s="1794"/>
      <c r="E32" s="1794"/>
      <c r="F32" s="1795"/>
      <c r="G32" s="1913"/>
      <c r="H32" s="1830"/>
      <c r="I32" s="1830"/>
      <c r="J32" s="1915"/>
      <c r="K32" s="1798"/>
      <c r="L32" s="219" t="str">
        <f t="shared" si="0"/>
        <v/>
      </c>
      <c r="M32" s="1811"/>
      <c r="N32" s="1813"/>
      <c r="O32" s="219" t="str">
        <f t="shared" si="1"/>
        <v/>
      </c>
      <c r="P32" s="1811"/>
      <c r="Q32" s="1813"/>
      <c r="R32" s="219" t="str">
        <f t="shared" si="2"/>
        <v/>
      </c>
      <c r="S32" s="1815"/>
      <c r="T32" s="1816"/>
      <c r="U32" s="1813"/>
      <c r="V32" s="219" t="str">
        <f t="shared" si="3"/>
        <v/>
      </c>
      <c r="W32" s="1811"/>
      <c r="X32" s="68">
        <f t="shared" si="4"/>
        <v>0</v>
      </c>
    </row>
    <row r="33" spans="1:26">
      <c r="A33" s="1792"/>
      <c r="B33" s="1882"/>
      <c r="C33" s="1793"/>
      <c r="D33" s="1794"/>
      <c r="E33" s="1794"/>
      <c r="F33" s="1795"/>
      <c r="G33" s="1913"/>
      <c r="H33" s="1830"/>
      <c r="I33" s="1830"/>
      <c r="J33" s="1915"/>
      <c r="K33" s="1798"/>
      <c r="L33" s="219" t="str">
        <f t="shared" si="0"/>
        <v/>
      </c>
      <c r="M33" s="1811"/>
      <c r="N33" s="1813"/>
      <c r="O33" s="219" t="str">
        <f t="shared" si="1"/>
        <v/>
      </c>
      <c r="P33" s="1811"/>
      <c r="Q33" s="1813"/>
      <c r="R33" s="219" t="str">
        <f t="shared" si="2"/>
        <v/>
      </c>
      <c r="S33" s="1815"/>
      <c r="T33" s="1816"/>
      <c r="U33" s="1813"/>
      <c r="V33" s="219" t="str">
        <f t="shared" si="3"/>
        <v/>
      </c>
      <c r="W33" s="1811"/>
      <c r="X33" s="68">
        <f t="shared" si="4"/>
        <v>0</v>
      </c>
    </row>
    <row r="34" spans="1:26">
      <c r="A34" s="1792"/>
      <c r="B34" s="1882"/>
      <c r="C34" s="1793"/>
      <c r="D34" s="1794"/>
      <c r="E34" s="1794"/>
      <c r="F34" s="1795"/>
      <c r="G34" s="1913"/>
      <c r="H34" s="1830"/>
      <c r="I34" s="1830"/>
      <c r="J34" s="1915"/>
      <c r="K34" s="1798"/>
      <c r="L34" s="219" t="str">
        <f t="shared" si="0"/>
        <v/>
      </c>
      <c r="M34" s="1811"/>
      <c r="N34" s="1813"/>
      <c r="O34" s="219" t="str">
        <f t="shared" si="1"/>
        <v/>
      </c>
      <c r="P34" s="1811"/>
      <c r="Q34" s="1813"/>
      <c r="R34" s="219" t="str">
        <f t="shared" si="2"/>
        <v/>
      </c>
      <c r="S34" s="1815"/>
      <c r="T34" s="1816"/>
      <c r="U34" s="1813"/>
      <c r="V34" s="219" t="str">
        <f t="shared" si="3"/>
        <v/>
      </c>
      <c r="W34" s="1811"/>
      <c r="X34" s="68">
        <f t="shared" si="4"/>
        <v>0</v>
      </c>
    </row>
    <row r="35" spans="1:26">
      <c r="A35" s="1792"/>
      <c r="B35" s="1882"/>
      <c r="C35" s="1793"/>
      <c r="D35" s="1794"/>
      <c r="E35" s="1794"/>
      <c r="F35" s="1795"/>
      <c r="G35" s="1913"/>
      <c r="H35" s="1830"/>
      <c r="I35" s="1830"/>
      <c r="J35" s="1915"/>
      <c r="K35" s="1798"/>
      <c r="L35" s="219" t="str">
        <f t="shared" si="0"/>
        <v/>
      </c>
      <c r="M35" s="1811"/>
      <c r="N35" s="1813"/>
      <c r="O35" s="219" t="str">
        <f t="shared" si="1"/>
        <v/>
      </c>
      <c r="P35" s="1811"/>
      <c r="Q35" s="1813"/>
      <c r="R35" s="219" t="str">
        <f t="shared" si="2"/>
        <v/>
      </c>
      <c r="S35" s="1815"/>
      <c r="T35" s="1816"/>
      <c r="U35" s="1813"/>
      <c r="V35" s="219" t="str">
        <f t="shared" si="3"/>
        <v/>
      </c>
      <c r="W35" s="1811"/>
      <c r="X35" s="68">
        <f t="shared" si="4"/>
        <v>0</v>
      </c>
    </row>
    <row r="36" spans="1:26">
      <c r="A36" s="1792"/>
      <c r="B36" s="1882"/>
      <c r="C36" s="1793"/>
      <c r="D36" s="1794"/>
      <c r="E36" s="1794"/>
      <c r="F36" s="1795"/>
      <c r="G36" s="1913"/>
      <c r="H36" s="1830"/>
      <c r="I36" s="1830"/>
      <c r="J36" s="1915"/>
      <c r="K36" s="1798"/>
      <c r="L36" s="219" t="str">
        <f t="shared" si="0"/>
        <v/>
      </c>
      <c r="M36" s="1811"/>
      <c r="N36" s="1813"/>
      <c r="O36" s="219" t="str">
        <f t="shared" si="1"/>
        <v/>
      </c>
      <c r="P36" s="1811"/>
      <c r="Q36" s="1813"/>
      <c r="R36" s="219" t="str">
        <f t="shared" si="2"/>
        <v/>
      </c>
      <c r="S36" s="1815"/>
      <c r="T36" s="1816"/>
      <c r="U36" s="1813"/>
      <c r="V36" s="219" t="str">
        <f t="shared" si="3"/>
        <v/>
      </c>
      <c r="W36" s="1811"/>
      <c r="X36" s="68">
        <f t="shared" si="4"/>
        <v>0</v>
      </c>
    </row>
    <row r="37" spans="1:26">
      <c r="A37" s="1792"/>
      <c r="B37" s="1882"/>
      <c r="C37" s="1793"/>
      <c r="D37" s="1794"/>
      <c r="E37" s="1794"/>
      <c r="F37" s="1795"/>
      <c r="G37" s="1913"/>
      <c r="H37" s="1830"/>
      <c r="I37" s="1830"/>
      <c r="J37" s="1915"/>
      <c r="K37" s="1798"/>
      <c r="L37" s="219" t="str">
        <f t="shared" si="0"/>
        <v/>
      </c>
      <c r="M37" s="1811"/>
      <c r="N37" s="1813"/>
      <c r="O37" s="219" t="str">
        <f t="shared" si="1"/>
        <v/>
      </c>
      <c r="P37" s="1811"/>
      <c r="Q37" s="1813"/>
      <c r="R37" s="219" t="str">
        <f t="shared" si="2"/>
        <v/>
      </c>
      <c r="S37" s="1815"/>
      <c r="T37" s="1816"/>
      <c r="U37" s="1813"/>
      <c r="V37" s="219" t="str">
        <f t="shared" si="3"/>
        <v/>
      </c>
      <c r="W37" s="1811"/>
      <c r="X37" s="68">
        <f t="shared" si="4"/>
        <v>0</v>
      </c>
    </row>
    <row r="38" spans="1:26">
      <c r="A38" s="1792"/>
      <c r="B38" s="1882"/>
      <c r="C38" s="1793"/>
      <c r="D38" s="1794"/>
      <c r="E38" s="1794"/>
      <c r="F38" s="1795"/>
      <c r="G38" s="1913"/>
      <c r="H38" s="1830"/>
      <c r="I38" s="1830"/>
      <c r="J38" s="1915"/>
      <c r="K38" s="1798"/>
      <c r="L38" s="219" t="str">
        <f t="shared" si="0"/>
        <v/>
      </c>
      <c r="M38" s="1811"/>
      <c r="N38" s="1813"/>
      <c r="O38" s="219" t="str">
        <f t="shared" si="1"/>
        <v/>
      </c>
      <c r="P38" s="1811"/>
      <c r="Q38" s="1813"/>
      <c r="R38" s="219" t="str">
        <f t="shared" si="2"/>
        <v/>
      </c>
      <c r="S38" s="1815"/>
      <c r="T38" s="1816"/>
      <c r="U38" s="1813"/>
      <c r="V38" s="219" t="str">
        <f t="shared" si="3"/>
        <v/>
      </c>
      <c r="W38" s="1811"/>
      <c r="X38" s="68">
        <f t="shared" si="4"/>
        <v>0</v>
      </c>
    </row>
    <row r="39" spans="1:26">
      <c r="A39" s="1792"/>
      <c r="B39" s="1882"/>
      <c r="C39" s="1793"/>
      <c r="D39" s="1794"/>
      <c r="E39" s="1794"/>
      <c r="F39" s="1795"/>
      <c r="G39" s="1913"/>
      <c r="H39" s="1830"/>
      <c r="I39" s="1830"/>
      <c r="J39" s="1915"/>
      <c r="K39" s="1798"/>
      <c r="L39" s="219" t="str">
        <f t="shared" si="0"/>
        <v/>
      </c>
      <c r="M39" s="1811"/>
      <c r="N39" s="1813"/>
      <c r="O39" s="219" t="str">
        <f t="shared" si="1"/>
        <v/>
      </c>
      <c r="P39" s="1811"/>
      <c r="Q39" s="1813"/>
      <c r="R39" s="219" t="str">
        <f t="shared" si="2"/>
        <v/>
      </c>
      <c r="S39" s="1815"/>
      <c r="T39" s="1816"/>
      <c r="U39" s="1813"/>
      <c r="V39" s="219" t="str">
        <f t="shared" si="3"/>
        <v/>
      </c>
      <c r="W39" s="1811"/>
      <c r="X39" s="68">
        <f t="shared" si="4"/>
        <v>0</v>
      </c>
    </row>
    <row r="40" spans="1:26">
      <c r="A40" s="1799"/>
      <c r="B40" s="1883"/>
      <c r="C40" s="1800"/>
      <c r="D40" s="1801"/>
      <c r="E40" s="1801"/>
      <c r="F40" s="1802"/>
      <c r="G40" s="1917"/>
      <c r="H40" s="1918"/>
      <c r="I40" s="1918"/>
      <c r="J40" s="1919"/>
      <c r="K40" s="1803"/>
      <c r="L40" s="219" t="str">
        <f t="shared" si="0"/>
        <v/>
      </c>
      <c r="M40" s="1812"/>
      <c r="N40" s="1814"/>
      <c r="O40" s="219" t="str">
        <f t="shared" si="1"/>
        <v/>
      </c>
      <c r="P40" s="1812"/>
      <c r="Q40" s="1814"/>
      <c r="R40" s="219" t="str">
        <f t="shared" si="2"/>
        <v/>
      </c>
      <c r="S40" s="1817"/>
      <c r="T40" s="1818"/>
      <c r="U40" s="1814"/>
      <c r="V40" s="219" t="str">
        <f t="shared" si="3"/>
        <v/>
      </c>
      <c r="W40" s="1812"/>
      <c r="X40" s="68">
        <f t="shared" si="4"/>
        <v>0</v>
      </c>
    </row>
    <row r="41" spans="1:26" ht="13.5" thickBot="1">
      <c r="A41" s="250" t="s">
        <v>1835</v>
      </c>
      <c r="B41" s="251"/>
      <c r="C41" s="251"/>
      <c r="D41" s="251"/>
      <c r="E41" s="251"/>
      <c r="F41" s="251"/>
      <c r="G41" s="252"/>
      <c r="H41" s="253"/>
      <c r="I41" s="253"/>
      <c r="J41" s="681">
        <f>SUM(J7:J40)</f>
        <v>0</v>
      </c>
      <c r="K41" s="251"/>
      <c r="L41" s="251"/>
      <c r="M41" s="251"/>
      <c r="N41" s="251"/>
      <c r="O41" s="251"/>
      <c r="P41" s="251"/>
      <c r="Q41" s="251"/>
      <c r="R41" s="251"/>
      <c r="S41" s="251"/>
      <c r="T41" s="251"/>
      <c r="U41" s="251"/>
      <c r="V41" s="251"/>
      <c r="W41" s="251"/>
      <c r="X41" s="254">
        <f>SUM(X7:X40)</f>
        <v>0</v>
      </c>
    </row>
    <row r="42" spans="1:26">
      <c r="A42" s="255" t="s">
        <v>1836</v>
      </c>
      <c r="B42" s="28"/>
      <c r="C42" s="28"/>
      <c r="D42" s="28"/>
      <c r="E42" s="28"/>
      <c r="F42" s="28"/>
      <c r="G42" s="28"/>
      <c r="H42" s="1076" t="s">
        <v>1837</v>
      </c>
      <c r="I42" s="1921">
        <v>0</v>
      </c>
      <c r="J42" s="28"/>
      <c r="K42" s="28"/>
      <c r="L42" s="28"/>
      <c r="M42" s="28"/>
      <c r="N42" s="28"/>
      <c r="O42" s="28"/>
      <c r="P42" s="28"/>
      <c r="Q42" s="28"/>
      <c r="R42" s="28"/>
      <c r="S42" s="28"/>
      <c r="T42" s="28"/>
      <c r="U42" s="28"/>
      <c r="V42" s="28"/>
      <c r="W42" s="28"/>
      <c r="X42" s="1819">
        <f>I42*X41</f>
        <v>0</v>
      </c>
      <c r="Z42" s="256" t="s">
        <v>1838</v>
      </c>
    </row>
    <row r="43" spans="1:26">
      <c r="A43" s="250" t="s">
        <v>1839</v>
      </c>
      <c r="B43" s="251"/>
      <c r="C43" s="251"/>
      <c r="D43" s="251"/>
      <c r="E43" s="251"/>
      <c r="F43" s="251"/>
      <c r="G43" s="251"/>
      <c r="H43" s="251"/>
      <c r="I43" s="251"/>
      <c r="J43" s="251"/>
      <c r="K43" s="251"/>
      <c r="L43" s="251"/>
      <c r="M43" s="251"/>
      <c r="N43" s="251"/>
      <c r="O43" s="251"/>
      <c r="P43" s="251"/>
      <c r="Q43" s="251"/>
      <c r="R43" s="251"/>
      <c r="S43" s="251"/>
      <c r="T43" s="251"/>
      <c r="U43" s="251"/>
      <c r="V43" s="251"/>
      <c r="W43" s="251"/>
      <c r="X43" s="254">
        <f>SUM(X41:X42)</f>
        <v>0</v>
      </c>
    </row>
    <row r="44" spans="1:26" ht="13.5" thickBot="1">
      <c r="A44" s="221" t="s">
        <v>1840</v>
      </c>
      <c r="B44" s="103"/>
      <c r="C44" s="103"/>
      <c r="D44" s="103"/>
      <c r="E44" s="103"/>
      <c r="F44" s="103"/>
      <c r="G44" s="103"/>
      <c r="H44" s="103"/>
      <c r="I44" s="103"/>
      <c r="J44" s="103"/>
      <c r="K44" s="103"/>
      <c r="L44" s="103"/>
      <c r="M44" s="103"/>
      <c r="N44" s="103"/>
      <c r="O44" s="103"/>
      <c r="P44" s="103"/>
      <c r="Q44" s="103"/>
      <c r="R44" s="103"/>
      <c r="S44" s="103"/>
      <c r="T44" s="103"/>
      <c r="U44" s="103"/>
      <c r="V44" s="103"/>
      <c r="W44" s="103"/>
      <c r="X44" s="257">
        <f>ROUND((+X43/12),2)</f>
        <v>0</v>
      </c>
    </row>
    <row r="45" spans="1:26">
      <c r="A45" s="28"/>
      <c r="B45" s="28"/>
      <c r="C45" s="28"/>
      <c r="D45" s="28"/>
      <c r="E45" s="28"/>
      <c r="F45" s="28"/>
      <c r="G45" s="28"/>
      <c r="H45" s="28"/>
      <c r="I45" s="28"/>
      <c r="J45" s="28"/>
      <c r="K45" s="28"/>
      <c r="L45" s="28"/>
      <c r="M45" s="28"/>
      <c r="N45" s="28"/>
      <c r="O45" s="28"/>
      <c r="P45" s="28"/>
      <c r="Q45" s="28"/>
      <c r="R45" s="28"/>
      <c r="S45" s="28"/>
      <c r="T45" s="28"/>
      <c r="U45" s="28"/>
      <c r="V45" s="28"/>
      <c r="W45" s="28"/>
      <c r="X45" s="57"/>
    </row>
    <row r="46" spans="1:26" ht="15">
      <c r="A46" s="28" t="s">
        <v>1841</v>
      </c>
      <c r="B46" s="28"/>
      <c r="C46" s="28"/>
      <c r="D46" s="1820" t="s">
        <v>9</v>
      </c>
      <c r="E46" s="1076" t="s">
        <v>1842</v>
      </c>
      <c r="F46" s="2663"/>
      <c r="G46" s="2513"/>
      <c r="H46" s="2513"/>
      <c r="I46" s="2513"/>
      <c r="J46" s="29"/>
      <c r="K46" s="28"/>
      <c r="L46" s="28"/>
      <c r="M46" s="28"/>
      <c r="N46" s="28"/>
      <c r="O46" s="28"/>
      <c r="P46" s="28"/>
      <c r="Q46" s="28"/>
      <c r="R46" s="28"/>
      <c r="S46" s="28"/>
      <c r="T46" s="28"/>
      <c r="U46" s="28"/>
      <c r="V46" s="28"/>
      <c r="W46" s="28"/>
      <c r="X46" s="57"/>
    </row>
    <row r="47" spans="1:26" ht="13.5" thickBot="1">
      <c r="A47" s="67"/>
      <c r="B47" s="67"/>
      <c r="C47" s="28"/>
      <c r="D47" s="28"/>
      <c r="E47" s="28"/>
      <c r="F47" s="28"/>
      <c r="G47" s="28"/>
      <c r="H47" s="29"/>
      <c r="I47" s="29"/>
      <c r="J47" s="29"/>
      <c r="K47" s="28"/>
      <c r="L47" s="28"/>
      <c r="M47" s="28"/>
      <c r="N47" s="28"/>
      <c r="O47" s="28"/>
      <c r="P47" s="28"/>
      <c r="Q47" s="28"/>
      <c r="R47" s="28"/>
      <c r="S47" s="28"/>
      <c r="T47" s="28"/>
      <c r="U47" s="28"/>
      <c r="V47" s="28"/>
      <c r="W47" s="28"/>
      <c r="X47" s="57"/>
    </row>
    <row r="48" spans="1:26" ht="39" thickBot="1">
      <c r="A48" s="223"/>
      <c r="B48" s="1880"/>
      <c r="C48" s="224" t="s">
        <v>1843</v>
      </c>
      <c r="D48" s="224" t="s">
        <v>1844</v>
      </c>
      <c r="E48" s="224" t="s">
        <v>1845</v>
      </c>
      <c r="F48" s="224" t="s">
        <v>1846</v>
      </c>
      <c r="G48" s="224"/>
      <c r="H48" s="1822" t="s">
        <v>1847</v>
      </c>
      <c r="I48" s="225" t="s">
        <v>1848</v>
      </c>
      <c r="J48" s="36"/>
      <c r="K48" s="2660" t="s">
        <v>1849</v>
      </c>
      <c r="L48" s="2661"/>
      <c r="M48" s="2661"/>
      <c r="N48" s="2661"/>
      <c r="O48" s="2661"/>
      <c r="P48" s="2662"/>
      <c r="Q48" s="28"/>
      <c r="R48" s="28"/>
      <c r="S48" s="28"/>
      <c r="T48" s="28"/>
      <c r="U48" s="28"/>
      <c r="V48" s="28"/>
      <c r="W48" s="28"/>
      <c r="X48" s="57"/>
    </row>
    <row r="49" spans="1:24" ht="25.5" customHeight="1" thickBot="1">
      <c r="A49" s="227" t="s">
        <v>1850</v>
      </c>
      <c r="B49" s="231"/>
      <c r="C49" s="231">
        <f>INPUT!$E$129</f>
        <v>44753</v>
      </c>
      <c r="D49" s="65"/>
      <c r="E49" s="65"/>
      <c r="F49" s="65"/>
      <c r="G49" s="65"/>
      <c r="H49" s="1823">
        <f>IF(D46="YES",0,ROUND((-(MIN(F50:F61))+X44),2))</f>
        <v>0</v>
      </c>
      <c r="I49" s="228">
        <f>+H49</f>
        <v>0</v>
      </c>
      <c r="J49" s="29"/>
      <c r="K49" s="2657"/>
      <c r="L49" s="2658"/>
      <c r="M49" s="2658"/>
      <c r="N49" s="2658"/>
      <c r="O49" s="2658"/>
      <c r="P49" s="2659"/>
      <c r="Q49" s="28"/>
      <c r="R49" s="28"/>
      <c r="S49" s="28"/>
      <c r="T49" s="28"/>
      <c r="U49" s="28"/>
      <c r="V49" s="28"/>
      <c r="W49" s="28"/>
      <c r="X49" s="57"/>
    </row>
    <row r="50" spans="1:24" ht="27.75" customHeight="1">
      <c r="A50" s="230" t="s">
        <v>1851</v>
      </c>
      <c r="B50" s="242"/>
      <c r="C50" s="1821">
        <f>DATE(YEAR(INPUT!$E$130),MONTH(INPUT!$E$130)+1,DAY(1))</f>
        <v>44805</v>
      </c>
      <c r="D50" s="65">
        <f t="shared" ref="D50:D61" si="5">IF($D$46="yes",0,+$X$44)</f>
        <v>0</v>
      </c>
      <c r="E50" s="65">
        <f t="shared" ref="E50:E61" si="6">IF($D$46="yes",0,SUMIF($L$7:$L$40,C50,$M$7:$M$40)+SUMIF($O$7:$O$40,C50,$P$7:$P$40)+SUMIF($R$7:$R$40,C50,$S$7:$S$40)+SUMIF($V$7:$V$40,C50,$W$7:$W$40))</f>
        <v>0</v>
      </c>
      <c r="F50" s="65">
        <f>+D50-E50</f>
        <v>0</v>
      </c>
      <c r="G50" s="65"/>
      <c r="H50" s="65"/>
      <c r="I50" s="228">
        <f t="shared" ref="I50:I61" si="7">+I49+D50-E50</f>
        <v>0</v>
      </c>
      <c r="J50" s="29"/>
      <c r="K50" s="2657"/>
      <c r="L50" s="2658"/>
      <c r="M50" s="2658"/>
      <c r="N50" s="2658"/>
      <c r="O50" s="2658"/>
      <c r="P50" s="2659"/>
      <c r="Q50" s="28"/>
      <c r="R50" s="28"/>
      <c r="S50" s="28"/>
      <c r="T50" s="28"/>
      <c r="U50" s="28"/>
      <c r="V50" s="28"/>
      <c r="W50" s="28"/>
      <c r="X50" s="57"/>
    </row>
    <row r="51" spans="1:24">
      <c r="A51" s="230">
        <v>2</v>
      </c>
      <c r="B51" s="242"/>
      <c r="C51" s="231">
        <f>DATE(YEAR(C50),MONTH(C50)+1,DAY(1))</f>
        <v>44835</v>
      </c>
      <c r="D51" s="65">
        <f t="shared" si="5"/>
        <v>0</v>
      </c>
      <c r="E51" s="65">
        <f t="shared" si="6"/>
        <v>0</v>
      </c>
      <c r="F51" s="65">
        <f>+F50+D51-E51</f>
        <v>0</v>
      </c>
      <c r="G51" s="65"/>
      <c r="H51" s="65"/>
      <c r="I51" s="228">
        <f t="shared" si="7"/>
        <v>0</v>
      </c>
      <c r="J51" s="29"/>
      <c r="K51" s="2657"/>
      <c r="L51" s="2658"/>
      <c r="M51" s="2658"/>
      <c r="N51" s="2658"/>
      <c r="O51" s="2658"/>
      <c r="P51" s="2659"/>
      <c r="Q51" s="28"/>
      <c r="R51" s="28"/>
      <c r="S51" s="28"/>
      <c r="T51" s="28"/>
      <c r="U51" s="28"/>
      <c r="V51" s="28"/>
      <c r="W51" s="28"/>
      <c r="X51" s="57"/>
    </row>
    <row r="52" spans="1:24">
      <c r="A52" s="230">
        <f t="shared" ref="A52:A61" si="8">+A51+1</f>
        <v>3</v>
      </c>
      <c r="B52" s="242"/>
      <c r="C52" s="231">
        <f t="shared" ref="C52:C61" si="9">DATE(YEAR(C51),MONTH(C51)+1,DAY(1))</f>
        <v>44866</v>
      </c>
      <c r="D52" s="65">
        <f t="shared" si="5"/>
        <v>0</v>
      </c>
      <c r="E52" s="65">
        <f t="shared" si="6"/>
        <v>0</v>
      </c>
      <c r="F52" s="65">
        <f t="shared" ref="F52:F61" si="10">+F51+D52-E52</f>
        <v>0</v>
      </c>
      <c r="G52" s="65"/>
      <c r="H52" s="65"/>
      <c r="I52" s="228">
        <f t="shared" si="7"/>
        <v>0</v>
      </c>
      <c r="J52" s="29"/>
      <c r="K52" s="2657"/>
      <c r="L52" s="2658"/>
      <c r="M52" s="2658"/>
      <c r="N52" s="2658"/>
      <c r="O52" s="2658"/>
      <c r="P52" s="2659"/>
      <c r="Q52" s="28"/>
      <c r="R52" s="28"/>
      <c r="S52" s="28"/>
      <c r="T52" s="28"/>
      <c r="U52" s="28"/>
      <c r="V52" s="28"/>
      <c r="W52" s="28"/>
      <c r="X52" s="57"/>
    </row>
    <row r="53" spans="1:24">
      <c r="A53" s="230">
        <f t="shared" si="8"/>
        <v>4</v>
      </c>
      <c r="B53" s="242"/>
      <c r="C53" s="231">
        <f t="shared" si="9"/>
        <v>44896</v>
      </c>
      <c r="D53" s="65">
        <f t="shared" si="5"/>
        <v>0</v>
      </c>
      <c r="E53" s="65">
        <f t="shared" si="6"/>
        <v>0</v>
      </c>
      <c r="F53" s="65">
        <f t="shared" si="10"/>
        <v>0</v>
      </c>
      <c r="G53" s="65"/>
      <c r="H53" s="65"/>
      <c r="I53" s="228">
        <f t="shared" si="7"/>
        <v>0</v>
      </c>
      <c r="J53" s="29"/>
      <c r="K53" s="2657"/>
      <c r="L53" s="2658"/>
      <c r="M53" s="2658"/>
      <c r="N53" s="2658"/>
      <c r="O53" s="2658"/>
      <c r="P53" s="2659"/>
      <c r="Q53" s="28"/>
      <c r="R53" s="28"/>
      <c r="S53" s="28"/>
      <c r="T53" s="28"/>
      <c r="U53" s="28"/>
      <c r="V53" s="28"/>
      <c r="W53" s="28"/>
      <c r="X53" s="57"/>
    </row>
    <row r="54" spans="1:24">
      <c r="A54" s="230">
        <f t="shared" si="8"/>
        <v>5</v>
      </c>
      <c r="B54" s="242"/>
      <c r="C54" s="231">
        <f t="shared" si="9"/>
        <v>44927</v>
      </c>
      <c r="D54" s="65">
        <f t="shared" si="5"/>
        <v>0</v>
      </c>
      <c r="E54" s="65">
        <f t="shared" si="6"/>
        <v>0</v>
      </c>
      <c r="F54" s="65">
        <f t="shared" si="10"/>
        <v>0</v>
      </c>
      <c r="G54" s="65"/>
      <c r="H54" s="65"/>
      <c r="I54" s="228">
        <f t="shared" si="7"/>
        <v>0</v>
      </c>
      <c r="J54" s="29"/>
      <c r="K54" s="2657"/>
      <c r="L54" s="2658"/>
      <c r="M54" s="2658"/>
      <c r="N54" s="2658"/>
      <c r="O54" s="2658"/>
      <c r="P54" s="2659"/>
      <c r="Q54" s="28"/>
      <c r="R54" s="28"/>
      <c r="S54" s="28"/>
      <c r="T54" s="28"/>
      <c r="U54" s="28"/>
      <c r="V54" s="28"/>
      <c r="W54" s="28"/>
      <c r="X54" s="57"/>
    </row>
    <row r="55" spans="1:24" ht="13.5" thickBot="1">
      <c r="A55" s="230">
        <f t="shared" si="8"/>
        <v>6</v>
      </c>
      <c r="B55" s="242"/>
      <c r="C55" s="231">
        <f t="shared" si="9"/>
        <v>44958</v>
      </c>
      <c r="D55" s="65">
        <f t="shared" si="5"/>
        <v>0</v>
      </c>
      <c r="E55" s="65">
        <f t="shared" si="6"/>
        <v>0</v>
      </c>
      <c r="F55" s="65">
        <f t="shared" si="10"/>
        <v>0</v>
      </c>
      <c r="G55" s="65"/>
      <c r="H55" s="65"/>
      <c r="I55" s="228">
        <f t="shared" si="7"/>
        <v>0</v>
      </c>
      <c r="J55" s="29"/>
      <c r="K55" s="2664"/>
      <c r="L55" s="2665"/>
      <c r="M55" s="2665"/>
      <c r="N55" s="2665"/>
      <c r="O55" s="2665"/>
      <c r="P55" s="2666"/>
      <c r="Q55" s="28"/>
      <c r="R55" s="28"/>
      <c r="S55" s="28"/>
      <c r="T55" s="28"/>
      <c r="U55" s="28"/>
      <c r="V55" s="28"/>
      <c r="W55" s="28"/>
      <c r="X55" s="57"/>
    </row>
    <row r="56" spans="1:24">
      <c r="A56" s="230">
        <f t="shared" si="8"/>
        <v>7</v>
      </c>
      <c r="B56" s="242"/>
      <c r="C56" s="231">
        <f t="shared" si="9"/>
        <v>44986</v>
      </c>
      <c r="D56" s="65">
        <f t="shared" si="5"/>
        <v>0</v>
      </c>
      <c r="E56" s="65">
        <f t="shared" si="6"/>
        <v>0</v>
      </c>
      <c r="F56" s="65">
        <f t="shared" si="10"/>
        <v>0</v>
      </c>
      <c r="G56" s="65"/>
      <c r="H56" s="65"/>
      <c r="I56" s="228">
        <f t="shared" si="7"/>
        <v>0</v>
      </c>
      <c r="J56" s="29"/>
      <c r="K56" s="28"/>
      <c r="L56" s="28"/>
      <c r="M56" s="28"/>
      <c r="N56" s="28"/>
      <c r="O56" s="28"/>
      <c r="P56" s="28"/>
      <c r="Q56" s="28"/>
      <c r="R56" s="28"/>
      <c r="S56" s="28"/>
      <c r="T56" s="28"/>
      <c r="U56" s="28"/>
      <c r="V56" s="28"/>
      <c r="W56" s="28"/>
      <c r="X56" s="57"/>
    </row>
    <row r="57" spans="1:24">
      <c r="A57" s="230">
        <f t="shared" si="8"/>
        <v>8</v>
      </c>
      <c r="B57" s="242"/>
      <c r="C57" s="231">
        <f t="shared" si="9"/>
        <v>45017</v>
      </c>
      <c r="D57" s="65">
        <f t="shared" si="5"/>
        <v>0</v>
      </c>
      <c r="E57" s="65">
        <f t="shared" si="6"/>
        <v>0</v>
      </c>
      <c r="F57" s="65">
        <f t="shared" si="10"/>
        <v>0</v>
      </c>
      <c r="G57" s="65"/>
      <c r="H57" s="65"/>
      <c r="I57" s="228">
        <f t="shared" si="7"/>
        <v>0</v>
      </c>
      <c r="J57" s="29"/>
      <c r="K57" s="28"/>
      <c r="L57" s="28"/>
      <c r="M57" s="28"/>
      <c r="N57" s="28"/>
      <c r="O57" s="28"/>
      <c r="P57" s="28"/>
      <c r="Q57" s="28"/>
      <c r="R57" s="28"/>
      <c r="S57" s="28"/>
      <c r="T57" s="28"/>
      <c r="U57" s="28"/>
      <c r="V57" s="28"/>
      <c r="W57" s="28"/>
      <c r="X57" s="57"/>
    </row>
    <row r="58" spans="1:24">
      <c r="A58" s="230">
        <f t="shared" si="8"/>
        <v>9</v>
      </c>
      <c r="B58" s="242"/>
      <c r="C58" s="231">
        <f t="shared" si="9"/>
        <v>45047</v>
      </c>
      <c r="D58" s="65">
        <f t="shared" si="5"/>
        <v>0</v>
      </c>
      <c r="E58" s="65">
        <f t="shared" si="6"/>
        <v>0</v>
      </c>
      <c r="F58" s="65">
        <f t="shared" si="10"/>
        <v>0</v>
      </c>
      <c r="G58" s="65"/>
      <c r="H58" s="65"/>
      <c r="I58" s="228">
        <f t="shared" si="7"/>
        <v>0</v>
      </c>
      <c r="J58" s="29"/>
      <c r="K58" s="28"/>
      <c r="L58" s="28"/>
      <c r="M58" s="28"/>
      <c r="N58" s="28"/>
      <c r="O58" s="28"/>
      <c r="P58" s="28"/>
      <c r="Q58" s="28"/>
      <c r="R58" s="28"/>
      <c r="S58" s="28"/>
      <c r="T58" s="28"/>
      <c r="U58" s="28"/>
      <c r="V58" s="28"/>
      <c r="W58" s="28"/>
      <c r="X58" s="57"/>
    </row>
    <row r="59" spans="1:24">
      <c r="A59" s="230">
        <f t="shared" si="8"/>
        <v>10</v>
      </c>
      <c r="B59" s="242"/>
      <c r="C59" s="231">
        <f t="shared" si="9"/>
        <v>45078</v>
      </c>
      <c r="D59" s="65">
        <f t="shared" si="5"/>
        <v>0</v>
      </c>
      <c r="E59" s="65">
        <f t="shared" si="6"/>
        <v>0</v>
      </c>
      <c r="F59" s="65">
        <f t="shared" si="10"/>
        <v>0</v>
      </c>
      <c r="G59" s="65"/>
      <c r="H59" s="65"/>
      <c r="I59" s="228">
        <f t="shared" si="7"/>
        <v>0</v>
      </c>
      <c r="J59" s="29"/>
      <c r="K59" s="28"/>
      <c r="L59" s="28"/>
      <c r="M59" s="28"/>
      <c r="N59" s="28"/>
      <c r="O59" s="28"/>
      <c r="P59" s="28"/>
      <c r="Q59" s="28"/>
      <c r="R59" s="28"/>
      <c r="S59" s="28"/>
      <c r="T59" s="28"/>
      <c r="U59" s="28"/>
      <c r="V59" s="28"/>
      <c r="W59" s="28"/>
      <c r="X59" s="57"/>
    </row>
    <row r="60" spans="1:24">
      <c r="A60" s="230">
        <f t="shared" si="8"/>
        <v>11</v>
      </c>
      <c r="B60" s="242"/>
      <c r="C60" s="231">
        <f t="shared" si="9"/>
        <v>45108</v>
      </c>
      <c r="D60" s="65">
        <f t="shared" si="5"/>
        <v>0</v>
      </c>
      <c r="E60" s="65">
        <f t="shared" si="6"/>
        <v>0</v>
      </c>
      <c r="F60" s="65">
        <f t="shared" si="10"/>
        <v>0</v>
      </c>
      <c r="G60" s="65"/>
      <c r="H60" s="65"/>
      <c r="I60" s="228">
        <f t="shared" si="7"/>
        <v>0</v>
      </c>
      <c r="J60" s="1004"/>
      <c r="K60" s="28"/>
      <c r="L60" s="28"/>
      <c r="M60" s="28"/>
      <c r="N60" s="28"/>
      <c r="O60" s="28"/>
      <c r="P60" s="28"/>
      <c r="Q60" s="28"/>
      <c r="R60" s="28"/>
      <c r="S60" s="28"/>
      <c r="T60" s="28"/>
      <c r="U60" s="28"/>
      <c r="V60" s="28"/>
      <c r="W60" s="28"/>
      <c r="X60" s="57"/>
    </row>
    <row r="61" spans="1:24" ht="13.5" thickBot="1">
      <c r="A61" s="232">
        <f t="shared" si="8"/>
        <v>12</v>
      </c>
      <c r="B61" s="1884"/>
      <c r="C61" s="233">
        <f t="shared" si="9"/>
        <v>45139</v>
      </c>
      <c r="D61" s="234">
        <f t="shared" si="5"/>
        <v>0</v>
      </c>
      <c r="E61" s="234">
        <f t="shared" si="6"/>
        <v>0</v>
      </c>
      <c r="F61" s="234">
        <f t="shared" si="10"/>
        <v>0</v>
      </c>
      <c r="G61" s="234"/>
      <c r="H61" s="234"/>
      <c r="I61" s="235">
        <f t="shared" si="7"/>
        <v>0</v>
      </c>
      <c r="J61" s="29"/>
      <c r="K61" s="28"/>
      <c r="L61" s="28"/>
      <c r="M61" s="28"/>
      <c r="N61" s="28"/>
      <c r="O61" s="28"/>
      <c r="P61" s="28"/>
      <c r="Q61" s="28"/>
      <c r="R61" s="28"/>
      <c r="S61" s="28"/>
      <c r="T61" s="28"/>
      <c r="U61" s="28"/>
      <c r="V61" s="28"/>
      <c r="W61" s="28"/>
      <c r="X61" s="57"/>
    </row>
    <row r="62" spans="1:24">
      <c r="A62" s="236"/>
      <c r="B62" s="236"/>
      <c r="C62" s="237"/>
      <c r="D62" s="28"/>
      <c r="E62" s="28"/>
      <c r="F62" s="28"/>
      <c r="G62" s="28"/>
      <c r="H62" s="28"/>
      <c r="I62" s="28"/>
      <c r="J62" s="28"/>
      <c r="K62" s="28"/>
      <c r="L62" s="28"/>
      <c r="M62" s="28"/>
      <c r="N62" s="28"/>
      <c r="O62" s="28"/>
      <c r="P62" s="28"/>
      <c r="Q62" s="28"/>
      <c r="R62" s="28"/>
      <c r="S62" s="28"/>
      <c r="T62" s="28"/>
      <c r="U62" s="28"/>
      <c r="V62" s="28"/>
      <c r="W62" s="28"/>
      <c r="X62" s="57"/>
    </row>
    <row r="63" spans="1:24">
      <c r="A63" s="236"/>
      <c r="B63" s="236"/>
      <c r="C63" s="237"/>
      <c r="D63" s="28"/>
      <c r="E63" s="238"/>
      <c r="F63" s="28"/>
      <c r="G63" s="28"/>
      <c r="H63" s="28"/>
      <c r="I63" s="28"/>
      <c r="J63" s="28"/>
      <c r="K63" s="28"/>
      <c r="L63" s="28"/>
      <c r="M63" s="28"/>
      <c r="N63" s="28"/>
      <c r="O63" s="28"/>
      <c r="P63" s="28"/>
      <c r="Q63" s="28"/>
      <c r="R63" s="28"/>
      <c r="S63" s="28"/>
      <c r="T63" s="28"/>
      <c r="U63" s="28"/>
      <c r="V63" s="28"/>
      <c r="W63" s="28"/>
      <c r="X63" s="57"/>
    </row>
    <row r="64" spans="1:24">
      <c r="A64" s="258" t="s">
        <v>1852</v>
      </c>
      <c r="B64" s="258"/>
      <c r="C64" s="259"/>
      <c r="D64" s="259"/>
      <c r="E64" s="259"/>
      <c r="F64" s="259"/>
      <c r="G64" s="259"/>
      <c r="H64" s="259"/>
      <c r="I64" s="259"/>
      <c r="J64" s="259"/>
      <c r="K64" s="259"/>
      <c r="L64" s="28"/>
      <c r="M64" s="28"/>
      <c r="N64" s="28"/>
      <c r="O64" s="28"/>
      <c r="P64" s="28"/>
      <c r="Q64" s="28"/>
      <c r="R64" s="28"/>
      <c r="S64" s="28"/>
      <c r="T64" s="28"/>
      <c r="U64" s="28"/>
      <c r="V64" s="28"/>
      <c r="W64" s="28"/>
      <c r="X64" s="57"/>
    </row>
    <row r="65" spans="1:24" ht="13.5" thickBot="1">
      <c r="A65" s="242"/>
      <c r="B65" s="242"/>
    </row>
    <row r="66" spans="1:24" ht="13.5" thickBot="1">
      <c r="A66" s="1515" t="s">
        <v>1853</v>
      </c>
      <c r="B66" s="1515"/>
      <c r="I66" s="1525" t="s">
        <v>1854</v>
      </c>
      <c r="J66" s="1824"/>
      <c r="K66" s="3" t="s">
        <v>1855</v>
      </c>
    </row>
    <row r="67" spans="1:24">
      <c r="A67" s="1514"/>
      <c r="B67" s="1514"/>
      <c r="C67" s="209" t="s">
        <v>1856</v>
      </c>
      <c r="D67" s="2"/>
      <c r="E67" s="2"/>
      <c r="F67" s="2"/>
      <c r="G67" s="2"/>
      <c r="H67" s="2"/>
      <c r="I67" s="2"/>
      <c r="J67" s="2"/>
      <c r="K67" s="209" t="s">
        <v>1857</v>
      </c>
      <c r="L67" s="2"/>
      <c r="M67" s="2"/>
      <c r="N67" s="2"/>
      <c r="O67" s="2"/>
      <c r="P67" s="2"/>
    </row>
    <row r="68" spans="1:24" s="66" customFormat="1">
      <c r="A68" s="1907" t="s">
        <v>1858</v>
      </c>
      <c r="B68" s="1908"/>
      <c r="C68" s="1909" t="s">
        <v>1859</v>
      </c>
      <c r="D68" s="1910" t="s">
        <v>1860</v>
      </c>
      <c r="E68" s="1911" t="s">
        <v>1861</v>
      </c>
      <c r="F68" s="1911" t="s">
        <v>1862</v>
      </c>
      <c r="G68" s="1911" t="s">
        <v>1863</v>
      </c>
      <c r="H68" s="1911" t="s">
        <v>1864</v>
      </c>
      <c r="I68" s="1911" t="s">
        <v>1865</v>
      </c>
      <c r="J68" s="1911" t="s">
        <v>1866</v>
      </c>
      <c r="K68" s="1911" t="s">
        <v>1867</v>
      </c>
      <c r="L68" s="1911" t="s">
        <v>1868</v>
      </c>
      <c r="M68" s="1911" t="s">
        <v>1869</v>
      </c>
      <c r="N68" s="1911" t="s">
        <v>1864</v>
      </c>
      <c r="O68" s="1911" t="s">
        <v>1865</v>
      </c>
      <c r="P68" s="1912" t="s">
        <v>1870</v>
      </c>
      <c r="X68" s="217"/>
    </row>
    <row r="69" spans="1:24">
      <c r="A69" s="1885" t="str">
        <f>IF(E7="","",E7)</f>
        <v/>
      </c>
      <c r="B69" s="1886"/>
      <c r="C69" s="1887"/>
      <c r="D69" s="1888"/>
      <c r="E69" s="1889" t="str">
        <f>IF(C69="","",ROUND((C69*D69),0))</f>
        <v/>
      </c>
      <c r="F69" s="1890"/>
      <c r="G69" s="1891" t="str">
        <f>IF(F69="","",F69/E69)</f>
        <v/>
      </c>
      <c r="H69" s="1887"/>
      <c r="I69" s="1889" t="str">
        <f>IF(F69="","",F69+H69)</f>
        <v/>
      </c>
      <c r="J69" s="1889" t="str">
        <f>IF(I69="","",IF($J$66="","",ROUND((I69/$J$66),2)))</f>
        <v/>
      </c>
      <c r="K69" s="1887"/>
      <c r="L69" s="1889" t="str">
        <f>IF(K69="","",K69*D69)</f>
        <v/>
      </c>
      <c r="M69" s="1889" t="str">
        <f>IF(L69="","",L69*G69)</f>
        <v/>
      </c>
      <c r="N69" s="1887" t="str">
        <f>IF(H69="","",H69)</f>
        <v/>
      </c>
      <c r="O69" s="1889" t="str">
        <f>IF(M69="","",M69+N69)</f>
        <v/>
      </c>
      <c r="P69" s="1892" t="str">
        <f>IF(O69="","",IF($J$66="","",ROUND((O69/$J$66),2)))</f>
        <v/>
      </c>
    </row>
    <row r="70" spans="1:24">
      <c r="A70" s="1893" t="str">
        <f t="shared" ref="A70:A102" si="11">IF(E8="","",E8)</f>
        <v/>
      </c>
      <c r="B70" s="1894"/>
      <c r="C70" s="1895"/>
      <c r="D70" s="1896"/>
      <c r="E70" s="1897" t="str">
        <f t="shared" ref="E70:E102" si="12">IF(C70="","",ROUND((C70*D70),0))</f>
        <v/>
      </c>
      <c r="F70" s="1898"/>
      <c r="G70" s="1891" t="str">
        <f t="shared" ref="G70:G102" si="13">IF(F70="","",F70/E70)</f>
        <v/>
      </c>
      <c r="H70" s="1895"/>
      <c r="I70" s="1897" t="str">
        <f t="shared" ref="I70:I102" si="14">IF(F70="","",F70+H70)</f>
        <v/>
      </c>
      <c r="J70" s="1897" t="str">
        <f t="shared" ref="J70:J102" si="15">IF(I70="","",IF($J$66="","",ROUND((I70/$J$66),2)))</f>
        <v/>
      </c>
      <c r="K70" s="1895"/>
      <c r="L70" s="1897" t="str">
        <f t="shared" ref="L70:L102" si="16">IF(K70="","",K70*D70)</f>
        <v/>
      </c>
      <c r="M70" s="1897" t="str">
        <f t="shared" ref="M70:M102" si="17">IF(L70="","",L70*G70)</f>
        <v/>
      </c>
      <c r="N70" s="1895" t="str">
        <f t="shared" ref="N70:N102" si="18">IF(H70="","",H70)</f>
        <v/>
      </c>
      <c r="O70" s="1897" t="str">
        <f t="shared" ref="O70:O102" si="19">IF(M70="","",M70+N70)</f>
        <v/>
      </c>
      <c r="P70" s="1899" t="str">
        <f t="shared" ref="P70:P102" si="20">IF(O70="","",IF($J$66="","",ROUND((O70/$J$66),2)))</f>
        <v/>
      </c>
    </row>
    <row r="71" spans="1:24">
      <c r="A71" s="1893" t="str">
        <f t="shared" si="11"/>
        <v/>
      </c>
      <c r="B71" s="1894"/>
      <c r="C71" s="1895"/>
      <c r="D71" s="1896"/>
      <c r="E71" s="1897" t="str">
        <f t="shared" si="12"/>
        <v/>
      </c>
      <c r="F71" s="1898"/>
      <c r="G71" s="1891" t="str">
        <f t="shared" si="13"/>
        <v/>
      </c>
      <c r="H71" s="1895"/>
      <c r="I71" s="1897" t="str">
        <f t="shared" si="14"/>
        <v/>
      </c>
      <c r="J71" s="1897" t="str">
        <f t="shared" si="15"/>
        <v/>
      </c>
      <c r="K71" s="1895"/>
      <c r="L71" s="1897" t="str">
        <f t="shared" si="16"/>
        <v/>
      </c>
      <c r="M71" s="1897" t="str">
        <f t="shared" si="17"/>
        <v/>
      </c>
      <c r="N71" s="1895" t="str">
        <f t="shared" si="18"/>
        <v/>
      </c>
      <c r="O71" s="1897" t="str">
        <f t="shared" si="19"/>
        <v/>
      </c>
      <c r="P71" s="1899" t="str">
        <f t="shared" si="20"/>
        <v/>
      </c>
    </row>
    <row r="72" spans="1:24">
      <c r="A72" s="1893" t="str">
        <f t="shared" si="11"/>
        <v/>
      </c>
      <c r="B72" s="1894"/>
      <c r="C72" s="1895"/>
      <c r="D72" s="1896"/>
      <c r="E72" s="1897" t="str">
        <f t="shared" si="12"/>
        <v/>
      </c>
      <c r="F72" s="1898"/>
      <c r="G72" s="1891" t="str">
        <f t="shared" si="13"/>
        <v/>
      </c>
      <c r="H72" s="1895"/>
      <c r="I72" s="1897" t="str">
        <f t="shared" si="14"/>
        <v/>
      </c>
      <c r="J72" s="1897" t="str">
        <f t="shared" si="15"/>
        <v/>
      </c>
      <c r="K72" s="1895"/>
      <c r="L72" s="1897" t="str">
        <f t="shared" si="16"/>
        <v/>
      </c>
      <c r="M72" s="1897" t="str">
        <f t="shared" si="17"/>
        <v/>
      </c>
      <c r="N72" s="1895" t="str">
        <f t="shared" si="18"/>
        <v/>
      </c>
      <c r="O72" s="1897" t="str">
        <f t="shared" si="19"/>
        <v/>
      </c>
      <c r="P72" s="1899" t="str">
        <f t="shared" si="20"/>
        <v/>
      </c>
    </row>
    <row r="73" spans="1:24">
      <c r="A73" s="1893" t="str">
        <f t="shared" si="11"/>
        <v/>
      </c>
      <c r="B73" s="1894"/>
      <c r="C73" s="1895"/>
      <c r="D73" s="1896"/>
      <c r="E73" s="1897" t="str">
        <f t="shared" si="12"/>
        <v/>
      </c>
      <c r="F73" s="1898"/>
      <c r="G73" s="1891" t="str">
        <f t="shared" si="13"/>
        <v/>
      </c>
      <c r="H73" s="1895"/>
      <c r="I73" s="1897" t="str">
        <f t="shared" si="14"/>
        <v/>
      </c>
      <c r="J73" s="1897" t="str">
        <f t="shared" si="15"/>
        <v/>
      </c>
      <c r="K73" s="1895"/>
      <c r="L73" s="1897" t="str">
        <f t="shared" si="16"/>
        <v/>
      </c>
      <c r="M73" s="1897" t="str">
        <f t="shared" si="17"/>
        <v/>
      </c>
      <c r="N73" s="1895" t="str">
        <f t="shared" si="18"/>
        <v/>
      </c>
      <c r="O73" s="1897" t="str">
        <f t="shared" si="19"/>
        <v/>
      </c>
      <c r="P73" s="1899" t="str">
        <f t="shared" si="20"/>
        <v/>
      </c>
    </row>
    <row r="74" spans="1:24">
      <c r="A74" s="1893" t="str">
        <f t="shared" si="11"/>
        <v/>
      </c>
      <c r="B74" s="1894"/>
      <c r="C74" s="1895"/>
      <c r="D74" s="1896"/>
      <c r="E74" s="1897" t="str">
        <f t="shared" si="12"/>
        <v/>
      </c>
      <c r="F74" s="1898"/>
      <c r="G74" s="1891" t="str">
        <f t="shared" si="13"/>
        <v/>
      </c>
      <c r="H74" s="1895"/>
      <c r="I74" s="1897" t="str">
        <f t="shared" si="14"/>
        <v/>
      </c>
      <c r="J74" s="1897" t="str">
        <f t="shared" si="15"/>
        <v/>
      </c>
      <c r="K74" s="1895"/>
      <c r="L74" s="1897" t="str">
        <f t="shared" si="16"/>
        <v/>
      </c>
      <c r="M74" s="1897" t="str">
        <f t="shared" si="17"/>
        <v/>
      </c>
      <c r="N74" s="1895" t="str">
        <f t="shared" si="18"/>
        <v/>
      </c>
      <c r="O74" s="1897" t="str">
        <f t="shared" si="19"/>
        <v/>
      </c>
      <c r="P74" s="1899" t="str">
        <f t="shared" si="20"/>
        <v/>
      </c>
      <c r="R74" s="1527"/>
    </row>
    <row r="75" spans="1:24">
      <c r="A75" s="1893" t="str">
        <f t="shared" si="11"/>
        <v/>
      </c>
      <c r="B75" s="1894"/>
      <c r="C75" s="1895"/>
      <c r="D75" s="1896"/>
      <c r="E75" s="1897" t="str">
        <f t="shared" si="12"/>
        <v/>
      </c>
      <c r="F75" s="1898"/>
      <c r="G75" s="1891" t="str">
        <f t="shared" si="13"/>
        <v/>
      </c>
      <c r="H75" s="1895"/>
      <c r="I75" s="1897" t="str">
        <f t="shared" si="14"/>
        <v/>
      </c>
      <c r="J75" s="1897" t="str">
        <f t="shared" si="15"/>
        <v/>
      </c>
      <c r="K75" s="1895"/>
      <c r="L75" s="1897" t="str">
        <f t="shared" si="16"/>
        <v/>
      </c>
      <c r="M75" s="1897" t="str">
        <f t="shared" si="17"/>
        <v/>
      </c>
      <c r="N75" s="1895" t="str">
        <f t="shared" si="18"/>
        <v/>
      </c>
      <c r="O75" s="1897" t="str">
        <f t="shared" si="19"/>
        <v/>
      </c>
      <c r="P75" s="1899" t="str">
        <f t="shared" si="20"/>
        <v/>
      </c>
    </row>
    <row r="76" spans="1:24">
      <c r="A76" s="1893" t="str">
        <f t="shared" si="11"/>
        <v/>
      </c>
      <c r="B76" s="1894"/>
      <c r="C76" s="1895"/>
      <c r="D76" s="1896"/>
      <c r="E76" s="1897" t="str">
        <f t="shared" si="12"/>
        <v/>
      </c>
      <c r="F76" s="1898"/>
      <c r="G76" s="1891" t="str">
        <f t="shared" si="13"/>
        <v/>
      </c>
      <c r="H76" s="1895"/>
      <c r="I76" s="1897" t="str">
        <f t="shared" si="14"/>
        <v/>
      </c>
      <c r="J76" s="1897" t="str">
        <f t="shared" si="15"/>
        <v/>
      </c>
      <c r="K76" s="1895"/>
      <c r="L76" s="1897" t="str">
        <f t="shared" si="16"/>
        <v/>
      </c>
      <c r="M76" s="1897" t="str">
        <f t="shared" si="17"/>
        <v/>
      </c>
      <c r="N76" s="1895" t="str">
        <f t="shared" si="18"/>
        <v/>
      </c>
      <c r="O76" s="1897" t="str">
        <f t="shared" si="19"/>
        <v/>
      </c>
      <c r="P76" s="1899" t="str">
        <f t="shared" si="20"/>
        <v/>
      </c>
    </row>
    <row r="77" spans="1:24">
      <c r="A77" s="1893" t="str">
        <f t="shared" si="11"/>
        <v/>
      </c>
      <c r="B77" s="1894"/>
      <c r="C77" s="1895"/>
      <c r="D77" s="1896"/>
      <c r="E77" s="1897" t="str">
        <f t="shared" si="12"/>
        <v/>
      </c>
      <c r="F77" s="1898"/>
      <c r="G77" s="1891" t="str">
        <f t="shared" si="13"/>
        <v/>
      </c>
      <c r="H77" s="1895"/>
      <c r="I77" s="1897" t="str">
        <f t="shared" si="14"/>
        <v/>
      </c>
      <c r="J77" s="1897" t="str">
        <f t="shared" si="15"/>
        <v/>
      </c>
      <c r="K77" s="1895"/>
      <c r="L77" s="1897" t="str">
        <f t="shared" si="16"/>
        <v/>
      </c>
      <c r="M77" s="1897" t="str">
        <f t="shared" si="17"/>
        <v/>
      </c>
      <c r="N77" s="1895" t="str">
        <f t="shared" si="18"/>
        <v/>
      </c>
      <c r="O77" s="1897" t="str">
        <f t="shared" si="19"/>
        <v/>
      </c>
      <c r="P77" s="1899" t="str">
        <f t="shared" si="20"/>
        <v/>
      </c>
    </row>
    <row r="78" spans="1:24">
      <c r="A78" s="1893" t="str">
        <f t="shared" si="11"/>
        <v/>
      </c>
      <c r="B78" s="1894"/>
      <c r="C78" s="1895"/>
      <c r="D78" s="1896"/>
      <c r="E78" s="1897" t="str">
        <f t="shared" si="12"/>
        <v/>
      </c>
      <c r="F78" s="1898"/>
      <c r="G78" s="1891" t="str">
        <f t="shared" si="13"/>
        <v/>
      </c>
      <c r="H78" s="1895"/>
      <c r="I78" s="1897" t="str">
        <f t="shared" si="14"/>
        <v/>
      </c>
      <c r="J78" s="1897" t="str">
        <f t="shared" si="15"/>
        <v/>
      </c>
      <c r="K78" s="1895"/>
      <c r="L78" s="1897" t="str">
        <f t="shared" si="16"/>
        <v/>
      </c>
      <c r="M78" s="1897" t="str">
        <f t="shared" si="17"/>
        <v/>
      </c>
      <c r="N78" s="1895" t="str">
        <f t="shared" si="18"/>
        <v/>
      </c>
      <c r="O78" s="1897" t="str">
        <f t="shared" si="19"/>
        <v/>
      </c>
      <c r="P78" s="1899" t="str">
        <f t="shared" si="20"/>
        <v/>
      </c>
    </row>
    <row r="79" spans="1:24">
      <c r="A79" s="1893" t="str">
        <f t="shared" si="11"/>
        <v/>
      </c>
      <c r="B79" s="1894"/>
      <c r="C79" s="1895"/>
      <c r="D79" s="1896"/>
      <c r="E79" s="1897" t="str">
        <f t="shared" si="12"/>
        <v/>
      </c>
      <c r="F79" s="1898"/>
      <c r="G79" s="1891" t="str">
        <f t="shared" si="13"/>
        <v/>
      </c>
      <c r="H79" s="1895"/>
      <c r="I79" s="1897" t="str">
        <f t="shared" si="14"/>
        <v/>
      </c>
      <c r="J79" s="1897" t="str">
        <f t="shared" si="15"/>
        <v/>
      </c>
      <c r="K79" s="1895"/>
      <c r="L79" s="1897" t="str">
        <f t="shared" si="16"/>
        <v/>
      </c>
      <c r="M79" s="1897" t="str">
        <f t="shared" si="17"/>
        <v/>
      </c>
      <c r="N79" s="1895" t="str">
        <f t="shared" si="18"/>
        <v/>
      </c>
      <c r="O79" s="1897" t="str">
        <f t="shared" si="19"/>
        <v/>
      </c>
      <c r="P79" s="1899" t="str">
        <f t="shared" si="20"/>
        <v/>
      </c>
    </row>
    <row r="80" spans="1:24" outlineLevel="1">
      <c r="A80" s="1893" t="str">
        <f t="shared" si="11"/>
        <v/>
      </c>
      <c r="B80" s="1894"/>
      <c r="C80" s="1895"/>
      <c r="D80" s="1896"/>
      <c r="E80" s="1897" t="str">
        <f t="shared" si="12"/>
        <v/>
      </c>
      <c r="F80" s="1898"/>
      <c r="G80" s="1891" t="str">
        <f t="shared" si="13"/>
        <v/>
      </c>
      <c r="H80" s="1895"/>
      <c r="I80" s="1897" t="str">
        <f t="shared" si="14"/>
        <v/>
      </c>
      <c r="J80" s="1897" t="str">
        <f t="shared" si="15"/>
        <v/>
      </c>
      <c r="K80" s="1895"/>
      <c r="L80" s="1897" t="str">
        <f t="shared" si="16"/>
        <v/>
      </c>
      <c r="M80" s="1897" t="str">
        <f t="shared" si="17"/>
        <v/>
      </c>
      <c r="N80" s="1895" t="str">
        <f t="shared" si="18"/>
        <v/>
      </c>
      <c r="O80" s="1897" t="str">
        <f t="shared" si="19"/>
        <v/>
      </c>
      <c r="P80" s="1899" t="str">
        <f t="shared" si="20"/>
        <v/>
      </c>
    </row>
    <row r="81" spans="1:16" outlineLevel="1">
      <c r="A81" s="1893" t="str">
        <f t="shared" si="11"/>
        <v/>
      </c>
      <c r="B81" s="1894"/>
      <c r="C81" s="1895"/>
      <c r="D81" s="1896"/>
      <c r="E81" s="1897" t="str">
        <f t="shared" si="12"/>
        <v/>
      </c>
      <c r="F81" s="1898"/>
      <c r="G81" s="1891" t="str">
        <f t="shared" si="13"/>
        <v/>
      </c>
      <c r="H81" s="1895"/>
      <c r="I81" s="1897" t="str">
        <f t="shared" si="14"/>
        <v/>
      </c>
      <c r="J81" s="1897" t="str">
        <f t="shared" si="15"/>
        <v/>
      </c>
      <c r="K81" s="1895"/>
      <c r="L81" s="1897" t="str">
        <f t="shared" si="16"/>
        <v/>
      </c>
      <c r="M81" s="1897" t="str">
        <f t="shared" si="17"/>
        <v/>
      </c>
      <c r="N81" s="1895" t="str">
        <f t="shared" si="18"/>
        <v/>
      </c>
      <c r="O81" s="1897" t="str">
        <f t="shared" si="19"/>
        <v/>
      </c>
      <c r="P81" s="1899" t="str">
        <f t="shared" si="20"/>
        <v/>
      </c>
    </row>
    <row r="82" spans="1:16" outlineLevel="1">
      <c r="A82" s="1893" t="str">
        <f t="shared" si="11"/>
        <v/>
      </c>
      <c r="B82" s="1894"/>
      <c r="C82" s="1895"/>
      <c r="D82" s="1896"/>
      <c r="E82" s="1897" t="str">
        <f t="shared" si="12"/>
        <v/>
      </c>
      <c r="F82" s="1898"/>
      <c r="G82" s="1891" t="str">
        <f t="shared" si="13"/>
        <v/>
      </c>
      <c r="H82" s="1895"/>
      <c r="I82" s="1897" t="str">
        <f t="shared" si="14"/>
        <v/>
      </c>
      <c r="J82" s="1897" t="str">
        <f t="shared" si="15"/>
        <v/>
      </c>
      <c r="K82" s="1895"/>
      <c r="L82" s="1897" t="str">
        <f t="shared" si="16"/>
        <v/>
      </c>
      <c r="M82" s="1897" t="str">
        <f t="shared" si="17"/>
        <v/>
      </c>
      <c r="N82" s="1895" t="str">
        <f t="shared" si="18"/>
        <v/>
      </c>
      <c r="O82" s="1897" t="str">
        <f t="shared" si="19"/>
        <v/>
      </c>
      <c r="P82" s="1899" t="str">
        <f t="shared" si="20"/>
        <v/>
      </c>
    </row>
    <row r="83" spans="1:16" outlineLevel="1">
      <c r="A83" s="1893" t="str">
        <f t="shared" si="11"/>
        <v/>
      </c>
      <c r="B83" s="1894"/>
      <c r="C83" s="1895"/>
      <c r="D83" s="1896"/>
      <c r="E83" s="1897" t="str">
        <f t="shared" si="12"/>
        <v/>
      </c>
      <c r="F83" s="1898"/>
      <c r="G83" s="1891" t="str">
        <f t="shared" si="13"/>
        <v/>
      </c>
      <c r="H83" s="1895"/>
      <c r="I83" s="1897" t="str">
        <f t="shared" si="14"/>
        <v/>
      </c>
      <c r="J83" s="1897" t="str">
        <f t="shared" si="15"/>
        <v/>
      </c>
      <c r="K83" s="1895"/>
      <c r="L83" s="1897" t="str">
        <f t="shared" si="16"/>
        <v/>
      </c>
      <c r="M83" s="1897" t="str">
        <f t="shared" si="17"/>
        <v/>
      </c>
      <c r="N83" s="1895" t="str">
        <f t="shared" si="18"/>
        <v/>
      </c>
      <c r="O83" s="1897" t="str">
        <f t="shared" si="19"/>
        <v/>
      </c>
      <c r="P83" s="1899" t="str">
        <f t="shared" si="20"/>
        <v/>
      </c>
    </row>
    <row r="84" spans="1:16" outlineLevel="1">
      <c r="A84" s="1893" t="str">
        <f t="shared" si="11"/>
        <v/>
      </c>
      <c r="B84" s="1894"/>
      <c r="C84" s="1895"/>
      <c r="D84" s="1896"/>
      <c r="E84" s="1897" t="str">
        <f t="shared" si="12"/>
        <v/>
      </c>
      <c r="F84" s="1898"/>
      <c r="G84" s="1891" t="str">
        <f t="shared" si="13"/>
        <v/>
      </c>
      <c r="H84" s="1895"/>
      <c r="I84" s="1897" t="str">
        <f t="shared" si="14"/>
        <v/>
      </c>
      <c r="J84" s="1897" t="str">
        <f t="shared" si="15"/>
        <v/>
      </c>
      <c r="K84" s="1895"/>
      <c r="L84" s="1897" t="str">
        <f t="shared" si="16"/>
        <v/>
      </c>
      <c r="M84" s="1897" t="str">
        <f t="shared" si="17"/>
        <v/>
      </c>
      <c r="N84" s="1895" t="str">
        <f t="shared" si="18"/>
        <v/>
      </c>
      <c r="O84" s="1897" t="str">
        <f t="shared" si="19"/>
        <v/>
      </c>
      <c r="P84" s="1899" t="str">
        <f t="shared" si="20"/>
        <v/>
      </c>
    </row>
    <row r="85" spans="1:16" outlineLevel="1">
      <c r="A85" s="1893" t="str">
        <f t="shared" si="11"/>
        <v/>
      </c>
      <c r="B85" s="1894"/>
      <c r="C85" s="1895"/>
      <c r="D85" s="1896"/>
      <c r="E85" s="1897" t="str">
        <f t="shared" si="12"/>
        <v/>
      </c>
      <c r="F85" s="1898"/>
      <c r="G85" s="1891" t="str">
        <f t="shared" si="13"/>
        <v/>
      </c>
      <c r="H85" s="1895"/>
      <c r="I85" s="1897" t="str">
        <f t="shared" si="14"/>
        <v/>
      </c>
      <c r="J85" s="1897" t="str">
        <f t="shared" si="15"/>
        <v/>
      </c>
      <c r="K85" s="1895"/>
      <c r="L85" s="1897" t="str">
        <f t="shared" si="16"/>
        <v/>
      </c>
      <c r="M85" s="1897" t="str">
        <f t="shared" si="17"/>
        <v/>
      </c>
      <c r="N85" s="1895" t="str">
        <f t="shared" si="18"/>
        <v/>
      </c>
      <c r="O85" s="1897" t="str">
        <f t="shared" si="19"/>
        <v/>
      </c>
      <c r="P85" s="1899" t="str">
        <f t="shared" si="20"/>
        <v/>
      </c>
    </row>
    <row r="86" spans="1:16" outlineLevel="1">
      <c r="A86" s="1893" t="str">
        <f t="shared" si="11"/>
        <v/>
      </c>
      <c r="B86" s="1894"/>
      <c r="C86" s="1895"/>
      <c r="D86" s="1896"/>
      <c r="E86" s="1897" t="str">
        <f t="shared" si="12"/>
        <v/>
      </c>
      <c r="F86" s="1898"/>
      <c r="G86" s="1891" t="str">
        <f t="shared" si="13"/>
        <v/>
      </c>
      <c r="H86" s="1895"/>
      <c r="I86" s="1897" t="str">
        <f t="shared" si="14"/>
        <v/>
      </c>
      <c r="J86" s="1897" t="str">
        <f t="shared" si="15"/>
        <v/>
      </c>
      <c r="K86" s="1895"/>
      <c r="L86" s="1897" t="str">
        <f t="shared" si="16"/>
        <v/>
      </c>
      <c r="M86" s="1897" t="str">
        <f t="shared" si="17"/>
        <v/>
      </c>
      <c r="N86" s="1895" t="str">
        <f t="shared" si="18"/>
        <v/>
      </c>
      <c r="O86" s="1897" t="str">
        <f t="shared" si="19"/>
        <v/>
      </c>
      <c r="P86" s="1899" t="str">
        <f t="shared" si="20"/>
        <v/>
      </c>
    </row>
    <row r="87" spans="1:16" outlineLevel="1">
      <c r="A87" s="1893" t="str">
        <f t="shared" si="11"/>
        <v/>
      </c>
      <c r="B87" s="1894"/>
      <c r="C87" s="1895"/>
      <c r="D87" s="1896"/>
      <c r="E87" s="1897" t="str">
        <f t="shared" si="12"/>
        <v/>
      </c>
      <c r="F87" s="1898"/>
      <c r="G87" s="1891" t="str">
        <f t="shared" si="13"/>
        <v/>
      </c>
      <c r="H87" s="1895"/>
      <c r="I87" s="1897" t="str">
        <f t="shared" si="14"/>
        <v/>
      </c>
      <c r="J87" s="1897" t="str">
        <f t="shared" si="15"/>
        <v/>
      </c>
      <c r="K87" s="1895"/>
      <c r="L87" s="1897" t="str">
        <f t="shared" si="16"/>
        <v/>
      </c>
      <c r="M87" s="1897" t="str">
        <f t="shared" si="17"/>
        <v/>
      </c>
      <c r="N87" s="1895" t="str">
        <f t="shared" si="18"/>
        <v/>
      </c>
      <c r="O87" s="1897" t="str">
        <f t="shared" si="19"/>
        <v/>
      </c>
      <c r="P87" s="1899" t="str">
        <f t="shared" si="20"/>
        <v/>
      </c>
    </row>
    <row r="88" spans="1:16" outlineLevel="1">
      <c r="A88" s="1893" t="str">
        <f t="shared" si="11"/>
        <v/>
      </c>
      <c r="B88" s="1894"/>
      <c r="C88" s="1895"/>
      <c r="D88" s="1896"/>
      <c r="E88" s="1897" t="str">
        <f t="shared" si="12"/>
        <v/>
      </c>
      <c r="F88" s="1898"/>
      <c r="G88" s="1891" t="str">
        <f t="shared" si="13"/>
        <v/>
      </c>
      <c r="H88" s="1895"/>
      <c r="I88" s="1897" t="str">
        <f t="shared" si="14"/>
        <v/>
      </c>
      <c r="J88" s="1897" t="str">
        <f t="shared" si="15"/>
        <v/>
      </c>
      <c r="K88" s="1895"/>
      <c r="L88" s="1897" t="str">
        <f t="shared" si="16"/>
        <v/>
      </c>
      <c r="M88" s="1897" t="str">
        <f t="shared" si="17"/>
        <v/>
      </c>
      <c r="N88" s="1895" t="str">
        <f t="shared" si="18"/>
        <v/>
      </c>
      <c r="O88" s="1897" t="str">
        <f t="shared" si="19"/>
        <v/>
      </c>
      <c r="P88" s="1899" t="str">
        <f t="shared" si="20"/>
        <v/>
      </c>
    </row>
    <row r="89" spans="1:16" outlineLevel="1">
      <c r="A89" s="1893" t="str">
        <f t="shared" si="11"/>
        <v/>
      </c>
      <c r="B89" s="1894"/>
      <c r="C89" s="1895"/>
      <c r="D89" s="1896"/>
      <c r="E89" s="1897" t="str">
        <f t="shared" si="12"/>
        <v/>
      </c>
      <c r="F89" s="1898"/>
      <c r="G89" s="1891" t="str">
        <f t="shared" si="13"/>
        <v/>
      </c>
      <c r="H89" s="1895"/>
      <c r="I89" s="1897" t="str">
        <f t="shared" si="14"/>
        <v/>
      </c>
      <c r="J89" s="1897" t="str">
        <f t="shared" si="15"/>
        <v/>
      </c>
      <c r="K89" s="1895"/>
      <c r="L89" s="1897" t="str">
        <f t="shared" si="16"/>
        <v/>
      </c>
      <c r="M89" s="1897" t="str">
        <f t="shared" si="17"/>
        <v/>
      </c>
      <c r="N89" s="1895" t="str">
        <f t="shared" si="18"/>
        <v/>
      </c>
      <c r="O89" s="1897" t="str">
        <f t="shared" si="19"/>
        <v/>
      </c>
      <c r="P89" s="1899" t="str">
        <f t="shared" si="20"/>
        <v/>
      </c>
    </row>
    <row r="90" spans="1:16" outlineLevel="1">
      <c r="A90" s="1893" t="str">
        <f t="shared" si="11"/>
        <v/>
      </c>
      <c r="B90" s="1894"/>
      <c r="C90" s="1895"/>
      <c r="D90" s="1896"/>
      <c r="E90" s="1897" t="str">
        <f t="shared" si="12"/>
        <v/>
      </c>
      <c r="F90" s="1898"/>
      <c r="G90" s="1891" t="str">
        <f t="shared" si="13"/>
        <v/>
      </c>
      <c r="H90" s="1895"/>
      <c r="I90" s="1897" t="str">
        <f t="shared" si="14"/>
        <v/>
      </c>
      <c r="J90" s="1897" t="str">
        <f t="shared" si="15"/>
        <v/>
      </c>
      <c r="K90" s="1895"/>
      <c r="L90" s="1897" t="str">
        <f t="shared" si="16"/>
        <v/>
      </c>
      <c r="M90" s="1897" t="str">
        <f t="shared" si="17"/>
        <v/>
      </c>
      <c r="N90" s="1895" t="str">
        <f t="shared" si="18"/>
        <v/>
      </c>
      <c r="O90" s="1897" t="str">
        <f t="shared" si="19"/>
        <v/>
      </c>
      <c r="P90" s="1899" t="str">
        <f t="shared" si="20"/>
        <v/>
      </c>
    </row>
    <row r="91" spans="1:16" outlineLevel="1">
      <c r="A91" s="1893" t="str">
        <f t="shared" si="11"/>
        <v/>
      </c>
      <c r="B91" s="1894"/>
      <c r="C91" s="1895"/>
      <c r="D91" s="1896"/>
      <c r="E91" s="1897" t="str">
        <f t="shared" si="12"/>
        <v/>
      </c>
      <c r="F91" s="1898"/>
      <c r="G91" s="1891" t="str">
        <f t="shared" si="13"/>
        <v/>
      </c>
      <c r="H91" s="1895"/>
      <c r="I91" s="1897" t="str">
        <f t="shared" si="14"/>
        <v/>
      </c>
      <c r="J91" s="1897" t="str">
        <f t="shared" si="15"/>
        <v/>
      </c>
      <c r="K91" s="1895"/>
      <c r="L91" s="1897" t="str">
        <f t="shared" si="16"/>
        <v/>
      </c>
      <c r="M91" s="1897" t="str">
        <f t="shared" si="17"/>
        <v/>
      </c>
      <c r="N91" s="1895" t="str">
        <f t="shared" si="18"/>
        <v/>
      </c>
      <c r="O91" s="1897" t="str">
        <f t="shared" si="19"/>
        <v/>
      </c>
      <c r="P91" s="1899" t="str">
        <f t="shared" si="20"/>
        <v/>
      </c>
    </row>
    <row r="92" spans="1:16" outlineLevel="1">
      <c r="A92" s="1893" t="str">
        <f t="shared" si="11"/>
        <v/>
      </c>
      <c r="B92" s="1894"/>
      <c r="C92" s="1895"/>
      <c r="D92" s="1896"/>
      <c r="E92" s="1897" t="str">
        <f t="shared" si="12"/>
        <v/>
      </c>
      <c r="F92" s="1898"/>
      <c r="G92" s="1891" t="str">
        <f t="shared" si="13"/>
        <v/>
      </c>
      <c r="H92" s="1895"/>
      <c r="I92" s="1897" t="str">
        <f t="shared" si="14"/>
        <v/>
      </c>
      <c r="J92" s="1897" t="str">
        <f t="shared" si="15"/>
        <v/>
      </c>
      <c r="K92" s="1895"/>
      <c r="L92" s="1897" t="str">
        <f t="shared" si="16"/>
        <v/>
      </c>
      <c r="M92" s="1897" t="str">
        <f t="shared" si="17"/>
        <v/>
      </c>
      <c r="N92" s="1895" t="str">
        <f t="shared" si="18"/>
        <v/>
      </c>
      <c r="O92" s="1897" t="str">
        <f t="shared" si="19"/>
        <v/>
      </c>
      <c r="P92" s="1899" t="str">
        <f t="shared" si="20"/>
        <v/>
      </c>
    </row>
    <row r="93" spans="1:16" outlineLevel="1">
      <c r="A93" s="1893" t="str">
        <f t="shared" si="11"/>
        <v/>
      </c>
      <c r="B93" s="1894"/>
      <c r="C93" s="1895"/>
      <c r="D93" s="1896"/>
      <c r="E93" s="1897" t="str">
        <f t="shared" si="12"/>
        <v/>
      </c>
      <c r="F93" s="1898"/>
      <c r="G93" s="1891" t="str">
        <f t="shared" si="13"/>
        <v/>
      </c>
      <c r="H93" s="1895"/>
      <c r="I93" s="1897" t="str">
        <f t="shared" si="14"/>
        <v/>
      </c>
      <c r="J93" s="1897" t="str">
        <f t="shared" si="15"/>
        <v/>
      </c>
      <c r="K93" s="1895"/>
      <c r="L93" s="1897" t="str">
        <f t="shared" si="16"/>
        <v/>
      </c>
      <c r="M93" s="1897" t="str">
        <f t="shared" si="17"/>
        <v/>
      </c>
      <c r="N93" s="1895" t="str">
        <f t="shared" si="18"/>
        <v/>
      </c>
      <c r="O93" s="1897" t="str">
        <f t="shared" si="19"/>
        <v/>
      </c>
      <c r="P93" s="1899" t="str">
        <f t="shared" si="20"/>
        <v/>
      </c>
    </row>
    <row r="94" spans="1:16" outlineLevel="1">
      <c r="A94" s="1893" t="str">
        <f t="shared" si="11"/>
        <v/>
      </c>
      <c r="B94" s="1894"/>
      <c r="C94" s="1895"/>
      <c r="D94" s="1896"/>
      <c r="E94" s="1897" t="str">
        <f t="shared" si="12"/>
        <v/>
      </c>
      <c r="F94" s="1898"/>
      <c r="G94" s="1891" t="str">
        <f t="shared" si="13"/>
        <v/>
      </c>
      <c r="H94" s="1895"/>
      <c r="I94" s="1897" t="str">
        <f t="shared" si="14"/>
        <v/>
      </c>
      <c r="J94" s="1897" t="str">
        <f t="shared" si="15"/>
        <v/>
      </c>
      <c r="K94" s="1895"/>
      <c r="L94" s="1897" t="str">
        <f t="shared" si="16"/>
        <v/>
      </c>
      <c r="M94" s="1897" t="str">
        <f t="shared" si="17"/>
        <v/>
      </c>
      <c r="N94" s="1895" t="str">
        <f t="shared" si="18"/>
        <v/>
      </c>
      <c r="O94" s="1897" t="str">
        <f t="shared" si="19"/>
        <v/>
      </c>
      <c r="P94" s="1899" t="str">
        <f t="shared" si="20"/>
        <v/>
      </c>
    </row>
    <row r="95" spans="1:16" outlineLevel="1">
      <c r="A95" s="1893" t="str">
        <f t="shared" si="11"/>
        <v/>
      </c>
      <c r="B95" s="1894"/>
      <c r="C95" s="1895"/>
      <c r="D95" s="1896"/>
      <c r="E95" s="1897" t="str">
        <f t="shared" si="12"/>
        <v/>
      </c>
      <c r="F95" s="1898"/>
      <c r="G95" s="1891" t="str">
        <f t="shared" si="13"/>
        <v/>
      </c>
      <c r="H95" s="1895"/>
      <c r="I95" s="1897" t="str">
        <f t="shared" si="14"/>
        <v/>
      </c>
      <c r="J95" s="1897" t="str">
        <f t="shared" si="15"/>
        <v/>
      </c>
      <c r="K95" s="1895"/>
      <c r="L95" s="1897" t="str">
        <f t="shared" si="16"/>
        <v/>
      </c>
      <c r="M95" s="1897" t="str">
        <f t="shared" si="17"/>
        <v/>
      </c>
      <c r="N95" s="1895" t="str">
        <f t="shared" si="18"/>
        <v/>
      </c>
      <c r="O95" s="1897" t="str">
        <f t="shared" si="19"/>
        <v/>
      </c>
      <c r="P95" s="1899" t="str">
        <f t="shared" si="20"/>
        <v/>
      </c>
    </row>
    <row r="96" spans="1:16" outlineLevel="1">
      <c r="A96" s="1893" t="str">
        <f t="shared" si="11"/>
        <v/>
      </c>
      <c r="B96" s="1894"/>
      <c r="C96" s="1895"/>
      <c r="D96" s="1896"/>
      <c r="E96" s="1897" t="str">
        <f t="shared" si="12"/>
        <v/>
      </c>
      <c r="F96" s="1898"/>
      <c r="G96" s="1891" t="str">
        <f t="shared" si="13"/>
        <v/>
      </c>
      <c r="H96" s="1895"/>
      <c r="I96" s="1897" t="str">
        <f t="shared" si="14"/>
        <v/>
      </c>
      <c r="J96" s="1897" t="str">
        <f t="shared" si="15"/>
        <v/>
      </c>
      <c r="K96" s="1895"/>
      <c r="L96" s="1897" t="str">
        <f t="shared" si="16"/>
        <v/>
      </c>
      <c r="M96" s="1897" t="str">
        <f t="shared" si="17"/>
        <v/>
      </c>
      <c r="N96" s="1895" t="str">
        <f t="shared" si="18"/>
        <v/>
      </c>
      <c r="O96" s="1897" t="str">
        <f t="shared" si="19"/>
        <v/>
      </c>
      <c r="P96" s="1899" t="str">
        <f t="shared" si="20"/>
        <v/>
      </c>
    </row>
    <row r="97" spans="1:16" outlineLevel="1">
      <c r="A97" s="1893" t="str">
        <f t="shared" si="11"/>
        <v/>
      </c>
      <c r="B97" s="1894"/>
      <c r="C97" s="1895"/>
      <c r="D97" s="1896"/>
      <c r="E97" s="1897" t="str">
        <f t="shared" si="12"/>
        <v/>
      </c>
      <c r="F97" s="1898"/>
      <c r="G97" s="1891" t="str">
        <f t="shared" si="13"/>
        <v/>
      </c>
      <c r="H97" s="1895"/>
      <c r="I97" s="1897" t="str">
        <f t="shared" si="14"/>
        <v/>
      </c>
      <c r="J97" s="1897" t="str">
        <f t="shared" si="15"/>
        <v/>
      </c>
      <c r="K97" s="1895"/>
      <c r="L97" s="1897" t="str">
        <f t="shared" si="16"/>
        <v/>
      </c>
      <c r="M97" s="1897" t="str">
        <f t="shared" si="17"/>
        <v/>
      </c>
      <c r="N97" s="1895" t="str">
        <f t="shared" si="18"/>
        <v/>
      </c>
      <c r="O97" s="1897" t="str">
        <f t="shared" si="19"/>
        <v/>
      </c>
      <c r="P97" s="1899" t="str">
        <f t="shared" si="20"/>
        <v/>
      </c>
    </row>
    <row r="98" spans="1:16" outlineLevel="1">
      <c r="A98" s="1893" t="str">
        <f t="shared" si="11"/>
        <v/>
      </c>
      <c r="B98" s="1894"/>
      <c r="C98" s="1895"/>
      <c r="D98" s="1896"/>
      <c r="E98" s="1897" t="str">
        <f t="shared" si="12"/>
        <v/>
      </c>
      <c r="F98" s="1898"/>
      <c r="G98" s="1891" t="str">
        <f t="shared" si="13"/>
        <v/>
      </c>
      <c r="H98" s="1895"/>
      <c r="I98" s="1897" t="str">
        <f t="shared" si="14"/>
        <v/>
      </c>
      <c r="J98" s="1897" t="str">
        <f t="shared" si="15"/>
        <v/>
      </c>
      <c r="K98" s="1895"/>
      <c r="L98" s="1897" t="str">
        <f t="shared" si="16"/>
        <v/>
      </c>
      <c r="M98" s="1897" t="str">
        <f t="shared" si="17"/>
        <v/>
      </c>
      <c r="N98" s="1895" t="str">
        <f t="shared" si="18"/>
        <v/>
      </c>
      <c r="O98" s="1897" t="str">
        <f t="shared" si="19"/>
        <v/>
      </c>
      <c r="P98" s="1899" t="str">
        <f t="shared" si="20"/>
        <v/>
      </c>
    </row>
    <row r="99" spans="1:16" outlineLevel="1">
      <c r="A99" s="1893" t="str">
        <f t="shared" si="11"/>
        <v/>
      </c>
      <c r="B99" s="1894"/>
      <c r="C99" s="1895"/>
      <c r="D99" s="1896"/>
      <c r="E99" s="1897" t="str">
        <f t="shared" si="12"/>
        <v/>
      </c>
      <c r="F99" s="1898"/>
      <c r="G99" s="1891" t="str">
        <f t="shared" si="13"/>
        <v/>
      </c>
      <c r="H99" s="1895"/>
      <c r="I99" s="1897" t="str">
        <f t="shared" si="14"/>
        <v/>
      </c>
      <c r="J99" s="1897" t="str">
        <f t="shared" si="15"/>
        <v/>
      </c>
      <c r="K99" s="1895"/>
      <c r="L99" s="1897" t="str">
        <f t="shared" si="16"/>
        <v/>
      </c>
      <c r="M99" s="1897" t="str">
        <f t="shared" si="17"/>
        <v/>
      </c>
      <c r="N99" s="1895" t="str">
        <f t="shared" si="18"/>
        <v/>
      </c>
      <c r="O99" s="1897" t="str">
        <f t="shared" si="19"/>
        <v/>
      </c>
      <c r="P99" s="1899" t="str">
        <f t="shared" si="20"/>
        <v/>
      </c>
    </row>
    <row r="100" spans="1:16" outlineLevel="1">
      <c r="A100" s="1893" t="str">
        <f t="shared" si="11"/>
        <v/>
      </c>
      <c r="B100" s="1894"/>
      <c r="C100" s="1895"/>
      <c r="D100" s="1896"/>
      <c r="E100" s="1897" t="str">
        <f t="shared" si="12"/>
        <v/>
      </c>
      <c r="F100" s="1898"/>
      <c r="G100" s="1891" t="str">
        <f t="shared" si="13"/>
        <v/>
      </c>
      <c r="H100" s="1895"/>
      <c r="I100" s="1897" t="str">
        <f t="shared" si="14"/>
        <v/>
      </c>
      <c r="J100" s="1897" t="str">
        <f t="shared" si="15"/>
        <v/>
      </c>
      <c r="K100" s="1895"/>
      <c r="L100" s="1897" t="str">
        <f t="shared" si="16"/>
        <v/>
      </c>
      <c r="M100" s="1897" t="str">
        <f t="shared" si="17"/>
        <v/>
      </c>
      <c r="N100" s="1895" t="str">
        <f t="shared" si="18"/>
        <v/>
      </c>
      <c r="O100" s="1897" t="str">
        <f t="shared" si="19"/>
        <v/>
      </c>
      <c r="P100" s="1899" t="str">
        <f t="shared" si="20"/>
        <v/>
      </c>
    </row>
    <row r="101" spans="1:16" outlineLevel="1">
      <c r="A101" s="1893" t="str">
        <f t="shared" si="11"/>
        <v/>
      </c>
      <c r="B101" s="1894"/>
      <c r="C101" s="1895"/>
      <c r="D101" s="1896"/>
      <c r="E101" s="1897" t="str">
        <f t="shared" si="12"/>
        <v/>
      </c>
      <c r="F101" s="1898"/>
      <c r="G101" s="1891" t="str">
        <f t="shared" si="13"/>
        <v/>
      </c>
      <c r="H101" s="1895"/>
      <c r="I101" s="1897" t="str">
        <f t="shared" si="14"/>
        <v/>
      </c>
      <c r="J101" s="1897" t="str">
        <f t="shared" si="15"/>
        <v/>
      </c>
      <c r="K101" s="1895"/>
      <c r="L101" s="1897" t="str">
        <f t="shared" si="16"/>
        <v/>
      </c>
      <c r="M101" s="1897" t="str">
        <f t="shared" si="17"/>
        <v/>
      </c>
      <c r="N101" s="1895" t="str">
        <f t="shared" si="18"/>
        <v/>
      </c>
      <c r="O101" s="1897" t="str">
        <f t="shared" si="19"/>
        <v/>
      </c>
      <c r="P101" s="1899" t="str">
        <f t="shared" si="20"/>
        <v/>
      </c>
    </row>
    <row r="102" spans="1:16">
      <c r="A102" s="1900" t="str">
        <f t="shared" si="11"/>
        <v/>
      </c>
      <c r="B102" s="1901"/>
      <c r="C102" s="1902"/>
      <c r="D102" s="1903"/>
      <c r="E102" s="1904" t="str">
        <f t="shared" si="12"/>
        <v/>
      </c>
      <c r="F102" s="1905"/>
      <c r="G102" s="1891" t="str">
        <f t="shared" si="13"/>
        <v/>
      </c>
      <c r="H102" s="1902"/>
      <c r="I102" s="1904" t="str">
        <f t="shared" si="14"/>
        <v/>
      </c>
      <c r="J102" s="1904" t="str">
        <f t="shared" si="15"/>
        <v/>
      </c>
      <c r="K102" s="1902"/>
      <c r="L102" s="1904" t="str">
        <f t="shared" si="16"/>
        <v/>
      </c>
      <c r="M102" s="1904" t="str">
        <f t="shared" si="17"/>
        <v/>
      </c>
      <c r="N102" s="1902" t="str">
        <f t="shared" si="18"/>
        <v/>
      </c>
      <c r="O102" s="1904" t="str">
        <f t="shared" si="19"/>
        <v/>
      </c>
      <c r="P102" s="1906" t="str">
        <f t="shared" si="20"/>
        <v/>
      </c>
    </row>
    <row r="103" spans="1:16" s="2" customFormat="1">
      <c r="A103" s="1514" t="s">
        <v>324</v>
      </c>
      <c r="B103" s="1514"/>
      <c r="C103" s="1528">
        <f>SUM(C69:C102)</f>
        <v>0</v>
      </c>
      <c r="D103" s="1529">
        <f>IF(C103=0,0,E103/C103)</f>
        <v>0</v>
      </c>
      <c r="E103" s="1528">
        <f>SUM(E69:E102)</f>
        <v>0</v>
      </c>
      <c r="F103" s="1530">
        <f>SUM(F69:F102)</f>
        <v>0</v>
      </c>
      <c r="G103" s="1532">
        <f>IF(F103=0,0,F103/E103)</f>
        <v>0</v>
      </c>
      <c r="H103" s="1528">
        <f t="shared" ref="H103:P103" si="21">SUM(H69:H102)</f>
        <v>0</v>
      </c>
      <c r="I103" s="1528">
        <f t="shared" si="21"/>
        <v>0</v>
      </c>
      <c r="J103" s="1528">
        <f t="shared" si="21"/>
        <v>0</v>
      </c>
      <c r="K103" s="1528">
        <f t="shared" si="21"/>
        <v>0</v>
      </c>
      <c r="L103" s="1528">
        <f t="shared" si="21"/>
        <v>0</v>
      </c>
      <c r="M103" s="1528">
        <f t="shared" si="21"/>
        <v>0</v>
      </c>
      <c r="N103" s="1528">
        <f t="shared" si="21"/>
        <v>0</v>
      </c>
      <c r="O103" s="1528">
        <f t="shared" si="21"/>
        <v>0</v>
      </c>
      <c r="P103" s="1528">
        <f t="shared" si="21"/>
        <v>0</v>
      </c>
    </row>
    <row r="105" spans="1:16" ht="25.5">
      <c r="A105" s="209" t="s">
        <v>1871</v>
      </c>
      <c r="B105" s="209"/>
      <c r="F105" s="1534" t="s">
        <v>556</v>
      </c>
      <c r="G105" s="1826">
        <f>IF(INPUT!E129="","",INPUT!E129)</f>
        <v>44753</v>
      </c>
      <c r="H105" s="1535" t="s">
        <v>1872</v>
      </c>
      <c r="I105" s="1825">
        <v>43647</v>
      </c>
      <c r="J105" s="1535" t="s">
        <v>1873</v>
      </c>
      <c r="K105" s="1536">
        <f>I105-G105</f>
        <v>-1106</v>
      </c>
    </row>
    <row r="106" spans="1:16">
      <c r="A106" s="209"/>
      <c r="B106" s="209"/>
      <c r="G106" s="1533"/>
      <c r="H106" s="121"/>
      <c r="I106" s="121"/>
      <c r="J106" s="121"/>
    </row>
    <row r="107" spans="1:16">
      <c r="A107" s="217" t="s">
        <v>1829</v>
      </c>
      <c r="B107" s="217"/>
      <c r="C107" s="217" t="s">
        <v>1874</v>
      </c>
      <c r="D107" s="217" t="s">
        <v>1875</v>
      </c>
      <c r="E107" s="217" t="s">
        <v>1876</v>
      </c>
      <c r="F107" s="2" t="s">
        <v>1877</v>
      </c>
    </row>
    <row r="108" spans="1:16">
      <c r="A108" s="1103" t="str">
        <f>IF(E7="","",E7)</f>
        <v/>
      </c>
      <c r="B108" s="1103"/>
      <c r="C108" s="1526" t="str">
        <f>IF(E69="","",E69)</f>
        <v/>
      </c>
      <c r="D108" s="1526" t="str">
        <f>IF(L69="","",L69)</f>
        <v/>
      </c>
      <c r="E108" s="1526" t="str">
        <f>IF(D108="","",D108-C108)</f>
        <v/>
      </c>
      <c r="F108" s="1526" t="str">
        <f>IFERROR(((E108*G69)/365)*$K$105,"")</f>
        <v/>
      </c>
      <c r="G108" s="1531"/>
      <c r="H108" s="1531"/>
      <c r="I108" s="1531"/>
      <c r="J108" s="1531"/>
    </row>
    <row r="109" spans="1:16">
      <c r="A109" s="1103" t="str">
        <f t="shared" ref="A109:A141" si="22">IF(E8="","",E8)</f>
        <v/>
      </c>
      <c r="B109" s="1103"/>
      <c r="C109" s="1526" t="str">
        <f t="shared" ref="C109:C141" si="23">IF(E70="","",E70)</f>
        <v/>
      </c>
      <c r="D109" s="1526" t="str">
        <f t="shared" ref="D109:D141" si="24">IF(L70="","",L70)</f>
        <v/>
      </c>
      <c r="E109" s="1526" t="str">
        <f t="shared" ref="E109:E141" si="25">IF(D109="","",D109-C109)</f>
        <v/>
      </c>
      <c r="F109" s="1526" t="str">
        <f t="shared" ref="F109:F141" si="26">IFERROR(((E109*G70)/365)*$K$105,"")</f>
        <v/>
      </c>
      <c r="G109" s="1531"/>
      <c r="H109" s="1531"/>
      <c r="I109" s="1531"/>
      <c r="J109" s="1531"/>
    </row>
    <row r="110" spans="1:16">
      <c r="A110" s="1103" t="str">
        <f t="shared" si="22"/>
        <v/>
      </c>
      <c r="B110" s="1103"/>
      <c r="C110" s="1526" t="str">
        <f t="shared" si="23"/>
        <v/>
      </c>
      <c r="D110" s="1526" t="str">
        <f t="shared" si="24"/>
        <v/>
      </c>
      <c r="E110" s="1526" t="str">
        <f t="shared" si="25"/>
        <v/>
      </c>
      <c r="F110" s="1526" t="str">
        <f t="shared" si="26"/>
        <v/>
      </c>
      <c r="G110" s="1531"/>
      <c r="H110" s="1531"/>
      <c r="I110" s="1531"/>
      <c r="J110" s="1531"/>
    </row>
    <row r="111" spans="1:16">
      <c r="A111" s="1103" t="str">
        <f t="shared" si="22"/>
        <v/>
      </c>
      <c r="B111" s="1103"/>
      <c r="C111" s="1526" t="str">
        <f t="shared" si="23"/>
        <v/>
      </c>
      <c r="D111" s="1526" t="str">
        <f t="shared" si="24"/>
        <v/>
      </c>
      <c r="E111" s="1526" t="str">
        <f t="shared" si="25"/>
        <v/>
      </c>
      <c r="F111" s="1526" t="str">
        <f t="shared" si="26"/>
        <v/>
      </c>
      <c r="G111" s="1531"/>
      <c r="H111" s="1531"/>
      <c r="I111" s="1531"/>
      <c r="J111" s="1531"/>
    </row>
    <row r="112" spans="1:16">
      <c r="A112" s="1103" t="str">
        <f t="shared" si="22"/>
        <v/>
      </c>
      <c r="B112" s="1103"/>
      <c r="C112" s="1526" t="str">
        <f t="shared" si="23"/>
        <v/>
      </c>
      <c r="D112" s="1526" t="str">
        <f t="shared" si="24"/>
        <v/>
      </c>
      <c r="E112" s="1526" t="str">
        <f t="shared" si="25"/>
        <v/>
      </c>
      <c r="F112" s="1526" t="str">
        <f t="shared" si="26"/>
        <v/>
      </c>
      <c r="G112" s="1531"/>
      <c r="H112" s="1531"/>
      <c r="I112" s="1531"/>
      <c r="J112" s="1531"/>
    </row>
    <row r="113" spans="1:10">
      <c r="A113" s="1103" t="str">
        <f t="shared" si="22"/>
        <v/>
      </c>
      <c r="B113" s="1103"/>
      <c r="C113" s="1526" t="str">
        <f t="shared" si="23"/>
        <v/>
      </c>
      <c r="D113" s="1526" t="str">
        <f t="shared" si="24"/>
        <v/>
      </c>
      <c r="E113" s="1526" t="str">
        <f t="shared" si="25"/>
        <v/>
      </c>
      <c r="F113" s="1526" t="str">
        <f t="shared" si="26"/>
        <v/>
      </c>
      <c r="G113" s="1531"/>
      <c r="H113" s="1531"/>
      <c r="I113" s="1531"/>
      <c r="J113" s="1531"/>
    </row>
    <row r="114" spans="1:10">
      <c r="A114" s="1103" t="str">
        <f t="shared" si="22"/>
        <v/>
      </c>
      <c r="B114" s="1103"/>
      <c r="C114" s="1526" t="str">
        <f t="shared" si="23"/>
        <v/>
      </c>
      <c r="D114" s="1526" t="str">
        <f t="shared" si="24"/>
        <v/>
      </c>
      <c r="E114" s="1526" t="str">
        <f t="shared" si="25"/>
        <v/>
      </c>
      <c r="F114" s="1526" t="str">
        <f t="shared" si="26"/>
        <v/>
      </c>
      <c r="G114" s="1531"/>
      <c r="H114" s="1531"/>
      <c r="I114" s="1531"/>
      <c r="J114" s="1531"/>
    </row>
    <row r="115" spans="1:10">
      <c r="A115" s="1103" t="str">
        <f t="shared" si="22"/>
        <v/>
      </c>
      <c r="B115" s="1103"/>
      <c r="C115" s="1526" t="str">
        <f t="shared" si="23"/>
        <v/>
      </c>
      <c r="D115" s="1526" t="str">
        <f t="shared" si="24"/>
        <v/>
      </c>
      <c r="E115" s="1526" t="str">
        <f t="shared" si="25"/>
        <v/>
      </c>
      <c r="F115" s="1526" t="str">
        <f t="shared" si="26"/>
        <v/>
      </c>
      <c r="G115" s="1531"/>
      <c r="H115" s="1531"/>
      <c r="I115" s="1531"/>
      <c r="J115" s="1531"/>
    </row>
    <row r="116" spans="1:10">
      <c r="A116" s="1103" t="str">
        <f t="shared" si="22"/>
        <v/>
      </c>
      <c r="B116" s="1103"/>
      <c r="C116" s="1526" t="str">
        <f t="shared" si="23"/>
        <v/>
      </c>
      <c r="D116" s="1526" t="str">
        <f t="shared" si="24"/>
        <v/>
      </c>
      <c r="E116" s="1526" t="str">
        <f t="shared" si="25"/>
        <v/>
      </c>
      <c r="F116" s="1526" t="str">
        <f t="shared" si="26"/>
        <v/>
      </c>
      <c r="G116" s="1531"/>
      <c r="H116" s="1531"/>
      <c r="I116" s="1531"/>
      <c r="J116" s="1531"/>
    </row>
    <row r="117" spans="1:10">
      <c r="A117" s="1103" t="str">
        <f t="shared" si="22"/>
        <v/>
      </c>
      <c r="B117" s="1103"/>
      <c r="C117" s="1526" t="str">
        <f t="shared" si="23"/>
        <v/>
      </c>
      <c r="D117" s="1526" t="str">
        <f t="shared" si="24"/>
        <v/>
      </c>
      <c r="E117" s="1526" t="str">
        <f t="shared" si="25"/>
        <v/>
      </c>
      <c r="F117" s="1526" t="str">
        <f t="shared" si="26"/>
        <v/>
      </c>
      <c r="G117" s="1531"/>
      <c r="H117" s="1531"/>
      <c r="I117" s="1531"/>
      <c r="J117" s="1531"/>
    </row>
    <row r="118" spans="1:10">
      <c r="A118" s="1103" t="str">
        <f t="shared" si="22"/>
        <v/>
      </c>
      <c r="B118" s="1103"/>
      <c r="C118" s="1526" t="str">
        <f t="shared" si="23"/>
        <v/>
      </c>
      <c r="D118" s="1526" t="str">
        <f t="shared" si="24"/>
        <v/>
      </c>
      <c r="E118" s="1526" t="str">
        <f t="shared" si="25"/>
        <v/>
      </c>
      <c r="F118" s="1526" t="str">
        <f t="shared" si="26"/>
        <v/>
      </c>
      <c r="G118" s="1531"/>
      <c r="H118" s="1531"/>
      <c r="I118" s="1531"/>
      <c r="J118" s="1531"/>
    </row>
    <row r="119" spans="1:10">
      <c r="A119" s="1103" t="str">
        <f t="shared" si="22"/>
        <v/>
      </c>
      <c r="B119" s="1103"/>
      <c r="C119" s="1526" t="str">
        <f t="shared" si="23"/>
        <v/>
      </c>
      <c r="D119" s="1526" t="str">
        <f t="shared" si="24"/>
        <v/>
      </c>
      <c r="E119" s="1526" t="str">
        <f t="shared" si="25"/>
        <v/>
      </c>
      <c r="F119" s="1526" t="str">
        <f t="shared" si="26"/>
        <v/>
      </c>
      <c r="G119" s="1531"/>
      <c r="H119" s="1531"/>
      <c r="I119" s="1531"/>
      <c r="J119" s="1531"/>
    </row>
    <row r="120" spans="1:10">
      <c r="A120" s="1103" t="str">
        <f t="shared" si="22"/>
        <v/>
      </c>
      <c r="B120" s="1103"/>
      <c r="C120" s="1526" t="str">
        <f t="shared" si="23"/>
        <v/>
      </c>
      <c r="D120" s="1526" t="str">
        <f t="shared" si="24"/>
        <v/>
      </c>
      <c r="E120" s="1526" t="str">
        <f t="shared" si="25"/>
        <v/>
      </c>
      <c r="F120" s="1526" t="str">
        <f t="shared" si="26"/>
        <v/>
      </c>
      <c r="G120" s="1531"/>
      <c r="H120" s="1531"/>
      <c r="I120" s="1531"/>
      <c r="J120" s="1531"/>
    </row>
    <row r="121" spans="1:10">
      <c r="A121" s="1103" t="str">
        <f t="shared" si="22"/>
        <v/>
      </c>
      <c r="B121" s="1103"/>
      <c r="C121" s="1526" t="str">
        <f t="shared" si="23"/>
        <v/>
      </c>
      <c r="D121" s="1526" t="str">
        <f t="shared" si="24"/>
        <v/>
      </c>
      <c r="E121" s="1526" t="str">
        <f t="shared" si="25"/>
        <v/>
      </c>
      <c r="F121" s="1526" t="str">
        <f t="shared" si="26"/>
        <v/>
      </c>
      <c r="G121" s="1531"/>
      <c r="H121" s="1531"/>
      <c r="I121" s="1531"/>
      <c r="J121" s="1531"/>
    </row>
    <row r="122" spans="1:10">
      <c r="A122" s="1103" t="str">
        <f t="shared" si="22"/>
        <v/>
      </c>
      <c r="B122" s="1103"/>
      <c r="C122" s="1526" t="str">
        <f t="shared" si="23"/>
        <v/>
      </c>
      <c r="D122" s="1526" t="str">
        <f t="shared" si="24"/>
        <v/>
      </c>
      <c r="E122" s="1526" t="str">
        <f t="shared" si="25"/>
        <v/>
      </c>
      <c r="F122" s="1526" t="str">
        <f t="shared" si="26"/>
        <v/>
      </c>
      <c r="G122" s="1531"/>
      <c r="H122" s="1531"/>
      <c r="I122" s="1531"/>
      <c r="J122" s="1531"/>
    </row>
    <row r="123" spans="1:10">
      <c r="A123" s="1103" t="str">
        <f t="shared" si="22"/>
        <v/>
      </c>
      <c r="B123" s="1103"/>
      <c r="C123" s="1526" t="str">
        <f t="shared" si="23"/>
        <v/>
      </c>
      <c r="D123" s="1526" t="str">
        <f t="shared" si="24"/>
        <v/>
      </c>
      <c r="E123" s="1526" t="str">
        <f t="shared" si="25"/>
        <v/>
      </c>
      <c r="F123" s="1526" t="str">
        <f t="shared" si="26"/>
        <v/>
      </c>
      <c r="G123" s="1531"/>
      <c r="H123" s="1531"/>
      <c r="I123" s="1531"/>
      <c r="J123" s="1531"/>
    </row>
    <row r="124" spans="1:10">
      <c r="A124" s="1103" t="str">
        <f t="shared" si="22"/>
        <v/>
      </c>
      <c r="B124" s="1103"/>
      <c r="C124" s="1526" t="str">
        <f t="shared" si="23"/>
        <v/>
      </c>
      <c r="D124" s="1526" t="str">
        <f t="shared" si="24"/>
        <v/>
      </c>
      <c r="E124" s="1526" t="str">
        <f t="shared" si="25"/>
        <v/>
      </c>
      <c r="F124" s="1526" t="str">
        <f t="shared" si="26"/>
        <v/>
      </c>
      <c r="G124" s="1531"/>
      <c r="H124" s="1531"/>
      <c r="I124" s="1531"/>
      <c r="J124" s="1531"/>
    </row>
    <row r="125" spans="1:10">
      <c r="A125" s="1103" t="str">
        <f t="shared" si="22"/>
        <v/>
      </c>
      <c r="B125" s="1103"/>
      <c r="C125" s="1526" t="str">
        <f t="shared" si="23"/>
        <v/>
      </c>
      <c r="D125" s="1526" t="str">
        <f t="shared" si="24"/>
        <v/>
      </c>
      <c r="E125" s="1526" t="str">
        <f t="shared" si="25"/>
        <v/>
      </c>
      <c r="F125" s="1526" t="str">
        <f t="shared" si="26"/>
        <v/>
      </c>
      <c r="G125" s="1531"/>
      <c r="H125" s="1531"/>
      <c r="I125" s="1531"/>
      <c r="J125" s="1531"/>
    </row>
    <row r="126" spans="1:10">
      <c r="A126" s="1103" t="str">
        <f t="shared" si="22"/>
        <v/>
      </c>
      <c r="B126" s="1103"/>
      <c r="C126" s="1526" t="str">
        <f t="shared" si="23"/>
        <v/>
      </c>
      <c r="D126" s="1526" t="str">
        <f t="shared" si="24"/>
        <v/>
      </c>
      <c r="E126" s="1526" t="str">
        <f t="shared" si="25"/>
        <v/>
      </c>
      <c r="F126" s="1526" t="str">
        <f t="shared" si="26"/>
        <v/>
      </c>
      <c r="G126" s="1531"/>
      <c r="H126" s="1531"/>
      <c r="I126" s="1531"/>
      <c r="J126" s="1531"/>
    </row>
    <row r="127" spans="1:10">
      <c r="A127" s="1103" t="str">
        <f t="shared" si="22"/>
        <v/>
      </c>
      <c r="B127" s="1103"/>
      <c r="C127" s="1526" t="str">
        <f t="shared" si="23"/>
        <v/>
      </c>
      <c r="D127" s="1526" t="str">
        <f t="shared" si="24"/>
        <v/>
      </c>
      <c r="E127" s="1526" t="str">
        <f t="shared" si="25"/>
        <v/>
      </c>
      <c r="F127" s="1526" t="str">
        <f t="shared" si="26"/>
        <v/>
      </c>
      <c r="G127" s="1531"/>
      <c r="H127" s="1531"/>
      <c r="I127" s="1531"/>
      <c r="J127" s="1531"/>
    </row>
    <row r="128" spans="1:10">
      <c r="A128" s="1103" t="str">
        <f t="shared" si="22"/>
        <v/>
      </c>
      <c r="B128" s="1103"/>
      <c r="C128" s="1526" t="str">
        <f t="shared" si="23"/>
        <v/>
      </c>
      <c r="D128" s="1526" t="str">
        <f t="shared" si="24"/>
        <v/>
      </c>
      <c r="E128" s="1526" t="str">
        <f t="shared" si="25"/>
        <v/>
      </c>
      <c r="F128" s="1526" t="str">
        <f t="shared" si="26"/>
        <v/>
      </c>
      <c r="G128" s="1531"/>
      <c r="H128" s="1531"/>
      <c r="I128" s="1531"/>
      <c r="J128" s="1531"/>
    </row>
    <row r="129" spans="1:10">
      <c r="A129" s="1103" t="str">
        <f t="shared" si="22"/>
        <v/>
      </c>
      <c r="B129" s="1103"/>
      <c r="C129" s="1526" t="str">
        <f t="shared" si="23"/>
        <v/>
      </c>
      <c r="D129" s="1526" t="str">
        <f t="shared" si="24"/>
        <v/>
      </c>
      <c r="E129" s="1526" t="str">
        <f t="shared" si="25"/>
        <v/>
      </c>
      <c r="F129" s="1526" t="str">
        <f t="shared" si="26"/>
        <v/>
      </c>
      <c r="G129" s="1531"/>
      <c r="H129" s="1531"/>
      <c r="I129" s="1531"/>
      <c r="J129" s="1531"/>
    </row>
    <row r="130" spans="1:10">
      <c r="A130" s="1103" t="str">
        <f t="shared" si="22"/>
        <v/>
      </c>
      <c r="B130" s="1103"/>
      <c r="C130" s="1526" t="str">
        <f t="shared" si="23"/>
        <v/>
      </c>
      <c r="D130" s="1526" t="str">
        <f t="shared" si="24"/>
        <v/>
      </c>
      <c r="E130" s="1526" t="str">
        <f t="shared" si="25"/>
        <v/>
      </c>
      <c r="F130" s="1526" t="str">
        <f t="shared" si="26"/>
        <v/>
      </c>
      <c r="G130" s="1531"/>
      <c r="H130" s="1531"/>
      <c r="I130" s="1531"/>
      <c r="J130" s="1531"/>
    </row>
    <row r="131" spans="1:10">
      <c r="A131" s="1103" t="str">
        <f t="shared" si="22"/>
        <v/>
      </c>
      <c r="B131" s="1103"/>
      <c r="C131" s="1526" t="str">
        <f t="shared" si="23"/>
        <v/>
      </c>
      <c r="D131" s="1526" t="str">
        <f t="shared" si="24"/>
        <v/>
      </c>
      <c r="E131" s="1526" t="str">
        <f t="shared" si="25"/>
        <v/>
      </c>
      <c r="F131" s="1526" t="str">
        <f t="shared" si="26"/>
        <v/>
      </c>
      <c r="G131" s="1531"/>
      <c r="H131" s="1531"/>
      <c r="I131" s="1531"/>
      <c r="J131" s="1531"/>
    </row>
    <row r="132" spans="1:10">
      <c r="A132" s="1103" t="str">
        <f t="shared" si="22"/>
        <v/>
      </c>
      <c r="B132" s="1103"/>
      <c r="C132" s="1526" t="str">
        <f t="shared" si="23"/>
        <v/>
      </c>
      <c r="D132" s="1526" t="str">
        <f t="shared" si="24"/>
        <v/>
      </c>
      <c r="E132" s="1526" t="str">
        <f t="shared" si="25"/>
        <v/>
      </c>
      <c r="F132" s="1526" t="str">
        <f t="shared" si="26"/>
        <v/>
      </c>
      <c r="G132" s="1531"/>
      <c r="H132" s="1531"/>
      <c r="I132" s="1531"/>
      <c r="J132" s="1531"/>
    </row>
    <row r="133" spans="1:10">
      <c r="A133" s="1103" t="str">
        <f t="shared" si="22"/>
        <v/>
      </c>
      <c r="B133" s="1103"/>
      <c r="C133" s="1526" t="str">
        <f t="shared" si="23"/>
        <v/>
      </c>
      <c r="D133" s="1526" t="str">
        <f t="shared" si="24"/>
        <v/>
      </c>
      <c r="E133" s="1526" t="str">
        <f t="shared" si="25"/>
        <v/>
      </c>
      <c r="F133" s="1526" t="str">
        <f t="shared" si="26"/>
        <v/>
      </c>
      <c r="G133" s="1531"/>
      <c r="H133" s="1531"/>
      <c r="I133" s="1531"/>
      <c r="J133" s="1531"/>
    </row>
    <row r="134" spans="1:10">
      <c r="A134" s="1103" t="str">
        <f t="shared" si="22"/>
        <v/>
      </c>
      <c r="B134" s="1103"/>
      <c r="C134" s="1526" t="str">
        <f t="shared" si="23"/>
        <v/>
      </c>
      <c r="D134" s="1526" t="str">
        <f t="shared" si="24"/>
        <v/>
      </c>
      <c r="E134" s="1526" t="str">
        <f t="shared" si="25"/>
        <v/>
      </c>
      <c r="F134" s="1526" t="str">
        <f t="shared" si="26"/>
        <v/>
      </c>
      <c r="G134" s="1531"/>
      <c r="H134" s="1531"/>
      <c r="I134" s="1531"/>
      <c r="J134" s="1531"/>
    </row>
    <row r="135" spans="1:10">
      <c r="A135" s="1103" t="str">
        <f t="shared" si="22"/>
        <v/>
      </c>
      <c r="B135" s="1103"/>
      <c r="C135" s="1526" t="str">
        <f t="shared" si="23"/>
        <v/>
      </c>
      <c r="D135" s="1526" t="str">
        <f t="shared" si="24"/>
        <v/>
      </c>
      <c r="E135" s="1526" t="str">
        <f t="shared" si="25"/>
        <v/>
      </c>
      <c r="F135" s="1526" t="str">
        <f t="shared" si="26"/>
        <v/>
      </c>
      <c r="G135" s="1531"/>
      <c r="H135" s="1531"/>
      <c r="I135" s="1531"/>
      <c r="J135" s="1531"/>
    </row>
    <row r="136" spans="1:10">
      <c r="A136" s="1103" t="str">
        <f t="shared" si="22"/>
        <v/>
      </c>
      <c r="B136" s="1103"/>
      <c r="C136" s="1526" t="str">
        <f t="shared" si="23"/>
        <v/>
      </c>
      <c r="D136" s="1526" t="str">
        <f t="shared" si="24"/>
        <v/>
      </c>
      <c r="E136" s="1526" t="str">
        <f t="shared" si="25"/>
        <v/>
      </c>
      <c r="F136" s="1526" t="str">
        <f t="shared" si="26"/>
        <v/>
      </c>
      <c r="G136" s="1531"/>
      <c r="H136" s="1531"/>
      <c r="I136" s="1531"/>
      <c r="J136" s="1531"/>
    </row>
    <row r="137" spans="1:10">
      <c r="A137" s="1103" t="str">
        <f t="shared" si="22"/>
        <v/>
      </c>
      <c r="B137" s="1103"/>
      <c r="C137" s="1526" t="str">
        <f t="shared" si="23"/>
        <v/>
      </c>
      <c r="D137" s="1526" t="str">
        <f t="shared" si="24"/>
        <v/>
      </c>
      <c r="E137" s="1526" t="str">
        <f t="shared" si="25"/>
        <v/>
      </c>
      <c r="F137" s="1526" t="str">
        <f t="shared" si="26"/>
        <v/>
      </c>
      <c r="G137" s="1531"/>
      <c r="H137" s="1531"/>
      <c r="I137" s="1531"/>
      <c r="J137" s="1531"/>
    </row>
    <row r="138" spans="1:10">
      <c r="A138" s="1103" t="str">
        <f t="shared" si="22"/>
        <v/>
      </c>
      <c r="B138" s="1103"/>
      <c r="C138" s="1526" t="str">
        <f t="shared" si="23"/>
        <v/>
      </c>
      <c r="D138" s="1526" t="str">
        <f t="shared" si="24"/>
        <v/>
      </c>
      <c r="E138" s="1526" t="str">
        <f t="shared" si="25"/>
        <v/>
      </c>
      <c r="F138" s="1526" t="str">
        <f t="shared" si="26"/>
        <v/>
      </c>
      <c r="G138" s="1531"/>
      <c r="H138" s="1531"/>
      <c r="I138" s="1531"/>
      <c r="J138" s="1531"/>
    </row>
    <row r="139" spans="1:10">
      <c r="A139" s="1103" t="str">
        <f t="shared" si="22"/>
        <v/>
      </c>
      <c r="B139" s="1103"/>
      <c r="C139" s="1526" t="str">
        <f t="shared" si="23"/>
        <v/>
      </c>
      <c r="D139" s="1526" t="str">
        <f t="shared" si="24"/>
        <v/>
      </c>
      <c r="E139" s="1526" t="str">
        <f t="shared" si="25"/>
        <v/>
      </c>
      <c r="F139" s="1526" t="str">
        <f t="shared" si="26"/>
        <v/>
      </c>
      <c r="G139" s="1531"/>
      <c r="H139" s="1531"/>
      <c r="I139" s="1531"/>
      <c r="J139" s="1531"/>
    </row>
    <row r="140" spans="1:10">
      <c r="A140" s="1103" t="str">
        <f t="shared" si="22"/>
        <v/>
      </c>
      <c r="B140" s="1103"/>
      <c r="C140" s="1526" t="str">
        <f t="shared" si="23"/>
        <v/>
      </c>
      <c r="D140" s="1526" t="str">
        <f t="shared" si="24"/>
        <v/>
      </c>
      <c r="E140" s="1526" t="str">
        <f t="shared" si="25"/>
        <v/>
      </c>
      <c r="F140" s="1526" t="str">
        <f t="shared" si="26"/>
        <v/>
      </c>
      <c r="G140" s="1531"/>
      <c r="H140" s="1531"/>
      <c r="I140" s="1531"/>
      <c r="J140" s="1531"/>
    </row>
    <row r="141" spans="1:10">
      <c r="A141" s="1103" t="str">
        <f t="shared" si="22"/>
        <v/>
      </c>
      <c r="B141" s="1103"/>
      <c r="C141" s="1526" t="str">
        <f t="shared" si="23"/>
        <v/>
      </c>
      <c r="D141" s="1526" t="str">
        <f t="shared" si="24"/>
        <v/>
      </c>
      <c r="E141" s="1526" t="str">
        <f t="shared" si="25"/>
        <v/>
      </c>
      <c r="F141" s="1526" t="str">
        <f t="shared" si="26"/>
        <v/>
      </c>
      <c r="G141" s="1531"/>
      <c r="H141" s="1531"/>
      <c r="I141" s="1531"/>
      <c r="J141" s="1531"/>
    </row>
    <row r="142" spans="1:10">
      <c r="A142" s="57" t="s">
        <v>375</v>
      </c>
      <c r="B142" s="57"/>
      <c r="C142" s="57"/>
      <c r="D142" s="2"/>
      <c r="E142" s="2"/>
      <c r="F142" s="2"/>
    </row>
    <row r="143" spans="1:10">
      <c r="A143" s="28"/>
      <c r="B143" s="28"/>
    </row>
    <row r="144" spans="1:10">
      <c r="A144" s="28"/>
      <c r="B144" s="28"/>
    </row>
    <row r="145" spans="1:2">
      <c r="A145" s="28"/>
      <c r="B145" s="28"/>
    </row>
    <row r="146" spans="1:2">
      <c r="A146" s="28"/>
      <c r="B146" s="28"/>
    </row>
    <row r="147" spans="1:2">
      <c r="A147" s="28"/>
      <c r="B147" s="28"/>
    </row>
    <row r="148" spans="1:2">
      <c r="A148" s="28"/>
      <c r="B148" s="28"/>
    </row>
    <row r="149" spans="1:2">
      <c r="A149" s="28"/>
      <c r="B149" s="28"/>
    </row>
    <row r="150" spans="1:2">
      <c r="A150" s="28"/>
      <c r="B150" s="28"/>
    </row>
  </sheetData>
  <mergeCells count="11">
    <mergeCell ref="K51:P51"/>
    <mergeCell ref="K52:P52"/>
    <mergeCell ref="K53:P53"/>
    <mergeCell ref="K54:P54"/>
    <mergeCell ref="K55:P55"/>
    <mergeCell ref="K3:X3"/>
    <mergeCell ref="G3:J3"/>
    <mergeCell ref="K49:P49"/>
    <mergeCell ref="K50:P50"/>
    <mergeCell ref="K48:P48"/>
    <mergeCell ref="F46:I46"/>
  </mergeCells>
  <conditionalFormatting sqref="I49:I61">
    <cfRule type="cellIs" dxfId="1" priority="1" operator="equal">
      <formula>$X$44</formula>
    </cfRule>
  </conditionalFormatting>
  <pageMargins left="0.7" right="0.7" top="0.75" bottom="0.75" header="0.3" footer="0.3"/>
  <pageSetup scale="50" fitToWidth="2" fitToHeight="2"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0000000}">
          <x14:formula1>
            <xm:f>'Drop Lists'!$M$4:$M$6</xm:f>
          </x14:formula1>
          <xm:sqref>D46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No">
    <tabColor rgb="FF00B050"/>
    <pageSetUpPr fitToPage="1"/>
  </sheetPr>
  <dimension ref="A1:N63"/>
  <sheetViews>
    <sheetView workbookViewId="0">
      <selection activeCell="B38" sqref="B38"/>
    </sheetView>
  </sheetViews>
  <sheetFormatPr defaultColWidth="9.42578125" defaultRowHeight="12.75"/>
  <cols>
    <col min="1" max="1" width="46.5703125" style="3" customWidth="1"/>
    <col min="2" max="2" width="35" style="3" customWidth="1"/>
    <col min="3" max="3" width="19.42578125" style="3" customWidth="1"/>
    <col min="4" max="5" width="20.5703125" style="3" customWidth="1"/>
    <col min="6" max="6" width="28.42578125" style="3" customWidth="1"/>
    <col min="7" max="7" width="19.42578125" style="3" customWidth="1"/>
    <col min="8" max="8" width="16" style="3" customWidth="1"/>
    <col min="9" max="9" width="21.42578125" style="3" customWidth="1"/>
    <col min="10" max="12" width="17.42578125" style="3" customWidth="1"/>
    <col min="13" max="16384" width="9.42578125" style="3"/>
  </cols>
  <sheetData>
    <row r="1" spans="1:14">
      <c r="A1" s="209" t="s">
        <v>1878</v>
      </c>
    </row>
    <row r="2" spans="1:14" ht="13.5" thickBot="1">
      <c r="K2" s="206"/>
      <c r="L2" s="1037"/>
    </row>
    <row r="3" spans="1:14">
      <c r="A3" s="1097" t="s">
        <v>1879</v>
      </c>
      <c r="B3" s="1099" t="s">
        <v>1880</v>
      </c>
      <c r="C3" s="1098"/>
      <c r="D3" s="1098"/>
      <c r="E3" s="1098"/>
      <c r="F3" s="1098"/>
      <c r="G3" s="1098"/>
      <c r="H3" s="1098"/>
      <c r="I3" s="1099"/>
      <c r="J3" s="1100"/>
      <c r="K3" s="206"/>
      <c r="L3" s="1037"/>
    </row>
    <row r="4" spans="1:14">
      <c r="A4" s="1101"/>
      <c r="B4" s="1103" t="s">
        <v>1881</v>
      </c>
      <c r="C4" s="1102"/>
      <c r="D4" s="1103"/>
      <c r="E4" s="1103"/>
      <c r="F4" s="1103"/>
      <c r="G4" s="1103"/>
      <c r="H4" s="1103"/>
      <c r="I4" s="1103"/>
      <c r="J4" s="1104"/>
      <c r="K4" s="206"/>
      <c r="L4" s="1037"/>
    </row>
    <row r="5" spans="1:14">
      <c r="A5" s="1101"/>
      <c r="B5" s="1103" t="s">
        <v>1882</v>
      </c>
      <c r="C5" s="1102"/>
      <c r="D5" s="1102"/>
      <c r="E5" s="1102"/>
      <c r="F5" s="1102"/>
      <c r="G5" s="1102"/>
      <c r="H5" s="1102"/>
      <c r="I5" s="1103"/>
      <c r="J5" s="1104"/>
      <c r="K5" s="206"/>
      <c r="L5" s="1037"/>
    </row>
    <row r="6" spans="1:14">
      <c r="A6" s="1101"/>
      <c r="B6" s="1103" t="s">
        <v>1883</v>
      </c>
      <c r="C6" s="1102"/>
      <c r="D6" s="1102"/>
      <c r="E6" s="1102"/>
      <c r="F6" s="1102"/>
      <c r="G6" s="1102"/>
      <c r="H6" s="1102"/>
      <c r="I6" s="1103"/>
      <c r="J6" s="1104"/>
      <c r="K6" s="206"/>
      <c r="L6" s="1037"/>
    </row>
    <row r="7" spans="1:14" ht="13.5" thickBot="1">
      <c r="A7" s="1105"/>
      <c r="B7" s="1096" t="s">
        <v>1884</v>
      </c>
      <c r="C7" s="1106"/>
      <c r="D7" s="1107"/>
      <c r="E7" s="1106"/>
      <c r="F7" s="1106"/>
      <c r="G7" s="1106"/>
      <c r="H7" s="1106"/>
      <c r="I7" s="1106"/>
      <c r="J7" s="1108"/>
      <c r="K7" s="206"/>
      <c r="L7" s="1037"/>
    </row>
    <row r="8" spans="1:14">
      <c r="K8" s="206"/>
      <c r="L8" s="1037"/>
    </row>
    <row r="9" spans="1:14">
      <c r="K9" s="206" t="s">
        <v>1885</v>
      </c>
      <c r="L9" s="1460">
        <v>0</v>
      </c>
    </row>
    <row r="10" spans="1:14" ht="13.5" thickBot="1"/>
    <row r="11" spans="1:14" s="209" customFormat="1">
      <c r="A11" s="207"/>
      <c r="B11" s="208"/>
      <c r="C11" s="1033"/>
      <c r="D11" s="208"/>
      <c r="E11" s="208"/>
      <c r="F11" s="1411"/>
      <c r="G11" s="1409" t="s">
        <v>1822</v>
      </c>
      <c r="H11" s="1408"/>
      <c r="I11" s="2668" t="s">
        <v>1886</v>
      </c>
      <c r="J11" s="2669"/>
      <c r="K11" s="2670"/>
      <c r="L11" s="2671"/>
    </row>
    <row r="12" spans="1:14" s="217" customFormat="1" ht="25.5">
      <c r="A12" s="210" t="s">
        <v>1887</v>
      </c>
      <c r="B12" s="211" t="s">
        <v>1888</v>
      </c>
      <c r="C12" s="215" t="s">
        <v>1889</v>
      </c>
      <c r="D12" s="1110" t="s">
        <v>1890</v>
      </c>
      <c r="E12" s="1110" t="s">
        <v>1891</v>
      </c>
      <c r="F12" s="1410" t="s">
        <v>1892</v>
      </c>
      <c r="G12" s="213" t="s">
        <v>1833</v>
      </c>
      <c r="H12" s="245" t="s">
        <v>226</v>
      </c>
      <c r="I12" s="246" t="s">
        <v>1893</v>
      </c>
      <c r="J12" s="211" t="s">
        <v>1834</v>
      </c>
      <c r="K12" s="215" t="s">
        <v>1894</v>
      </c>
      <c r="L12" s="216" t="s">
        <v>1895</v>
      </c>
      <c r="N12" s="218"/>
    </row>
    <row r="13" spans="1:14">
      <c r="A13" s="1827"/>
      <c r="B13" s="1828"/>
      <c r="C13" s="1829"/>
      <c r="D13" s="1830"/>
      <c r="E13" s="1830"/>
      <c r="F13" s="1831"/>
      <c r="G13" s="1796"/>
      <c r="H13" s="1837"/>
      <c r="I13" s="1798"/>
      <c r="J13" s="219" t="str">
        <f>IFERROR(DATE(YEAR(I13),MONTH(I13)-1,DAY(1)),"")</f>
        <v/>
      </c>
      <c r="K13" s="1840"/>
      <c r="L13" s="220">
        <f t="shared" ref="L13:L32" si="0">IF(K13=0,0,K13*(1+$L$9))</f>
        <v>0</v>
      </c>
    </row>
    <row r="14" spans="1:14">
      <c r="A14" s="1832"/>
      <c r="B14" s="1828"/>
      <c r="C14" s="1829"/>
      <c r="D14" s="1830"/>
      <c r="E14" s="1830"/>
      <c r="F14" s="1831"/>
      <c r="G14" s="1796"/>
      <c r="H14" s="1837"/>
      <c r="I14" s="1798"/>
      <c r="J14" s="219" t="str">
        <f t="shared" ref="J14:J32" si="1">IFERROR(DATE(YEAR(I14),MONTH(I14)-1,DAY(1)),"")</f>
        <v/>
      </c>
      <c r="K14" s="1840"/>
      <c r="L14" s="220">
        <f t="shared" si="0"/>
        <v>0</v>
      </c>
    </row>
    <row r="15" spans="1:14">
      <c r="A15" s="1832"/>
      <c r="B15" s="1828"/>
      <c r="C15" s="1829"/>
      <c r="D15" s="1830"/>
      <c r="E15" s="1830"/>
      <c r="F15" s="1831"/>
      <c r="G15" s="1796"/>
      <c r="H15" s="1837"/>
      <c r="I15" s="1798"/>
      <c r="J15" s="219" t="str">
        <f t="shared" si="1"/>
        <v/>
      </c>
      <c r="K15" s="1840"/>
      <c r="L15" s="220">
        <f t="shared" si="0"/>
        <v>0</v>
      </c>
    </row>
    <row r="16" spans="1:14">
      <c r="A16" s="1832"/>
      <c r="B16" s="1828"/>
      <c r="C16" s="1833"/>
      <c r="D16" s="1830"/>
      <c r="E16" s="1830"/>
      <c r="F16" s="1831"/>
      <c r="G16" s="1796"/>
      <c r="H16" s="1837"/>
      <c r="I16" s="1798"/>
      <c r="J16" s="219" t="str">
        <f t="shared" si="1"/>
        <v/>
      </c>
      <c r="K16" s="1840"/>
      <c r="L16" s="220">
        <f t="shared" si="0"/>
        <v>0</v>
      </c>
    </row>
    <row r="17" spans="1:12">
      <c r="A17" s="1832"/>
      <c r="B17" s="1828"/>
      <c r="C17" s="1829"/>
      <c r="D17" s="1830"/>
      <c r="E17" s="1830"/>
      <c r="F17" s="1831"/>
      <c r="G17" s="1796"/>
      <c r="H17" s="1837"/>
      <c r="I17" s="1798"/>
      <c r="J17" s="219" t="str">
        <f t="shared" si="1"/>
        <v/>
      </c>
      <c r="K17" s="1840"/>
      <c r="L17" s="220">
        <f t="shared" si="0"/>
        <v>0</v>
      </c>
    </row>
    <row r="18" spans="1:12">
      <c r="A18" s="1832"/>
      <c r="B18" s="1828"/>
      <c r="C18" s="1829"/>
      <c r="D18" s="1830"/>
      <c r="E18" s="1830"/>
      <c r="F18" s="1831"/>
      <c r="G18" s="1796"/>
      <c r="H18" s="1837"/>
      <c r="I18" s="1798"/>
      <c r="J18" s="219" t="str">
        <f t="shared" si="1"/>
        <v/>
      </c>
      <c r="K18" s="1840"/>
      <c r="L18" s="220">
        <f t="shared" si="0"/>
        <v>0</v>
      </c>
    </row>
    <row r="19" spans="1:12">
      <c r="A19" s="1832"/>
      <c r="B19" s="1828"/>
      <c r="C19" s="1829"/>
      <c r="D19" s="1830"/>
      <c r="E19" s="1830"/>
      <c r="F19" s="1831"/>
      <c r="G19" s="1797"/>
      <c r="H19" s="1837"/>
      <c r="I19" s="1798"/>
      <c r="J19" s="219" t="str">
        <f t="shared" si="1"/>
        <v/>
      </c>
      <c r="K19" s="1840"/>
      <c r="L19" s="220">
        <f t="shared" si="0"/>
        <v>0</v>
      </c>
    </row>
    <row r="20" spans="1:12">
      <c r="A20" s="1832"/>
      <c r="B20" s="1828"/>
      <c r="C20" s="1829"/>
      <c r="D20" s="1830"/>
      <c r="E20" s="1830"/>
      <c r="F20" s="1831"/>
      <c r="G20" s="1797"/>
      <c r="H20" s="1837"/>
      <c r="I20" s="1798"/>
      <c r="J20" s="219" t="str">
        <f t="shared" si="1"/>
        <v/>
      </c>
      <c r="K20" s="1840"/>
      <c r="L20" s="220">
        <f t="shared" si="0"/>
        <v>0</v>
      </c>
    </row>
    <row r="21" spans="1:12">
      <c r="A21" s="1832"/>
      <c r="B21" s="1828"/>
      <c r="C21" s="1829"/>
      <c r="D21" s="1830"/>
      <c r="E21" s="1830"/>
      <c r="F21" s="1831"/>
      <c r="G21" s="1797"/>
      <c r="H21" s="1837"/>
      <c r="I21" s="1798"/>
      <c r="J21" s="219" t="str">
        <f t="shared" si="1"/>
        <v/>
      </c>
      <c r="K21" s="1840"/>
      <c r="L21" s="220">
        <f t="shared" si="0"/>
        <v>0</v>
      </c>
    </row>
    <row r="22" spans="1:12">
      <c r="A22" s="1832"/>
      <c r="B22" s="1828"/>
      <c r="C22" s="1829"/>
      <c r="D22" s="1830"/>
      <c r="E22" s="1830"/>
      <c r="F22" s="1831"/>
      <c r="G22" s="1797"/>
      <c r="H22" s="1837"/>
      <c r="I22" s="1798"/>
      <c r="J22" s="219" t="str">
        <f t="shared" si="1"/>
        <v/>
      </c>
      <c r="K22" s="1840"/>
      <c r="L22" s="220">
        <f t="shared" si="0"/>
        <v>0</v>
      </c>
    </row>
    <row r="23" spans="1:12">
      <c r="A23" s="1832"/>
      <c r="B23" s="1828"/>
      <c r="C23" s="1829"/>
      <c r="D23" s="1830"/>
      <c r="E23" s="1830"/>
      <c r="F23" s="1831"/>
      <c r="G23" s="1797"/>
      <c r="H23" s="1837"/>
      <c r="I23" s="1798"/>
      <c r="J23" s="219" t="str">
        <f t="shared" si="1"/>
        <v/>
      </c>
      <c r="K23" s="1840"/>
      <c r="L23" s="220">
        <f t="shared" si="0"/>
        <v>0</v>
      </c>
    </row>
    <row r="24" spans="1:12">
      <c r="A24" s="1832"/>
      <c r="B24" s="1828"/>
      <c r="C24" s="1829"/>
      <c r="D24" s="1830"/>
      <c r="E24" s="1830"/>
      <c r="F24" s="1831"/>
      <c r="G24" s="1797"/>
      <c r="H24" s="1837"/>
      <c r="I24" s="1798"/>
      <c r="J24" s="219" t="str">
        <f t="shared" si="1"/>
        <v/>
      </c>
      <c r="K24" s="1840"/>
      <c r="L24" s="220">
        <f t="shared" si="0"/>
        <v>0</v>
      </c>
    </row>
    <row r="25" spans="1:12">
      <c r="A25" s="1832"/>
      <c r="B25" s="1828"/>
      <c r="C25" s="1829"/>
      <c r="D25" s="1830"/>
      <c r="E25" s="1830"/>
      <c r="F25" s="1831"/>
      <c r="G25" s="1797"/>
      <c r="H25" s="1837"/>
      <c r="I25" s="1798"/>
      <c r="J25" s="219" t="str">
        <f t="shared" si="1"/>
        <v/>
      </c>
      <c r="K25" s="1840"/>
      <c r="L25" s="220">
        <f t="shared" si="0"/>
        <v>0</v>
      </c>
    </row>
    <row r="26" spans="1:12">
      <c r="A26" s="1832"/>
      <c r="B26" s="1828"/>
      <c r="C26" s="1829"/>
      <c r="D26" s="1830"/>
      <c r="E26" s="1830"/>
      <c r="F26" s="1831"/>
      <c r="G26" s="1797"/>
      <c r="H26" s="1837"/>
      <c r="I26" s="1798"/>
      <c r="J26" s="219" t="str">
        <f t="shared" si="1"/>
        <v/>
      </c>
      <c r="K26" s="1840"/>
      <c r="L26" s="220">
        <f t="shared" si="0"/>
        <v>0</v>
      </c>
    </row>
    <row r="27" spans="1:12">
      <c r="A27" s="1832"/>
      <c r="B27" s="1828"/>
      <c r="C27" s="1829"/>
      <c r="D27" s="1830"/>
      <c r="E27" s="1830"/>
      <c r="F27" s="1831"/>
      <c r="G27" s="1797"/>
      <c r="H27" s="1837"/>
      <c r="I27" s="1798"/>
      <c r="J27" s="219" t="str">
        <f t="shared" si="1"/>
        <v/>
      </c>
      <c r="K27" s="1840"/>
      <c r="L27" s="220">
        <f t="shared" si="0"/>
        <v>0</v>
      </c>
    </row>
    <row r="28" spans="1:12">
      <c r="A28" s="1832"/>
      <c r="B28" s="1828"/>
      <c r="C28" s="1829"/>
      <c r="D28" s="1830"/>
      <c r="E28" s="1830"/>
      <c r="F28" s="1831"/>
      <c r="G28" s="1797"/>
      <c r="H28" s="1837"/>
      <c r="I28" s="1798"/>
      <c r="J28" s="219" t="str">
        <f t="shared" si="1"/>
        <v/>
      </c>
      <c r="K28" s="1840"/>
      <c r="L28" s="220">
        <f t="shared" si="0"/>
        <v>0</v>
      </c>
    </row>
    <row r="29" spans="1:12">
      <c r="A29" s="1832"/>
      <c r="B29" s="1828"/>
      <c r="C29" s="1829"/>
      <c r="D29" s="1830"/>
      <c r="E29" s="1830"/>
      <c r="F29" s="1831"/>
      <c r="G29" s="1797"/>
      <c r="H29" s="1837"/>
      <c r="I29" s="1798"/>
      <c r="J29" s="219" t="str">
        <f t="shared" si="1"/>
        <v/>
      </c>
      <c r="K29" s="1840"/>
      <c r="L29" s="220">
        <f t="shared" si="0"/>
        <v>0</v>
      </c>
    </row>
    <row r="30" spans="1:12">
      <c r="A30" s="1832"/>
      <c r="B30" s="1828"/>
      <c r="C30" s="1829"/>
      <c r="D30" s="1830"/>
      <c r="E30" s="1830"/>
      <c r="F30" s="1831"/>
      <c r="G30" s="1797"/>
      <c r="H30" s="1837"/>
      <c r="I30" s="1798"/>
      <c r="J30" s="219" t="str">
        <f t="shared" si="1"/>
        <v/>
      </c>
      <c r="K30" s="1840"/>
      <c r="L30" s="220">
        <f t="shared" si="0"/>
        <v>0</v>
      </c>
    </row>
    <row r="31" spans="1:12">
      <c r="A31" s="1832"/>
      <c r="B31" s="1828"/>
      <c r="C31" s="1829"/>
      <c r="D31" s="1830"/>
      <c r="E31" s="1830"/>
      <c r="F31" s="1831"/>
      <c r="G31" s="1797"/>
      <c r="H31" s="1837"/>
      <c r="I31" s="1798"/>
      <c r="J31" s="219" t="str">
        <f t="shared" si="1"/>
        <v/>
      </c>
      <c r="K31" s="1840"/>
      <c r="L31" s="220">
        <f t="shared" si="0"/>
        <v>0</v>
      </c>
    </row>
    <row r="32" spans="1:12">
      <c r="A32" s="1832"/>
      <c r="B32" s="1834"/>
      <c r="C32" s="1835"/>
      <c r="D32" s="1830"/>
      <c r="E32" s="1830"/>
      <c r="F32" s="1836"/>
      <c r="G32" s="1838"/>
      <c r="H32" s="1839"/>
      <c r="I32" s="1803"/>
      <c r="J32" s="219" t="str">
        <f t="shared" si="1"/>
        <v/>
      </c>
      <c r="K32" s="1840"/>
      <c r="L32" s="220">
        <f t="shared" si="0"/>
        <v>0</v>
      </c>
    </row>
    <row r="33" spans="1:12" s="2" customFormat="1" ht="13.5" thickBot="1">
      <c r="A33" s="1005" t="s">
        <v>1896</v>
      </c>
      <c r="B33" s="1006"/>
      <c r="C33" s="1006"/>
      <c r="D33" s="1006"/>
      <c r="E33" s="1006"/>
      <c r="F33" s="1006"/>
      <c r="G33" s="1006"/>
      <c r="H33" s="1007">
        <f>SUM(H13:H32)</f>
        <v>0</v>
      </c>
      <c r="I33" s="1006"/>
      <c r="J33" s="1006"/>
      <c r="K33" s="1006"/>
      <c r="L33" s="1063">
        <f>SUM(L13:L32)</f>
        <v>0</v>
      </c>
    </row>
    <row r="34" spans="1:12" s="2" customFormat="1" ht="13.5" thickBot="1">
      <c r="A34" s="1875" t="s">
        <v>1897</v>
      </c>
      <c r="B34" s="1876"/>
      <c r="C34" s="1876"/>
      <c r="D34" s="1876"/>
      <c r="E34" s="1876"/>
      <c r="F34" s="1876"/>
      <c r="G34" s="1876"/>
      <c r="H34" s="1878"/>
      <c r="I34" s="1876"/>
      <c r="J34" s="1876"/>
      <c r="K34" s="1876"/>
      <c r="L34" s="1879">
        <v>0</v>
      </c>
    </row>
    <row r="35" spans="1:12" s="2" customFormat="1" ht="13.5" thickBot="1">
      <c r="A35" s="1875" t="s">
        <v>1898</v>
      </c>
      <c r="B35" s="1876"/>
      <c r="C35" s="1876"/>
      <c r="D35" s="1876"/>
      <c r="E35" s="1876"/>
      <c r="F35" s="1876"/>
      <c r="G35" s="1876"/>
      <c r="H35" s="1878"/>
      <c r="I35" s="1876"/>
      <c r="J35" s="1876"/>
      <c r="K35" s="1876"/>
      <c r="L35" s="1877">
        <f>L33+L34</f>
        <v>0</v>
      </c>
    </row>
    <row r="36" spans="1:12" ht="13.5" thickBot="1">
      <c r="A36" s="221" t="s">
        <v>1840</v>
      </c>
      <c r="B36" s="103"/>
      <c r="C36" s="103"/>
      <c r="D36" s="103"/>
      <c r="E36" s="103"/>
      <c r="F36" s="103"/>
      <c r="G36" s="103"/>
      <c r="H36" s="103"/>
      <c r="I36" s="103"/>
      <c r="J36" s="103"/>
      <c r="K36" s="103"/>
      <c r="L36" s="222">
        <f>IF(B38="Yes",0,ROUND((L35/12),2))</f>
        <v>0</v>
      </c>
    </row>
    <row r="37" spans="1:12" ht="13.5" thickBot="1">
      <c r="A37" s="28"/>
      <c r="B37" s="28"/>
      <c r="C37" s="28"/>
      <c r="D37" s="28"/>
      <c r="E37" s="28"/>
      <c r="F37" s="28"/>
      <c r="G37" s="28"/>
      <c r="H37" s="28"/>
      <c r="I37" s="28"/>
      <c r="J37" s="28"/>
      <c r="K37" s="28"/>
      <c r="L37" s="28"/>
    </row>
    <row r="38" spans="1:12" ht="15.75" thickBot="1">
      <c r="A38" s="57" t="s">
        <v>1899</v>
      </c>
      <c r="B38" s="1853" t="s">
        <v>9</v>
      </c>
      <c r="C38" s="28"/>
      <c r="D38" s="1109" t="s">
        <v>1842</v>
      </c>
      <c r="E38" s="2667"/>
      <c r="F38" s="2513"/>
      <c r="G38" s="2513"/>
      <c r="H38" s="29"/>
      <c r="I38" s="28"/>
      <c r="J38" s="28"/>
      <c r="K38" s="28"/>
      <c r="L38" s="28"/>
    </row>
    <row r="39" spans="1:12" ht="13.5" thickBot="1">
      <c r="A39" s="67"/>
      <c r="B39" s="28"/>
      <c r="C39" s="28"/>
      <c r="D39" s="28"/>
      <c r="E39" s="28"/>
      <c r="F39" s="29"/>
      <c r="G39" s="29"/>
      <c r="H39" s="29"/>
      <c r="I39" s="28"/>
      <c r="J39" s="28"/>
      <c r="K39" s="28"/>
      <c r="L39" s="28"/>
    </row>
    <row r="40" spans="1:12" ht="39" thickBot="1">
      <c r="A40" s="223"/>
      <c r="B40" s="224" t="s">
        <v>1843</v>
      </c>
      <c r="C40" s="224" t="s">
        <v>1844</v>
      </c>
      <c r="D40" s="224" t="s">
        <v>1845</v>
      </c>
      <c r="E40" s="224" t="s">
        <v>1846</v>
      </c>
      <c r="F40" s="1822" t="s">
        <v>1847</v>
      </c>
      <c r="G40" s="225" t="s">
        <v>1848</v>
      </c>
      <c r="H40" s="226"/>
      <c r="I40" s="2660" t="s">
        <v>1900</v>
      </c>
      <c r="J40" s="2661"/>
      <c r="K40" s="2661"/>
      <c r="L40" s="2662"/>
    </row>
    <row r="41" spans="1:12" ht="13.5" thickBot="1">
      <c r="A41" s="227" t="s">
        <v>1850</v>
      </c>
      <c r="B41" s="231">
        <f>INPUT!$E$129</f>
        <v>44753</v>
      </c>
      <c r="C41" s="65"/>
      <c r="D41" s="65"/>
      <c r="E41" s="65"/>
      <c r="F41" s="1854">
        <f>IF(B38="yes",0,ROUND((-(MIN(E42:E53))+L36),2))</f>
        <v>0</v>
      </c>
      <c r="G41" s="228">
        <f>+F41</f>
        <v>0</v>
      </c>
      <c r="H41" s="229"/>
      <c r="I41" s="2672"/>
      <c r="J41" s="2673"/>
      <c r="K41" s="2673"/>
      <c r="L41" s="2674"/>
    </row>
    <row r="42" spans="1:12">
      <c r="A42" s="230" t="s">
        <v>1901</v>
      </c>
      <c r="B42" s="1821">
        <f>DATE(YEAR(INPUT!$E$130),MONTH(INPUT!$E$130)+1,DAY(1))</f>
        <v>44805</v>
      </c>
      <c r="C42" s="65">
        <f>IF($B$38="Yes",0,+$L$36)</f>
        <v>0</v>
      </c>
      <c r="D42" s="65">
        <f t="shared" ref="D42:D53" si="2">IF($B$38="Yes",0,SUMIF($J$13:$J$32,B42,$L$13:$L$32))</f>
        <v>0</v>
      </c>
      <c r="E42" s="65">
        <f>+C42-D42</f>
        <v>0</v>
      </c>
      <c r="F42" s="65"/>
      <c r="G42" s="228">
        <f t="shared" ref="G42:G53" si="3">+G41+C42-D42</f>
        <v>0</v>
      </c>
      <c r="H42" s="229"/>
      <c r="I42" s="2672"/>
      <c r="J42" s="2673"/>
      <c r="K42" s="2673"/>
      <c r="L42" s="2674"/>
    </row>
    <row r="43" spans="1:12">
      <c r="A43" s="230">
        <v>2</v>
      </c>
      <c r="B43" s="231">
        <f>DATE(YEAR(B42),MONTH(B42)+1,DAY(1))</f>
        <v>44835</v>
      </c>
      <c r="C43" s="65">
        <f t="shared" ref="C43:C53" si="4">IF($B$38="Yes",0,+$L$36)</f>
        <v>0</v>
      </c>
      <c r="D43" s="65">
        <f t="shared" si="2"/>
        <v>0</v>
      </c>
      <c r="E43" s="65">
        <f>+E42+C43-D43</f>
        <v>0</v>
      </c>
      <c r="F43" s="65"/>
      <c r="G43" s="228">
        <f t="shared" si="3"/>
        <v>0</v>
      </c>
      <c r="H43" s="229"/>
      <c r="I43" s="2672"/>
      <c r="J43" s="2673"/>
      <c r="K43" s="2673"/>
      <c r="L43" s="2674"/>
    </row>
    <row r="44" spans="1:12">
      <c r="A44" s="230">
        <f t="shared" ref="A44:A53" si="5">+A43+1</f>
        <v>3</v>
      </c>
      <c r="B44" s="231">
        <f t="shared" ref="B44:B53" si="6">DATE(YEAR(B43),MONTH(B43)+1,DAY(1))</f>
        <v>44866</v>
      </c>
      <c r="C44" s="65">
        <f t="shared" si="4"/>
        <v>0</v>
      </c>
      <c r="D44" s="65">
        <f t="shared" si="2"/>
        <v>0</v>
      </c>
      <c r="E44" s="65">
        <f t="shared" ref="E44:E53" si="7">+E43+C44-D44</f>
        <v>0</v>
      </c>
      <c r="F44" s="65"/>
      <c r="G44" s="228">
        <f t="shared" si="3"/>
        <v>0</v>
      </c>
      <c r="H44" s="229"/>
      <c r="I44" s="2672"/>
      <c r="J44" s="2673"/>
      <c r="K44" s="2673"/>
      <c r="L44" s="2674"/>
    </row>
    <row r="45" spans="1:12">
      <c r="A45" s="230">
        <f t="shared" si="5"/>
        <v>4</v>
      </c>
      <c r="B45" s="231">
        <f t="shared" si="6"/>
        <v>44896</v>
      </c>
      <c r="C45" s="65">
        <f t="shared" si="4"/>
        <v>0</v>
      </c>
      <c r="D45" s="65">
        <f t="shared" si="2"/>
        <v>0</v>
      </c>
      <c r="E45" s="65">
        <f t="shared" si="7"/>
        <v>0</v>
      </c>
      <c r="F45" s="65"/>
      <c r="G45" s="228">
        <f t="shared" si="3"/>
        <v>0</v>
      </c>
      <c r="H45" s="229"/>
      <c r="I45" s="2672"/>
      <c r="J45" s="2673"/>
      <c r="K45" s="2673"/>
      <c r="L45" s="2674"/>
    </row>
    <row r="46" spans="1:12">
      <c r="A46" s="230">
        <f t="shared" si="5"/>
        <v>5</v>
      </c>
      <c r="B46" s="231">
        <f t="shared" si="6"/>
        <v>44927</v>
      </c>
      <c r="C46" s="65">
        <f t="shared" si="4"/>
        <v>0</v>
      </c>
      <c r="D46" s="65">
        <f t="shared" si="2"/>
        <v>0</v>
      </c>
      <c r="E46" s="65">
        <f t="shared" si="7"/>
        <v>0</v>
      </c>
      <c r="F46" s="65"/>
      <c r="G46" s="228">
        <f t="shared" si="3"/>
        <v>0</v>
      </c>
      <c r="H46" s="229"/>
      <c r="I46" s="2672"/>
      <c r="J46" s="2673"/>
      <c r="K46" s="2673"/>
      <c r="L46" s="2674"/>
    </row>
    <row r="47" spans="1:12">
      <c r="A47" s="230">
        <f t="shared" si="5"/>
        <v>6</v>
      </c>
      <c r="B47" s="231">
        <f t="shared" si="6"/>
        <v>44958</v>
      </c>
      <c r="C47" s="65">
        <f t="shared" si="4"/>
        <v>0</v>
      </c>
      <c r="D47" s="65">
        <f t="shared" si="2"/>
        <v>0</v>
      </c>
      <c r="E47" s="65">
        <f t="shared" si="7"/>
        <v>0</v>
      </c>
      <c r="F47" s="65"/>
      <c r="G47" s="228">
        <f t="shared" si="3"/>
        <v>0</v>
      </c>
      <c r="H47" s="229"/>
      <c r="I47" s="2672"/>
      <c r="J47" s="2673"/>
      <c r="K47" s="2673"/>
      <c r="L47" s="2674"/>
    </row>
    <row r="48" spans="1:12">
      <c r="A48" s="230">
        <f t="shared" si="5"/>
        <v>7</v>
      </c>
      <c r="B48" s="231">
        <f t="shared" si="6"/>
        <v>44986</v>
      </c>
      <c r="C48" s="65">
        <f t="shared" si="4"/>
        <v>0</v>
      </c>
      <c r="D48" s="65">
        <f t="shared" si="2"/>
        <v>0</v>
      </c>
      <c r="E48" s="65">
        <f t="shared" si="7"/>
        <v>0</v>
      </c>
      <c r="F48" s="65"/>
      <c r="G48" s="228">
        <f t="shared" si="3"/>
        <v>0</v>
      </c>
      <c r="H48" s="229"/>
      <c r="I48" s="2672"/>
      <c r="J48" s="2673"/>
      <c r="K48" s="2673"/>
      <c r="L48" s="2674"/>
    </row>
    <row r="49" spans="1:12">
      <c r="A49" s="230">
        <f t="shared" si="5"/>
        <v>8</v>
      </c>
      <c r="B49" s="231">
        <f t="shared" si="6"/>
        <v>45017</v>
      </c>
      <c r="C49" s="65">
        <f t="shared" si="4"/>
        <v>0</v>
      </c>
      <c r="D49" s="65">
        <f t="shared" si="2"/>
        <v>0</v>
      </c>
      <c r="E49" s="65">
        <f t="shared" si="7"/>
        <v>0</v>
      </c>
      <c r="F49" s="65"/>
      <c r="G49" s="228">
        <f t="shared" si="3"/>
        <v>0</v>
      </c>
      <c r="H49" s="229"/>
      <c r="I49" s="2672"/>
      <c r="J49" s="2673"/>
      <c r="K49" s="2673"/>
      <c r="L49" s="2674"/>
    </row>
    <row r="50" spans="1:12">
      <c r="A50" s="230">
        <f t="shared" si="5"/>
        <v>9</v>
      </c>
      <c r="B50" s="231">
        <f t="shared" si="6"/>
        <v>45047</v>
      </c>
      <c r="C50" s="65">
        <f t="shared" si="4"/>
        <v>0</v>
      </c>
      <c r="D50" s="65">
        <f t="shared" si="2"/>
        <v>0</v>
      </c>
      <c r="E50" s="65">
        <f t="shared" si="7"/>
        <v>0</v>
      </c>
      <c r="F50" s="65"/>
      <c r="G50" s="228">
        <f t="shared" si="3"/>
        <v>0</v>
      </c>
      <c r="H50" s="229"/>
      <c r="I50" s="28"/>
      <c r="J50" s="28"/>
      <c r="K50" s="28"/>
      <c r="L50" s="28"/>
    </row>
    <row r="51" spans="1:12">
      <c r="A51" s="230">
        <f t="shared" si="5"/>
        <v>10</v>
      </c>
      <c r="B51" s="231">
        <f t="shared" si="6"/>
        <v>45078</v>
      </c>
      <c r="C51" s="65">
        <f t="shared" si="4"/>
        <v>0</v>
      </c>
      <c r="D51" s="65">
        <f t="shared" si="2"/>
        <v>0</v>
      </c>
      <c r="E51" s="65">
        <f t="shared" si="7"/>
        <v>0</v>
      </c>
      <c r="F51" s="65"/>
      <c r="G51" s="228">
        <f t="shared" si="3"/>
        <v>0</v>
      </c>
      <c r="H51" s="229"/>
      <c r="I51" s="28"/>
      <c r="J51" s="28"/>
      <c r="K51" s="28"/>
      <c r="L51" s="28"/>
    </row>
    <row r="52" spans="1:12">
      <c r="A52" s="230">
        <f t="shared" si="5"/>
        <v>11</v>
      </c>
      <c r="B52" s="231">
        <f t="shared" si="6"/>
        <v>45108</v>
      </c>
      <c r="C52" s="65">
        <f t="shared" si="4"/>
        <v>0</v>
      </c>
      <c r="D52" s="65">
        <f t="shared" si="2"/>
        <v>0</v>
      </c>
      <c r="E52" s="65">
        <f t="shared" si="7"/>
        <v>0</v>
      </c>
      <c r="F52" s="65"/>
      <c r="G52" s="228">
        <f t="shared" si="3"/>
        <v>0</v>
      </c>
      <c r="H52" s="229"/>
      <c r="I52" s="28"/>
      <c r="J52" s="28"/>
      <c r="K52" s="28"/>
      <c r="L52" s="28"/>
    </row>
    <row r="53" spans="1:12" ht="13.5" thickBot="1">
      <c r="A53" s="232">
        <f t="shared" si="5"/>
        <v>12</v>
      </c>
      <c r="B53" s="233">
        <f t="shared" si="6"/>
        <v>45139</v>
      </c>
      <c r="C53" s="234">
        <f t="shared" si="4"/>
        <v>0</v>
      </c>
      <c r="D53" s="234">
        <f t="shared" si="2"/>
        <v>0</v>
      </c>
      <c r="E53" s="234">
        <f t="shared" si="7"/>
        <v>0</v>
      </c>
      <c r="F53" s="234"/>
      <c r="G53" s="235">
        <f t="shared" si="3"/>
        <v>0</v>
      </c>
      <c r="H53" s="229"/>
      <c r="I53" s="28"/>
      <c r="J53" s="28"/>
      <c r="K53" s="28"/>
      <c r="L53" s="28"/>
    </row>
    <row r="54" spans="1:12">
      <c r="A54" s="236"/>
      <c r="B54" s="237"/>
      <c r="C54" s="28"/>
      <c r="D54" s="28"/>
      <c r="E54" s="28"/>
      <c r="F54" s="28"/>
      <c r="G54" s="28"/>
      <c r="H54" s="28"/>
      <c r="I54" s="28"/>
      <c r="J54" s="28"/>
      <c r="K54" s="28"/>
      <c r="L54" s="28"/>
    </row>
    <row r="55" spans="1:12">
      <c r="A55" s="236"/>
      <c r="B55" s="237"/>
      <c r="C55" s="28"/>
      <c r="D55" s="238"/>
      <c r="E55" s="28"/>
      <c r="F55" s="28"/>
      <c r="G55" s="28"/>
      <c r="H55" s="28"/>
      <c r="I55" s="28"/>
      <c r="J55" s="28"/>
      <c r="K55" s="28"/>
      <c r="L55" s="28"/>
    </row>
    <row r="56" spans="1:12">
      <c r="A56" s="239" t="s">
        <v>1902</v>
      </c>
      <c r="B56" s="240"/>
      <c r="C56" s="240"/>
      <c r="D56" s="240"/>
      <c r="E56" s="240"/>
      <c r="F56" s="240"/>
      <c r="G56" s="240"/>
      <c r="H56" s="241"/>
      <c r="I56" s="241"/>
      <c r="J56" s="28"/>
      <c r="K56" s="28"/>
      <c r="L56" s="28"/>
    </row>
    <row r="57" spans="1:12">
      <c r="A57" s="242"/>
    </row>
    <row r="58" spans="1:12">
      <c r="A58" s="242"/>
    </row>
    <row r="59" spans="1:12">
      <c r="A59" s="242"/>
    </row>
    <row r="60" spans="1:12">
      <c r="A60" s="242"/>
    </row>
    <row r="61" spans="1:12">
      <c r="A61" s="242"/>
    </row>
    <row r="62" spans="1:12">
      <c r="A62" s="242"/>
    </row>
    <row r="63" spans="1:12">
      <c r="A63" s="242"/>
    </row>
  </sheetData>
  <mergeCells count="12">
    <mergeCell ref="I48:L48"/>
    <mergeCell ref="I49:L49"/>
    <mergeCell ref="I43:L43"/>
    <mergeCell ref="I44:L44"/>
    <mergeCell ref="I45:L45"/>
    <mergeCell ref="I46:L46"/>
    <mergeCell ref="I47:L47"/>
    <mergeCell ref="E38:G38"/>
    <mergeCell ref="I11:L11"/>
    <mergeCell ref="I40:L40"/>
    <mergeCell ref="I41:L41"/>
    <mergeCell ref="I42:L42"/>
  </mergeCells>
  <conditionalFormatting sqref="G41:G53">
    <cfRule type="cellIs" dxfId="0" priority="1" operator="equal">
      <formula>$L$36</formula>
    </cfRule>
  </conditionalFormatting>
  <pageMargins left="0.7" right="0.7" top="0.75" bottom="0.75" header="0.3" footer="0.3"/>
  <pageSetup scale="68"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Check Box 6">
              <controlPr defaultSize="0" autoFill="0" autoLine="0" autoPict="0">
                <anchor moveWithCells="1" sizeWithCells="1">
                  <from>
                    <xdr:col>3</xdr:col>
                    <xdr:colOff>76200</xdr:colOff>
                    <xdr:row>12</xdr:row>
                    <xdr:rowOff>28575</xdr:rowOff>
                  </from>
                  <to>
                    <xdr:col>3</xdr:col>
                    <xdr:colOff>571500</xdr:colOff>
                    <xdr:row>13</xdr:row>
                    <xdr:rowOff>0</xdr:rowOff>
                  </to>
                </anchor>
              </controlPr>
            </control>
          </mc:Choice>
        </mc:AlternateContent>
        <mc:AlternateContent xmlns:mc="http://schemas.openxmlformats.org/markup-compatibility/2006">
          <mc:Choice Requires="x14">
            <control shapeId="5128" r:id="rId5" name="Check Box 8">
              <controlPr defaultSize="0" autoFill="0" autoLine="0" autoPict="0">
                <anchor moveWithCells="1" sizeWithCells="1">
                  <from>
                    <xdr:col>3</xdr:col>
                    <xdr:colOff>904875</xdr:colOff>
                    <xdr:row>12</xdr:row>
                    <xdr:rowOff>28575</xdr:rowOff>
                  </from>
                  <to>
                    <xdr:col>3</xdr:col>
                    <xdr:colOff>1524000</xdr:colOff>
                    <xdr:row>13</xdr:row>
                    <xdr:rowOff>28575</xdr:rowOff>
                  </to>
                </anchor>
              </controlPr>
            </control>
          </mc:Choice>
        </mc:AlternateContent>
        <mc:AlternateContent xmlns:mc="http://schemas.openxmlformats.org/markup-compatibility/2006">
          <mc:Choice Requires="x14">
            <control shapeId="5131" r:id="rId6" name="Check Box 11">
              <controlPr defaultSize="0" autoFill="0" autoLine="0" autoPict="0">
                <anchor moveWithCells="1" sizeWithCells="1">
                  <from>
                    <xdr:col>3</xdr:col>
                    <xdr:colOff>76200</xdr:colOff>
                    <xdr:row>13</xdr:row>
                    <xdr:rowOff>28575</xdr:rowOff>
                  </from>
                  <to>
                    <xdr:col>3</xdr:col>
                    <xdr:colOff>571500</xdr:colOff>
                    <xdr:row>14</xdr:row>
                    <xdr:rowOff>0</xdr:rowOff>
                  </to>
                </anchor>
              </controlPr>
            </control>
          </mc:Choice>
        </mc:AlternateContent>
        <mc:AlternateContent xmlns:mc="http://schemas.openxmlformats.org/markup-compatibility/2006">
          <mc:Choice Requires="x14">
            <control shapeId="5132" r:id="rId7" name="Check Box 12">
              <controlPr defaultSize="0" autoFill="0" autoLine="0" autoPict="0">
                <anchor moveWithCells="1" sizeWithCells="1">
                  <from>
                    <xdr:col>3</xdr:col>
                    <xdr:colOff>904875</xdr:colOff>
                    <xdr:row>13</xdr:row>
                    <xdr:rowOff>28575</xdr:rowOff>
                  </from>
                  <to>
                    <xdr:col>3</xdr:col>
                    <xdr:colOff>1524000</xdr:colOff>
                    <xdr:row>14</xdr:row>
                    <xdr:rowOff>28575</xdr:rowOff>
                  </to>
                </anchor>
              </controlPr>
            </control>
          </mc:Choice>
        </mc:AlternateContent>
        <mc:AlternateContent xmlns:mc="http://schemas.openxmlformats.org/markup-compatibility/2006">
          <mc:Choice Requires="x14">
            <control shapeId="5133" r:id="rId8" name="Check Box 13">
              <controlPr defaultSize="0" autoFill="0" autoLine="0" autoPict="0">
                <anchor moveWithCells="1" sizeWithCells="1">
                  <from>
                    <xdr:col>3</xdr:col>
                    <xdr:colOff>76200</xdr:colOff>
                    <xdr:row>14</xdr:row>
                    <xdr:rowOff>28575</xdr:rowOff>
                  </from>
                  <to>
                    <xdr:col>3</xdr:col>
                    <xdr:colOff>571500</xdr:colOff>
                    <xdr:row>15</xdr:row>
                    <xdr:rowOff>0</xdr:rowOff>
                  </to>
                </anchor>
              </controlPr>
            </control>
          </mc:Choice>
        </mc:AlternateContent>
        <mc:AlternateContent xmlns:mc="http://schemas.openxmlformats.org/markup-compatibility/2006">
          <mc:Choice Requires="x14">
            <control shapeId="5134" r:id="rId9" name="Check Box 14">
              <controlPr defaultSize="0" autoFill="0" autoLine="0" autoPict="0">
                <anchor moveWithCells="1" sizeWithCells="1">
                  <from>
                    <xdr:col>3</xdr:col>
                    <xdr:colOff>904875</xdr:colOff>
                    <xdr:row>14</xdr:row>
                    <xdr:rowOff>28575</xdr:rowOff>
                  </from>
                  <to>
                    <xdr:col>3</xdr:col>
                    <xdr:colOff>1524000</xdr:colOff>
                    <xdr:row>15</xdr:row>
                    <xdr:rowOff>28575</xdr:rowOff>
                  </to>
                </anchor>
              </controlPr>
            </control>
          </mc:Choice>
        </mc:AlternateContent>
        <mc:AlternateContent xmlns:mc="http://schemas.openxmlformats.org/markup-compatibility/2006">
          <mc:Choice Requires="x14">
            <control shapeId="5135" r:id="rId10" name="Check Box 15">
              <controlPr defaultSize="0" autoFill="0" autoLine="0" autoPict="0">
                <anchor moveWithCells="1" sizeWithCells="1">
                  <from>
                    <xdr:col>3</xdr:col>
                    <xdr:colOff>76200</xdr:colOff>
                    <xdr:row>15</xdr:row>
                    <xdr:rowOff>28575</xdr:rowOff>
                  </from>
                  <to>
                    <xdr:col>3</xdr:col>
                    <xdr:colOff>571500</xdr:colOff>
                    <xdr:row>16</xdr:row>
                    <xdr:rowOff>0</xdr:rowOff>
                  </to>
                </anchor>
              </controlPr>
            </control>
          </mc:Choice>
        </mc:AlternateContent>
        <mc:AlternateContent xmlns:mc="http://schemas.openxmlformats.org/markup-compatibility/2006">
          <mc:Choice Requires="x14">
            <control shapeId="5136" r:id="rId11" name="Check Box 16">
              <controlPr defaultSize="0" autoFill="0" autoLine="0" autoPict="0">
                <anchor moveWithCells="1" sizeWithCells="1">
                  <from>
                    <xdr:col>3</xdr:col>
                    <xdr:colOff>904875</xdr:colOff>
                    <xdr:row>15</xdr:row>
                    <xdr:rowOff>28575</xdr:rowOff>
                  </from>
                  <to>
                    <xdr:col>3</xdr:col>
                    <xdr:colOff>1524000</xdr:colOff>
                    <xdr:row>16</xdr:row>
                    <xdr:rowOff>28575</xdr:rowOff>
                  </to>
                </anchor>
              </controlPr>
            </control>
          </mc:Choice>
        </mc:AlternateContent>
        <mc:AlternateContent xmlns:mc="http://schemas.openxmlformats.org/markup-compatibility/2006">
          <mc:Choice Requires="x14">
            <control shapeId="5137" r:id="rId12" name="Check Box 17">
              <controlPr defaultSize="0" autoFill="0" autoLine="0" autoPict="0">
                <anchor moveWithCells="1" sizeWithCells="1">
                  <from>
                    <xdr:col>3</xdr:col>
                    <xdr:colOff>76200</xdr:colOff>
                    <xdr:row>16</xdr:row>
                    <xdr:rowOff>28575</xdr:rowOff>
                  </from>
                  <to>
                    <xdr:col>3</xdr:col>
                    <xdr:colOff>571500</xdr:colOff>
                    <xdr:row>17</xdr:row>
                    <xdr:rowOff>0</xdr:rowOff>
                  </to>
                </anchor>
              </controlPr>
            </control>
          </mc:Choice>
        </mc:AlternateContent>
        <mc:AlternateContent xmlns:mc="http://schemas.openxmlformats.org/markup-compatibility/2006">
          <mc:Choice Requires="x14">
            <control shapeId="5138" r:id="rId13" name="Check Box 18">
              <controlPr defaultSize="0" autoFill="0" autoLine="0" autoPict="0">
                <anchor moveWithCells="1" sizeWithCells="1">
                  <from>
                    <xdr:col>3</xdr:col>
                    <xdr:colOff>904875</xdr:colOff>
                    <xdr:row>16</xdr:row>
                    <xdr:rowOff>28575</xdr:rowOff>
                  </from>
                  <to>
                    <xdr:col>3</xdr:col>
                    <xdr:colOff>1524000</xdr:colOff>
                    <xdr:row>17</xdr:row>
                    <xdr:rowOff>28575</xdr:rowOff>
                  </to>
                </anchor>
              </controlPr>
            </control>
          </mc:Choice>
        </mc:AlternateContent>
        <mc:AlternateContent xmlns:mc="http://schemas.openxmlformats.org/markup-compatibility/2006">
          <mc:Choice Requires="x14">
            <control shapeId="5139" r:id="rId14" name="Check Box 19">
              <controlPr defaultSize="0" autoFill="0" autoLine="0" autoPict="0">
                <anchor moveWithCells="1" sizeWithCells="1">
                  <from>
                    <xdr:col>3</xdr:col>
                    <xdr:colOff>76200</xdr:colOff>
                    <xdr:row>17</xdr:row>
                    <xdr:rowOff>28575</xdr:rowOff>
                  </from>
                  <to>
                    <xdr:col>3</xdr:col>
                    <xdr:colOff>571500</xdr:colOff>
                    <xdr:row>18</xdr:row>
                    <xdr:rowOff>0</xdr:rowOff>
                  </to>
                </anchor>
              </controlPr>
            </control>
          </mc:Choice>
        </mc:AlternateContent>
        <mc:AlternateContent xmlns:mc="http://schemas.openxmlformats.org/markup-compatibility/2006">
          <mc:Choice Requires="x14">
            <control shapeId="5140" r:id="rId15" name="Check Box 20">
              <controlPr defaultSize="0" autoFill="0" autoLine="0" autoPict="0">
                <anchor moveWithCells="1" sizeWithCells="1">
                  <from>
                    <xdr:col>3</xdr:col>
                    <xdr:colOff>904875</xdr:colOff>
                    <xdr:row>17</xdr:row>
                    <xdr:rowOff>28575</xdr:rowOff>
                  </from>
                  <to>
                    <xdr:col>3</xdr:col>
                    <xdr:colOff>1524000</xdr:colOff>
                    <xdr:row>18</xdr:row>
                    <xdr:rowOff>28575</xdr:rowOff>
                  </to>
                </anchor>
              </controlPr>
            </control>
          </mc:Choice>
        </mc:AlternateContent>
        <mc:AlternateContent xmlns:mc="http://schemas.openxmlformats.org/markup-compatibility/2006">
          <mc:Choice Requires="x14">
            <control shapeId="5141" r:id="rId16" name="Check Box 21">
              <controlPr defaultSize="0" autoFill="0" autoLine="0" autoPict="0">
                <anchor moveWithCells="1" sizeWithCells="1">
                  <from>
                    <xdr:col>3</xdr:col>
                    <xdr:colOff>76200</xdr:colOff>
                    <xdr:row>18</xdr:row>
                    <xdr:rowOff>28575</xdr:rowOff>
                  </from>
                  <to>
                    <xdr:col>3</xdr:col>
                    <xdr:colOff>571500</xdr:colOff>
                    <xdr:row>19</xdr:row>
                    <xdr:rowOff>0</xdr:rowOff>
                  </to>
                </anchor>
              </controlPr>
            </control>
          </mc:Choice>
        </mc:AlternateContent>
        <mc:AlternateContent xmlns:mc="http://schemas.openxmlformats.org/markup-compatibility/2006">
          <mc:Choice Requires="x14">
            <control shapeId="5142" r:id="rId17" name="Check Box 22">
              <controlPr defaultSize="0" autoFill="0" autoLine="0" autoPict="0">
                <anchor moveWithCells="1" sizeWithCells="1">
                  <from>
                    <xdr:col>3</xdr:col>
                    <xdr:colOff>904875</xdr:colOff>
                    <xdr:row>18</xdr:row>
                    <xdr:rowOff>28575</xdr:rowOff>
                  </from>
                  <to>
                    <xdr:col>3</xdr:col>
                    <xdr:colOff>1524000</xdr:colOff>
                    <xdr:row>19</xdr:row>
                    <xdr:rowOff>28575</xdr:rowOff>
                  </to>
                </anchor>
              </controlPr>
            </control>
          </mc:Choice>
        </mc:AlternateContent>
        <mc:AlternateContent xmlns:mc="http://schemas.openxmlformats.org/markup-compatibility/2006">
          <mc:Choice Requires="x14">
            <control shapeId="5143" r:id="rId18" name="Check Box 23">
              <controlPr defaultSize="0" autoFill="0" autoLine="0" autoPict="0">
                <anchor moveWithCells="1" sizeWithCells="1">
                  <from>
                    <xdr:col>3</xdr:col>
                    <xdr:colOff>76200</xdr:colOff>
                    <xdr:row>19</xdr:row>
                    <xdr:rowOff>28575</xdr:rowOff>
                  </from>
                  <to>
                    <xdr:col>3</xdr:col>
                    <xdr:colOff>571500</xdr:colOff>
                    <xdr:row>20</xdr:row>
                    <xdr:rowOff>0</xdr:rowOff>
                  </to>
                </anchor>
              </controlPr>
            </control>
          </mc:Choice>
        </mc:AlternateContent>
        <mc:AlternateContent xmlns:mc="http://schemas.openxmlformats.org/markup-compatibility/2006">
          <mc:Choice Requires="x14">
            <control shapeId="5144" r:id="rId19" name="Check Box 24">
              <controlPr defaultSize="0" autoFill="0" autoLine="0" autoPict="0">
                <anchor moveWithCells="1" sizeWithCells="1">
                  <from>
                    <xdr:col>3</xdr:col>
                    <xdr:colOff>904875</xdr:colOff>
                    <xdr:row>19</xdr:row>
                    <xdr:rowOff>28575</xdr:rowOff>
                  </from>
                  <to>
                    <xdr:col>3</xdr:col>
                    <xdr:colOff>1524000</xdr:colOff>
                    <xdr:row>20</xdr:row>
                    <xdr:rowOff>28575</xdr:rowOff>
                  </to>
                </anchor>
              </controlPr>
            </control>
          </mc:Choice>
        </mc:AlternateContent>
        <mc:AlternateContent xmlns:mc="http://schemas.openxmlformats.org/markup-compatibility/2006">
          <mc:Choice Requires="x14">
            <control shapeId="5145" r:id="rId20" name="Check Box 25">
              <controlPr defaultSize="0" autoFill="0" autoLine="0" autoPict="0">
                <anchor moveWithCells="1" sizeWithCells="1">
                  <from>
                    <xdr:col>3</xdr:col>
                    <xdr:colOff>76200</xdr:colOff>
                    <xdr:row>20</xdr:row>
                    <xdr:rowOff>28575</xdr:rowOff>
                  </from>
                  <to>
                    <xdr:col>3</xdr:col>
                    <xdr:colOff>571500</xdr:colOff>
                    <xdr:row>21</xdr:row>
                    <xdr:rowOff>0</xdr:rowOff>
                  </to>
                </anchor>
              </controlPr>
            </control>
          </mc:Choice>
        </mc:AlternateContent>
        <mc:AlternateContent xmlns:mc="http://schemas.openxmlformats.org/markup-compatibility/2006">
          <mc:Choice Requires="x14">
            <control shapeId="5146" r:id="rId21" name="Check Box 26">
              <controlPr defaultSize="0" autoFill="0" autoLine="0" autoPict="0">
                <anchor moveWithCells="1" sizeWithCells="1">
                  <from>
                    <xdr:col>3</xdr:col>
                    <xdr:colOff>904875</xdr:colOff>
                    <xdr:row>20</xdr:row>
                    <xdr:rowOff>28575</xdr:rowOff>
                  </from>
                  <to>
                    <xdr:col>3</xdr:col>
                    <xdr:colOff>1524000</xdr:colOff>
                    <xdr:row>21</xdr:row>
                    <xdr:rowOff>28575</xdr:rowOff>
                  </to>
                </anchor>
              </controlPr>
            </control>
          </mc:Choice>
        </mc:AlternateContent>
        <mc:AlternateContent xmlns:mc="http://schemas.openxmlformats.org/markup-compatibility/2006">
          <mc:Choice Requires="x14">
            <control shapeId="5147" r:id="rId22" name="Check Box 27">
              <controlPr defaultSize="0" autoFill="0" autoLine="0" autoPict="0">
                <anchor moveWithCells="1" sizeWithCells="1">
                  <from>
                    <xdr:col>3</xdr:col>
                    <xdr:colOff>76200</xdr:colOff>
                    <xdr:row>21</xdr:row>
                    <xdr:rowOff>28575</xdr:rowOff>
                  </from>
                  <to>
                    <xdr:col>3</xdr:col>
                    <xdr:colOff>571500</xdr:colOff>
                    <xdr:row>22</xdr:row>
                    <xdr:rowOff>0</xdr:rowOff>
                  </to>
                </anchor>
              </controlPr>
            </control>
          </mc:Choice>
        </mc:AlternateContent>
        <mc:AlternateContent xmlns:mc="http://schemas.openxmlformats.org/markup-compatibility/2006">
          <mc:Choice Requires="x14">
            <control shapeId="5148" r:id="rId23" name="Check Box 28">
              <controlPr defaultSize="0" autoFill="0" autoLine="0" autoPict="0">
                <anchor moveWithCells="1" sizeWithCells="1">
                  <from>
                    <xdr:col>3</xdr:col>
                    <xdr:colOff>904875</xdr:colOff>
                    <xdr:row>21</xdr:row>
                    <xdr:rowOff>28575</xdr:rowOff>
                  </from>
                  <to>
                    <xdr:col>3</xdr:col>
                    <xdr:colOff>1524000</xdr:colOff>
                    <xdr:row>22</xdr:row>
                    <xdr:rowOff>28575</xdr:rowOff>
                  </to>
                </anchor>
              </controlPr>
            </control>
          </mc:Choice>
        </mc:AlternateContent>
        <mc:AlternateContent xmlns:mc="http://schemas.openxmlformats.org/markup-compatibility/2006">
          <mc:Choice Requires="x14">
            <control shapeId="5149" r:id="rId24" name="Check Box 29">
              <controlPr defaultSize="0" autoFill="0" autoLine="0" autoPict="0">
                <anchor moveWithCells="1" sizeWithCells="1">
                  <from>
                    <xdr:col>3</xdr:col>
                    <xdr:colOff>76200</xdr:colOff>
                    <xdr:row>22</xdr:row>
                    <xdr:rowOff>28575</xdr:rowOff>
                  </from>
                  <to>
                    <xdr:col>3</xdr:col>
                    <xdr:colOff>571500</xdr:colOff>
                    <xdr:row>23</xdr:row>
                    <xdr:rowOff>0</xdr:rowOff>
                  </to>
                </anchor>
              </controlPr>
            </control>
          </mc:Choice>
        </mc:AlternateContent>
        <mc:AlternateContent xmlns:mc="http://schemas.openxmlformats.org/markup-compatibility/2006">
          <mc:Choice Requires="x14">
            <control shapeId="5150" r:id="rId25" name="Check Box 30">
              <controlPr defaultSize="0" autoFill="0" autoLine="0" autoPict="0">
                <anchor moveWithCells="1" sizeWithCells="1">
                  <from>
                    <xdr:col>3</xdr:col>
                    <xdr:colOff>904875</xdr:colOff>
                    <xdr:row>22</xdr:row>
                    <xdr:rowOff>28575</xdr:rowOff>
                  </from>
                  <to>
                    <xdr:col>3</xdr:col>
                    <xdr:colOff>1524000</xdr:colOff>
                    <xdr:row>23</xdr:row>
                    <xdr:rowOff>28575</xdr:rowOff>
                  </to>
                </anchor>
              </controlPr>
            </control>
          </mc:Choice>
        </mc:AlternateContent>
        <mc:AlternateContent xmlns:mc="http://schemas.openxmlformats.org/markup-compatibility/2006">
          <mc:Choice Requires="x14">
            <control shapeId="5151" r:id="rId26" name="Check Box 31">
              <controlPr defaultSize="0" autoFill="0" autoLine="0" autoPict="0">
                <anchor moveWithCells="1" sizeWithCells="1">
                  <from>
                    <xdr:col>3</xdr:col>
                    <xdr:colOff>76200</xdr:colOff>
                    <xdr:row>23</xdr:row>
                    <xdr:rowOff>28575</xdr:rowOff>
                  </from>
                  <to>
                    <xdr:col>3</xdr:col>
                    <xdr:colOff>571500</xdr:colOff>
                    <xdr:row>24</xdr:row>
                    <xdr:rowOff>0</xdr:rowOff>
                  </to>
                </anchor>
              </controlPr>
            </control>
          </mc:Choice>
        </mc:AlternateContent>
        <mc:AlternateContent xmlns:mc="http://schemas.openxmlformats.org/markup-compatibility/2006">
          <mc:Choice Requires="x14">
            <control shapeId="5152" r:id="rId27" name="Check Box 32">
              <controlPr defaultSize="0" autoFill="0" autoLine="0" autoPict="0">
                <anchor moveWithCells="1" sizeWithCells="1">
                  <from>
                    <xdr:col>3</xdr:col>
                    <xdr:colOff>904875</xdr:colOff>
                    <xdr:row>23</xdr:row>
                    <xdr:rowOff>28575</xdr:rowOff>
                  </from>
                  <to>
                    <xdr:col>3</xdr:col>
                    <xdr:colOff>1524000</xdr:colOff>
                    <xdr:row>24</xdr:row>
                    <xdr:rowOff>28575</xdr:rowOff>
                  </to>
                </anchor>
              </controlPr>
            </control>
          </mc:Choice>
        </mc:AlternateContent>
        <mc:AlternateContent xmlns:mc="http://schemas.openxmlformats.org/markup-compatibility/2006">
          <mc:Choice Requires="x14">
            <control shapeId="5153" r:id="rId28" name="Check Box 33">
              <controlPr defaultSize="0" autoFill="0" autoLine="0" autoPict="0">
                <anchor moveWithCells="1" sizeWithCells="1">
                  <from>
                    <xdr:col>3</xdr:col>
                    <xdr:colOff>76200</xdr:colOff>
                    <xdr:row>24</xdr:row>
                    <xdr:rowOff>28575</xdr:rowOff>
                  </from>
                  <to>
                    <xdr:col>3</xdr:col>
                    <xdr:colOff>571500</xdr:colOff>
                    <xdr:row>25</xdr:row>
                    <xdr:rowOff>0</xdr:rowOff>
                  </to>
                </anchor>
              </controlPr>
            </control>
          </mc:Choice>
        </mc:AlternateContent>
        <mc:AlternateContent xmlns:mc="http://schemas.openxmlformats.org/markup-compatibility/2006">
          <mc:Choice Requires="x14">
            <control shapeId="5154" r:id="rId29" name="Check Box 34">
              <controlPr defaultSize="0" autoFill="0" autoLine="0" autoPict="0">
                <anchor moveWithCells="1" sizeWithCells="1">
                  <from>
                    <xdr:col>3</xdr:col>
                    <xdr:colOff>904875</xdr:colOff>
                    <xdr:row>24</xdr:row>
                    <xdr:rowOff>28575</xdr:rowOff>
                  </from>
                  <to>
                    <xdr:col>3</xdr:col>
                    <xdr:colOff>1524000</xdr:colOff>
                    <xdr:row>25</xdr:row>
                    <xdr:rowOff>28575</xdr:rowOff>
                  </to>
                </anchor>
              </controlPr>
            </control>
          </mc:Choice>
        </mc:AlternateContent>
        <mc:AlternateContent xmlns:mc="http://schemas.openxmlformats.org/markup-compatibility/2006">
          <mc:Choice Requires="x14">
            <control shapeId="5155" r:id="rId30" name="Check Box 35">
              <controlPr defaultSize="0" autoFill="0" autoLine="0" autoPict="0">
                <anchor moveWithCells="1" sizeWithCells="1">
                  <from>
                    <xdr:col>3</xdr:col>
                    <xdr:colOff>76200</xdr:colOff>
                    <xdr:row>25</xdr:row>
                    <xdr:rowOff>28575</xdr:rowOff>
                  </from>
                  <to>
                    <xdr:col>3</xdr:col>
                    <xdr:colOff>571500</xdr:colOff>
                    <xdr:row>26</xdr:row>
                    <xdr:rowOff>0</xdr:rowOff>
                  </to>
                </anchor>
              </controlPr>
            </control>
          </mc:Choice>
        </mc:AlternateContent>
        <mc:AlternateContent xmlns:mc="http://schemas.openxmlformats.org/markup-compatibility/2006">
          <mc:Choice Requires="x14">
            <control shapeId="5156" r:id="rId31" name="Check Box 36">
              <controlPr defaultSize="0" autoFill="0" autoLine="0" autoPict="0">
                <anchor moveWithCells="1" sizeWithCells="1">
                  <from>
                    <xdr:col>3</xdr:col>
                    <xdr:colOff>904875</xdr:colOff>
                    <xdr:row>25</xdr:row>
                    <xdr:rowOff>28575</xdr:rowOff>
                  </from>
                  <to>
                    <xdr:col>3</xdr:col>
                    <xdr:colOff>1524000</xdr:colOff>
                    <xdr:row>26</xdr:row>
                    <xdr:rowOff>28575</xdr:rowOff>
                  </to>
                </anchor>
              </controlPr>
            </control>
          </mc:Choice>
        </mc:AlternateContent>
        <mc:AlternateContent xmlns:mc="http://schemas.openxmlformats.org/markup-compatibility/2006">
          <mc:Choice Requires="x14">
            <control shapeId="5157" r:id="rId32" name="Check Box 37">
              <controlPr defaultSize="0" autoFill="0" autoLine="0" autoPict="0">
                <anchor moveWithCells="1" sizeWithCells="1">
                  <from>
                    <xdr:col>3</xdr:col>
                    <xdr:colOff>76200</xdr:colOff>
                    <xdr:row>26</xdr:row>
                    <xdr:rowOff>28575</xdr:rowOff>
                  </from>
                  <to>
                    <xdr:col>3</xdr:col>
                    <xdr:colOff>571500</xdr:colOff>
                    <xdr:row>27</xdr:row>
                    <xdr:rowOff>0</xdr:rowOff>
                  </to>
                </anchor>
              </controlPr>
            </control>
          </mc:Choice>
        </mc:AlternateContent>
        <mc:AlternateContent xmlns:mc="http://schemas.openxmlformats.org/markup-compatibility/2006">
          <mc:Choice Requires="x14">
            <control shapeId="5158" r:id="rId33" name="Check Box 38">
              <controlPr defaultSize="0" autoFill="0" autoLine="0" autoPict="0">
                <anchor moveWithCells="1" sizeWithCells="1">
                  <from>
                    <xdr:col>3</xdr:col>
                    <xdr:colOff>904875</xdr:colOff>
                    <xdr:row>26</xdr:row>
                    <xdr:rowOff>28575</xdr:rowOff>
                  </from>
                  <to>
                    <xdr:col>3</xdr:col>
                    <xdr:colOff>1524000</xdr:colOff>
                    <xdr:row>27</xdr:row>
                    <xdr:rowOff>28575</xdr:rowOff>
                  </to>
                </anchor>
              </controlPr>
            </control>
          </mc:Choice>
        </mc:AlternateContent>
        <mc:AlternateContent xmlns:mc="http://schemas.openxmlformats.org/markup-compatibility/2006">
          <mc:Choice Requires="x14">
            <control shapeId="5159" r:id="rId34" name="Check Box 39">
              <controlPr defaultSize="0" autoFill="0" autoLine="0" autoPict="0">
                <anchor moveWithCells="1" sizeWithCells="1">
                  <from>
                    <xdr:col>3</xdr:col>
                    <xdr:colOff>76200</xdr:colOff>
                    <xdr:row>27</xdr:row>
                    <xdr:rowOff>28575</xdr:rowOff>
                  </from>
                  <to>
                    <xdr:col>3</xdr:col>
                    <xdr:colOff>571500</xdr:colOff>
                    <xdr:row>28</xdr:row>
                    <xdr:rowOff>0</xdr:rowOff>
                  </to>
                </anchor>
              </controlPr>
            </control>
          </mc:Choice>
        </mc:AlternateContent>
        <mc:AlternateContent xmlns:mc="http://schemas.openxmlformats.org/markup-compatibility/2006">
          <mc:Choice Requires="x14">
            <control shapeId="5160" r:id="rId35" name="Check Box 40">
              <controlPr defaultSize="0" autoFill="0" autoLine="0" autoPict="0">
                <anchor moveWithCells="1" sizeWithCells="1">
                  <from>
                    <xdr:col>3</xdr:col>
                    <xdr:colOff>904875</xdr:colOff>
                    <xdr:row>27</xdr:row>
                    <xdr:rowOff>28575</xdr:rowOff>
                  </from>
                  <to>
                    <xdr:col>3</xdr:col>
                    <xdr:colOff>1524000</xdr:colOff>
                    <xdr:row>28</xdr:row>
                    <xdr:rowOff>28575</xdr:rowOff>
                  </to>
                </anchor>
              </controlPr>
            </control>
          </mc:Choice>
        </mc:AlternateContent>
        <mc:AlternateContent xmlns:mc="http://schemas.openxmlformats.org/markup-compatibility/2006">
          <mc:Choice Requires="x14">
            <control shapeId="5161" r:id="rId36" name="Check Box 41">
              <controlPr defaultSize="0" autoFill="0" autoLine="0" autoPict="0">
                <anchor moveWithCells="1" sizeWithCells="1">
                  <from>
                    <xdr:col>3</xdr:col>
                    <xdr:colOff>76200</xdr:colOff>
                    <xdr:row>28</xdr:row>
                    <xdr:rowOff>28575</xdr:rowOff>
                  </from>
                  <to>
                    <xdr:col>3</xdr:col>
                    <xdr:colOff>571500</xdr:colOff>
                    <xdr:row>29</xdr:row>
                    <xdr:rowOff>0</xdr:rowOff>
                  </to>
                </anchor>
              </controlPr>
            </control>
          </mc:Choice>
        </mc:AlternateContent>
        <mc:AlternateContent xmlns:mc="http://schemas.openxmlformats.org/markup-compatibility/2006">
          <mc:Choice Requires="x14">
            <control shapeId="5162" r:id="rId37" name="Check Box 42">
              <controlPr defaultSize="0" autoFill="0" autoLine="0" autoPict="0">
                <anchor moveWithCells="1" sizeWithCells="1">
                  <from>
                    <xdr:col>3</xdr:col>
                    <xdr:colOff>904875</xdr:colOff>
                    <xdr:row>28</xdr:row>
                    <xdr:rowOff>28575</xdr:rowOff>
                  </from>
                  <to>
                    <xdr:col>3</xdr:col>
                    <xdr:colOff>1524000</xdr:colOff>
                    <xdr:row>29</xdr:row>
                    <xdr:rowOff>28575</xdr:rowOff>
                  </to>
                </anchor>
              </controlPr>
            </control>
          </mc:Choice>
        </mc:AlternateContent>
        <mc:AlternateContent xmlns:mc="http://schemas.openxmlformats.org/markup-compatibility/2006">
          <mc:Choice Requires="x14">
            <control shapeId="5163" r:id="rId38" name="Check Box 43">
              <controlPr defaultSize="0" autoFill="0" autoLine="0" autoPict="0">
                <anchor moveWithCells="1" sizeWithCells="1">
                  <from>
                    <xdr:col>3</xdr:col>
                    <xdr:colOff>76200</xdr:colOff>
                    <xdr:row>29</xdr:row>
                    <xdr:rowOff>28575</xdr:rowOff>
                  </from>
                  <to>
                    <xdr:col>3</xdr:col>
                    <xdr:colOff>571500</xdr:colOff>
                    <xdr:row>30</xdr:row>
                    <xdr:rowOff>0</xdr:rowOff>
                  </to>
                </anchor>
              </controlPr>
            </control>
          </mc:Choice>
        </mc:AlternateContent>
        <mc:AlternateContent xmlns:mc="http://schemas.openxmlformats.org/markup-compatibility/2006">
          <mc:Choice Requires="x14">
            <control shapeId="5164" r:id="rId39" name="Check Box 44">
              <controlPr defaultSize="0" autoFill="0" autoLine="0" autoPict="0">
                <anchor moveWithCells="1" sizeWithCells="1">
                  <from>
                    <xdr:col>3</xdr:col>
                    <xdr:colOff>904875</xdr:colOff>
                    <xdr:row>29</xdr:row>
                    <xdr:rowOff>28575</xdr:rowOff>
                  </from>
                  <to>
                    <xdr:col>3</xdr:col>
                    <xdr:colOff>1524000</xdr:colOff>
                    <xdr:row>30</xdr:row>
                    <xdr:rowOff>28575</xdr:rowOff>
                  </to>
                </anchor>
              </controlPr>
            </control>
          </mc:Choice>
        </mc:AlternateContent>
        <mc:AlternateContent xmlns:mc="http://schemas.openxmlformats.org/markup-compatibility/2006">
          <mc:Choice Requires="x14">
            <control shapeId="5165" r:id="rId40" name="Check Box 45">
              <controlPr defaultSize="0" autoFill="0" autoLine="0" autoPict="0">
                <anchor moveWithCells="1" sizeWithCells="1">
                  <from>
                    <xdr:col>3</xdr:col>
                    <xdr:colOff>76200</xdr:colOff>
                    <xdr:row>30</xdr:row>
                    <xdr:rowOff>28575</xdr:rowOff>
                  </from>
                  <to>
                    <xdr:col>3</xdr:col>
                    <xdr:colOff>571500</xdr:colOff>
                    <xdr:row>31</xdr:row>
                    <xdr:rowOff>0</xdr:rowOff>
                  </to>
                </anchor>
              </controlPr>
            </control>
          </mc:Choice>
        </mc:AlternateContent>
        <mc:AlternateContent xmlns:mc="http://schemas.openxmlformats.org/markup-compatibility/2006">
          <mc:Choice Requires="x14">
            <control shapeId="5166" r:id="rId41" name="Check Box 46">
              <controlPr defaultSize="0" autoFill="0" autoLine="0" autoPict="0">
                <anchor moveWithCells="1" sizeWithCells="1">
                  <from>
                    <xdr:col>3</xdr:col>
                    <xdr:colOff>904875</xdr:colOff>
                    <xdr:row>30</xdr:row>
                    <xdr:rowOff>28575</xdr:rowOff>
                  </from>
                  <to>
                    <xdr:col>3</xdr:col>
                    <xdr:colOff>1524000</xdr:colOff>
                    <xdr:row>31</xdr:row>
                    <xdr:rowOff>28575</xdr:rowOff>
                  </to>
                </anchor>
              </controlPr>
            </control>
          </mc:Choice>
        </mc:AlternateContent>
        <mc:AlternateContent xmlns:mc="http://schemas.openxmlformats.org/markup-compatibility/2006">
          <mc:Choice Requires="x14">
            <control shapeId="5167" r:id="rId42" name="Check Box 47">
              <controlPr defaultSize="0" autoFill="0" autoLine="0" autoPict="0">
                <anchor moveWithCells="1" sizeWithCells="1">
                  <from>
                    <xdr:col>3</xdr:col>
                    <xdr:colOff>76200</xdr:colOff>
                    <xdr:row>31</xdr:row>
                    <xdr:rowOff>28575</xdr:rowOff>
                  </from>
                  <to>
                    <xdr:col>3</xdr:col>
                    <xdr:colOff>571500</xdr:colOff>
                    <xdr:row>32</xdr:row>
                    <xdr:rowOff>0</xdr:rowOff>
                  </to>
                </anchor>
              </controlPr>
            </control>
          </mc:Choice>
        </mc:AlternateContent>
        <mc:AlternateContent xmlns:mc="http://schemas.openxmlformats.org/markup-compatibility/2006">
          <mc:Choice Requires="x14">
            <control shapeId="5168" r:id="rId43" name="Check Box 48">
              <controlPr defaultSize="0" autoFill="0" autoLine="0" autoPict="0">
                <anchor moveWithCells="1" sizeWithCells="1">
                  <from>
                    <xdr:col>3</xdr:col>
                    <xdr:colOff>904875</xdr:colOff>
                    <xdr:row>31</xdr:row>
                    <xdr:rowOff>28575</xdr:rowOff>
                  </from>
                  <to>
                    <xdr:col>3</xdr:col>
                    <xdr:colOff>1524000</xdr:colOff>
                    <xdr:row>32</xdr:row>
                    <xdr:rowOff>28575</xdr:rowOff>
                  </to>
                </anchor>
              </controlPr>
            </control>
          </mc:Choice>
        </mc:AlternateContent>
        <mc:AlternateContent xmlns:mc="http://schemas.openxmlformats.org/markup-compatibility/2006">
          <mc:Choice Requires="x14">
            <control shapeId="5169" r:id="rId44" name="Check Box 49">
              <controlPr defaultSize="0" autoFill="0" autoLine="0" autoPict="0">
                <anchor moveWithCells="1" sizeWithCells="1">
                  <from>
                    <xdr:col>4</xdr:col>
                    <xdr:colOff>76200</xdr:colOff>
                    <xdr:row>12</xdr:row>
                    <xdr:rowOff>28575</xdr:rowOff>
                  </from>
                  <to>
                    <xdr:col>4</xdr:col>
                    <xdr:colOff>571500</xdr:colOff>
                    <xdr:row>13</xdr:row>
                    <xdr:rowOff>0</xdr:rowOff>
                  </to>
                </anchor>
              </controlPr>
            </control>
          </mc:Choice>
        </mc:AlternateContent>
        <mc:AlternateContent xmlns:mc="http://schemas.openxmlformats.org/markup-compatibility/2006">
          <mc:Choice Requires="x14">
            <control shapeId="5170" r:id="rId45" name="Check Box 50">
              <controlPr defaultSize="0" autoFill="0" autoLine="0" autoPict="0">
                <anchor moveWithCells="1" sizeWithCells="1">
                  <from>
                    <xdr:col>4</xdr:col>
                    <xdr:colOff>904875</xdr:colOff>
                    <xdr:row>12</xdr:row>
                    <xdr:rowOff>28575</xdr:rowOff>
                  </from>
                  <to>
                    <xdr:col>4</xdr:col>
                    <xdr:colOff>1524000</xdr:colOff>
                    <xdr:row>13</xdr:row>
                    <xdr:rowOff>28575</xdr:rowOff>
                  </to>
                </anchor>
              </controlPr>
            </control>
          </mc:Choice>
        </mc:AlternateContent>
        <mc:AlternateContent xmlns:mc="http://schemas.openxmlformats.org/markup-compatibility/2006">
          <mc:Choice Requires="x14">
            <control shapeId="5171" r:id="rId46" name="Check Box 51">
              <controlPr defaultSize="0" autoFill="0" autoLine="0" autoPict="0">
                <anchor moveWithCells="1" sizeWithCells="1">
                  <from>
                    <xdr:col>4</xdr:col>
                    <xdr:colOff>76200</xdr:colOff>
                    <xdr:row>13</xdr:row>
                    <xdr:rowOff>28575</xdr:rowOff>
                  </from>
                  <to>
                    <xdr:col>4</xdr:col>
                    <xdr:colOff>571500</xdr:colOff>
                    <xdr:row>14</xdr:row>
                    <xdr:rowOff>0</xdr:rowOff>
                  </to>
                </anchor>
              </controlPr>
            </control>
          </mc:Choice>
        </mc:AlternateContent>
        <mc:AlternateContent xmlns:mc="http://schemas.openxmlformats.org/markup-compatibility/2006">
          <mc:Choice Requires="x14">
            <control shapeId="5172" r:id="rId47" name="Check Box 52">
              <controlPr defaultSize="0" autoFill="0" autoLine="0" autoPict="0">
                <anchor moveWithCells="1" sizeWithCells="1">
                  <from>
                    <xdr:col>4</xdr:col>
                    <xdr:colOff>904875</xdr:colOff>
                    <xdr:row>13</xdr:row>
                    <xdr:rowOff>28575</xdr:rowOff>
                  </from>
                  <to>
                    <xdr:col>4</xdr:col>
                    <xdr:colOff>1524000</xdr:colOff>
                    <xdr:row>14</xdr:row>
                    <xdr:rowOff>28575</xdr:rowOff>
                  </to>
                </anchor>
              </controlPr>
            </control>
          </mc:Choice>
        </mc:AlternateContent>
        <mc:AlternateContent xmlns:mc="http://schemas.openxmlformats.org/markup-compatibility/2006">
          <mc:Choice Requires="x14">
            <control shapeId="5173" r:id="rId48" name="Check Box 53">
              <controlPr defaultSize="0" autoFill="0" autoLine="0" autoPict="0">
                <anchor moveWithCells="1" sizeWithCells="1">
                  <from>
                    <xdr:col>4</xdr:col>
                    <xdr:colOff>76200</xdr:colOff>
                    <xdr:row>14</xdr:row>
                    <xdr:rowOff>28575</xdr:rowOff>
                  </from>
                  <to>
                    <xdr:col>4</xdr:col>
                    <xdr:colOff>571500</xdr:colOff>
                    <xdr:row>15</xdr:row>
                    <xdr:rowOff>0</xdr:rowOff>
                  </to>
                </anchor>
              </controlPr>
            </control>
          </mc:Choice>
        </mc:AlternateContent>
        <mc:AlternateContent xmlns:mc="http://schemas.openxmlformats.org/markup-compatibility/2006">
          <mc:Choice Requires="x14">
            <control shapeId="5174" r:id="rId49" name="Check Box 54">
              <controlPr defaultSize="0" autoFill="0" autoLine="0" autoPict="0">
                <anchor moveWithCells="1" sizeWithCells="1">
                  <from>
                    <xdr:col>4</xdr:col>
                    <xdr:colOff>904875</xdr:colOff>
                    <xdr:row>14</xdr:row>
                    <xdr:rowOff>28575</xdr:rowOff>
                  </from>
                  <to>
                    <xdr:col>4</xdr:col>
                    <xdr:colOff>1524000</xdr:colOff>
                    <xdr:row>15</xdr:row>
                    <xdr:rowOff>28575</xdr:rowOff>
                  </to>
                </anchor>
              </controlPr>
            </control>
          </mc:Choice>
        </mc:AlternateContent>
        <mc:AlternateContent xmlns:mc="http://schemas.openxmlformats.org/markup-compatibility/2006">
          <mc:Choice Requires="x14">
            <control shapeId="5175" r:id="rId50" name="Check Box 55">
              <controlPr defaultSize="0" autoFill="0" autoLine="0" autoPict="0">
                <anchor moveWithCells="1" sizeWithCells="1">
                  <from>
                    <xdr:col>4</xdr:col>
                    <xdr:colOff>76200</xdr:colOff>
                    <xdr:row>15</xdr:row>
                    <xdr:rowOff>28575</xdr:rowOff>
                  </from>
                  <to>
                    <xdr:col>4</xdr:col>
                    <xdr:colOff>571500</xdr:colOff>
                    <xdr:row>16</xdr:row>
                    <xdr:rowOff>0</xdr:rowOff>
                  </to>
                </anchor>
              </controlPr>
            </control>
          </mc:Choice>
        </mc:AlternateContent>
        <mc:AlternateContent xmlns:mc="http://schemas.openxmlformats.org/markup-compatibility/2006">
          <mc:Choice Requires="x14">
            <control shapeId="5176" r:id="rId51" name="Check Box 56">
              <controlPr defaultSize="0" autoFill="0" autoLine="0" autoPict="0">
                <anchor moveWithCells="1" sizeWithCells="1">
                  <from>
                    <xdr:col>4</xdr:col>
                    <xdr:colOff>904875</xdr:colOff>
                    <xdr:row>15</xdr:row>
                    <xdr:rowOff>28575</xdr:rowOff>
                  </from>
                  <to>
                    <xdr:col>4</xdr:col>
                    <xdr:colOff>1524000</xdr:colOff>
                    <xdr:row>16</xdr:row>
                    <xdr:rowOff>28575</xdr:rowOff>
                  </to>
                </anchor>
              </controlPr>
            </control>
          </mc:Choice>
        </mc:AlternateContent>
        <mc:AlternateContent xmlns:mc="http://schemas.openxmlformats.org/markup-compatibility/2006">
          <mc:Choice Requires="x14">
            <control shapeId="5177" r:id="rId52" name="Check Box 57">
              <controlPr defaultSize="0" autoFill="0" autoLine="0" autoPict="0">
                <anchor moveWithCells="1" sizeWithCells="1">
                  <from>
                    <xdr:col>4</xdr:col>
                    <xdr:colOff>76200</xdr:colOff>
                    <xdr:row>16</xdr:row>
                    <xdr:rowOff>28575</xdr:rowOff>
                  </from>
                  <to>
                    <xdr:col>4</xdr:col>
                    <xdr:colOff>571500</xdr:colOff>
                    <xdr:row>17</xdr:row>
                    <xdr:rowOff>0</xdr:rowOff>
                  </to>
                </anchor>
              </controlPr>
            </control>
          </mc:Choice>
        </mc:AlternateContent>
        <mc:AlternateContent xmlns:mc="http://schemas.openxmlformats.org/markup-compatibility/2006">
          <mc:Choice Requires="x14">
            <control shapeId="5178" r:id="rId53" name="Check Box 58">
              <controlPr defaultSize="0" autoFill="0" autoLine="0" autoPict="0">
                <anchor moveWithCells="1" sizeWithCells="1">
                  <from>
                    <xdr:col>4</xdr:col>
                    <xdr:colOff>904875</xdr:colOff>
                    <xdr:row>16</xdr:row>
                    <xdr:rowOff>28575</xdr:rowOff>
                  </from>
                  <to>
                    <xdr:col>4</xdr:col>
                    <xdr:colOff>1524000</xdr:colOff>
                    <xdr:row>17</xdr:row>
                    <xdr:rowOff>28575</xdr:rowOff>
                  </to>
                </anchor>
              </controlPr>
            </control>
          </mc:Choice>
        </mc:AlternateContent>
        <mc:AlternateContent xmlns:mc="http://schemas.openxmlformats.org/markup-compatibility/2006">
          <mc:Choice Requires="x14">
            <control shapeId="5179" r:id="rId54" name="Check Box 59">
              <controlPr defaultSize="0" autoFill="0" autoLine="0" autoPict="0">
                <anchor moveWithCells="1" sizeWithCells="1">
                  <from>
                    <xdr:col>4</xdr:col>
                    <xdr:colOff>76200</xdr:colOff>
                    <xdr:row>17</xdr:row>
                    <xdr:rowOff>28575</xdr:rowOff>
                  </from>
                  <to>
                    <xdr:col>4</xdr:col>
                    <xdr:colOff>571500</xdr:colOff>
                    <xdr:row>18</xdr:row>
                    <xdr:rowOff>0</xdr:rowOff>
                  </to>
                </anchor>
              </controlPr>
            </control>
          </mc:Choice>
        </mc:AlternateContent>
        <mc:AlternateContent xmlns:mc="http://schemas.openxmlformats.org/markup-compatibility/2006">
          <mc:Choice Requires="x14">
            <control shapeId="5180" r:id="rId55" name="Check Box 60">
              <controlPr defaultSize="0" autoFill="0" autoLine="0" autoPict="0">
                <anchor moveWithCells="1" sizeWithCells="1">
                  <from>
                    <xdr:col>4</xdr:col>
                    <xdr:colOff>904875</xdr:colOff>
                    <xdr:row>17</xdr:row>
                    <xdr:rowOff>28575</xdr:rowOff>
                  </from>
                  <to>
                    <xdr:col>4</xdr:col>
                    <xdr:colOff>1524000</xdr:colOff>
                    <xdr:row>18</xdr:row>
                    <xdr:rowOff>28575</xdr:rowOff>
                  </to>
                </anchor>
              </controlPr>
            </control>
          </mc:Choice>
        </mc:AlternateContent>
        <mc:AlternateContent xmlns:mc="http://schemas.openxmlformats.org/markup-compatibility/2006">
          <mc:Choice Requires="x14">
            <control shapeId="5181" r:id="rId56" name="Check Box 61">
              <controlPr defaultSize="0" autoFill="0" autoLine="0" autoPict="0">
                <anchor moveWithCells="1" sizeWithCells="1">
                  <from>
                    <xdr:col>4</xdr:col>
                    <xdr:colOff>76200</xdr:colOff>
                    <xdr:row>18</xdr:row>
                    <xdr:rowOff>28575</xdr:rowOff>
                  </from>
                  <to>
                    <xdr:col>4</xdr:col>
                    <xdr:colOff>571500</xdr:colOff>
                    <xdr:row>19</xdr:row>
                    <xdr:rowOff>0</xdr:rowOff>
                  </to>
                </anchor>
              </controlPr>
            </control>
          </mc:Choice>
        </mc:AlternateContent>
        <mc:AlternateContent xmlns:mc="http://schemas.openxmlformats.org/markup-compatibility/2006">
          <mc:Choice Requires="x14">
            <control shapeId="5182" r:id="rId57" name="Check Box 62">
              <controlPr defaultSize="0" autoFill="0" autoLine="0" autoPict="0">
                <anchor moveWithCells="1" sizeWithCells="1">
                  <from>
                    <xdr:col>4</xdr:col>
                    <xdr:colOff>904875</xdr:colOff>
                    <xdr:row>18</xdr:row>
                    <xdr:rowOff>28575</xdr:rowOff>
                  </from>
                  <to>
                    <xdr:col>4</xdr:col>
                    <xdr:colOff>1524000</xdr:colOff>
                    <xdr:row>19</xdr:row>
                    <xdr:rowOff>28575</xdr:rowOff>
                  </to>
                </anchor>
              </controlPr>
            </control>
          </mc:Choice>
        </mc:AlternateContent>
        <mc:AlternateContent xmlns:mc="http://schemas.openxmlformats.org/markup-compatibility/2006">
          <mc:Choice Requires="x14">
            <control shapeId="5183" r:id="rId58" name="Check Box 63">
              <controlPr defaultSize="0" autoFill="0" autoLine="0" autoPict="0">
                <anchor moveWithCells="1" sizeWithCells="1">
                  <from>
                    <xdr:col>4</xdr:col>
                    <xdr:colOff>76200</xdr:colOff>
                    <xdr:row>19</xdr:row>
                    <xdr:rowOff>28575</xdr:rowOff>
                  </from>
                  <to>
                    <xdr:col>4</xdr:col>
                    <xdr:colOff>571500</xdr:colOff>
                    <xdr:row>20</xdr:row>
                    <xdr:rowOff>0</xdr:rowOff>
                  </to>
                </anchor>
              </controlPr>
            </control>
          </mc:Choice>
        </mc:AlternateContent>
        <mc:AlternateContent xmlns:mc="http://schemas.openxmlformats.org/markup-compatibility/2006">
          <mc:Choice Requires="x14">
            <control shapeId="5184" r:id="rId59" name="Check Box 64">
              <controlPr defaultSize="0" autoFill="0" autoLine="0" autoPict="0">
                <anchor moveWithCells="1" sizeWithCells="1">
                  <from>
                    <xdr:col>4</xdr:col>
                    <xdr:colOff>904875</xdr:colOff>
                    <xdr:row>19</xdr:row>
                    <xdr:rowOff>28575</xdr:rowOff>
                  </from>
                  <to>
                    <xdr:col>4</xdr:col>
                    <xdr:colOff>1524000</xdr:colOff>
                    <xdr:row>20</xdr:row>
                    <xdr:rowOff>28575</xdr:rowOff>
                  </to>
                </anchor>
              </controlPr>
            </control>
          </mc:Choice>
        </mc:AlternateContent>
        <mc:AlternateContent xmlns:mc="http://schemas.openxmlformats.org/markup-compatibility/2006">
          <mc:Choice Requires="x14">
            <control shapeId="5185" r:id="rId60" name="Check Box 65">
              <controlPr defaultSize="0" autoFill="0" autoLine="0" autoPict="0">
                <anchor moveWithCells="1" sizeWithCells="1">
                  <from>
                    <xdr:col>4</xdr:col>
                    <xdr:colOff>76200</xdr:colOff>
                    <xdr:row>20</xdr:row>
                    <xdr:rowOff>28575</xdr:rowOff>
                  </from>
                  <to>
                    <xdr:col>4</xdr:col>
                    <xdr:colOff>571500</xdr:colOff>
                    <xdr:row>21</xdr:row>
                    <xdr:rowOff>0</xdr:rowOff>
                  </to>
                </anchor>
              </controlPr>
            </control>
          </mc:Choice>
        </mc:AlternateContent>
        <mc:AlternateContent xmlns:mc="http://schemas.openxmlformats.org/markup-compatibility/2006">
          <mc:Choice Requires="x14">
            <control shapeId="5186" r:id="rId61" name="Check Box 66">
              <controlPr defaultSize="0" autoFill="0" autoLine="0" autoPict="0">
                <anchor moveWithCells="1" sizeWithCells="1">
                  <from>
                    <xdr:col>4</xdr:col>
                    <xdr:colOff>904875</xdr:colOff>
                    <xdr:row>20</xdr:row>
                    <xdr:rowOff>28575</xdr:rowOff>
                  </from>
                  <to>
                    <xdr:col>4</xdr:col>
                    <xdr:colOff>1524000</xdr:colOff>
                    <xdr:row>21</xdr:row>
                    <xdr:rowOff>28575</xdr:rowOff>
                  </to>
                </anchor>
              </controlPr>
            </control>
          </mc:Choice>
        </mc:AlternateContent>
        <mc:AlternateContent xmlns:mc="http://schemas.openxmlformats.org/markup-compatibility/2006">
          <mc:Choice Requires="x14">
            <control shapeId="5187" r:id="rId62" name="Check Box 67">
              <controlPr defaultSize="0" autoFill="0" autoLine="0" autoPict="0">
                <anchor moveWithCells="1" sizeWithCells="1">
                  <from>
                    <xdr:col>4</xdr:col>
                    <xdr:colOff>76200</xdr:colOff>
                    <xdr:row>21</xdr:row>
                    <xdr:rowOff>28575</xdr:rowOff>
                  </from>
                  <to>
                    <xdr:col>4</xdr:col>
                    <xdr:colOff>571500</xdr:colOff>
                    <xdr:row>22</xdr:row>
                    <xdr:rowOff>0</xdr:rowOff>
                  </to>
                </anchor>
              </controlPr>
            </control>
          </mc:Choice>
        </mc:AlternateContent>
        <mc:AlternateContent xmlns:mc="http://schemas.openxmlformats.org/markup-compatibility/2006">
          <mc:Choice Requires="x14">
            <control shapeId="5188" r:id="rId63" name="Check Box 68">
              <controlPr defaultSize="0" autoFill="0" autoLine="0" autoPict="0">
                <anchor moveWithCells="1" sizeWithCells="1">
                  <from>
                    <xdr:col>4</xdr:col>
                    <xdr:colOff>904875</xdr:colOff>
                    <xdr:row>21</xdr:row>
                    <xdr:rowOff>28575</xdr:rowOff>
                  </from>
                  <to>
                    <xdr:col>4</xdr:col>
                    <xdr:colOff>1524000</xdr:colOff>
                    <xdr:row>22</xdr:row>
                    <xdr:rowOff>28575</xdr:rowOff>
                  </to>
                </anchor>
              </controlPr>
            </control>
          </mc:Choice>
        </mc:AlternateContent>
        <mc:AlternateContent xmlns:mc="http://schemas.openxmlformats.org/markup-compatibility/2006">
          <mc:Choice Requires="x14">
            <control shapeId="5189" r:id="rId64" name="Check Box 69">
              <controlPr defaultSize="0" autoFill="0" autoLine="0" autoPict="0">
                <anchor moveWithCells="1" sizeWithCells="1">
                  <from>
                    <xdr:col>4</xdr:col>
                    <xdr:colOff>76200</xdr:colOff>
                    <xdr:row>22</xdr:row>
                    <xdr:rowOff>28575</xdr:rowOff>
                  </from>
                  <to>
                    <xdr:col>4</xdr:col>
                    <xdr:colOff>571500</xdr:colOff>
                    <xdr:row>23</xdr:row>
                    <xdr:rowOff>0</xdr:rowOff>
                  </to>
                </anchor>
              </controlPr>
            </control>
          </mc:Choice>
        </mc:AlternateContent>
        <mc:AlternateContent xmlns:mc="http://schemas.openxmlformats.org/markup-compatibility/2006">
          <mc:Choice Requires="x14">
            <control shapeId="5190" r:id="rId65" name="Check Box 70">
              <controlPr defaultSize="0" autoFill="0" autoLine="0" autoPict="0">
                <anchor moveWithCells="1" sizeWithCells="1">
                  <from>
                    <xdr:col>4</xdr:col>
                    <xdr:colOff>904875</xdr:colOff>
                    <xdr:row>22</xdr:row>
                    <xdr:rowOff>28575</xdr:rowOff>
                  </from>
                  <to>
                    <xdr:col>4</xdr:col>
                    <xdr:colOff>1524000</xdr:colOff>
                    <xdr:row>23</xdr:row>
                    <xdr:rowOff>28575</xdr:rowOff>
                  </to>
                </anchor>
              </controlPr>
            </control>
          </mc:Choice>
        </mc:AlternateContent>
        <mc:AlternateContent xmlns:mc="http://schemas.openxmlformats.org/markup-compatibility/2006">
          <mc:Choice Requires="x14">
            <control shapeId="5191" r:id="rId66" name="Check Box 71">
              <controlPr defaultSize="0" autoFill="0" autoLine="0" autoPict="0">
                <anchor moveWithCells="1" sizeWithCells="1">
                  <from>
                    <xdr:col>4</xdr:col>
                    <xdr:colOff>76200</xdr:colOff>
                    <xdr:row>23</xdr:row>
                    <xdr:rowOff>28575</xdr:rowOff>
                  </from>
                  <to>
                    <xdr:col>4</xdr:col>
                    <xdr:colOff>571500</xdr:colOff>
                    <xdr:row>24</xdr:row>
                    <xdr:rowOff>0</xdr:rowOff>
                  </to>
                </anchor>
              </controlPr>
            </control>
          </mc:Choice>
        </mc:AlternateContent>
        <mc:AlternateContent xmlns:mc="http://schemas.openxmlformats.org/markup-compatibility/2006">
          <mc:Choice Requires="x14">
            <control shapeId="5192" r:id="rId67" name="Check Box 72">
              <controlPr defaultSize="0" autoFill="0" autoLine="0" autoPict="0">
                <anchor moveWithCells="1" sizeWithCells="1">
                  <from>
                    <xdr:col>4</xdr:col>
                    <xdr:colOff>904875</xdr:colOff>
                    <xdr:row>23</xdr:row>
                    <xdr:rowOff>28575</xdr:rowOff>
                  </from>
                  <to>
                    <xdr:col>4</xdr:col>
                    <xdr:colOff>1524000</xdr:colOff>
                    <xdr:row>24</xdr:row>
                    <xdr:rowOff>28575</xdr:rowOff>
                  </to>
                </anchor>
              </controlPr>
            </control>
          </mc:Choice>
        </mc:AlternateContent>
        <mc:AlternateContent xmlns:mc="http://schemas.openxmlformats.org/markup-compatibility/2006">
          <mc:Choice Requires="x14">
            <control shapeId="5193" r:id="rId68" name="Check Box 73">
              <controlPr defaultSize="0" autoFill="0" autoLine="0" autoPict="0">
                <anchor moveWithCells="1" sizeWithCells="1">
                  <from>
                    <xdr:col>4</xdr:col>
                    <xdr:colOff>76200</xdr:colOff>
                    <xdr:row>24</xdr:row>
                    <xdr:rowOff>28575</xdr:rowOff>
                  </from>
                  <to>
                    <xdr:col>4</xdr:col>
                    <xdr:colOff>571500</xdr:colOff>
                    <xdr:row>25</xdr:row>
                    <xdr:rowOff>0</xdr:rowOff>
                  </to>
                </anchor>
              </controlPr>
            </control>
          </mc:Choice>
        </mc:AlternateContent>
        <mc:AlternateContent xmlns:mc="http://schemas.openxmlformats.org/markup-compatibility/2006">
          <mc:Choice Requires="x14">
            <control shapeId="5194" r:id="rId69" name="Check Box 74">
              <controlPr defaultSize="0" autoFill="0" autoLine="0" autoPict="0">
                <anchor moveWithCells="1" sizeWithCells="1">
                  <from>
                    <xdr:col>4</xdr:col>
                    <xdr:colOff>904875</xdr:colOff>
                    <xdr:row>24</xdr:row>
                    <xdr:rowOff>28575</xdr:rowOff>
                  </from>
                  <to>
                    <xdr:col>4</xdr:col>
                    <xdr:colOff>1524000</xdr:colOff>
                    <xdr:row>25</xdr:row>
                    <xdr:rowOff>28575</xdr:rowOff>
                  </to>
                </anchor>
              </controlPr>
            </control>
          </mc:Choice>
        </mc:AlternateContent>
        <mc:AlternateContent xmlns:mc="http://schemas.openxmlformats.org/markup-compatibility/2006">
          <mc:Choice Requires="x14">
            <control shapeId="5195" r:id="rId70" name="Check Box 75">
              <controlPr defaultSize="0" autoFill="0" autoLine="0" autoPict="0">
                <anchor moveWithCells="1" sizeWithCells="1">
                  <from>
                    <xdr:col>4</xdr:col>
                    <xdr:colOff>76200</xdr:colOff>
                    <xdr:row>25</xdr:row>
                    <xdr:rowOff>28575</xdr:rowOff>
                  </from>
                  <to>
                    <xdr:col>4</xdr:col>
                    <xdr:colOff>571500</xdr:colOff>
                    <xdr:row>26</xdr:row>
                    <xdr:rowOff>0</xdr:rowOff>
                  </to>
                </anchor>
              </controlPr>
            </control>
          </mc:Choice>
        </mc:AlternateContent>
        <mc:AlternateContent xmlns:mc="http://schemas.openxmlformats.org/markup-compatibility/2006">
          <mc:Choice Requires="x14">
            <control shapeId="5196" r:id="rId71" name="Check Box 76">
              <controlPr defaultSize="0" autoFill="0" autoLine="0" autoPict="0">
                <anchor moveWithCells="1" sizeWithCells="1">
                  <from>
                    <xdr:col>4</xdr:col>
                    <xdr:colOff>904875</xdr:colOff>
                    <xdr:row>25</xdr:row>
                    <xdr:rowOff>28575</xdr:rowOff>
                  </from>
                  <to>
                    <xdr:col>4</xdr:col>
                    <xdr:colOff>1524000</xdr:colOff>
                    <xdr:row>26</xdr:row>
                    <xdr:rowOff>28575</xdr:rowOff>
                  </to>
                </anchor>
              </controlPr>
            </control>
          </mc:Choice>
        </mc:AlternateContent>
        <mc:AlternateContent xmlns:mc="http://schemas.openxmlformats.org/markup-compatibility/2006">
          <mc:Choice Requires="x14">
            <control shapeId="5197" r:id="rId72" name="Check Box 77">
              <controlPr defaultSize="0" autoFill="0" autoLine="0" autoPict="0">
                <anchor moveWithCells="1" sizeWithCells="1">
                  <from>
                    <xdr:col>4</xdr:col>
                    <xdr:colOff>76200</xdr:colOff>
                    <xdr:row>26</xdr:row>
                    <xdr:rowOff>28575</xdr:rowOff>
                  </from>
                  <to>
                    <xdr:col>4</xdr:col>
                    <xdr:colOff>571500</xdr:colOff>
                    <xdr:row>27</xdr:row>
                    <xdr:rowOff>0</xdr:rowOff>
                  </to>
                </anchor>
              </controlPr>
            </control>
          </mc:Choice>
        </mc:AlternateContent>
        <mc:AlternateContent xmlns:mc="http://schemas.openxmlformats.org/markup-compatibility/2006">
          <mc:Choice Requires="x14">
            <control shapeId="5198" r:id="rId73" name="Check Box 78">
              <controlPr defaultSize="0" autoFill="0" autoLine="0" autoPict="0">
                <anchor moveWithCells="1" sizeWithCells="1">
                  <from>
                    <xdr:col>4</xdr:col>
                    <xdr:colOff>904875</xdr:colOff>
                    <xdr:row>26</xdr:row>
                    <xdr:rowOff>28575</xdr:rowOff>
                  </from>
                  <to>
                    <xdr:col>4</xdr:col>
                    <xdr:colOff>1524000</xdr:colOff>
                    <xdr:row>27</xdr:row>
                    <xdr:rowOff>28575</xdr:rowOff>
                  </to>
                </anchor>
              </controlPr>
            </control>
          </mc:Choice>
        </mc:AlternateContent>
        <mc:AlternateContent xmlns:mc="http://schemas.openxmlformats.org/markup-compatibility/2006">
          <mc:Choice Requires="x14">
            <control shapeId="5199" r:id="rId74" name="Check Box 79">
              <controlPr defaultSize="0" autoFill="0" autoLine="0" autoPict="0">
                <anchor moveWithCells="1" sizeWithCells="1">
                  <from>
                    <xdr:col>4</xdr:col>
                    <xdr:colOff>76200</xdr:colOff>
                    <xdr:row>27</xdr:row>
                    <xdr:rowOff>28575</xdr:rowOff>
                  </from>
                  <to>
                    <xdr:col>4</xdr:col>
                    <xdr:colOff>571500</xdr:colOff>
                    <xdr:row>28</xdr:row>
                    <xdr:rowOff>0</xdr:rowOff>
                  </to>
                </anchor>
              </controlPr>
            </control>
          </mc:Choice>
        </mc:AlternateContent>
        <mc:AlternateContent xmlns:mc="http://schemas.openxmlformats.org/markup-compatibility/2006">
          <mc:Choice Requires="x14">
            <control shapeId="5200" r:id="rId75" name="Check Box 80">
              <controlPr defaultSize="0" autoFill="0" autoLine="0" autoPict="0">
                <anchor moveWithCells="1" sizeWithCells="1">
                  <from>
                    <xdr:col>4</xdr:col>
                    <xdr:colOff>904875</xdr:colOff>
                    <xdr:row>27</xdr:row>
                    <xdr:rowOff>28575</xdr:rowOff>
                  </from>
                  <to>
                    <xdr:col>4</xdr:col>
                    <xdr:colOff>1524000</xdr:colOff>
                    <xdr:row>28</xdr:row>
                    <xdr:rowOff>28575</xdr:rowOff>
                  </to>
                </anchor>
              </controlPr>
            </control>
          </mc:Choice>
        </mc:AlternateContent>
        <mc:AlternateContent xmlns:mc="http://schemas.openxmlformats.org/markup-compatibility/2006">
          <mc:Choice Requires="x14">
            <control shapeId="5201" r:id="rId76" name="Check Box 81">
              <controlPr defaultSize="0" autoFill="0" autoLine="0" autoPict="0">
                <anchor moveWithCells="1" sizeWithCells="1">
                  <from>
                    <xdr:col>4</xdr:col>
                    <xdr:colOff>76200</xdr:colOff>
                    <xdr:row>28</xdr:row>
                    <xdr:rowOff>28575</xdr:rowOff>
                  </from>
                  <to>
                    <xdr:col>4</xdr:col>
                    <xdr:colOff>571500</xdr:colOff>
                    <xdr:row>29</xdr:row>
                    <xdr:rowOff>0</xdr:rowOff>
                  </to>
                </anchor>
              </controlPr>
            </control>
          </mc:Choice>
        </mc:AlternateContent>
        <mc:AlternateContent xmlns:mc="http://schemas.openxmlformats.org/markup-compatibility/2006">
          <mc:Choice Requires="x14">
            <control shapeId="5202" r:id="rId77" name="Check Box 82">
              <controlPr defaultSize="0" autoFill="0" autoLine="0" autoPict="0">
                <anchor moveWithCells="1" sizeWithCells="1">
                  <from>
                    <xdr:col>4</xdr:col>
                    <xdr:colOff>904875</xdr:colOff>
                    <xdr:row>28</xdr:row>
                    <xdr:rowOff>28575</xdr:rowOff>
                  </from>
                  <to>
                    <xdr:col>4</xdr:col>
                    <xdr:colOff>1524000</xdr:colOff>
                    <xdr:row>29</xdr:row>
                    <xdr:rowOff>28575</xdr:rowOff>
                  </to>
                </anchor>
              </controlPr>
            </control>
          </mc:Choice>
        </mc:AlternateContent>
        <mc:AlternateContent xmlns:mc="http://schemas.openxmlformats.org/markup-compatibility/2006">
          <mc:Choice Requires="x14">
            <control shapeId="5203" r:id="rId78" name="Check Box 83">
              <controlPr defaultSize="0" autoFill="0" autoLine="0" autoPict="0">
                <anchor moveWithCells="1" sizeWithCells="1">
                  <from>
                    <xdr:col>4</xdr:col>
                    <xdr:colOff>76200</xdr:colOff>
                    <xdr:row>29</xdr:row>
                    <xdr:rowOff>28575</xdr:rowOff>
                  </from>
                  <to>
                    <xdr:col>4</xdr:col>
                    <xdr:colOff>571500</xdr:colOff>
                    <xdr:row>30</xdr:row>
                    <xdr:rowOff>0</xdr:rowOff>
                  </to>
                </anchor>
              </controlPr>
            </control>
          </mc:Choice>
        </mc:AlternateContent>
        <mc:AlternateContent xmlns:mc="http://schemas.openxmlformats.org/markup-compatibility/2006">
          <mc:Choice Requires="x14">
            <control shapeId="5204" r:id="rId79" name="Check Box 84">
              <controlPr defaultSize="0" autoFill="0" autoLine="0" autoPict="0">
                <anchor moveWithCells="1" sizeWithCells="1">
                  <from>
                    <xdr:col>4</xdr:col>
                    <xdr:colOff>904875</xdr:colOff>
                    <xdr:row>29</xdr:row>
                    <xdr:rowOff>28575</xdr:rowOff>
                  </from>
                  <to>
                    <xdr:col>4</xdr:col>
                    <xdr:colOff>1524000</xdr:colOff>
                    <xdr:row>30</xdr:row>
                    <xdr:rowOff>28575</xdr:rowOff>
                  </to>
                </anchor>
              </controlPr>
            </control>
          </mc:Choice>
        </mc:AlternateContent>
        <mc:AlternateContent xmlns:mc="http://schemas.openxmlformats.org/markup-compatibility/2006">
          <mc:Choice Requires="x14">
            <control shapeId="5205" r:id="rId80" name="Check Box 85">
              <controlPr defaultSize="0" autoFill="0" autoLine="0" autoPict="0">
                <anchor moveWithCells="1" sizeWithCells="1">
                  <from>
                    <xdr:col>4</xdr:col>
                    <xdr:colOff>76200</xdr:colOff>
                    <xdr:row>30</xdr:row>
                    <xdr:rowOff>28575</xdr:rowOff>
                  </from>
                  <to>
                    <xdr:col>4</xdr:col>
                    <xdr:colOff>571500</xdr:colOff>
                    <xdr:row>31</xdr:row>
                    <xdr:rowOff>0</xdr:rowOff>
                  </to>
                </anchor>
              </controlPr>
            </control>
          </mc:Choice>
        </mc:AlternateContent>
        <mc:AlternateContent xmlns:mc="http://schemas.openxmlformats.org/markup-compatibility/2006">
          <mc:Choice Requires="x14">
            <control shapeId="5206" r:id="rId81" name="Check Box 86">
              <controlPr defaultSize="0" autoFill="0" autoLine="0" autoPict="0">
                <anchor moveWithCells="1" sizeWithCells="1">
                  <from>
                    <xdr:col>4</xdr:col>
                    <xdr:colOff>904875</xdr:colOff>
                    <xdr:row>30</xdr:row>
                    <xdr:rowOff>28575</xdr:rowOff>
                  </from>
                  <to>
                    <xdr:col>4</xdr:col>
                    <xdr:colOff>1524000</xdr:colOff>
                    <xdr:row>31</xdr:row>
                    <xdr:rowOff>28575</xdr:rowOff>
                  </to>
                </anchor>
              </controlPr>
            </control>
          </mc:Choice>
        </mc:AlternateContent>
        <mc:AlternateContent xmlns:mc="http://schemas.openxmlformats.org/markup-compatibility/2006">
          <mc:Choice Requires="x14">
            <control shapeId="5207" r:id="rId82" name="Check Box 87">
              <controlPr defaultSize="0" autoFill="0" autoLine="0" autoPict="0">
                <anchor moveWithCells="1" sizeWithCells="1">
                  <from>
                    <xdr:col>4</xdr:col>
                    <xdr:colOff>76200</xdr:colOff>
                    <xdr:row>31</xdr:row>
                    <xdr:rowOff>28575</xdr:rowOff>
                  </from>
                  <to>
                    <xdr:col>4</xdr:col>
                    <xdr:colOff>571500</xdr:colOff>
                    <xdr:row>32</xdr:row>
                    <xdr:rowOff>0</xdr:rowOff>
                  </to>
                </anchor>
              </controlPr>
            </control>
          </mc:Choice>
        </mc:AlternateContent>
        <mc:AlternateContent xmlns:mc="http://schemas.openxmlformats.org/markup-compatibility/2006">
          <mc:Choice Requires="x14">
            <control shapeId="5208" r:id="rId83" name="Check Box 88">
              <controlPr defaultSize="0" autoFill="0" autoLine="0" autoPict="0">
                <anchor moveWithCells="1" sizeWithCells="1">
                  <from>
                    <xdr:col>4</xdr:col>
                    <xdr:colOff>904875</xdr:colOff>
                    <xdr:row>31</xdr:row>
                    <xdr:rowOff>28575</xdr:rowOff>
                  </from>
                  <to>
                    <xdr:col>4</xdr:col>
                    <xdr:colOff>1524000</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'Drop Lists'!$M$4:$M$6</xm:f>
          </x14:formula1>
          <xm:sqref>B38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FFFF00"/>
    <pageSetUpPr fitToPage="1"/>
  </sheetPr>
  <dimension ref="A1:P959"/>
  <sheetViews>
    <sheetView workbookViewId="0">
      <pane ySplit="6" topLeftCell="A7" activePane="bottomLeft" state="frozen"/>
      <selection pane="bottomLeft"/>
    </sheetView>
  </sheetViews>
  <sheetFormatPr defaultColWidth="9.42578125" defaultRowHeight="12.75"/>
  <cols>
    <col min="1" max="1" width="9.42578125" style="301" customWidth="1"/>
    <col min="2" max="2" width="10.5703125" style="317" customWidth="1"/>
    <col min="3" max="3" width="47.5703125" style="317" customWidth="1"/>
    <col min="4" max="5" width="16.5703125" style="317" customWidth="1"/>
    <col min="6" max="7" width="17.5703125" style="289" customWidth="1"/>
    <col min="8" max="8" width="14.5703125" style="317" customWidth="1"/>
    <col min="9" max="9" width="16.42578125" style="317" customWidth="1"/>
    <col min="10" max="10" width="17.5703125" style="289" customWidth="1"/>
    <col min="11" max="11" width="8.42578125" style="69" customWidth="1"/>
    <col min="12" max="12" width="17.5703125" style="183" customWidth="1"/>
    <col min="13" max="14" width="17.5703125" style="69" customWidth="1"/>
    <col min="15" max="16384" width="9.42578125" style="3"/>
  </cols>
  <sheetData>
    <row r="1" spans="1:16" ht="12.75" customHeight="1">
      <c r="A1" s="1135" t="str">
        <f>INPUT!E16</f>
        <v>LSS Test 1</v>
      </c>
      <c r="B1" s="278"/>
      <c r="C1" s="278"/>
      <c r="D1" s="278"/>
      <c r="E1" s="278"/>
      <c r="H1" s="278"/>
      <c r="I1" s="290"/>
      <c r="L1" s="1134" t="s">
        <v>1903</v>
      </c>
    </row>
    <row r="2" spans="1:16" ht="12.75" customHeight="1">
      <c r="A2" s="291" t="s">
        <v>1904</v>
      </c>
      <c r="B2" s="278"/>
      <c r="C2" s="278"/>
      <c r="D2" s="278"/>
      <c r="E2" s="278"/>
      <c r="H2" s="278"/>
      <c r="I2" s="278"/>
      <c r="L2" s="37"/>
    </row>
    <row r="3" spans="1:16" ht="12.75" customHeight="1">
      <c r="A3" s="291" t="s">
        <v>1905</v>
      </c>
      <c r="B3" s="1070"/>
      <c r="C3" s="278"/>
      <c r="D3" s="278"/>
      <c r="E3" s="278"/>
      <c r="H3" s="278"/>
      <c r="I3" s="278"/>
      <c r="L3" s="2675" t="s">
        <v>1906</v>
      </c>
      <c r="M3" s="2607"/>
      <c r="N3" s="2607"/>
    </row>
    <row r="4" spans="1:16" ht="12.75" customHeight="1">
      <c r="A4" s="292"/>
      <c r="B4" s="293" t="s">
        <v>1907</v>
      </c>
      <c r="C4" s="293"/>
      <c r="D4" s="290"/>
      <c r="E4" s="290"/>
      <c r="F4" s="294"/>
      <c r="G4" s="294"/>
      <c r="H4" s="290"/>
      <c r="I4" s="290"/>
      <c r="J4" s="294"/>
      <c r="L4" s="2607"/>
      <c r="M4" s="2607"/>
      <c r="N4" s="2607"/>
    </row>
    <row r="5" spans="1:16" ht="12.75" customHeight="1">
      <c r="A5" s="291"/>
      <c r="B5" s="90"/>
      <c r="C5" s="90"/>
      <c r="D5" s="70" t="s">
        <v>1332</v>
      </c>
      <c r="E5" s="70" t="s">
        <v>1333</v>
      </c>
      <c r="F5" s="70" t="s">
        <v>1334</v>
      </c>
      <c r="G5" s="70" t="s">
        <v>1335</v>
      </c>
      <c r="H5" s="70" t="s">
        <v>1336</v>
      </c>
      <c r="I5" s="70" t="s">
        <v>1337</v>
      </c>
      <c r="J5" s="70" t="s">
        <v>1908</v>
      </c>
      <c r="K5" s="71"/>
      <c r="L5" s="2607"/>
      <c r="M5" s="2607"/>
      <c r="N5" s="2607"/>
    </row>
    <row r="6" spans="1:16" s="37" customFormat="1" ht="38.25">
      <c r="A6" s="295" t="s">
        <v>1339</v>
      </c>
      <c r="B6" s="296" t="s">
        <v>1909</v>
      </c>
      <c r="C6" s="296" t="s">
        <v>1910</v>
      </c>
      <c r="D6" s="296" t="s">
        <v>1340</v>
      </c>
      <c r="E6" s="297" t="s">
        <v>1911</v>
      </c>
      <c r="F6" s="298" t="s">
        <v>1342</v>
      </c>
      <c r="G6" s="299" t="s">
        <v>1343</v>
      </c>
      <c r="H6" s="297" t="s">
        <v>1344</v>
      </c>
      <c r="I6" s="299" t="s">
        <v>1912</v>
      </c>
      <c r="J6" s="300" t="s">
        <v>1913</v>
      </c>
      <c r="L6" s="2441"/>
      <c r="M6" s="2441"/>
      <c r="N6" s="2441"/>
      <c r="O6" s="76"/>
      <c r="P6" s="77"/>
    </row>
    <row r="7" spans="1:16" ht="12.75" customHeight="1">
      <c r="A7" s="291"/>
      <c r="B7" s="90"/>
      <c r="C7" s="90"/>
      <c r="D7" s="90"/>
      <c r="E7" s="90"/>
      <c r="H7" s="90"/>
      <c r="I7" s="90"/>
      <c r="L7" s="2441"/>
      <c r="M7" s="2441"/>
      <c r="N7" s="2441"/>
    </row>
    <row r="8" spans="1:16" ht="12.75" customHeight="1">
      <c r="A8" s="318" t="s">
        <v>1358</v>
      </c>
      <c r="B8" s="319"/>
      <c r="C8" s="319"/>
      <c r="D8" s="319"/>
      <c r="E8" s="319"/>
      <c r="F8" s="319"/>
      <c r="G8" s="319"/>
      <c r="H8" s="319"/>
      <c r="I8" s="319"/>
      <c r="J8" s="320"/>
      <c r="L8" s="2675" t="s">
        <v>1914</v>
      </c>
      <c r="M8" s="2676"/>
      <c r="N8" s="2676"/>
    </row>
    <row r="9" spans="1:16" ht="12.75" customHeight="1">
      <c r="A9" s="321">
        <v>1000</v>
      </c>
      <c r="B9" s="322">
        <v>1001</v>
      </c>
      <c r="C9" s="317" t="s">
        <v>1915</v>
      </c>
      <c r="D9" s="323">
        <v>0</v>
      </c>
      <c r="E9" s="302">
        <f>(SUMIF('COST REPORT'!$A$9:$A$998,'Contractor''s Budget Detail'!B9,'COST REPORT'!$F$9:$F$998))-(SUMIFS('COST REPORT'!$F$9:$F$998,'COST REPORT'!$A$9:$A$998,'Contractor''s Budget Detail'!B9,'COST REPORT'!$I$9:$I$998,"Close"))</f>
        <v>0</v>
      </c>
      <c r="F9" s="302">
        <f>(SUMIF(INPUT!$I$231:$I$522,'Contractor''s Budget Detail'!B9,INPUT!$H$231:$H$522)+SUMIFS('COST REPORT'!$F$9:$F$998,'COST REPORT'!$A$9:$A$998,'Contractor''s Budget Detail'!B9,'COST REPORT'!$I$9:$I$998,"close"))-(SUMIFS('COST REPORT'!$F$9:$F$998,'COST REPORT'!$A$9:$A$998,'Contractor''s Budget Detail'!B9,'COST REPORT'!$I$9:$I$998,"close",'COST REPORT'!$J$9:$J$998,"x"))</f>
        <v>0</v>
      </c>
      <c r="G9" s="302">
        <f t="shared" ref="G9:G39" si="0">E9+F9</f>
        <v>0</v>
      </c>
      <c r="H9" s="302">
        <f>SUMIF('COST REPORT'!$A$9:$A$998,'Contractor''s Budget Detail'!B9,'COST REPORT'!$G$9:$G$998)</f>
        <v>0</v>
      </c>
      <c r="I9" s="302">
        <f t="shared" ref="I9:I16" si="1">G9-H9</f>
        <v>0</v>
      </c>
      <c r="J9" s="324">
        <f t="shared" ref="J9:J16" si="2">D9-G9</f>
        <v>0</v>
      </c>
      <c r="L9" s="2676"/>
      <c r="M9" s="2676"/>
      <c r="N9" s="2676"/>
    </row>
    <row r="10" spans="1:16" ht="12.75" customHeight="1">
      <c r="A10" s="321">
        <v>1000</v>
      </c>
      <c r="B10" s="322">
        <f>B9+1</f>
        <v>1002</v>
      </c>
      <c r="C10" s="317" t="s">
        <v>1916</v>
      </c>
      <c r="D10" s="323">
        <v>0</v>
      </c>
      <c r="E10" s="302">
        <f>(SUMIF('COST REPORT'!$A$9:$A$998,'Contractor''s Budget Detail'!B10,'COST REPORT'!$F$9:$F$998))-(SUMIFS('COST REPORT'!$F$9:$F$998,'COST REPORT'!$A$9:$A$998,'Contractor''s Budget Detail'!B10,'COST REPORT'!$I$9:$I$998,"Close"))</f>
        <v>0</v>
      </c>
      <c r="F10" s="302">
        <f>(SUMIF(INPUT!$I$231:$I$522,'Contractor''s Budget Detail'!B10,INPUT!$H$231:$H$522)+SUMIFS('COST REPORT'!$F$9:$F$998,'COST REPORT'!$A$9:$A$998,'Contractor''s Budget Detail'!B10,'COST REPORT'!$I$9:$I$998,"close"))-(SUMIFS('COST REPORT'!$F$9:$F$998,'COST REPORT'!$A$9:$A$998,'Contractor''s Budget Detail'!B10,'COST REPORT'!$I$9:$I$998,"close",'COST REPORT'!$J$9:$J$998,"x"))</f>
        <v>0</v>
      </c>
      <c r="G10" s="302">
        <f t="shared" si="0"/>
        <v>0</v>
      </c>
      <c r="H10" s="302">
        <f>SUMIF('COST REPORT'!$A$9:$A$998,'Contractor''s Budget Detail'!B10,'COST REPORT'!$G$9:$G$998)</f>
        <v>0</v>
      </c>
      <c r="I10" s="302">
        <f>G10-H10</f>
        <v>0</v>
      </c>
      <c r="J10" s="324">
        <f>D10-G10</f>
        <v>0</v>
      </c>
      <c r="L10" s="2676"/>
      <c r="M10" s="2676"/>
      <c r="N10" s="2676"/>
    </row>
    <row r="11" spans="1:16" ht="12.75" customHeight="1">
      <c r="A11" s="321">
        <v>1000</v>
      </c>
      <c r="B11" s="322">
        <f t="shared" ref="B11:B39" si="3">B10+1</f>
        <v>1003</v>
      </c>
      <c r="C11" s="317" t="s">
        <v>1917</v>
      </c>
      <c r="D11" s="323">
        <v>0</v>
      </c>
      <c r="E11" s="302">
        <f>(SUMIF('COST REPORT'!$A$9:$A$998,'Contractor''s Budget Detail'!B11,'COST REPORT'!$F$9:$F$998))-(SUMIFS('COST REPORT'!$F$9:$F$998,'COST REPORT'!$A$9:$A$998,'Contractor''s Budget Detail'!B11,'COST REPORT'!$I$9:$I$998,"Close"))</f>
        <v>0</v>
      </c>
      <c r="F11" s="302">
        <f>(SUMIF(INPUT!$I$231:$I$522,'Contractor''s Budget Detail'!B11,INPUT!$H$231:$H$522)+SUMIFS('COST REPORT'!$F$9:$F$998,'COST REPORT'!$A$9:$A$998,'Contractor''s Budget Detail'!B11,'COST REPORT'!$I$9:$I$998,"close"))-(SUMIFS('COST REPORT'!$F$9:$F$998,'COST REPORT'!$A$9:$A$998,'Contractor''s Budget Detail'!B11,'COST REPORT'!$I$9:$I$998,"close",'COST REPORT'!$J$9:$J$998,"x"))</f>
        <v>0</v>
      </c>
      <c r="G11" s="302">
        <f t="shared" si="0"/>
        <v>0</v>
      </c>
      <c r="H11" s="302">
        <f>SUMIF('COST REPORT'!$A$9:$A$998,'Contractor''s Budget Detail'!B11,'COST REPORT'!$G$9:$G$998)</f>
        <v>0</v>
      </c>
      <c r="I11" s="302">
        <f>G11-H11</f>
        <v>0</v>
      </c>
      <c r="J11" s="324">
        <f>D11-G11</f>
        <v>0</v>
      </c>
      <c r="L11" s="2676"/>
      <c r="M11" s="2676"/>
      <c r="N11" s="2676"/>
    </row>
    <row r="12" spans="1:16" ht="12.75" customHeight="1">
      <c r="A12" s="321">
        <v>1000</v>
      </c>
      <c r="B12" s="322">
        <f t="shared" si="3"/>
        <v>1004</v>
      </c>
      <c r="C12" s="317" t="s">
        <v>1918</v>
      </c>
      <c r="D12" s="323">
        <v>0</v>
      </c>
      <c r="E12" s="302">
        <f>(SUMIF('COST REPORT'!$A$9:$A$998,'Contractor''s Budget Detail'!B12,'COST REPORT'!$F$9:$F$998))-(SUMIFS('COST REPORT'!$F$9:$F$998,'COST REPORT'!$A$9:$A$998,'Contractor''s Budget Detail'!B12,'COST REPORT'!$I$9:$I$998,"Close"))</f>
        <v>0</v>
      </c>
      <c r="F12" s="302">
        <f>(SUMIF(INPUT!$I$231:$I$522,'Contractor''s Budget Detail'!B12,INPUT!$H$231:$H$522)+SUMIFS('COST REPORT'!$F$9:$F$998,'COST REPORT'!$A$9:$A$998,'Contractor''s Budget Detail'!B12,'COST REPORT'!$I$9:$I$998,"close"))-(SUMIFS('COST REPORT'!$F$9:$F$998,'COST REPORT'!$A$9:$A$998,'Contractor''s Budget Detail'!B12,'COST REPORT'!$I$9:$I$998,"close",'COST REPORT'!$J$9:$J$998,"x"))</f>
        <v>0</v>
      </c>
      <c r="G12" s="302">
        <f t="shared" si="0"/>
        <v>0</v>
      </c>
      <c r="H12" s="302">
        <f>SUMIF('COST REPORT'!$A$9:$A$998,'Contractor''s Budget Detail'!B12,'COST REPORT'!$G$9:$G$998)</f>
        <v>0</v>
      </c>
      <c r="I12" s="302">
        <f t="shared" si="1"/>
        <v>0</v>
      </c>
      <c r="J12" s="324">
        <f t="shared" si="2"/>
        <v>0</v>
      </c>
      <c r="L12" s="2676"/>
      <c r="M12" s="2676"/>
      <c r="N12" s="2676"/>
    </row>
    <row r="13" spans="1:16">
      <c r="A13" s="321">
        <v>1000</v>
      </c>
      <c r="B13" s="322">
        <f t="shared" si="3"/>
        <v>1005</v>
      </c>
      <c r="C13" s="317" t="s">
        <v>1919</v>
      </c>
      <c r="D13" s="323">
        <v>0</v>
      </c>
      <c r="E13" s="302">
        <f>(SUMIF('COST REPORT'!$A$9:$A$998,'Contractor''s Budget Detail'!B13,'COST REPORT'!$F$9:$F$998))-(SUMIFS('COST REPORT'!$F$9:$F$998,'COST REPORT'!$A$9:$A$998,'Contractor''s Budget Detail'!B13,'COST REPORT'!$I$9:$I$998,"Close"))</f>
        <v>0</v>
      </c>
      <c r="F13" s="302">
        <f>(SUMIF(INPUT!$I$231:$I$522,'Contractor''s Budget Detail'!B13,INPUT!$H$231:$H$522)+SUMIFS('COST REPORT'!$F$9:$F$998,'COST REPORT'!$A$9:$A$998,'Contractor''s Budget Detail'!B13,'COST REPORT'!$I$9:$I$998,"close"))-(SUMIFS('COST REPORT'!$F$9:$F$998,'COST REPORT'!$A$9:$A$998,'Contractor''s Budget Detail'!B13,'COST REPORT'!$I$9:$I$998,"close",'COST REPORT'!$J$9:$J$998,"x"))</f>
        <v>0</v>
      </c>
      <c r="G13" s="302">
        <f t="shared" si="0"/>
        <v>0</v>
      </c>
      <c r="H13" s="302">
        <f>SUMIF('COST REPORT'!$A$9:$A$998,'Contractor''s Budget Detail'!B13,'COST REPORT'!$G$9:$G$998)</f>
        <v>0</v>
      </c>
      <c r="I13" s="302">
        <f>G13-H13</f>
        <v>0</v>
      </c>
      <c r="J13" s="324">
        <f>D13-G13</f>
        <v>0</v>
      </c>
      <c r="L13" s="2676"/>
      <c r="M13" s="2676"/>
      <c r="N13" s="2676"/>
    </row>
    <row r="14" spans="1:16" ht="15">
      <c r="A14" s="321">
        <v>1000</v>
      </c>
      <c r="B14" s="322">
        <f t="shared" si="3"/>
        <v>1006</v>
      </c>
      <c r="C14" s="317" t="s">
        <v>1920</v>
      </c>
      <c r="D14" s="323">
        <v>0</v>
      </c>
      <c r="E14" s="302">
        <f>(SUMIF('COST REPORT'!$A$9:$A$998,'Contractor''s Budget Detail'!B14,'COST REPORT'!$F$9:$F$998))-(SUMIFS('COST REPORT'!$F$9:$F$998,'COST REPORT'!$A$9:$A$998,'Contractor''s Budget Detail'!B14,'COST REPORT'!$I$9:$I$998,"Close"))</f>
        <v>0</v>
      </c>
      <c r="F14" s="302">
        <f>(SUMIF(INPUT!$I$231:$I$522,'Contractor''s Budget Detail'!B14,INPUT!$H$231:$H$522)+SUMIFS('COST REPORT'!$F$9:$F$998,'COST REPORT'!$A$9:$A$998,'Contractor''s Budget Detail'!B14,'COST REPORT'!$I$9:$I$998,"close"))-(SUMIFS('COST REPORT'!$F$9:$F$998,'COST REPORT'!$A$9:$A$998,'Contractor''s Budget Detail'!B14,'COST REPORT'!$I$9:$I$998,"close",'COST REPORT'!$J$9:$J$998,"x"))</f>
        <v>0</v>
      </c>
      <c r="G14" s="302">
        <f t="shared" si="0"/>
        <v>0</v>
      </c>
      <c r="H14" s="302">
        <f>SUMIF('COST REPORT'!$A$9:$A$998,'Contractor''s Budget Detail'!B14,'COST REPORT'!$G$9:$G$998)</f>
        <v>0</v>
      </c>
      <c r="I14" s="302">
        <f>G14-H14</f>
        <v>0</v>
      </c>
      <c r="J14" s="324">
        <f>D14-G14</f>
        <v>0</v>
      </c>
      <c r="L14" s="2441"/>
      <c r="M14" s="2441"/>
      <c r="N14" s="2441"/>
    </row>
    <row r="15" spans="1:16">
      <c r="A15" s="321">
        <v>1000</v>
      </c>
      <c r="B15" s="322">
        <f t="shared" si="3"/>
        <v>1007</v>
      </c>
      <c r="C15" s="317" t="s">
        <v>1921</v>
      </c>
      <c r="D15" s="323">
        <v>0</v>
      </c>
      <c r="E15" s="302">
        <f>(SUMIF('COST REPORT'!$A$9:$A$998,'Contractor''s Budget Detail'!B15,'COST REPORT'!$F$9:$F$998))-(SUMIFS('COST REPORT'!$F$9:$F$998,'COST REPORT'!$A$9:$A$998,'Contractor''s Budget Detail'!B15,'COST REPORT'!$I$9:$I$998,"Close"))</f>
        <v>0</v>
      </c>
      <c r="F15" s="302">
        <f>(SUMIF(INPUT!$I$231:$I$522,'Contractor''s Budget Detail'!B15,INPUT!$H$231:$H$522)+SUMIFS('COST REPORT'!$F$9:$F$998,'COST REPORT'!$A$9:$A$998,'Contractor''s Budget Detail'!B15,'COST REPORT'!$I$9:$I$998,"close"))-(SUMIFS('COST REPORT'!$F$9:$F$998,'COST REPORT'!$A$9:$A$998,'Contractor''s Budget Detail'!B15,'COST REPORT'!$I$9:$I$998,"close",'COST REPORT'!$J$9:$J$998,"x"))</f>
        <v>0</v>
      </c>
      <c r="G15" s="302">
        <f t="shared" si="0"/>
        <v>0</v>
      </c>
      <c r="H15" s="302">
        <f>SUMIF('COST REPORT'!$A$9:$A$998,'Contractor''s Budget Detail'!B15,'COST REPORT'!$G$9:$G$998)</f>
        <v>0</v>
      </c>
      <c r="I15" s="302">
        <f t="shared" si="1"/>
        <v>0</v>
      </c>
      <c r="J15" s="324">
        <f t="shared" si="2"/>
        <v>0</v>
      </c>
    </row>
    <row r="16" spans="1:16">
      <c r="A16" s="321">
        <v>1000</v>
      </c>
      <c r="B16" s="322">
        <f t="shared" si="3"/>
        <v>1008</v>
      </c>
      <c r="C16" s="317" t="s">
        <v>1922</v>
      </c>
      <c r="D16" s="323">
        <v>0</v>
      </c>
      <c r="E16" s="302">
        <f>(SUMIF('COST REPORT'!$A$9:$A$998,'Contractor''s Budget Detail'!B16,'COST REPORT'!$F$9:$F$998))-(SUMIFS('COST REPORT'!$F$9:$F$998,'COST REPORT'!$A$9:$A$998,'Contractor''s Budget Detail'!B16,'COST REPORT'!$I$9:$I$998,"Close"))</f>
        <v>0</v>
      </c>
      <c r="F16" s="302">
        <f>(SUMIF(INPUT!$I$231:$I$522,'Contractor''s Budget Detail'!B16,INPUT!$H$231:$H$522)+SUMIFS('COST REPORT'!$F$9:$F$998,'COST REPORT'!$A$9:$A$998,'Contractor''s Budget Detail'!B16,'COST REPORT'!$I$9:$I$998,"close"))-(SUMIFS('COST REPORT'!$F$9:$F$998,'COST REPORT'!$A$9:$A$998,'Contractor''s Budget Detail'!B16,'COST REPORT'!$I$9:$I$998,"close",'COST REPORT'!$J$9:$J$998,"x"))</f>
        <v>0</v>
      </c>
      <c r="G16" s="302">
        <f t="shared" si="0"/>
        <v>0</v>
      </c>
      <c r="H16" s="302">
        <f>SUMIF('COST REPORT'!$A$9:$A$998,'Contractor''s Budget Detail'!B16,'COST REPORT'!$G$9:$G$998)</f>
        <v>0</v>
      </c>
      <c r="I16" s="302">
        <f t="shared" si="1"/>
        <v>0</v>
      </c>
      <c r="J16" s="324">
        <f t="shared" si="2"/>
        <v>0</v>
      </c>
    </row>
    <row r="17" spans="1:12">
      <c r="A17" s="321">
        <v>1000</v>
      </c>
      <c r="B17" s="322">
        <f t="shared" si="3"/>
        <v>1009</v>
      </c>
      <c r="C17" s="317" t="s">
        <v>1923</v>
      </c>
      <c r="D17" s="323">
        <v>0</v>
      </c>
      <c r="E17" s="302">
        <f>(SUMIF('COST REPORT'!$A$9:$A$998,'Contractor''s Budget Detail'!B17,'COST REPORT'!$F$9:$F$998))-(SUMIFS('COST REPORT'!$F$9:$F$998,'COST REPORT'!$A$9:$A$998,'Contractor''s Budget Detail'!B17,'COST REPORT'!$I$9:$I$998,"Close"))</f>
        <v>0</v>
      </c>
      <c r="F17" s="302">
        <f>(SUMIF(INPUT!$I$231:$I$522,'Contractor''s Budget Detail'!B17,INPUT!$H$231:$H$522)+SUMIFS('COST REPORT'!$F$9:$F$998,'COST REPORT'!$A$9:$A$998,'Contractor''s Budget Detail'!B17,'COST REPORT'!$I$9:$I$998,"close"))-(SUMIFS('COST REPORT'!$F$9:$F$998,'COST REPORT'!$A$9:$A$998,'Contractor''s Budget Detail'!B17,'COST REPORT'!$I$9:$I$998,"close",'COST REPORT'!$J$9:$J$998,"x"))</f>
        <v>0</v>
      </c>
      <c r="G17" s="302">
        <f t="shared" si="0"/>
        <v>0</v>
      </c>
      <c r="H17" s="302">
        <f>SUMIF('COST REPORT'!$A$9:$A$998,'Contractor''s Budget Detail'!B17,'COST REPORT'!$G$9:$G$998)</f>
        <v>0</v>
      </c>
      <c r="I17" s="302">
        <f t="shared" ref="I17:I39" si="4">G17-H17</f>
        <v>0</v>
      </c>
      <c r="J17" s="324">
        <f t="shared" ref="J17:J39" si="5">D17-G17</f>
        <v>0</v>
      </c>
      <c r="L17" s="1133" t="s">
        <v>1924</v>
      </c>
    </row>
    <row r="18" spans="1:12">
      <c r="A18" s="321">
        <v>1000</v>
      </c>
      <c r="B18" s="322">
        <f t="shared" si="3"/>
        <v>1010</v>
      </c>
      <c r="C18" s="317" t="s">
        <v>1925</v>
      </c>
      <c r="D18" s="323">
        <v>0</v>
      </c>
      <c r="E18" s="302">
        <f>(SUMIF('COST REPORT'!$A$9:$A$998,'Contractor''s Budget Detail'!B18,'COST REPORT'!$F$9:$F$998))-(SUMIFS('COST REPORT'!$F$9:$F$998,'COST REPORT'!$A$9:$A$998,'Contractor''s Budget Detail'!B18,'COST REPORT'!$I$9:$I$998,"Close"))</f>
        <v>0</v>
      </c>
      <c r="F18" s="302">
        <f>(SUMIF(INPUT!$I$231:$I$522,'Contractor''s Budget Detail'!B18,INPUT!$H$231:$H$522)+SUMIFS('COST REPORT'!$F$9:$F$998,'COST REPORT'!$A$9:$A$998,'Contractor''s Budget Detail'!B18,'COST REPORT'!$I$9:$I$998,"close"))-(SUMIFS('COST REPORT'!$F$9:$F$998,'COST REPORT'!$A$9:$A$998,'Contractor''s Budget Detail'!B18,'COST REPORT'!$I$9:$I$998,"close",'COST REPORT'!$J$9:$J$998,"x"))</f>
        <v>0</v>
      </c>
      <c r="G18" s="302">
        <f t="shared" si="0"/>
        <v>0</v>
      </c>
      <c r="H18" s="302">
        <f>SUMIF('COST REPORT'!$A$9:$A$998,'Contractor''s Budget Detail'!B18,'COST REPORT'!$G$9:$G$998)</f>
        <v>0</v>
      </c>
      <c r="I18" s="302">
        <f t="shared" si="4"/>
        <v>0</v>
      </c>
      <c r="J18" s="324">
        <f t="shared" si="5"/>
        <v>0</v>
      </c>
    </row>
    <row r="19" spans="1:12">
      <c r="A19" s="321">
        <v>1000</v>
      </c>
      <c r="B19" s="322">
        <f t="shared" si="3"/>
        <v>1011</v>
      </c>
      <c r="C19" s="317" t="s">
        <v>1926</v>
      </c>
      <c r="D19" s="323">
        <v>0</v>
      </c>
      <c r="E19" s="302">
        <f>(SUMIF('COST REPORT'!$A$9:$A$998,'Contractor''s Budget Detail'!B19,'COST REPORT'!$F$9:$F$998))-(SUMIFS('COST REPORT'!$F$9:$F$998,'COST REPORT'!$A$9:$A$998,'Contractor''s Budget Detail'!B19,'COST REPORT'!$I$9:$I$998,"Close"))</f>
        <v>0</v>
      </c>
      <c r="F19" s="302">
        <f>(SUMIF(INPUT!$I$231:$I$522,'Contractor''s Budget Detail'!B19,INPUT!$H$231:$H$522)+SUMIFS('COST REPORT'!$F$9:$F$998,'COST REPORT'!$A$9:$A$998,'Contractor''s Budget Detail'!B19,'COST REPORT'!$I$9:$I$998,"close"))-(SUMIFS('COST REPORT'!$F$9:$F$998,'COST REPORT'!$A$9:$A$998,'Contractor''s Budget Detail'!B19,'COST REPORT'!$I$9:$I$998,"close",'COST REPORT'!$J$9:$J$998,"x"))</f>
        <v>0</v>
      </c>
      <c r="G19" s="302">
        <f t="shared" si="0"/>
        <v>0</v>
      </c>
      <c r="H19" s="302">
        <f>SUMIF('COST REPORT'!$A$9:$A$998,'Contractor''s Budget Detail'!B19,'COST REPORT'!$G$9:$G$998)</f>
        <v>0</v>
      </c>
      <c r="I19" s="302">
        <f t="shared" si="4"/>
        <v>0</v>
      </c>
      <c r="J19" s="324">
        <f t="shared" si="5"/>
        <v>0</v>
      </c>
    </row>
    <row r="20" spans="1:12">
      <c r="A20" s="321">
        <v>1000</v>
      </c>
      <c r="B20" s="322">
        <f t="shared" si="3"/>
        <v>1012</v>
      </c>
      <c r="C20" s="317" t="s">
        <v>1927</v>
      </c>
      <c r="D20" s="323">
        <v>0</v>
      </c>
      <c r="E20" s="302">
        <f>(SUMIF('COST REPORT'!$A$9:$A$998,'Contractor''s Budget Detail'!B20,'COST REPORT'!$F$9:$F$998))-(SUMIFS('COST REPORT'!$F$9:$F$998,'COST REPORT'!$A$9:$A$998,'Contractor''s Budget Detail'!B20,'COST REPORT'!$I$9:$I$998,"Close"))</f>
        <v>0</v>
      </c>
      <c r="F20" s="302">
        <f>(SUMIF(INPUT!$I$231:$I$522,'Contractor''s Budget Detail'!B20,INPUT!$H$231:$H$522)+SUMIFS('COST REPORT'!$F$9:$F$998,'COST REPORT'!$A$9:$A$998,'Contractor''s Budget Detail'!B20,'COST REPORT'!$I$9:$I$998,"close"))-(SUMIFS('COST REPORT'!$F$9:$F$998,'COST REPORT'!$A$9:$A$998,'Contractor''s Budget Detail'!B20,'COST REPORT'!$I$9:$I$998,"close",'COST REPORT'!$J$9:$J$998,"x"))</f>
        <v>0</v>
      </c>
      <c r="G20" s="302">
        <f t="shared" si="0"/>
        <v>0</v>
      </c>
      <c r="H20" s="302">
        <f>SUMIF('COST REPORT'!$A$9:$A$998,'Contractor''s Budget Detail'!B20,'COST REPORT'!$G$9:$G$998)</f>
        <v>0</v>
      </c>
      <c r="I20" s="302">
        <f t="shared" si="4"/>
        <v>0</v>
      </c>
      <c r="J20" s="324">
        <f t="shared" si="5"/>
        <v>0</v>
      </c>
    </row>
    <row r="21" spans="1:12">
      <c r="A21" s="321">
        <v>1000</v>
      </c>
      <c r="B21" s="322">
        <f t="shared" si="3"/>
        <v>1013</v>
      </c>
      <c r="C21" s="317" t="s">
        <v>1928</v>
      </c>
      <c r="D21" s="323">
        <v>0</v>
      </c>
      <c r="E21" s="302">
        <f>(SUMIF('COST REPORT'!$A$9:$A$998,'Contractor''s Budget Detail'!B21,'COST REPORT'!$F$9:$F$998))-(SUMIFS('COST REPORT'!$F$9:$F$998,'COST REPORT'!$A$9:$A$998,'Contractor''s Budget Detail'!B21,'COST REPORT'!$I$9:$I$998,"Close"))</f>
        <v>0</v>
      </c>
      <c r="F21" s="302">
        <f>(SUMIF(INPUT!$I$231:$I$522,'Contractor''s Budget Detail'!B21,INPUT!$H$231:$H$522)+SUMIFS('COST REPORT'!$F$9:$F$998,'COST REPORT'!$A$9:$A$998,'Contractor''s Budget Detail'!B21,'COST REPORT'!$I$9:$I$998,"close"))-(SUMIFS('COST REPORT'!$F$9:$F$998,'COST REPORT'!$A$9:$A$998,'Contractor''s Budget Detail'!B21,'COST REPORT'!$I$9:$I$998,"close",'COST REPORT'!$J$9:$J$998,"x"))</f>
        <v>0</v>
      </c>
      <c r="G21" s="302">
        <f t="shared" si="0"/>
        <v>0</v>
      </c>
      <c r="H21" s="302">
        <f>SUMIF('COST REPORT'!$A$9:$A$998,'Contractor''s Budget Detail'!B21,'COST REPORT'!$G$9:$G$998)</f>
        <v>0</v>
      </c>
      <c r="I21" s="302">
        <f t="shared" si="4"/>
        <v>0</v>
      </c>
      <c r="J21" s="324">
        <f t="shared" si="5"/>
        <v>0</v>
      </c>
    </row>
    <row r="22" spans="1:12">
      <c r="A22" s="321">
        <v>1000</v>
      </c>
      <c r="B22" s="322">
        <f t="shared" si="3"/>
        <v>1014</v>
      </c>
      <c r="C22" s="317" t="s">
        <v>1929</v>
      </c>
      <c r="D22" s="323">
        <v>0</v>
      </c>
      <c r="E22" s="302">
        <f>(SUMIF('COST REPORT'!$A$9:$A$998,'Contractor''s Budget Detail'!B22,'COST REPORT'!$F$9:$F$998))-(SUMIFS('COST REPORT'!$F$9:$F$998,'COST REPORT'!$A$9:$A$998,'Contractor''s Budget Detail'!B22,'COST REPORT'!$I$9:$I$998,"Close"))</f>
        <v>0</v>
      </c>
      <c r="F22" s="302">
        <f>(SUMIF(INPUT!$I$231:$I$522,'Contractor''s Budget Detail'!B22,INPUT!$H$231:$H$522)+SUMIFS('COST REPORT'!$F$9:$F$998,'COST REPORT'!$A$9:$A$998,'Contractor''s Budget Detail'!B22,'COST REPORT'!$I$9:$I$998,"close"))-(SUMIFS('COST REPORT'!$F$9:$F$998,'COST REPORT'!$A$9:$A$998,'Contractor''s Budget Detail'!B22,'COST REPORT'!$I$9:$I$998,"close",'COST REPORT'!$J$9:$J$998,"x"))</f>
        <v>0</v>
      </c>
      <c r="G22" s="302">
        <f t="shared" si="0"/>
        <v>0</v>
      </c>
      <c r="H22" s="302">
        <f>SUMIF('COST REPORT'!$A$9:$A$998,'Contractor''s Budget Detail'!B22,'COST REPORT'!$G$9:$G$998)</f>
        <v>0</v>
      </c>
      <c r="I22" s="302">
        <f t="shared" si="4"/>
        <v>0</v>
      </c>
      <c r="J22" s="324">
        <f t="shared" si="5"/>
        <v>0</v>
      </c>
    </row>
    <row r="23" spans="1:12">
      <c r="A23" s="321">
        <v>1000</v>
      </c>
      <c r="B23" s="322">
        <f t="shared" si="3"/>
        <v>1015</v>
      </c>
      <c r="C23" s="317" t="s">
        <v>1930</v>
      </c>
      <c r="D23" s="323">
        <v>0</v>
      </c>
      <c r="E23" s="302">
        <f>(SUMIF('COST REPORT'!$A$9:$A$998,'Contractor''s Budget Detail'!B23,'COST REPORT'!$F$9:$F$998))-(SUMIFS('COST REPORT'!$F$9:$F$998,'COST REPORT'!$A$9:$A$998,'Contractor''s Budget Detail'!B23,'COST REPORT'!$I$9:$I$998,"Close"))</f>
        <v>0</v>
      </c>
      <c r="F23" s="302">
        <f>(SUMIF(INPUT!$I$231:$I$522,'Contractor''s Budget Detail'!B23,INPUT!$H$231:$H$522)+SUMIFS('COST REPORT'!$F$9:$F$998,'COST REPORT'!$A$9:$A$998,'Contractor''s Budget Detail'!B23,'COST REPORT'!$I$9:$I$998,"close"))-(SUMIFS('COST REPORT'!$F$9:$F$998,'COST REPORT'!$A$9:$A$998,'Contractor''s Budget Detail'!B23,'COST REPORT'!$I$9:$I$998,"close",'COST REPORT'!$J$9:$J$998,"x"))</f>
        <v>0</v>
      </c>
      <c r="G23" s="302">
        <f t="shared" si="0"/>
        <v>0</v>
      </c>
      <c r="H23" s="302">
        <f>SUMIF('COST REPORT'!$A$9:$A$998,'Contractor''s Budget Detail'!B23,'COST REPORT'!$G$9:$G$998)</f>
        <v>0</v>
      </c>
      <c r="I23" s="302">
        <f t="shared" si="4"/>
        <v>0</v>
      </c>
      <c r="J23" s="324">
        <f t="shared" si="5"/>
        <v>0</v>
      </c>
    </row>
    <row r="24" spans="1:12">
      <c r="A24" s="321">
        <v>1000</v>
      </c>
      <c r="B24" s="322">
        <f t="shared" si="3"/>
        <v>1016</v>
      </c>
      <c r="C24" s="317" t="s">
        <v>1931</v>
      </c>
      <c r="D24" s="323">
        <v>0</v>
      </c>
      <c r="E24" s="302">
        <f>(SUMIF('COST REPORT'!$A$9:$A$998,'Contractor''s Budget Detail'!B24,'COST REPORT'!$F$9:$F$998))-(SUMIFS('COST REPORT'!$F$9:$F$998,'COST REPORT'!$A$9:$A$998,'Contractor''s Budget Detail'!B24,'COST REPORT'!$I$9:$I$998,"Close"))</f>
        <v>0</v>
      </c>
      <c r="F24" s="302">
        <f>(SUMIF(INPUT!$I$231:$I$522,'Contractor''s Budget Detail'!B24,INPUT!$H$231:$H$522)+SUMIFS('COST REPORT'!$F$9:$F$998,'COST REPORT'!$A$9:$A$998,'Contractor''s Budget Detail'!B24,'COST REPORT'!$I$9:$I$998,"close"))-(SUMIFS('COST REPORT'!$F$9:$F$998,'COST REPORT'!$A$9:$A$998,'Contractor''s Budget Detail'!B24,'COST REPORT'!$I$9:$I$998,"close",'COST REPORT'!$J$9:$J$998,"x"))</f>
        <v>0</v>
      </c>
      <c r="G24" s="302">
        <f t="shared" si="0"/>
        <v>0</v>
      </c>
      <c r="H24" s="302">
        <f>SUMIF('COST REPORT'!$A$9:$A$998,'Contractor''s Budget Detail'!B24,'COST REPORT'!$G$9:$G$998)</f>
        <v>0</v>
      </c>
      <c r="I24" s="302">
        <f t="shared" si="4"/>
        <v>0</v>
      </c>
      <c r="J24" s="324">
        <f t="shared" si="5"/>
        <v>0</v>
      </c>
    </row>
    <row r="25" spans="1:12">
      <c r="A25" s="321">
        <v>1000</v>
      </c>
      <c r="B25" s="322">
        <f t="shared" si="3"/>
        <v>1017</v>
      </c>
      <c r="C25" s="317" t="s">
        <v>1932</v>
      </c>
      <c r="D25" s="323">
        <v>0</v>
      </c>
      <c r="E25" s="302">
        <f>(SUMIF('COST REPORT'!$A$9:$A$998,'Contractor''s Budget Detail'!B25,'COST REPORT'!$F$9:$F$998))-(SUMIFS('COST REPORT'!$F$9:$F$998,'COST REPORT'!$A$9:$A$998,'Contractor''s Budget Detail'!B25,'COST REPORT'!$I$9:$I$998,"Close"))</f>
        <v>0</v>
      </c>
      <c r="F25" s="302">
        <f>(SUMIF(INPUT!$I$231:$I$522,'Contractor''s Budget Detail'!B25,INPUT!$H$231:$H$522)+SUMIFS('COST REPORT'!$F$9:$F$998,'COST REPORT'!$A$9:$A$998,'Contractor''s Budget Detail'!B25,'COST REPORT'!$I$9:$I$998,"close"))-(SUMIFS('COST REPORT'!$F$9:$F$998,'COST REPORT'!$A$9:$A$998,'Contractor''s Budget Detail'!B25,'COST REPORT'!$I$9:$I$998,"close",'COST REPORT'!$J$9:$J$998,"x"))</f>
        <v>0</v>
      </c>
      <c r="G25" s="302">
        <f t="shared" si="0"/>
        <v>0</v>
      </c>
      <c r="H25" s="302">
        <f>SUMIF('COST REPORT'!$A$9:$A$998,'Contractor''s Budget Detail'!B25,'COST REPORT'!$G$9:$G$998)</f>
        <v>0</v>
      </c>
      <c r="I25" s="302">
        <f t="shared" si="4"/>
        <v>0</v>
      </c>
      <c r="J25" s="324">
        <f t="shared" si="5"/>
        <v>0</v>
      </c>
    </row>
    <row r="26" spans="1:12">
      <c r="A26" s="321">
        <v>1000</v>
      </c>
      <c r="B26" s="322">
        <f t="shared" si="3"/>
        <v>1018</v>
      </c>
      <c r="C26" s="317" t="s">
        <v>1933</v>
      </c>
      <c r="D26" s="323">
        <v>0</v>
      </c>
      <c r="E26" s="302">
        <f>(SUMIF('COST REPORT'!$A$9:$A$998,'Contractor''s Budget Detail'!B26,'COST REPORT'!$F$9:$F$998))-(SUMIFS('COST REPORT'!$F$9:$F$998,'COST REPORT'!$A$9:$A$998,'Contractor''s Budget Detail'!B26,'COST REPORT'!$I$9:$I$998,"Close"))</f>
        <v>0</v>
      </c>
      <c r="F26" s="302">
        <f>(SUMIF(INPUT!$I$231:$I$522,'Contractor''s Budget Detail'!B26,INPUT!$H$231:$H$522)+SUMIFS('COST REPORT'!$F$9:$F$998,'COST REPORT'!$A$9:$A$998,'Contractor''s Budget Detail'!B26,'COST REPORT'!$I$9:$I$998,"close"))-(SUMIFS('COST REPORT'!$F$9:$F$998,'COST REPORT'!$A$9:$A$998,'Contractor''s Budget Detail'!B26,'COST REPORT'!$I$9:$I$998,"close",'COST REPORT'!$J$9:$J$998,"x"))</f>
        <v>0</v>
      </c>
      <c r="G26" s="302">
        <f t="shared" si="0"/>
        <v>0</v>
      </c>
      <c r="H26" s="302">
        <f>SUMIF('COST REPORT'!$A$9:$A$998,'Contractor''s Budget Detail'!B26,'COST REPORT'!$G$9:$G$998)</f>
        <v>0</v>
      </c>
      <c r="I26" s="302">
        <f t="shared" si="4"/>
        <v>0</v>
      </c>
      <c r="J26" s="324">
        <f t="shared" si="5"/>
        <v>0</v>
      </c>
    </row>
    <row r="27" spans="1:12">
      <c r="A27" s="321">
        <v>1000</v>
      </c>
      <c r="B27" s="322">
        <f t="shared" si="3"/>
        <v>1019</v>
      </c>
      <c r="C27" s="317" t="s">
        <v>1934</v>
      </c>
      <c r="D27" s="323">
        <v>0</v>
      </c>
      <c r="E27" s="302">
        <f>(SUMIF('COST REPORT'!$A$9:$A$998,'Contractor''s Budget Detail'!B27,'COST REPORT'!$F$9:$F$998))-(SUMIFS('COST REPORT'!$F$9:$F$998,'COST REPORT'!$A$9:$A$998,'Contractor''s Budget Detail'!B27,'COST REPORT'!$I$9:$I$998,"Close"))</f>
        <v>0</v>
      </c>
      <c r="F27" s="302">
        <f>(SUMIF(INPUT!$I$231:$I$522,'Contractor''s Budget Detail'!B27,INPUT!$H$231:$H$522)+SUMIFS('COST REPORT'!$F$9:$F$998,'COST REPORT'!$A$9:$A$998,'Contractor''s Budget Detail'!B27,'COST REPORT'!$I$9:$I$998,"close"))-(SUMIFS('COST REPORT'!$F$9:$F$998,'COST REPORT'!$A$9:$A$998,'Contractor''s Budget Detail'!B27,'COST REPORT'!$I$9:$I$998,"close",'COST REPORT'!$J$9:$J$998,"x"))</f>
        <v>0</v>
      </c>
      <c r="G27" s="302">
        <f t="shared" si="0"/>
        <v>0</v>
      </c>
      <c r="H27" s="302">
        <f>SUMIF('COST REPORT'!$A$9:$A$998,'Contractor''s Budget Detail'!B27,'COST REPORT'!$G$9:$G$998)</f>
        <v>0</v>
      </c>
      <c r="I27" s="302">
        <f t="shared" si="4"/>
        <v>0</v>
      </c>
      <c r="J27" s="324">
        <f t="shared" si="5"/>
        <v>0</v>
      </c>
    </row>
    <row r="28" spans="1:12">
      <c r="A28" s="321">
        <v>1000</v>
      </c>
      <c r="B28" s="322">
        <f t="shared" si="3"/>
        <v>1020</v>
      </c>
      <c r="C28" s="317" t="s">
        <v>1935</v>
      </c>
      <c r="D28" s="323">
        <v>0</v>
      </c>
      <c r="E28" s="302">
        <f>(SUMIF('COST REPORT'!$A$9:$A$998,'Contractor''s Budget Detail'!B28,'COST REPORT'!$F$9:$F$998))-(SUMIFS('COST REPORT'!$F$9:$F$998,'COST REPORT'!$A$9:$A$998,'Contractor''s Budget Detail'!B28,'COST REPORT'!$I$9:$I$998,"Close"))</f>
        <v>0</v>
      </c>
      <c r="F28" s="302">
        <f>(SUMIF(INPUT!$I$231:$I$522,'Contractor''s Budget Detail'!B28,INPUT!$H$231:$H$522)+SUMIFS('COST REPORT'!$F$9:$F$998,'COST REPORT'!$A$9:$A$998,'Contractor''s Budget Detail'!B28,'COST REPORT'!$I$9:$I$998,"close"))-(SUMIFS('COST REPORT'!$F$9:$F$998,'COST REPORT'!$A$9:$A$998,'Contractor''s Budget Detail'!B28,'COST REPORT'!$I$9:$I$998,"close",'COST REPORT'!$J$9:$J$998,"x"))</f>
        <v>0</v>
      </c>
      <c r="G28" s="302">
        <f t="shared" si="0"/>
        <v>0</v>
      </c>
      <c r="H28" s="302">
        <f>SUMIF('COST REPORT'!$A$9:$A$998,'Contractor''s Budget Detail'!B28,'COST REPORT'!$G$9:$G$998)</f>
        <v>0</v>
      </c>
      <c r="I28" s="302">
        <f t="shared" si="4"/>
        <v>0</v>
      </c>
      <c r="J28" s="324">
        <f t="shared" si="5"/>
        <v>0</v>
      </c>
    </row>
    <row r="29" spans="1:12">
      <c r="A29" s="321">
        <v>1000</v>
      </c>
      <c r="B29" s="322">
        <f t="shared" si="3"/>
        <v>1021</v>
      </c>
      <c r="C29" s="317" t="s">
        <v>1936</v>
      </c>
      <c r="D29" s="323">
        <v>0</v>
      </c>
      <c r="E29" s="302">
        <f>(SUMIF('COST REPORT'!$A$9:$A$998,'Contractor''s Budget Detail'!B29,'COST REPORT'!$F$9:$F$998))-(SUMIFS('COST REPORT'!$F$9:$F$998,'COST REPORT'!$A$9:$A$998,'Contractor''s Budget Detail'!B29,'COST REPORT'!$I$9:$I$998,"Close"))</f>
        <v>0</v>
      </c>
      <c r="F29" s="302">
        <f>(SUMIF(INPUT!$I$231:$I$522,'Contractor''s Budget Detail'!B29,INPUT!$H$231:$H$522)+SUMIFS('COST REPORT'!$F$9:$F$998,'COST REPORT'!$A$9:$A$998,'Contractor''s Budget Detail'!B29,'COST REPORT'!$I$9:$I$998,"close"))-(SUMIFS('COST REPORT'!$F$9:$F$998,'COST REPORT'!$A$9:$A$998,'Contractor''s Budget Detail'!B29,'COST REPORT'!$I$9:$I$998,"close",'COST REPORT'!$J$9:$J$998,"x"))</f>
        <v>0</v>
      </c>
      <c r="G29" s="302">
        <f t="shared" si="0"/>
        <v>0</v>
      </c>
      <c r="H29" s="302">
        <f>SUMIF('COST REPORT'!$A$9:$A$998,'Contractor''s Budget Detail'!B29,'COST REPORT'!$G$9:$G$998)</f>
        <v>0</v>
      </c>
      <c r="I29" s="302">
        <f t="shared" si="4"/>
        <v>0</v>
      </c>
      <c r="J29" s="324">
        <f t="shared" si="5"/>
        <v>0</v>
      </c>
    </row>
    <row r="30" spans="1:12">
      <c r="A30" s="321">
        <v>1000</v>
      </c>
      <c r="B30" s="322">
        <f t="shared" si="3"/>
        <v>1022</v>
      </c>
      <c r="C30" s="317" t="s">
        <v>1937</v>
      </c>
      <c r="D30" s="323">
        <v>0</v>
      </c>
      <c r="E30" s="302">
        <f>(SUMIF('COST REPORT'!$A$9:$A$998,'Contractor''s Budget Detail'!B30,'COST REPORT'!$F$9:$F$998))-(SUMIFS('COST REPORT'!$F$9:$F$998,'COST REPORT'!$A$9:$A$998,'Contractor''s Budget Detail'!B30,'COST REPORT'!$I$9:$I$998,"Close"))</f>
        <v>0</v>
      </c>
      <c r="F30" s="302">
        <f>(SUMIF(INPUT!$I$231:$I$522,'Contractor''s Budget Detail'!B30,INPUT!$H$231:$H$522)+SUMIFS('COST REPORT'!$F$9:$F$998,'COST REPORT'!$A$9:$A$998,'Contractor''s Budget Detail'!B30,'COST REPORT'!$I$9:$I$998,"close"))-(SUMIFS('COST REPORT'!$F$9:$F$998,'COST REPORT'!$A$9:$A$998,'Contractor''s Budget Detail'!B30,'COST REPORT'!$I$9:$I$998,"close",'COST REPORT'!$J$9:$J$998,"x"))</f>
        <v>0</v>
      </c>
      <c r="G30" s="302">
        <f t="shared" si="0"/>
        <v>0</v>
      </c>
      <c r="H30" s="302">
        <f>SUMIF('COST REPORT'!$A$9:$A$998,'Contractor''s Budget Detail'!B30,'COST REPORT'!$G$9:$G$998)</f>
        <v>0</v>
      </c>
      <c r="I30" s="302">
        <f t="shared" si="4"/>
        <v>0</v>
      </c>
      <c r="J30" s="324">
        <f t="shared" si="5"/>
        <v>0</v>
      </c>
    </row>
    <row r="31" spans="1:12">
      <c r="A31" s="321">
        <v>1000</v>
      </c>
      <c r="B31" s="322">
        <f t="shared" si="3"/>
        <v>1023</v>
      </c>
      <c r="C31" s="317" t="s">
        <v>1938</v>
      </c>
      <c r="D31" s="323">
        <v>0</v>
      </c>
      <c r="E31" s="302">
        <f>(SUMIF('COST REPORT'!$A$9:$A$998,'Contractor''s Budget Detail'!B31,'COST REPORT'!$F$9:$F$998))-(SUMIFS('COST REPORT'!$F$9:$F$998,'COST REPORT'!$A$9:$A$998,'Contractor''s Budget Detail'!B31,'COST REPORT'!$I$9:$I$998,"Close"))</f>
        <v>0</v>
      </c>
      <c r="F31" s="302">
        <f>(SUMIF(INPUT!$I$231:$I$522,'Contractor''s Budget Detail'!B31,INPUT!$H$231:$H$522)+SUMIFS('COST REPORT'!$F$9:$F$998,'COST REPORT'!$A$9:$A$998,'Contractor''s Budget Detail'!B31,'COST REPORT'!$I$9:$I$998,"close"))-(SUMIFS('COST REPORT'!$F$9:$F$998,'COST REPORT'!$A$9:$A$998,'Contractor''s Budget Detail'!B31,'COST REPORT'!$I$9:$I$998,"close",'COST REPORT'!$J$9:$J$998,"x"))</f>
        <v>0</v>
      </c>
      <c r="G31" s="302">
        <f t="shared" si="0"/>
        <v>0</v>
      </c>
      <c r="H31" s="302">
        <f>SUMIF('COST REPORT'!$A$9:$A$998,'Contractor''s Budget Detail'!B31,'COST REPORT'!$G$9:$G$998)</f>
        <v>0</v>
      </c>
      <c r="I31" s="302">
        <f t="shared" si="4"/>
        <v>0</v>
      </c>
      <c r="J31" s="324">
        <f t="shared" si="5"/>
        <v>0</v>
      </c>
    </row>
    <row r="32" spans="1:12">
      <c r="A32" s="321">
        <v>1000</v>
      </c>
      <c r="B32" s="322">
        <f t="shared" si="3"/>
        <v>1024</v>
      </c>
      <c r="C32" s="325" t="s">
        <v>1939</v>
      </c>
      <c r="D32" s="323">
        <v>0</v>
      </c>
      <c r="E32" s="302">
        <f>(SUMIF('COST REPORT'!$A$9:$A$998,'Contractor''s Budget Detail'!B32,'COST REPORT'!$F$9:$F$998))-(SUMIFS('COST REPORT'!$F$9:$F$998,'COST REPORT'!$A$9:$A$998,'Contractor''s Budget Detail'!B32,'COST REPORT'!$I$9:$I$998,"Close"))</f>
        <v>0</v>
      </c>
      <c r="F32" s="302">
        <f>(SUMIF(INPUT!$I$231:$I$522,'Contractor''s Budget Detail'!B32,INPUT!$H$231:$H$522)+SUMIFS('COST REPORT'!$F$9:$F$998,'COST REPORT'!$A$9:$A$998,'Contractor''s Budget Detail'!B32,'COST REPORT'!$I$9:$I$998,"close"))-(SUMIFS('COST REPORT'!$F$9:$F$998,'COST REPORT'!$A$9:$A$998,'Contractor''s Budget Detail'!B32,'COST REPORT'!$I$9:$I$998,"close",'COST REPORT'!$J$9:$J$998,"x"))</f>
        <v>0</v>
      </c>
      <c r="G32" s="302">
        <f t="shared" si="0"/>
        <v>0</v>
      </c>
      <c r="H32" s="302">
        <f>SUMIF('COST REPORT'!$A$9:$A$998,'Contractor''s Budget Detail'!B32,'COST REPORT'!$G$9:$G$998)</f>
        <v>0</v>
      </c>
      <c r="I32" s="302">
        <f t="shared" si="4"/>
        <v>0</v>
      </c>
      <c r="J32" s="324">
        <f t="shared" si="5"/>
        <v>0</v>
      </c>
    </row>
    <row r="33" spans="1:10">
      <c r="A33" s="321">
        <v>1000</v>
      </c>
      <c r="B33" s="322">
        <f t="shared" si="3"/>
        <v>1025</v>
      </c>
      <c r="C33" s="325" t="s">
        <v>1939</v>
      </c>
      <c r="D33" s="323">
        <v>0</v>
      </c>
      <c r="E33" s="302">
        <f>(SUMIF('COST REPORT'!$A$9:$A$998,'Contractor''s Budget Detail'!B33,'COST REPORT'!$F$9:$F$998))-(SUMIFS('COST REPORT'!$F$9:$F$998,'COST REPORT'!$A$9:$A$998,'Contractor''s Budget Detail'!B33,'COST REPORT'!$I$9:$I$998,"Close"))</f>
        <v>0</v>
      </c>
      <c r="F33" s="302">
        <f>(SUMIF(INPUT!$I$231:$I$522,'Contractor''s Budget Detail'!B33,INPUT!$H$231:$H$522)+SUMIFS('COST REPORT'!$F$9:$F$998,'COST REPORT'!$A$9:$A$998,'Contractor''s Budget Detail'!B33,'COST REPORT'!$I$9:$I$998,"close"))-(SUMIFS('COST REPORT'!$F$9:$F$998,'COST REPORT'!$A$9:$A$998,'Contractor''s Budget Detail'!B33,'COST REPORT'!$I$9:$I$998,"close",'COST REPORT'!$J$9:$J$998,"x"))</f>
        <v>0</v>
      </c>
      <c r="G33" s="302">
        <f t="shared" si="0"/>
        <v>0</v>
      </c>
      <c r="H33" s="302">
        <f>SUMIF('COST REPORT'!$A$9:$A$998,'Contractor''s Budget Detail'!B33,'COST REPORT'!$G$9:$G$998)</f>
        <v>0</v>
      </c>
      <c r="I33" s="302">
        <f t="shared" si="4"/>
        <v>0</v>
      </c>
      <c r="J33" s="324">
        <f t="shared" si="5"/>
        <v>0</v>
      </c>
    </row>
    <row r="34" spans="1:10">
      <c r="A34" s="321">
        <v>1000</v>
      </c>
      <c r="B34" s="322">
        <f t="shared" si="3"/>
        <v>1026</v>
      </c>
      <c r="C34" s="325" t="s">
        <v>1939</v>
      </c>
      <c r="D34" s="323">
        <v>0</v>
      </c>
      <c r="E34" s="302">
        <f>(SUMIF('COST REPORT'!$A$9:$A$998,'Contractor''s Budget Detail'!B34,'COST REPORT'!$F$9:$F$998))-(SUMIFS('COST REPORT'!$F$9:$F$998,'COST REPORT'!$A$9:$A$998,'Contractor''s Budget Detail'!B34,'COST REPORT'!$I$9:$I$998,"Close"))</f>
        <v>0</v>
      </c>
      <c r="F34" s="302">
        <f>(SUMIF(INPUT!$I$231:$I$522,'Contractor''s Budget Detail'!B34,INPUT!$H$231:$H$522)+SUMIFS('COST REPORT'!$F$9:$F$998,'COST REPORT'!$A$9:$A$998,'Contractor''s Budget Detail'!B34,'COST REPORT'!$I$9:$I$998,"close"))-(SUMIFS('COST REPORT'!$F$9:$F$998,'COST REPORT'!$A$9:$A$998,'Contractor''s Budget Detail'!B34,'COST REPORT'!$I$9:$I$998,"close",'COST REPORT'!$J$9:$J$998,"x"))</f>
        <v>0</v>
      </c>
      <c r="G34" s="302">
        <f t="shared" si="0"/>
        <v>0</v>
      </c>
      <c r="H34" s="302">
        <f>SUMIF('COST REPORT'!$A$9:$A$998,'Contractor''s Budget Detail'!B34,'COST REPORT'!$G$9:$G$998)</f>
        <v>0</v>
      </c>
      <c r="I34" s="302">
        <f t="shared" si="4"/>
        <v>0</v>
      </c>
      <c r="J34" s="324">
        <f t="shared" si="5"/>
        <v>0</v>
      </c>
    </row>
    <row r="35" spans="1:10">
      <c r="A35" s="321">
        <v>1000</v>
      </c>
      <c r="B35" s="322">
        <f t="shared" si="3"/>
        <v>1027</v>
      </c>
      <c r="C35" s="325" t="s">
        <v>1939</v>
      </c>
      <c r="D35" s="323">
        <v>0</v>
      </c>
      <c r="E35" s="302">
        <f>(SUMIF('COST REPORT'!$A$9:$A$998,'Contractor''s Budget Detail'!B35,'COST REPORT'!$F$9:$F$998))-(SUMIFS('COST REPORT'!$F$9:$F$998,'COST REPORT'!$A$9:$A$998,'Contractor''s Budget Detail'!B35,'COST REPORT'!$I$9:$I$998,"Close"))</f>
        <v>0</v>
      </c>
      <c r="F35" s="302">
        <f>(SUMIF(INPUT!$I$231:$I$522,'Contractor''s Budget Detail'!B35,INPUT!$H$231:$H$522)+SUMIFS('COST REPORT'!$F$9:$F$998,'COST REPORT'!$A$9:$A$998,'Contractor''s Budget Detail'!B35,'COST REPORT'!$I$9:$I$998,"close"))-(SUMIFS('COST REPORT'!$F$9:$F$998,'COST REPORT'!$A$9:$A$998,'Contractor''s Budget Detail'!B35,'COST REPORT'!$I$9:$I$998,"close",'COST REPORT'!$J$9:$J$998,"x"))</f>
        <v>0</v>
      </c>
      <c r="G35" s="302">
        <f t="shared" si="0"/>
        <v>0</v>
      </c>
      <c r="H35" s="302">
        <f>SUMIF('COST REPORT'!$A$9:$A$998,'Contractor''s Budget Detail'!B35,'COST REPORT'!$G$9:$G$998)</f>
        <v>0</v>
      </c>
      <c r="I35" s="302">
        <f t="shared" si="4"/>
        <v>0</v>
      </c>
      <c r="J35" s="324">
        <f t="shared" si="5"/>
        <v>0</v>
      </c>
    </row>
    <row r="36" spans="1:10">
      <c r="A36" s="321">
        <v>1000</v>
      </c>
      <c r="B36" s="322">
        <f t="shared" si="3"/>
        <v>1028</v>
      </c>
      <c r="C36" s="325" t="s">
        <v>1939</v>
      </c>
      <c r="D36" s="323">
        <v>0</v>
      </c>
      <c r="E36" s="302">
        <f>(SUMIF('COST REPORT'!$A$9:$A$998,'Contractor''s Budget Detail'!B36,'COST REPORT'!$F$9:$F$998))-(SUMIFS('COST REPORT'!$F$9:$F$998,'COST REPORT'!$A$9:$A$998,'Contractor''s Budget Detail'!B36,'COST REPORT'!$I$9:$I$998,"Close"))</f>
        <v>0</v>
      </c>
      <c r="F36" s="302">
        <f>(SUMIF(INPUT!$I$231:$I$522,'Contractor''s Budget Detail'!B36,INPUT!$H$231:$H$522)+SUMIFS('COST REPORT'!$F$9:$F$998,'COST REPORT'!$A$9:$A$998,'Contractor''s Budget Detail'!B36,'COST REPORT'!$I$9:$I$998,"close"))-(SUMIFS('COST REPORT'!$F$9:$F$998,'COST REPORT'!$A$9:$A$998,'Contractor''s Budget Detail'!B36,'COST REPORT'!$I$9:$I$998,"close",'COST REPORT'!$J$9:$J$998,"x"))</f>
        <v>0</v>
      </c>
      <c r="G36" s="302">
        <f t="shared" si="0"/>
        <v>0</v>
      </c>
      <c r="H36" s="302">
        <f>SUMIF('COST REPORT'!$A$9:$A$998,'Contractor''s Budget Detail'!B36,'COST REPORT'!$G$9:$G$998)</f>
        <v>0</v>
      </c>
      <c r="I36" s="302">
        <f t="shared" si="4"/>
        <v>0</v>
      </c>
      <c r="J36" s="324">
        <f t="shared" si="5"/>
        <v>0</v>
      </c>
    </row>
    <row r="37" spans="1:10">
      <c r="A37" s="321">
        <v>1000</v>
      </c>
      <c r="B37" s="322">
        <f t="shared" si="3"/>
        <v>1029</v>
      </c>
      <c r="C37" s="325" t="s">
        <v>1939</v>
      </c>
      <c r="D37" s="323">
        <v>0</v>
      </c>
      <c r="E37" s="302">
        <f>(SUMIF('COST REPORT'!$A$9:$A$998,'Contractor''s Budget Detail'!B37,'COST REPORT'!$F$9:$F$998))-(SUMIFS('COST REPORT'!$F$9:$F$998,'COST REPORT'!$A$9:$A$998,'Contractor''s Budget Detail'!B37,'COST REPORT'!$I$9:$I$998,"Close"))</f>
        <v>0</v>
      </c>
      <c r="F37" s="302">
        <f>(SUMIF(INPUT!$I$231:$I$522,'Contractor''s Budget Detail'!B37,INPUT!$H$231:$H$522)+SUMIFS('COST REPORT'!$F$9:$F$998,'COST REPORT'!$A$9:$A$998,'Contractor''s Budget Detail'!B37,'COST REPORT'!$I$9:$I$998,"close"))-(SUMIFS('COST REPORT'!$F$9:$F$998,'COST REPORT'!$A$9:$A$998,'Contractor''s Budget Detail'!B37,'COST REPORT'!$I$9:$I$998,"close",'COST REPORT'!$J$9:$J$998,"x"))</f>
        <v>0</v>
      </c>
      <c r="G37" s="302">
        <f t="shared" si="0"/>
        <v>0</v>
      </c>
      <c r="H37" s="302">
        <f>SUMIF('COST REPORT'!$A$9:$A$998,'Contractor''s Budget Detail'!B37,'COST REPORT'!$G$9:$G$998)</f>
        <v>0</v>
      </c>
      <c r="I37" s="302">
        <f t="shared" si="4"/>
        <v>0</v>
      </c>
      <c r="J37" s="324">
        <f t="shared" si="5"/>
        <v>0</v>
      </c>
    </row>
    <row r="38" spans="1:10">
      <c r="A38" s="321">
        <v>1000</v>
      </c>
      <c r="B38" s="322">
        <f t="shared" si="3"/>
        <v>1030</v>
      </c>
      <c r="C38" s="325" t="s">
        <v>1939</v>
      </c>
      <c r="D38" s="323">
        <v>0</v>
      </c>
      <c r="E38" s="302">
        <f>(SUMIF('COST REPORT'!$A$9:$A$998,'Contractor''s Budget Detail'!B38,'COST REPORT'!$F$9:$F$998))-(SUMIFS('COST REPORT'!$F$9:$F$998,'COST REPORT'!$A$9:$A$998,'Contractor''s Budget Detail'!B38,'COST REPORT'!$I$9:$I$998,"Close"))</f>
        <v>0</v>
      </c>
      <c r="F38" s="302">
        <f>(SUMIF(INPUT!$I$231:$I$522,'Contractor''s Budget Detail'!B38,INPUT!$H$231:$H$522)+SUMIFS('COST REPORT'!$F$9:$F$998,'COST REPORT'!$A$9:$A$998,'Contractor''s Budget Detail'!B38,'COST REPORT'!$I$9:$I$998,"close"))-(SUMIFS('COST REPORT'!$F$9:$F$998,'COST REPORT'!$A$9:$A$998,'Contractor''s Budget Detail'!B38,'COST REPORT'!$I$9:$I$998,"close",'COST REPORT'!$J$9:$J$998,"x"))</f>
        <v>0</v>
      </c>
      <c r="G38" s="302">
        <f t="shared" si="0"/>
        <v>0</v>
      </c>
      <c r="H38" s="302">
        <f>SUMIF('COST REPORT'!$A$9:$A$998,'Contractor''s Budget Detail'!B38,'COST REPORT'!$G$9:$G$998)</f>
        <v>0</v>
      </c>
      <c r="I38" s="302">
        <f t="shared" si="4"/>
        <v>0</v>
      </c>
      <c r="J38" s="324">
        <f t="shared" si="5"/>
        <v>0</v>
      </c>
    </row>
    <row r="39" spans="1:10">
      <c r="A39" s="321">
        <v>1000</v>
      </c>
      <c r="B39" s="322">
        <f t="shared" si="3"/>
        <v>1031</v>
      </c>
      <c r="C39" s="325" t="s">
        <v>1939</v>
      </c>
      <c r="D39" s="323">
        <v>0</v>
      </c>
      <c r="E39" s="302">
        <f>(SUMIF('COST REPORT'!$A$9:$A$998,'Contractor''s Budget Detail'!B39,'COST REPORT'!$F$9:$F$998))-(SUMIFS('COST REPORT'!$F$9:$F$998,'COST REPORT'!$A$9:$A$998,'Contractor''s Budget Detail'!B39,'COST REPORT'!$I$9:$I$998,"Close"))</f>
        <v>0</v>
      </c>
      <c r="F39" s="302">
        <f>(SUMIF(INPUT!$I$231:$I$522,'Contractor''s Budget Detail'!B39,INPUT!$H$231:$H$522)+SUMIFS('COST REPORT'!$F$9:$F$998,'COST REPORT'!$A$9:$A$998,'Contractor''s Budget Detail'!B39,'COST REPORT'!$I$9:$I$998,"close"))-(SUMIFS('COST REPORT'!$F$9:$F$998,'COST REPORT'!$A$9:$A$998,'Contractor''s Budget Detail'!B39,'COST REPORT'!$I$9:$I$998,"close",'COST REPORT'!$J$9:$J$998,"x"))</f>
        <v>0</v>
      </c>
      <c r="G39" s="302">
        <f t="shared" si="0"/>
        <v>0</v>
      </c>
      <c r="H39" s="302">
        <f>SUMIF('COST REPORT'!$A$9:$A$998,'Contractor''s Budget Detail'!B39,'COST REPORT'!$G$9:$G$998)</f>
        <v>0</v>
      </c>
      <c r="I39" s="302">
        <f t="shared" si="4"/>
        <v>0</v>
      </c>
      <c r="J39" s="324">
        <f t="shared" si="5"/>
        <v>0</v>
      </c>
    </row>
    <row r="40" spans="1:10" ht="13.5" thickBot="1">
      <c r="A40" s="326" t="s">
        <v>1940</v>
      </c>
      <c r="B40" s="303"/>
      <c r="C40" s="304"/>
      <c r="D40" s="305">
        <f t="shared" ref="D40:J40" si="6">SUM(D9:D39)</f>
        <v>0</v>
      </c>
      <c r="E40" s="305">
        <f t="shared" si="6"/>
        <v>0</v>
      </c>
      <c r="F40" s="305">
        <f t="shared" si="6"/>
        <v>0</v>
      </c>
      <c r="G40" s="305">
        <f t="shared" si="6"/>
        <v>0</v>
      </c>
      <c r="H40" s="305">
        <f t="shared" si="6"/>
        <v>0</v>
      </c>
      <c r="I40" s="305">
        <f t="shared" si="6"/>
        <v>0</v>
      </c>
      <c r="J40" s="327">
        <f t="shared" si="6"/>
        <v>0</v>
      </c>
    </row>
    <row r="41" spans="1:10">
      <c r="A41" s="328"/>
      <c r="B41" s="71"/>
      <c r="C41" s="90"/>
      <c r="D41" s="306"/>
      <c r="E41" s="306"/>
      <c r="H41" s="306"/>
      <c r="I41" s="306"/>
      <c r="J41" s="329"/>
    </row>
    <row r="42" spans="1:10">
      <c r="A42" s="330" t="s">
        <v>1210</v>
      </c>
      <c r="B42" s="205"/>
      <c r="C42" s="88"/>
      <c r="D42" s="331"/>
      <c r="E42" s="331"/>
      <c r="F42" s="331"/>
      <c r="G42" s="331"/>
      <c r="H42" s="331"/>
      <c r="I42" s="331"/>
      <c r="J42" s="332"/>
    </row>
    <row r="43" spans="1:10">
      <c r="A43" s="321">
        <v>2000</v>
      </c>
      <c r="B43" s="322">
        <v>2001</v>
      </c>
      <c r="C43" s="317" t="s">
        <v>1941</v>
      </c>
      <c r="D43" s="323">
        <v>0</v>
      </c>
      <c r="E43" s="302">
        <f>(SUMIF('COST REPORT'!$A$9:$A$998,'Contractor''s Budget Detail'!B43,'COST REPORT'!$F$9:$F$998))-(SUMIFS('COST REPORT'!$F$9:$F$998,'COST REPORT'!$A$9:$A$998,'Contractor''s Budget Detail'!B43,'COST REPORT'!$I$9:$I$998,"Close"))</f>
        <v>0</v>
      </c>
      <c r="F43" s="302">
        <f>(SUMIF(INPUT!$I$231:$I$522,'Contractor''s Budget Detail'!B43,INPUT!$H$231:$H$522)+SUMIFS('COST REPORT'!$F$9:$F$998,'COST REPORT'!$A$9:$A$998,'Contractor''s Budget Detail'!B43,'COST REPORT'!$I$9:$I$998,"close"))-(SUMIFS('COST REPORT'!$F$9:$F$998,'COST REPORT'!$A$9:$A$998,'Contractor''s Budget Detail'!B43,'COST REPORT'!$I$9:$I$998,"close",'COST REPORT'!$J$9:$J$998,"x"))</f>
        <v>0</v>
      </c>
      <c r="G43" s="302">
        <f t="shared" ref="G43:G91" si="7">E43+F43</f>
        <v>0</v>
      </c>
      <c r="H43" s="302">
        <f>SUMIF('COST REPORT'!$A$9:$A$998,'Contractor''s Budget Detail'!B43,'COST REPORT'!$G$9:$G$998)</f>
        <v>0</v>
      </c>
      <c r="I43" s="302">
        <f>G43-H43</f>
        <v>0</v>
      </c>
      <c r="J43" s="324">
        <f>D43-G43</f>
        <v>0</v>
      </c>
    </row>
    <row r="44" spans="1:10">
      <c r="A44" s="321">
        <v>2000</v>
      </c>
      <c r="B44" s="322">
        <f>B43+1</f>
        <v>2002</v>
      </c>
      <c r="C44" s="317" t="s">
        <v>1942</v>
      </c>
      <c r="D44" s="323">
        <v>0</v>
      </c>
      <c r="E44" s="302">
        <f>(SUMIF('COST REPORT'!$A$9:$A$998,'Contractor''s Budget Detail'!B44,'COST REPORT'!$F$9:$F$998))-(SUMIFS('COST REPORT'!$F$9:$F$998,'COST REPORT'!$A$9:$A$998,'Contractor''s Budget Detail'!B44,'COST REPORT'!$I$9:$I$998,"Close"))</f>
        <v>0</v>
      </c>
      <c r="F44" s="302">
        <f>(SUMIF(INPUT!$I$231:$I$522,'Contractor''s Budget Detail'!B44,INPUT!$H$231:$H$522)+SUMIFS('COST REPORT'!$F$9:$F$998,'COST REPORT'!$A$9:$A$998,'Contractor''s Budget Detail'!B44,'COST REPORT'!$I$9:$I$998,"close"))-(SUMIFS('COST REPORT'!$F$9:$F$998,'COST REPORT'!$A$9:$A$998,'Contractor''s Budget Detail'!B44,'COST REPORT'!$I$9:$I$998,"close",'COST REPORT'!$J$9:$J$998,"x"))</f>
        <v>0</v>
      </c>
      <c r="G44" s="302">
        <f t="shared" si="7"/>
        <v>0</v>
      </c>
      <c r="H44" s="302">
        <f>SUMIF('COST REPORT'!$A$9:$A$998,'Contractor''s Budget Detail'!B44,'COST REPORT'!$G$9:$G$998)</f>
        <v>0</v>
      </c>
      <c r="I44" s="302">
        <f t="shared" ref="I44:I91" si="8">G44-H44</f>
        <v>0</v>
      </c>
      <c r="J44" s="324">
        <f t="shared" ref="J44:J91" si="9">D44-G44</f>
        <v>0</v>
      </c>
    </row>
    <row r="45" spans="1:10">
      <c r="A45" s="321">
        <v>2000</v>
      </c>
      <c r="B45" s="322">
        <f t="shared" ref="B45:B91" si="10">B44+1</f>
        <v>2003</v>
      </c>
      <c r="C45" s="317" t="s">
        <v>1943</v>
      </c>
      <c r="D45" s="323">
        <v>0</v>
      </c>
      <c r="E45" s="302">
        <f>(SUMIF('COST REPORT'!$A$9:$A$998,'Contractor''s Budget Detail'!B45,'COST REPORT'!$F$9:$F$998))-(SUMIFS('COST REPORT'!$F$9:$F$998,'COST REPORT'!$A$9:$A$998,'Contractor''s Budget Detail'!B45,'COST REPORT'!$I$9:$I$998,"Close"))</f>
        <v>0</v>
      </c>
      <c r="F45" s="302">
        <f>(SUMIF(INPUT!$I$231:$I$522,'Contractor''s Budget Detail'!B45,INPUT!$H$231:$H$522)+SUMIFS('COST REPORT'!$F$9:$F$998,'COST REPORT'!$A$9:$A$998,'Contractor''s Budget Detail'!B45,'COST REPORT'!$I$9:$I$998,"close"))-(SUMIFS('COST REPORT'!$F$9:$F$998,'COST REPORT'!$A$9:$A$998,'Contractor''s Budget Detail'!B45,'COST REPORT'!$I$9:$I$998,"close",'COST REPORT'!$J$9:$J$998,"x"))</f>
        <v>0</v>
      </c>
      <c r="G45" s="302">
        <f t="shared" si="7"/>
        <v>0</v>
      </c>
      <c r="H45" s="302">
        <f>SUMIF('COST REPORT'!$A$9:$A$998,'Contractor''s Budget Detail'!B45,'COST REPORT'!$G$9:$G$998)</f>
        <v>0</v>
      </c>
      <c r="I45" s="302">
        <f t="shared" si="8"/>
        <v>0</v>
      </c>
      <c r="J45" s="324">
        <f t="shared" si="9"/>
        <v>0</v>
      </c>
    </row>
    <row r="46" spans="1:10">
      <c r="A46" s="321">
        <v>2000</v>
      </c>
      <c r="B46" s="322">
        <f t="shared" si="10"/>
        <v>2004</v>
      </c>
      <c r="C46" s="317" t="s">
        <v>1944</v>
      </c>
      <c r="D46" s="323">
        <v>0</v>
      </c>
      <c r="E46" s="302">
        <f>(SUMIF('COST REPORT'!$A$9:$A$998,'Contractor''s Budget Detail'!B46,'COST REPORT'!$F$9:$F$998))-(SUMIFS('COST REPORT'!$F$9:$F$998,'COST REPORT'!$A$9:$A$998,'Contractor''s Budget Detail'!B46,'COST REPORT'!$I$9:$I$998,"Close"))</f>
        <v>0</v>
      </c>
      <c r="F46" s="302">
        <f>(SUMIF(INPUT!$I$231:$I$522,'Contractor''s Budget Detail'!B46,INPUT!$H$231:$H$522)+SUMIFS('COST REPORT'!$F$9:$F$998,'COST REPORT'!$A$9:$A$998,'Contractor''s Budget Detail'!B46,'COST REPORT'!$I$9:$I$998,"close"))-(SUMIFS('COST REPORT'!$F$9:$F$998,'COST REPORT'!$A$9:$A$998,'Contractor''s Budget Detail'!B46,'COST REPORT'!$I$9:$I$998,"close",'COST REPORT'!$J$9:$J$998,"x"))</f>
        <v>0</v>
      </c>
      <c r="G46" s="302">
        <f t="shared" si="7"/>
        <v>0</v>
      </c>
      <c r="H46" s="302">
        <f>SUMIF('COST REPORT'!$A$9:$A$998,'Contractor''s Budget Detail'!B46,'COST REPORT'!$G$9:$G$998)</f>
        <v>0</v>
      </c>
      <c r="I46" s="302">
        <f t="shared" si="8"/>
        <v>0</v>
      </c>
      <c r="J46" s="324">
        <f t="shared" si="9"/>
        <v>0</v>
      </c>
    </row>
    <row r="47" spans="1:10">
      <c r="A47" s="321">
        <v>2000</v>
      </c>
      <c r="B47" s="322">
        <f t="shared" si="10"/>
        <v>2005</v>
      </c>
      <c r="C47" s="317" t="s">
        <v>1945</v>
      </c>
      <c r="D47" s="323">
        <v>0</v>
      </c>
      <c r="E47" s="302">
        <f>(SUMIF('COST REPORT'!$A$9:$A$998,'Contractor''s Budget Detail'!B47,'COST REPORT'!$F$9:$F$998))-(SUMIFS('COST REPORT'!$F$9:$F$998,'COST REPORT'!$A$9:$A$998,'Contractor''s Budget Detail'!B47,'COST REPORT'!$I$9:$I$998,"Close"))</f>
        <v>0</v>
      </c>
      <c r="F47" s="302">
        <f>(SUMIF(INPUT!$I$231:$I$522,'Contractor''s Budget Detail'!B47,INPUT!$H$231:$H$522)+SUMIFS('COST REPORT'!$F$9:$F$998,'COST REPORT'!$A$9:$A$998,'Contractor''s Budget Detail'!B47,'COST REPORT'!$I$9:$I$998,"close"))-(SUMIFS('COST REPORT'!$F$9:$F$998,'COST REPORT'!$A$9:$A$998,'Contractor''s Budget Detail'!B47,'COST REPORT'!$I$9:$I$998,"close",'COST REPORT'!$J$9:$J$998,"x"))</f>
        <v>0</v>
      </c>
      <c r="G47" s="302">
        <f t="shared" si="7"/>
        <v>0</v>
      </c>
      <c r="H47" s="302">
        <f>SUMIF('COST REPORT'!$A$9:$A$998,'Contractor''s Budget Detail'!B47,'COST REPORT'!$G$9:$G$998)</f>
        <v>0</v>
      </c>
      <c r="I47" s="302">
        <f t="shared" si="8"/>
        <v>0</v>
      </c>
      <c r="J47" s="324">
        <f t="shared" si="9"/>
        <v>0</v>
      </c>
    </row>
    <row r="48" spans="1:10">
      <c r="A48" s="321">
        <v>2000</v>
      </c>
      <c r="B48" s="322">
        <f t="shared" si="10"/>
        <v>2006</v>
      </c>
      <c r="C48" s="317" t="s">
        <v>1946</v>
      </c>
      <c r="D48" s="323">
        <v>0</v>
      </c>
      <c r="E48" s="302">
        <f>(SUMIF('COST REPORT'!$A$9:$A$998,'Contractor''s Budget Detail'!B48,'COST REPORT'!$F$9:$F$998))-(SUMIFS('COST REPORT'!$F$9:$F$998,'COST REPORT'!$A$9:$A$998,'Contractor''s Budget Detail'!B48,'COST REPORT'!$I$9:$I$998,"Close"))</f>
        <v>0</v>
      </c>
      <c r="F48" s="302">
        <f>(SUMIF(INPUT!$I$231:$I$522,'Contractor''s Budget Detail'!B48,INPUT!$H$231:$H$522)+SUMIFS('COST REPORT'!$F$9:$F$998,'COST REPORT'!$A$9:$A$998,'Contractor''s Budget Detail'!B48,'COST REPORT'!$I$9:$I$998,"close"))-(SUMIFS('COST REPORT'!$F$9:$F$998,'COST REPORT'!$A$9:$A$998,'Contractor''s Budget Detail'!B48,'COST REPORT'!$I$9:$I$998,"close",'COST REPORT'!$J$9:$J$998,"x"))</f>
        <v>0</v>
      </c>
      <c r="G48" s="302">
        <f t="shared" si="7"/>
        <v>0</v>
      </c>
      <c r="H48" s="302">
        <f>SUMIF('COST REPORT'!$A$9:$A$998,'Contractor''s Budget Detail'!B48,'COST REPORT'!$G$9:$G$998)</f>
        <v>0</v>
      </c>
      <c r="I48" s="302">
        <f t="shared" si="8"/>
        <v>0</v>
      </c>
      <c r="J48" s="324">
        <f t="shared" si="9"/>
        <v>0</v>
      </c>
    </row>
    <row r="49" spans="1:10">
      <c r="A49" s="321">
        <v>2000</v>
      </c>
      <c r="B49" s="322">
        <f t="shared" si="10"/>
        <v>2007</v>
      </c>
      <c r="C49" s="317" t="s">
        <v>1383</v>
      </c>
      <c r="D49" s="323">
        <v>0</v>
      </c>
      <c r="E49" s="302">
        <f>(SUMIF('COST REPORT'!$A$9:$A$998,'Contractor''s Budget Detail'!B49,'COST REPORT'!$F$9:$F$998))-(SUMIFS('COST REPORT'!$F$9:$F$998,'COST REPORT'!$A$9:$A$998,'Contractor''s Budget Detail'!B49,'COST REPORT'!$I$9:$I$998,"Close"))</f>
        <v>0</v>
      </c>
      <c r="F49" s="302">
        <f>(SUMIF(INPUT!$I$231:$I$522,'Contractor''s Budget Detail'!B49,INPUT!$H$231:$H$522)+SUMIFS('COST REPORT'!$F$9:$F$998,'COST REPORT'!$A$9:$A$998,'Contractor''s Budget Detail'!B49,'COST REPORT'!$I$9:$I$998,"close"))-(SUMIFS('COST REPORT'!$F$9:$F$998,'COST REPORT'!$A$9:$A$998,'Contractor''s Budget Detail'!B49,'COST REPORT'!$I$9:$I$998,"close",'COST REPORT'!$J$9:$J$998,"x"))</f>
        <v>0</v>
      </c>
      <c r="G49" s="302">
        <f t="shared" si="7"/>
        <v>0</v>
      </c>
      <c r="H49" s="302">
        <f>SUMIF('COST REPORT'!$A$9:$A$998,'Contractor''s Budget Detail'!B49,'COST REPORT'!$G$9:$G$998)</f>
        <v>0</v>
      </c>
      <c r="I49" s="302">
        <f t="shared" si="8"/>
        <v>0</v>
      </c>
      <c r="J49" s="324">
        <f t="shared" si="9"/>
        <v>0</v>
      </c>
    </row>
    <row r="50" spans="1:10">
      <c r="A50" s="321">
        <v>2000</v>
      </c>
      <c r="B50" s="322">
        <f t="shared" si="10"/>
        <v>2008</v>
      </c>
      <c r="C50" s="317" t="s">
        <v>1947</v>
      </c>
      <c r="D50" s="323">
        <v>0</v>
      </c>
      <c r="E50" s="302">
        <f>(SUMIF('COST REPORT'!$A$9:$A$998,'Contractor''s Budget Detail'!B50,'COST REPORT'!$F$9:$F$998))-(SUMIFS('COST REPORT'!$F$9:$F$998,'COST REPORT'!$A$9:$A$998,'Contractor''s Budget Detail'!B50,'COST REPORT'!$I$9:$I$998,"Close"))</f>
        <v>0</v>
      </c>
      <c r="F50" s="302">
        <f>(SUMIF(INPUT!$I$231:$I$522,'Contractor''s Budget Detail'!B50,INPUT!$H$231:$H$522)+SUMIFS('COST REPORT'!$F$9:$F$998,'COST REPORT'!$A$9:$A$998,'Contractor''s Budget Detail'!B50,'COST REPORT'!$I$9:$I$998,"close"))-(SUMIFS('COST REPORT'!$F$9:$F$998,'COST REPORT'!$A$9:$A$998,'Contractor''s Budget Detail'!B50,'COST REPORT'!$I$9:$I$998,"close",'COST REPORT'!$J$9:$J$998,"x"))</f>
        <v>0</v>
      </c>
      <c r="G50" s="302">
        <f t="shared" si="7"/>
        <v>0</v>
      </c>
      <c r="H50" s="302">
        <f>SUMIF('COST REPORT'!$A$9:$A$998,'Contractor''s Budget Detail'!B50,'COST REPORT'!$G$9:$G$998)</f>
        <v>0</v>
      </c>
      <c r="I50" s="302">
        <f t="shared" si="8"/>
        <v>0</v>
      </c>
      <c r="J50" s="324">
        <f t="shared" si="9"/>
        <v>0</v>
      </c>
    </row>
    <row r="51" spans="1:10">
      <c r="A51" s="321">
        <v>2000</v>
      </c>
      <c r="B51" s="322">
        <f t="shared" si="10"/>
        <v>2009</v>
      </c>
      <c r="C51" s="317" t="s">
        <v>1948</v>
      </c>
      <c r="D51" s="323">
        <v>0</v>
      </c>
      <c r="E51" s="302">
        <f>(SUMIF('COST REPORT'!$A$9:$A$998,'Contractor''s Budget Detail'!B51,'COST REPORT'!$F$9:$F$998))-(SUMIFS('COST REPORT'!$F$9:$F$998,'COST REPORT'!$A$9:$A$998,'Contractor''s Budget Detail'!B51,'COST REPORT'!$I$9:$I$998,"Close"))</f>
        <v>0</v>
      </c>
      <c r="F51" s="302">
        <f>(SUMIF(INPUT!$I$231:$I$522,'Contractor''s Budget Detail'!B51,INPUT!$H$231:$H$522)+SUMIFS('COST REPORT'!$F$9:$F$998,'COST REPORT'!$A$9:$A$998,'Contractor''s Budget Detail'!B51,'COST REPORT'!$I$9:$I$998,"close"))-(SUMIFS('COST REPORT'!$F$9:$F$998,'COST REPORT'!$A$9:$A$998,'Contractor''s Budget Detail'!B51,'COST REPORT'!$I$9:$I$998,"close",'COST REPORT'!$J$9:$J$998,"x"))</f>
        <v>0</v>
      </c>
      <c r="G51" s="302">
        <f t="shared" si="7"/>
        <v>0</v>
      </c>
      <c r="H51" s="302">
        <f>SUMIF('COST REPORT'!$A$9:$A$998,'Contractor''s Budget Detail'!B51,'COST REPORT'!$G$9:$G$998)</f>
        <v>0</v>
      </c>
      <c r="I51" s="302">
        <f t="shared" si="8"/>
        <v>0</v>
      </c>
      <c r="J51" s="324">
        <f t="shared" si="9"/>
        <v>0</v>
      </c>
    </row>
    <row r="52" spans="1:10">
      <c r="A52" s="321">
        <v>2000</v>
      </c>
      <c r="B52" s="322">
        <f t="shared" si="10"/>
        <v>2010</v>
      </c>
      <c r="C52" s="317" t="s">
        <v>1949</v>
      </c>
      <c r="D52" s="323">
        <v>0</v>
      </c>
      <c r="E52" s="302">
        <f>(SUMIF('COST REPORT'!$A$9:$A$998,'Contractor''s Budget Detail'!B52,'COST REPORT'!$F$9:$F$998))-(SUMIFS('COST REPORT'!$F$9:$F$998,'COST REPORT'!$A$9:$A$998,'Contractor''s Budget Detail'!B52,'COST REPORT'!$I$9:$I$998,"Close"))</f>
        <v>0</v>
      </c>
      <c r="F52" s="302">
        <f>(SUMIF(INPUT!$I$231:$I$522,'Contractor''s Budget Detail'!B52,INPUT!$H$231:$H$522)+SUMIFS('COST REPORT'!$F$9:$F$998,'COST REPORT'!$A$9:$A$998,'Contractor''s Budget Detail'!B52,'COST REPORT'!$I$9:$I$998,"close"))-(SUMIFS('COST REPORT'!$F$9:$F$998,'COST REPORT'!$A$9:$A$998,'Contractor''s Budget Detail'!B52,'COST REPORT'!$I$9:$I$998,"close",'COST REPORT'!$J$9:$J$998,"x"))</f>
        <v>0</v>
      </c>
      <c r="G52" s="302">
        <f>E52+F52</f>
        <v>0</v>
      </c>
      <c r="H52" s="302">
        <f>SUMIF('COST REPORT'!$A$9:$A$998,'Contractor''s Budget Detail'!B52,'COST REPORT'!$G$9:$G$998)</f>
        <v>0</v>
      </c>
      <c r="I52" s="302">
        <f>G52-H52</f>
        <v>0</v>
      </c>
      <c r="J52" s="324">
        <f>D52-G52</f>
        <v>0</v>
      </c>
    </row>
    <row r="53" spans="1:10">
      <c r="A53" s="321">
        <v>2000</v>
      </c>
      <c r="B53" s="322">
        <f t="shared" si="10"/>
        <v>2011</v>
      </c>
      <c r="C53" s="317" t="s">
        <v>1950</v>
      </c>
      <c r="D53" s="323">
        <v>0</v>
      </c>
      <c r="E53" s="302">
        <f>(SUMIF('COST REPORT'!$A$9:$A$998,'Contractor''s Budget Detail'!B53,'COST REPORT'!$F$9:$F$998))-(SUMIFS('COST REPORT'!$F$9:$F$998,'COST REPORT'!$A$9:$A$998,'Contractor''s Budget Detail'!B53,'COST REPORT'!$I$9:$I$998,"Close"))</f>
        <v>0</v>
      </c>
      <c r="F53" s="302">
        <f>(SUMIF(INPUT!$I$231:$I$522,'Contractor''s Budget Detail'!B53,INPUT!$H$231:$H$522)+SUMIFS('COST REPORT'!$F$9:$F$998,'COST REPORT'!$A$9:$A$998,'Contractor''s Budget Detail'!B53,'COST REPORT'!$I$9:$I$998,"close"))-(SUMIFS('COST REPORT'!$F$9:$F$998,'COST REPORT'!$A$9:$A$998,'Contractor''s Budget Detail'!B53,'COST REPORT'!$I$9:$I$998,"close",'COST REPORT'!$J$9:$J$998,"x"))</f>
        <v>0</v>
      </c>
      <c r="G53" s="302">
        <f>E53+F53</f>
        <v>0</v>
      </c>
      <c r="H53" s="302">
        <f>SUMIF('COST REPORT'!$A$9:$A$998,'Contractor''s Budget Detail'!B53,'COST REPORT'!$G$9:$G$998)</f>
        <v>0</v>
      </c>
      <c r="I53" s="302">
        <f>G53-H53</f>
        <v>0</v>
      </c>
      <c r="J53" s="324">
        <f>D53-G53</f>
        <v>0</v>
      </c>
    </row>
    <row r="54" spans="1:10">
      <c r="A54" s="321">
        <v>2000</v>
      </c>
      <c r="B54" s="322">
        <f t="shared" si="10"/>
        <v>2012</v>
      </c>
      <c r="C54" s="317" t="s">
        <v>1951</v>
      </c>
      <c r="D54" s="323">
        <v>0</v>
      </c>
      <c r="E54" s="302">
        <f>(SUMIF('COST REPORT'!$A$9:$A$998,'Contractor''s Budget Detail'!B54,'COST REPORT'!$F$9:$F$998))-(SUMIFS('COST REPORT'!$F$9:$F$998,'COST REPORT'!$A$9:$A$998,'Contractor''s Budget Detail'!B54,'COST REPORT'!$I$9:$I$998,"Close"))</f>
        <v>0</v>
      </c>
      <c r="F54" s="302">
        <f>(SUMIF(INPUT!$I$231:$I$522,'Contractor''s Budget Detail'!B54,INPUT!$H$231:$H$522)+SUMIFS('COST REPORT'!$F$9:$F$998,'COST REPORT'!$A$9:$A$998,'Contractor''s Budget Detail'!B54,'COST REPORT'!$I$9:$I$998,"close"))-(SUMIFS('COST REPORT'!$F$9:$F$998,'COST REPORT'!$A$9:$A$998,'Contractor''s Budget Detail'!B54,'COST REPORT'!$I$9:$I$998,"close",'COST REPORT'!$J$9:$J$998,"x"))</f>
        <v>0</v>
      </c>
      <c r="G54" s="302">
        <f t="shared" si="7"/>
        <v>0</v>
      </c>
      <c r="H54" s="302">
        <f>SUMIF('COST REPORT'!$A$9:$A$998,'Contractor''s Budget Detail'!B54,'COST REPORT'!$G$9:$G$998)</f>
        <v>0</v>
      </c>
      <c r="I54" s="302">
        <f t="shared" si="8"/>
        <v>0</v>
      </c>
      <c r="J54" s="324">
        <f t="shared" si="9"/>
        <v>0</v>
      </c>
    </row>
    <row r="55" spans="1:10">
      <c r="A55" s="321">
        <v>2000</v>
      </c>
      <c r="B55" s="322">
        <f t="shared" si="10"/>
        <v>2013</v>
      </c>
      <c r="C55" s="317" t="s">
        <v>1952</v>
      </c>
      <c r="D55" s="323">
        <v>0</v>
      </c>
      <c r="E55" s="302">
        <f>(SUMIF('COST REPORT'!$A$9:$A$998,'Contractor''s Budget Detail'!B55,'COST REPORT'!$F$9:$F$998))-(SUMIFS('COST REPORT'!$F$9:$F$998,'COST REPORT'!$A$9:$A$998,'Contractor''s Budget Detail'!B55,'COST REPORT'!$I$9:$I$998,"Close"))</f>
        <v>0</v>
      </c>
      <c r="F55" s="302">
        <f>(SUMIF(INPUT!$I$231:$I$522,'Contractor''s Budget Detail'!B55,INPUT!$H$231:$H$522)+SUMIFS('COST REPORT'!$F$9:$F$998,'COST REPORT'!$A$9:$A$998,'Contractor''s Budget Detail'!B55,'COST REPORT'!$I$9:$I$998,"close"))-(SUMIFS('COST REPORT'!$F$9:$F$998,'COST REPORT'!$A$9:$A$998,'Contractor''s Budget Detail'!B55,'COST REPORT'!$I$9:$I$998,"close",'COST REPORT'!$J$9:$J$998,"x"))</f>
        <v>0</v>
      </c>
      <c r="G55" s="302">
        <f t="shared" si="7"/>
        <v>0</v>
      </c>
      <c r="H55" s="302">
        <f>SUMIF('COST REPORT'!$A$9:$A$998,'Contractor''s Budget Detail'!B55,'COST REPORT'!$G$9:$G$998)</f>
        <v>0</v>
      </c>
      <c r="I55" s="302">
        <f t="shared" si="8"/>
        <v>0</v>
      </c>
      <c r="J55" s="324">
        <f t="shared" si="9"/>
        <v>0</v>
      </c>
    </row>
    <row r="56" spans="1:10">
      <c r="A56" s="321">
        <v>2000</v>
      </c>
      <c r="B56" s="322">
        <f t="shared" si="10"/>
        <v>2014</v>
      </c>
      <c r="C56" s="317" t="s">
        <v>1953</v>
      </c>
      <c r="D56" s="323">
        <v>0</v>
      </c>
      <c r="E56" s="302">
        <f>(SUMIF('COST REPORT'!$A$9:$A$998,'Contractor''s Budget Detail'!B56,'COST REPORT'!$F$9:$F$998))-(SUMIFS('COST REPORT'!$F$9:$F$998,'COST REPORT'!$A$9:$A$998,'Contractor''s Budget Detail'!B56,'COST REPORT'!$I$9:$I$998,"Close"))</f>
        <v>0</v>
      </c>
      <c r="F56" s="302">
        <f>(SUMIF(INPUT!$I$231:$I$522,'Contractor''s Budget Detail'!B56,INPUT!$H$231:$H$522)+SUMIFS('COST REPORT'!$F$9:$F$998,'COST REPORT'!$A$9:$A$998,'Contractor''s Budget Detail'!B56,'COST REPORT'!$I$9:$I$998,"close"))-(SUMIFS('COST REPORT'!$F$9:$F$998,'COST REPORT'!$A$9:$A$998,'Contractor''s Budget Detail'!B56,'COST REPORT'!$I$9:$I$998,"close",'COST REPORT'!$J$9:$J$998,"x"))</f>
        <v>0</v>
      </c>
      <c r="G56" s="302">
        <f t="shared" si="7"/>
        <v>0</v>
      </c>
      <c r="H56" s="302">
        <f>SUMIF('COST REPORT'!$A$9:$A$998,'Contractor''s Budget Detail'!B56,'COST REPORT'!$G$9:$G$998)</f>
        <v>0</v>
      </c>
      <c r="I56" s="302">
        <f t="shared" si="8"/>
        <v>0</v>
      </c>
      <c r="J56" s="324">
        <f t="shared" si="9"/>
        <v>0</v>
      </c>
    </row>
    <row r="57" spans="1:10">
      <c r="A57" s="321">
        <v>2000</v>
      </c>
      <c r="B57" s="322">
        <f t="shared" si="10"/>
        <v>2015</v>
      </c>
      <c r="C57" s="317" t="s">
        <v>1954</v>
      </c>
      <c r="D57" s="323">
        <v>0</v>
      </c>
      <c r="E57" s="302">
        <f>(SUMIF('COST REPORT'!$A$9:$A$998,'Contractor''s Budget Detail'!B57,'COST REPORT'!$F$9:$F$998))-(SUMIFS('COST REPORT'!$F$9:$F$998,'COST REPORT'!$A$9:$A$998,'Contractor''s Budget Detail'!B57,'COST REPORT'!$I$9:$I$998,"Close"))</f>
        <v>0</v>
      </c>
      <c r="F57" s="302">
        <f>(SUMIF(INPUT!$I$231:$I$522,'Contractor''s Budget Detail'!B57,INPUT!$H$231:$H$522)+SUMIFS('COST REPORT'!$F$9:$F$998,'COST REPORT'!$A$9:$A$998,'Contractor''s Budget Detail'!B57,'COST REPORT'!$I$9:$I$998,"close"))-(SUMIFS('COST REPORT'!$F$9:$F$998,'COST REPORT'!$A$9:$A$998,'Contractor''s Budget Detail'!B57,'COST REPORT'!$I$9:$I$998,"close",'COST REPORT'!$J$9:$J$998,"x"))</f>
        <v>0</v>
      </c>
      <c r="G57" s="302">
        <f t="shared" si="7"/>
        <v>0</v>
      </c>
      <c r="H57" s="302">
        <f>SUMIF('COST REPORT'!$A$9:$A$998,'Contractor''s Budget Detail'!B57,'COST REPORT'!$G$9:$G$998)</f>
        <v>0</v>
      </c>
      <c r="I57" s="302">
        <f t="shared" si="8"/>
        <v>0</v>
      </c>
      <c r="J57" s="324">
        <f t="shared" si="9"/>
        <v>0</v>
      </c>
    </row>
    <row r="58" spans="1:10">
      <c r="A58" s="321">
        <v>2000</v>
      </c>
      <c r="B58" s="322">
        <f t="shared" si="10"/>
        <v>2016</v>
      </c>
      <c r="C58" s="317" t="s">
        <v>1955</v>
      </c>
      <c r="D58" s="323">
        <v>0</v>
      </c>
      <c r="E58" s="302">
        <f>(SUMIF('COST REPORT'!$A$9:$A$998,'Contractor''s Budget Detail'!B58,'COST REPORT'!$F$9:$F$998))-(SUMIFS('COST REPORT'!$F$9:$F$998,'COST REPORT'!$A$9:$A$998,'Contractor''s Budget Detail'!B58,'COST REPORT'!$I$9:$I$998,"Close"))</f>
        <v>0</v>
      </c>
      <c r="F58" s="302">
        <f>(SUMIF(INPUT!$I$231:$I$522,'Contractor''s Budget Detail'!B58,INPUT!$H$231:$H$522)+SUMIFS('COST REPORT'!$F$9:$F$998,'COST REPORT'!$A$9:$A$998,'Contractor''s Budget Detail'!B58,'COST REPORT'!$I$9:$I$998,"close"))-(SUMIFS('COST REPORT'!$F$9:$F$998,'COST REPORT'!$A$9:$A$998,'Contractor''s Budget Detail'!B58,'COST REPORT'!$I$9:$I$998,"close",'COST REPORT'!$J$9:$J$998,"x"))</f>
        <v>0</v>
      </c>
      <c r="G58" s="302">
        <f t="shared" si="7"/>
        <v>0</v>
      </c>
      <c r="H58" s="302">
        <f>SUMIF('COST REPORT'!$A$9:$A$998,'Contractor''s Budget Detail'!B58,'COST REPORT'!$G$9:$G$998)</f>
        <v>0</v>
      </c>
      <c r="I58" s="302">
        <f t="shared" si="8"/>
        <v>0</v>
      </c>
      <c r="J58" s="324">
        <f t="shared" si="9"/>
        <v>0</v>
      </c>
    </row>
    <row r="59" spans="1:10">
      <c r="A59" s="321">
        <v>2000</v>
      </c>
      <c r="B59" s="322">
        <f t="shared" si="10"/>
        <v>2017</v>
      </c>
      <c r="C59" s="317" t="s">
        <v>1956</v>
      </c>
      <c r="D59" s="323">
        <v>0</v>
      </c>
      <c r="E59" s="302">
        <f>(SUMIF('COST REPORT'!$A$9:$A$998,'Contractor''s Budget Detail'!B59,'COST REPORT'!$F$9:$F$998))-(SUMIFS('COST REPORT'!$F$9:$F$998,'COST REPORT'!$A$9:$A$998,'Contractor''s Budget Detail'!B59,'COST REPORT'!$I$9:$I$998,"Close"))</f>
        <v>0</v>
      </c>
      <c r="F59" s="302">
        <f>(SUMIF(INPUT!$I$231:$I$522,'Contractor''s Budget Detail'!B59,INPUT!$H$231:$H$522)+SUMIFS('COST REPORT'!$F$9:$F$998,'COST REPORT'!$A$9:$A$998,'Contractor''s Budget Detail'!B59,'COST REPORT'!$I$9:$I$998,"close"))-(SUMIFS('COST REPORT'!$F$9:$F$998,'COST REPORT'!$A$9:$A$998,'Contractor''s Budget Detail'!B59,'COST REPORT'!$I$9:$I$998,"close",'COST REPORT'!$J$9:$J$998,"x"))</f>
        <v>0</v>
      </c>
      <c r="G59" s="302">
        <f t="shared" si="7"/>
        <v>0</v>
      </c>
      <c r="H59" s="302">
        <f>SUMIF('COST REPORT'!$A$9:$A$998,'Contractor''s Budget Detail'!B59,'COST REPORT'!$G$9:$G$998)</f>
        <v>0</v>
      </c>
      <c r="I59" s="302">
        <f t="shared" si="8"/>
        <v>0</v>
      </c>
      <c r="J59" s="324">
        <f t="shared" si="9"/>
        <v>0</v>
      </c>
    </row>
    <row r="60" spans="1:10">
      <c r="A60" s="321">
        <v>2000</v>
      </c>
      <c r="B60" s="322">
        <f t="shared" si="10"/>
        <v>2018</v>
      </c>
      <c r="C60" s="317" t="s">
        <v>1957</v>
      </c>
      <c r="D60" s="323">
        <v>0</v>
      </c>
      <c r="E60" s="302">
        <f>(SUMIF('COST REPORT'!$A$9:$A$998,'Contractor''s Budget Detail'!B60,'COST REPORT'!$F$9:$F$998))-(SUMIFS('COST REPORT'!$F$9:$F$998,'COST REPORT'!$A$9:$A$998,'Contractor''s Budget Detail'!B60,'COST REPORT'!$I$9:$I$998,"Close"))</f>
        <v>0</v>
      </c>
      <c r="F60" s="302">
        <f>(SUMIF(INPUT!$I$231:$I$522,'Contractor''s Budget Detail'!B60,INPUT!$H$231:$H$522)+SUMIFS('COST REPORT'!$F$9:$F$998,'COST REPORT'!$A$9:$A$998,'Contractor''s Budget Detail'!B60,'COST REPORT'!$I$9:$I$998,"close"))-(SUMIFS('COST REPORT'!$F$9:$F$998,'COST REPORT'!$A$9:$A$998,'Contractor''s Budget Detail'!B60,'COST REPORT'!$I$9:$I$998,"close",'COST REPORT'!$J$9:$J$998,"x"))</f>
        <v>0</v>
      </c>
      <c r="G60" s="302">
        <f t="shared" si="7"/>
        <v>0</v>
      </c>
      <c r="H60" s="302">
        <f>SUMIF('COST REPORT'!$A$9:$A$998,'Contractor''s Budget Detail'!B60,'COST REPORT'!$G$9:$G$998)</f>
        <v>0</v>
      </c>
      <c r="I60" s="302">
        <f t="shared" si="8"/>
        <v>0</v>
      </c>
      <c r="J60" s="324">
        <f t="shared" si="9"/>
        <v>0</v>
      </c>
    </row>
    <row r="61" spans="1:10">
      <c r="A61" s="321">
        <v>2000</v>
      </c>
      <c r="B61" s="322">
        <f t="shared" si="10"/>
        <v>2019</v>
      </c>
      <c r="C61" s="317" t="s">
        <v>1958</v>
      </c>
      <c r="D61" s="323">
        <v>0</v>
      </c>
      <c r="E61" s="302">
        <f>(SUMIF('COST REPORT'!$A$9:$A$998,'Contractor''s Budget Detail'!B61,'COST REPORT'!$F$9:$F$998))-(SUMIFS('COST REPORT'!$F$9:$F$998,'COST REPORT'!$A$9:$A$998,'Contractor''s Budget Detail'!B61,'COST REPORT'!$I$9:$I$998,"Close"))</f>
        <v>0</v>
      </c>
      <c r="F61" s="302">
        <f>(SUMIF(INPUT!$I$231:$I$522,'Contractor''s Budget Detail'!B61,INPUT!$H$231:$H$522)+SUMIFS('COST REPORT'!$F$9:$F$998,'COST REPORT'!$A$9:$A$998,'Contractor''s Budget Detail'!B61,'COST REPORT'!$I$9:$I$998,"close"))-(SUMIFS('COST REPORT'!$F$9:$F$998,'COST REPORT'!$A$9:$A$998,'Contractor''s Budget Detail'!B61,'COST REPORT'!$I$9:$I$998,"close",'COST REPORT'!$J$9:$J$998,"x"))</f>
        <v>0</v>
      </c>
      <c r="G61" s="302">
        <f t="shared" si="7"/>
        <v>0</v>
      </c>
      <c r="H61" s="302">
        <f>SUMIF('COST REPORT'!$A$9:$A$998,'Contractor''s Budget Detail'!B61,'COST REPORT'!$G$9:$G$998)</f>
        <v>0</v>
      </c>
      <c r="I61" s="302">
        <f t="shared" si="8"/>
        <v>0</v>
      </c>
      <c r="J61" s="324">
        <f t="shared" si="9"/>
        <v>0</v>
      </c>
    </row>
    <row r="62" spans="1:10">
      <c r="A62" s="321">
        <v>2000</v>
      </c>
      <c r="B62" s="322">
        <f t="shared" si="10"/>
        <v>2020</v>
      </c>
      <c r="C62" s="317" t="s">
        <v>1959</v>
      </c>
      <c r="D62" s="323">
        <v>0</v>
      </c>
      <c r="E62" s="302">
        <f>(SUMIF('COST REPORT'!$A$9:$A$998,'Contractor''s Budget Detail'!B62,'COST REPORT'!$F$9:$F$998))-(SUMIFS('COST REPORT'!$F$9:$F$998,'COST REPORT'!$A$9:$A$998,'Contractor''s Budget Detail'!B62,'COST REPORT'!$I$9:$I$998,"Close"))</f>
        <v>0</v>
      </c>
      <c r="F62" s="302">
        <f>(SUMIF(INPUT!$I$231:$I$522,'Contractor''s Budget Detail'!B62,INPUT!$H$231:$H$522)+SUMIFS('COST REPORT'!$F$9:$F$998,'COST REPORT'!$A$9:$A$998,'Contractor''s Budget Detail'!B62,'COST REPORT'!$I$9:$I$998,"close"))-(SUMIFS('COST REPORT'!$F$9:$F$998,'COST REPORT'!$A$9:$A$998,'Contractor''s Budget Detail'!B62,'COST REPORT'!$I$9:$I$998,"close",'COST REPORT'!$J$9:$J$998,"x"))</f>
        <v>0</v>
      </c>
      <c r="G62" s="302">
        <f t="shared" si="7"/>
        <v>0</v>
      </c>
      <c r="H62" s="302">
        <f>SUMIF('COST REPORT'!$A$9:$A$998,'Contractor''s Budget Detail'!B62,'COST REPORT'!$G$9:$G$998)</f>
        <v>0</v>
      </c>
      <c r="I62" s="302">
        <f t="shared" si="8"/>
        <v>0</v>
      </c>
      <c r="J62" s="324">
        <f t="shared" si="9"/>
        <v>0</v>
      </c>
    </row>
    <row r="63" spans="1:10">
      <c r="A63" s="321">
        <v>2000</v>
      </c>
      <c r="B63" s="322">
        <f t="shared" si="10"/>
        <v>2021</v>
      </c>
      <c r="C63" s="317" t="s">
        <v>1960</v>
      </c>
      <c r="D63" s="323">
        <v>0</v>
      </c>
      <c r="E63" s="302">
        <f>(SUMIF('COST REPORT'!$A$9:$A$998,'Contractor''s Budget Detail'!B63,'COST REPORT'!$F$9:$F$998))-(SUMIFS('COST REPORT'!$F$9:$F$998,'COST REPORT'!$A$9:$A$998,'Contractor''s Budget Detail'!B63,'COST REPORT'!$I$9:$I$998,"Close"))</f>
        <v>0</v>
      </c>
      <c r="F63" s="302">
        <f>(SUMIF(INPUT!$I$231:$I$522,'Contractor''s Budget Detail'!B63,INPUT!$H$231:$H$522)+SUMIFS('COST REPORT'!$F$9:$F$998,'COST REPORT'!$A$9:$A$998,'Contractor''s Budget Detail'!B63,'COST REPORT'!$I$9:$I$998,"close"))-(SUMIFS('COST REPORT'!$F$9:$F$998,'COST REPORT'!$A$9:$A$998,'Contractor''s Budget Detail'!B63,'COST REPORT'!$I$9:$I$998,"close",'COST REPORT'!$J$9:$J$998,"x"))</f>
        <v>0</v>
      </c>
      <c r="G63" s="302">
        <f t="shared" si="7"/>
        <v>0</v>
      </c>
      <c r="H63" s="302">
        <f>SUMIF('COST REPORT'!$A$9:$A$998,'Contractor''s Budget Detail'!B63,'COST REPORT'!$G$9:$G$998)</f>
        <v>0</v>
      </c>
      <c r="I63" s="302">
        <f t="shared" si="8"/>
        <v>0</v>
      </c>
      <c r="J63" s="324">
        <f t="shared" si="9"/>
        <v>0</v>
      </c>
    </row>
    <row r="64" spans="1:10">
      <c r="A64" s="321">
        <v>2000</v>
      </c>
      <c r="B64" s="322">
        <f t="shared" si="10"/>
        <v>2022</v>
      </c>
      <c r="C64" s="317" t="s">
        <v>1961</v>
      </c>
      <c r="D64" s="323">
        <v>0</v>
      </c>
      <c r="E64" s="302">
        <f>(SUMIF('COST REPORT'!$A$9:$A$998,'Contractor''s Budget Detail'!B64,'COST REPORT'!$F$9:$F$998))-(SUMIFS('COST REPORT'!$F$9:$F$998,'COST REPORT'!$A$9:$A$998,'Contractor''s Budget Detail'!B64,'COST REPORT'!$I$9:$I$998,"Close"))</f>
        <v>0</v>
      </c>
      <c r="F64" s="302">
        <f>(SUMIF(INPUT!$I$231:$I$522,'Contractor''s Budget Detail'!B64,INPUT!$H$231:$H$522)+SUMIFS('COST REPORT'!$F$9:$F$998,'COST REPORT'!$A$9:$A$998,'Contractor''s Budget Detail'!B64,'COST REPORT'!$I$9:$I$998,"close"))-(SUMIFS('COST REPORT'!$F$9:$F$998,'COST REPORT'!$A$9:$A$998,'Contractor''s Budget Detail'!B64,'COST REPORT'!$I$9:$I$998,"close",'COST REPORT'!$J$9:$J$998,"x"))</f>
        <v>0</v>
      </c>
      <c r="G64" s="302">
        <f t="shared" si="7"/>
        <v>0</v>
      </c>
      <c r="H64" s="302">
        <f>SUMIF('COST REPORT'!$A$9:$A$998,'Contractor''s Budget Detail'!B64,'COST REPORT'!$G$9:$G$998)</f>
        <v>0</v>
      </c>
      <c r="I64" s="302">
        <f t="shared" si="8"/>
        <v>0</v>
      </c>
      <c r="J64" s="324">
        <f t="shared" si="9"/>
        <v>0</v>
      </c>
    </row>
    <row r="65" spans="1:10">
      <c r="A65" s="321">
        <v>2000</v>
      </c>
      <c r="B65" s="322">
        <f t="shared" si="10"/>
        <v>2023</v>
      </c>
      <c r="C65" s="317" t="s">
        <v>1962</v>
      </c>
      <c r="D65" s="323">
        <v>0</v>
      </c>
      <c r="E65" s="302">
        <f>(SUMIF('COST REPORT'!$A$9:$A$998,'Contractor''s Budget Detail'!B65,'COST REPORT'!$F$9:$F$998))-(SUMIFS('COST REPORT'!$F$9:$F$998,'COST REPORT'!$A$9:$A$998,'Contractor''s Budget Detail'!B65,'COST REPORT'!$I$9:$I$998,"Close"))</f>
        <v>0</v>
      </c>
      <c r="F65" s="302">
        <f>(SUMIF(INPUT!$I$231:$I$522,'Contractor''s Budget Detail'!B65,INPUT!$H$231:$H$522)+SUMIFS('COST REPORT'!$F$9:$F$998,'COST REPORT'!$A$9:$A$998,'Contractor''s Budget Detail'!B65,'COST REPORT'!$I$9:$I$998,"close"))-(SUMIFS('COST REPORT'!$F$9:$F$998,'COST REPORT'!$A$9:$A$998,'Contractor''s Budget Detail'!B65,'COST REPORT'!$I$9:$I$998,"close",'COST REPORT'!$J$9:$J$998,"x"))</f>
        <v>0</v>
      </c>
      <c r="G65" s="302">
        <f t="shared" si="7"/>
        <v>0</v>
      </c>
      <c r="H65" s="302">
        <f>SUMIF('COST REPORT'!$A$9:$A$998,'Contractor''s Budget Detail'!B65,'COST REPORT'!$G$9:$G$998)</f>
        <v>0</v>
      </c>
      <c r="I65" s="302">
        <f t="shared" si="8"/>
        <v>0</v>
      </c>
      <c r="J65" s="324">
        <f t="shared" si="9"/>
        <v>0</v>
      </c>
    </row>
    <row r="66" spans="1:10">
      <c r="A66" s="321">
        <v>2000</v>
      </c>
      <c r="B66" s="322">
        <f t="shared" si="10"/>
        <v>2024</v>
      </c>
      <c r="C66" s="317" t="s">
        <v>1963</v>
      </c>
      <c r="D66" s="323">
        <v>0</v>
      </c>
      <c r="E66" s="302">
        <f>(SUMIF('COST REPORT'!$A$9:$A$998,'Contractor''s Budget Detail'!B66,'COST REPORT'!$F$9:$F$998))-(SUMIFS('COST REPORT'!$F$9:$F$998,'COST REPORT'!$A$9:$A$998,'Contractor''s Budget Detail'!B66,'COST REPORT'!$I$9:$I$998,"Close"))</f>
        <v>0</v>
      </c>
      <c r="F66" s="302">
        <f>(SUMIF(INPUT!$I$231:$I$522,'Contractor''s Budget Detail'!B66,INPUT!$H$231:$H$522)+SUMIFS('COST REPORT'!$F$9:$F$998,'COST REPORT'!$A$9:$A$998,'Contractor''s Budget Detail'!B66,'COST REPORT'!$I$9:$I$998,"close"))-(SUMIFS('COST REPORT'!$F$9:$F$998,'COST REPORT'!$A$9:$A$998,'Contractor''s Budget Detail'!B66,'COST REPORT'!$I$9:$I$998,"close",'COST REPORT'!$J$9:$J$998,"x"))</f>
        <v>0</v>
      </c>
      <c r="G66" s="302">
        <f t="shared" si="7"/>
        <v>0</v>
      </c>
      <c r="H66" s="302">
        <f>SUMIF('COST REPORT'!$A$9:$A$998,'Contractor''s Budget Detail'!B66,'COST REPORT'!$G$9:$G$998)</f>
        <v>0</v>
      </c>
      <c r="I66" s="302">
        <f t="shared" si="8"/>
        <v>0</v>
      </c>
      <c r="J66" s="324">
        <f t="shared" si="9"/>
        <v>0</v>
      </c>
    </row>
    <row r="67" spans="1:10">
      <c r="A67" s="321">
        <v>2000</v>
      </c>
      <c r="B67" s="322">
        <f t="shared" si="10"/>
        <v>2025</v>
      </c>
      <c r="C67" s="317" t="s">
        <v>1964</v>
      </c>
      <c r="D67" s="323">
        <v>0</v>
      </c>
      <c r="E67" s="302">
        <f>(SUMIF('COST REPORT'!$A$9:$A$998,'Contractor''s Budget Detail'!B67,'COST REPORT'!$F$9:$F$998))-(SUMIFS('COST REPORT'!$F$9:$F$998,'COST REPORT'!$A$9:$A$998,'Contractor''s Budget Detail'!B67,'COST REPORT'!$I$9:$I$998,"Close"))</f>
        <v>0</v>
      </c>
      <c r="F67" s="302">
        <f>(SUMIF(INPUT!$I$231:$I$522,'Contractor''s Budget Detail'!B67,INPUT!$H$231:$H$522)+SUMIFS('COST REPORT'!$F$9:$F$998,'COST REPORT'!$A$9:$A$998,'Contractor''s Budget Detail'!B67,'COST REPORT'!$I$9:$I$998,"close"))-(SUMIFS('COST REPORT'!$F$9:$F$998,'COST REPORT'!$A$9:$A$998,'Contractor''s Budget Detail'!B67,'COST REPORT'!$I$9:$I$998,"close",'COST REPORT'!$J$9:$J$998,"x"))</f>
        <v>0</v>
      </c>
      <c r="G67" s="302">
        <f t="shared" si="7"/>
        <v>0</v>
      </c>
      <c r="H67" s="302">
        <f>SUMIF('COST REPORT'!$A$9:$A$998,'Contractor''s Budget Detail'!B67,'COST REPORT'!$G$9:$G$998)</f>
        <v>0</v>
      </c>
      <c r="I67" s="302">
        <f t="shared" si="8"/>
        <v>0</v>
      </c>
      <c r="J67" s="324">
        <f t="shared" si="9"/>
        <v>0</v>
      </c>
    </row>
    <row r="68" spans="1:10">
      <c r="A68" s="321">
        <v>2000</v>
      </c>
      <c r="B68" s="322">
        <f t="shared" si="10"/>
        <v>2026</v>
      </c>
      <c r="C68" s="317" t="s">
        <v>1965</v>
      </c>
      <c r="D68" s="323">
        <v>0</v>
      </c>
      <c r="E68" s="302">
        <f>(SUMIF('COST REPORT'!$A$9:$A$998,'Contractor''s Budget Detail'!B68,'COST REPORT'!$F$9:$F$998))-(SUMIFS('COST REPORT'!$F$9:$F$998,'COST REPORT'!$A$9:$A$998,'Contractor''s Budget Detail'!B68,'COST REPORT'!$I$9:$I$998,"Close"))</f>
        <v>0</v>
      </c>
      <c r="F68" s="302">
        <f>(SUMIF(INPUT!$I$231:$I$522,'Contractor''s Budget Detail'!B68,INPUT!$H$231:$H$522)+SUMIFS('COST REPORT'!$F$9:$F$998,'COST REPORT'!$A$9:$A$998,'Contractor''s Budget Detail'!B68,'COST REPORT'!$I$9:$I$998,"close"))-(SUMIFS('COST REPORT'!$F$9:$F$998,'COST REPORT'!$A$9:$A$998,'Contractor''s Budget Detail'!B68,'COST REPORT'!$I$9:$I$998,"close",'COST REPORT'!$J$9:$J$998,"x"))</f>
        <v>0</v>
      </c>
      <c r="G68" s="302">
        <f t="shared" si="7"/>
        <v>0</v>
      </c>
      <c r="H68" s="302">
        <f>SUMIF('COST REPORT'!$A$9:$A$998,'Contractor''s Budget Detail'!B68,'COST REPORT'!$G$9:$G$998)</f>
        <v>0</v>
      </c>
      <c r="I68" s="302">
        <f t="shared" si="8"/>
        <v>0</v>
      </c>
      <c r="J68" s="324">
        <f t="shared" si="9"/>
        <v>0</v>
      </c>
    </row>
    <row r="69" spans="1:10">
      <c r="A69" s="321">
        <v>2000</v>
      </c>
      <c r="B69" s="322">
        <f t="shared" si="10"/>
        <v>2027</v>
      </c>
      <c r="C69" s="317" t="s">
        <v>1966</v>
      </c>
      <c r="D69" s="323">
        <v>0</v>
      </c>
      <c r="E69" s="302">
        <f>(SUMIF('COST REPORT'!$A$9:$A$998,'Contractor''s Budget Detail'!B69,'COST REPORT'!$F$9:$F$998))-(SUMIFS('COST REPORT'!$F$9:$F$998,'COST REPORT'!$A$9:$A$998,'Contractor''s Budget Detail'!B69,'COST REPORT'!$I$9:$I$998,"Close"))</f>
        <v>0</v>
      </c>
      <c r="F69" s="302">
        <f>(SUMIF(INPUT!$I$231:$I$522,'Contractor''s Budget Detail'!B69,INPUT!$H$231:$H$522)+SUMIFS('COST REPORT'!$F$9:$F$998,'COST REPORT'!$A$9:$A$998,'Contractor''s Budget Detail'!B69,'COST REPORT'!$I$9:$I$998,"close"))-(SUMIFS('COST REPORT'!$F$9:$F$998,'COST REPORT'!$A$9:$A$998,'Contractor''s Budget Detail'!B69,'COST REPORT'!$I$9:$I$998,"close",'COST REPORT'!$J$9:$J$998,"x"))</f>
        <v>0</v>
      </c>
      <c r="G69" s="302">
        <f t="shared" si="7"/>
        <v>0</v>
      </c>
      <c r="H69" s="302">
        <f>SUMIF('COST REPORT'!$A$9:$A$998,'Contractor''s Budget Detail'!B69,'COST REPORT'!$G$9:$G$998)</f>
        <v>0</v>
      </c>
      <c r="I69" s="302">
        <f t="shared" si="8"/>
        <v>0</v>
      </c>
      <c r="J69" s="324">
        <f t="shared" si="9"/>
        <v>0</v>
      </c>
    </row>
    <row r="70" spans="1:10">
      <c r="A70" s="321">
        <v>2000</v>
      </c>
      <c r="B70" s="322">
        <f t="shared" si="10"/>
        <v>2028</v>
      </c>
      <c r="C70" s="317" t="s">
        <v>1967</v>
      </c>
      <c r="D70" s="323">
        <v>0</v>
      </c>
      <c r="E70" s="302">
        <f>(SUMIF('COST REPORT'!$A$9:$A$998,'Contractor''s Budget Detail'!B70,'COST REPORT'!$F$9:$F$998))-(SUMIFS('COST REPORT'!$F$9:$F$998,'COST REPORT'!$A$9:$A$998,'Contractor''s Budget Detail'!B70,'COST REPORT'!$I$9:$I$998,"Close"))</f>
        <v>0</v>
      </c>
      <c r="F70" s="302">
        <f>(SUMIF(INPUT!$I$231:$I$522,'Contractor''s Budget Detail'!B70,INPUT!$H$231:$H$522)+SUMIFS('COST REPORT'!$F$9:$F$998,'COST REPORT'!$A$9:$A$998,'Contractor''s Budget Detail'!B70,'COST REPORT'!$I$9:$I$998,"close"))-(SUMIFS('COST REPORT'!$F$9:$F$998,'COST REPORT'!$A$9:$A$998,'Contractor''s Budget Detail'!B70,'COST REPORT'!$I$9:$I$998,"close",'COST REPORT'!$J$9:$J$998,"x"))</f>
        <v>0</v>
      </c>
      <c r="G70" s="302">
        <f t="shared" si="7"/>
        <v>0</v>
      </c>
      <c r="H70" s="302">
        <f>SUMIF('COST REPORT'!$A$9:$A$998,'Contractor''s Budget Detail'!B70,'COST REPORT'!$G$9:$G$998)</f>
        <v>0</v>
      </c>
      <c r="I70" s="302">
        <f t="shared" si="8"/>
        <v>0</v>
      </c>
      <c r="J70" s="324">
        <f t="shared" si="9"/>
        <v>0</v>
      </c>
    </row>
    <row r="71" spans="1:10">
      <c r="A71" s="321">
        <v>2000</v>
      </c>
      <c r="B71" s="322">
        <f t="shared" si="10"/>
        <v>2029</v>
      </c>
      <c r="C71" s="317" t="s">
        <v>1968</v>
      </c>
      <c r="D71" s="323">
        <v>0</v>
      </c>
      <c r="E71" s="302">
        <f>(SUMIF('COST REPORT'!$A$9:$A$998,'Contractor''s Budget Detail'!B71,'COST REPORT'!$F$9:$F$998))-(SUMIFS('COST REPORT'!$F$9:$F$998,'COST REPORT'!$A$9:$A$998,'Contractor''s Budget Detail'!B71,'COST REPORT'!$I$9:$I$998,"Close"))</f>
        <v>0</v>
      </c>
      <c r="F71" s="302">
        <f>(SUMIF(INPUT!$I$231:$I$522,'Contractor''s Budget Detail'!B71,INPUT!$H$231:$H$522)+SUMIFS('COST REPORT'!$F$9:$F$998,'COST REPORT'!$A$9:$A$998,'Contractor''s Budget Detail'!B71,'COST REPORT'!$I$9:$I$998,"close"))-(SUMIFS('COST REPORT'!$F$9:$F$998,'COST REPORT'!$A$9:$A$998,'Contractor''s Budget Detail'!B71,'COST REPORT'!$I$9:$I$998,"close",'COST REPORT'!$J$9:$J$998,"x"))</f>
        <v>0</v>
      </c>
      <c r="G71" s="302">
        <f>E71+F71</f>
        <v>0</v>
      </c>
      <c r="H71" s="302">
        <f>SUMIF('COST REPORT'!$A$9:$A$998,'Contractor''s Budget Detail'!B71,'COST REPORT'!$G$9:$G$998)</f>
        <v>0</v>
      </c>
      <c r="I71" s="302">
        <f>G71-H71</f>
        <v>0</v>
      </c>
      <c r="J71" s="324">
        <f>D71-G71</f>
        <v>0</v>
      </c>
    </row>
    <row r="72" spans="1:10">
      <c r="A72" s="321">
        <v>2000</v>
      </c>
      <c r="B72" s="322">
        <f t="shared" si="10"/>
        <v>2030</v>
      </c>
      <c r="C72" s="317" t="s">
        <v>1969</v>
      </c>
      <c r="D72" s="323">
        <v>0</v>
      </c>
      <c r="E72" s="302">
        <f>(SUMIF('COST REPORT'!$A$9:$A$998,'Contractor''s Budget Detail'!B72,'COST REPORT'!$F$9:$F$998))-(SUMIFS('COST REPORT'!$F$9:$F$998,'COST REPORT'!$A$9:$A$998,'Contractor''s Budget Detail'!B72,'COST REPORT'!$I$9:$I$998,"Close"))</f>
        <v>0</v>
      </c>
      <c r="F72" s="302">
        <f>(SUMIF(INPUT!$I$231:$I$522,'Contractor''s Budget Detail'!B72,INPUT!$H$231:$H$522)+SUMIFS('COST REPORT'!$F$9:$F$998,'COST REPORT'!$A$9:$A$998,'Contractor''s Budget Detail'!B72,'COST REPORT'!$I$9:$I$998,"close"))-(SUMIFS('COST REPORT'!$F$9:$F$998,'COST REPORT'!$A$9:$A$998,'Contractor''s Budget Detail'!B72,'COST REPORT'!$I$9:$I$998,"close",'COST REPORT'!$J$9:$J$998,"x"))</f>
        <v>0</v>
      </c>
      <c r="G72" s="302">
        <f t="shared" si="7"/>
        <v>0</v>
      </c>
      <c r="H72" s="302">
        <f>SUMIF('COST REPORT'!$A$9:$A$998,'Contractor''s Budget Detail'!B72,'COST REPORT'!$G$9:$G$998)</f>
        <v>0</v>
      </c>
      <c r="I72" s="302">
        <f t="shared" si="8"/>
        <v>0</v>
      </c>
      <c r="J72" s="324">
        <f t="shared" si="9"/>
        <v>0</v>
      </c>
    </row>
    <row r="73" spans="1:10">
      <c r="A73" s="321">
        <v>2000</v>
      </c>
      <c r="B73" s="322">
        <f t="shared" si="10"/>
        <v>2031</v>
      </c>
      <c r="C73" s="317" t="s">
        <v>1970</v>
      </c>
      <c r="D73" s="323">
        <v>0</v>
      </c>
      <c r="E73" s="302">
        <f>(SUMIF('COST REPORT'!$A$9:$A$998,'Contractor''s Budget Detail'!B73,'COST REPORT'!$F$9:$F$998))-(SUMIFS('COST REPORT'!$F$9:$F$998,'COST REPORT'!$A$9:$A$998,'Contractor''s Budget Detail'!B73,'COST REPORT'!$I$9:$I$998,"Close"))</f>
        <v>0</v>
      </c>
      <c r="F73" s="302">
        <f>(SUMIF(INPUT!$I$231:$I$522,'Contractor''s Budget Detail'!B73,INPUT!$H$231:$H$522)+SUMIFS('COST REPORT'!$F$9:$F$998,'COST REPORT'!$A$9:$A$998,'Contractor''s Budget Detail'!B73,'COST REPORT'!$I$9:$I$998,"close"))-(SUMIFS('COST REPORT'!$F$9:$F$998,'COST REPORT'!$A$9:$A$998,'Contractor''s Budget Detail'!B73,'COST REPORT'!$I$9:$I$998,"close",'COST REPORT'!$J$9:$J$998,"x"))</f>
        <v>0</v>
      </c>
      <c r="G73" s="302">
        <f>E73+F73</f>
        <v>0</v>
      </c>
      <c r="H73" s="302">
        <f>SUMIF('COST REPORT'!$A$9:$A$998,'Contractor''s Budget Detail'!B73,'COST REPORT'!$G$9:$G$998)</f>
        <v>0</v>
      </c>
      <c r="I73" s="302">
        <f>G73-H73</f>
        <v>0</v>
      </c>
      <c r="J73" s="324">
        <f>D73-G73</f>
        <v>0</v>
      </c>
    </row>
    <row r="74" spans="1:10">
      <c r="A74" s="321">
        <v>2000</v>
      </c>
      <c r="B74" s="322">
        <f t="shared" si="10"/>
        <v>2032</v>
      </c>
      <c r="C74" s="317" t="s">
        <v>1210</v>
      </c>
      <c r="D74" s="323">
        <v>0</v>
      </c>
      <c r="E74" s="302">
        <f>(SUMIF('COST REPORT'!$A$9:$A$998,'Contractor''s Budget Detail'!B74,'COST REPORT'!$F$9:$F$998))-(SUMIFS('COST REPORT'!$F$9:$F$998,'COST REPORT'!$A$9:$A$998,'Contractor''s Budget Detail'!B74,'COST REPORT'!$I$9:$I$998,"Close"))</f>
        <v>0</v>
      </c>
      <c r="F74" s="302">
        <f>(SUMIF(INPUT!$I$231:$I$522,'Contractor''s Budget Detail'!B74,INPUT!$H$231:$H$522)+SUMIFS('COST REPORT'!$F$9:$F$998,'COST REPORT'!$A$9:$A$998,'Contractor''s Budget Detail'!B74,'COST REPORT'!$I$9:$I$998,"close"))-(SUMIFS('COST REPORT'!$F$9:$F$998,'COST REPORT'!$A$9:$A$998,'Contractor''s Budget Detail'!B74,'COST REPORT'!$I$9:$I$998,"close",'COST REPORT'!$J$9:$J$998,"x"))</f>
        <v>0</v>
      </c>
      <c r="G74" s="302">
        <f>E74+F74</f>
        <v>0</v>
      </c>
      <c r="H74" s="302">
        <f>SUMIF('COST REPORT'!$A$9:$A$998,'Contractor''s Budget Detail'!B74,'COST REPORT'!$G$9:$G$998)</f>
        <v>0</v>
      </c>
      <c r="I74" s="302">
        <f>G74-H74</f>
        <v>0</v>
      </c>
      <c r="J74" s="324">
        <f>D74-G74</f>
        <v>0</v>
      </c>
    </row>
    <row r="75" spans="1:10">
      <c r="A75" s="321">
        <v>2000</v>
      </c>
      <c r="B75" s="322">
        <f t="shared" si="10"/>
        <v>2033</v>
      </c>
      <c r="C75" s="317" t="s">
        <v>1971</v>
      </c>
      <c r="D75" s="323">
        <v>0</v>
      </c>
      <c r="E75" s="302">
        <f>(SUMIF('COST REPORT'!$A$9:$A$998,'Contractor''s Budget Detail'!B75,'COST REPORT'!$F$9:$F$998))-(SUMIFS('COST REPORT'!$F$9:$F$998,'COST REPORT'!$A$9:$A$998,'Contractor''s Budget Detail'!B75,'COST REPORT'!$I$9:$I$998,"Close"))</f>
        <v>0</v>
      </c>
      <c r="F75" s="302">
        <f>(SUMIF(INPUT!$I$231:$I$522,'Contractor''s Budget Detail'!B75,INPUT!$H$231:$H$522)+SUMIFS('COST REPORT'!$F$9:$F$998,'COST REPORT'!$A$9:$A$998,'Contractor''s Budget Detail'!B75,'COST REPORT'!$I$9:$I$998,"close"))-(SUMIFS('COST REPORT'!$F$9:$F$998,'COST REPORT'!$A$9:$A$998,'Contractor''s Budget Detail'!B75,'COST REPORT'!$I$9:$I$998,"close",'COST REPORT'!$J$9:$J$998,"x"))</f>
        <v>0</v>
      </c>
      <c r="G75" s="302">
        <f>E75+F75</f>
        <v>0</v>
      </c>
      <c r="H75" s="302">
        <f>SUMIF('COST REPORT'!$A$9:$A$998,'Contractor''s Budget Detail'!B75,'COST REPORT'!$G$9:$G$998)</f>
        <v>0</v>
      </c>
      <c r="I75" s="302">
        <f>G75-H75</f>
        <v>0</v>
      </c>
      <c r="J75" s="324">
        <f>D75-G75</f>
        <v>0</v>
      </c>
    </row>
    <row r="76" spans="1:10">
      <c r="A76" s="321">
        <v>2000</v>
      </c>
      <c r="B76" s="322">
        <f t="shared" si="10"/>
        <v>2034</v>
      </c>
      <c r="C76" s="317" t="s">
        <v>1972</v>
      </c>
      <c r="D76" s="323">
        <v>0</v>
      </c>
      <c r="E76" s="302">
        <f>(SUMIF('COST REPORT'!$A$9:$A$998,'Contractor''s Budget Detail'!B76,'COST REPORT'!$F$9:$F$998))-(SUMIFS('COST REPORT'!$F$9:$F$998,'COST REPORT'!$A$9:$A$998,'Contractor''s Budget Detail'!B76,'COST REPORT'!$I$9:$I$998,"Close"))</f>
        <v>0</v>
      </c>
      <c r="F76" s="302">
        <f>(SUMIF(INPUT!$I$231:$I$522,'Contractor''s Budget Detail'!B76,INPUT!$H$231:$H$522)+SUMIFS('COST REPORT'!$F$9:$F$998,'COST REPORT'!$A$9:$A$998,'Contractor''s Budget Detail'!B76,'COST REPORT'!$I$9:$I$998,"close"))-(SUMIFS('COST REPORT'!$F$9:$F$998,'COST REPORT'!$A$9:$A$998,'Contractor''s Budget Detail'!B76,'COST REPORT'!$I$9:$I$998,"close",'COST REPORT'!$J$9:$J$998,"x"))</f>
        <v>0</v>
      </c>
      <c r="G76" s="302">
        <f>E76+F76</f>
        <v>0</v>
      </c>
      <c r="H76" s="302">
        <f>SUMIF('COST REPORT'!$A$9:$A$998,'Contractor''s Budget Detail'!B76,'COST REPORT'!$G$9:$G$998)</f>
        <v>0</v>
      </c>
      <c r="I76" s="302">
        <f>G76-H76</f>
        <v>0</v>
      </c>
      <c r="J76" s="324">
        <f>D76-G76</f>
        <v>0</v>
      </c>
    </row>
    <row r="77" spans="1:10">
      <c r="A77" s="321">
        <v>2000</v>
      </c>
      <c r="B77" s="322">
        <f t="shared" si="10"/>
        <v>2035</v>
      </c>
      <c r="C77" s="317" t="s">
        <v>1973</v>
      </c>
      <c r="D77" s="323">
        <v>0</v>
      </c>
      <c r="E77" s="302">
        <f>(SUMIF('COST REPORT'!$A$9:$A$998,'Contractor''s Budget Detail'!B77,'COST REPORT'!$F$9:$F$998))-(SUMIFS('COST REPORT'!$F$9:$F$998,'COST REPORT'!$A$9:$A$998,'Contractor''s Budget Detail'!B77,'COST REPORT'!$I$9:$I$998,"Close"))</f>
        <v>0</v>
      </c>
      <c r="F77" s="302">
        <f>(SUMIF(INPUT!$I$231:$I$522,'Contractor''s Budget Detail'!B77,INPUT!$H$231:$H$522)+SUMIFS('COST REPORT'!$F$9:$F$998,'COST REPORT'!$A$9:$A$998,'Contractor''s Budget Detail'!B77,'COST REPORT'!$I$9:$I$998,"close"))-(SUMIFS('COST REPORT'!$F$9:$F$998,'COST REPORT'!$A$9:$A$998,'Contractor''s Budget Detail'!B77,'COST REPORT'!$I$9:$I$998,"close",'COST REPORT'!$J$9:$J$998,"x"))</f>
        <v>0</v>
      </c>
      <c r="G77" s="302">
        <f t="shared" si="7"/>
        <v>0</v>
      </c>
      <c r="H77" s="302">
        <f>SUMIF('COST REPORT'!$A$9:$A$998,'Contractor''s Budget Detail'!B77,'COST REPORT'!$G$9:$G$998)</f>
        <v>0</v>
      </c>
      <c r="I77" s="302">
        <f t="shared" si="8"/>
        <v>0</v>
      </c>
      <c r="J77" s="324">
        <f t="shared" si="9"/>
        <v>0</v>
      </c>
    </row>
    <row r="78" spans="1:10">
      <c r="A78" s="321">
        <v>2000</v>
      </c>
      <c r="B78" s="322">
        <f t="shared" si="10"/>
        <v>2036</v>
      </c>
      <c r="C78" s="317" t="s">
        <v>1974</v>
      </c>
      <c r="D78" s="323">
        <v>0</v>
      </c>
      <c r="E78" s="302">
        <f>(SUMIF('COST REPORT'!$A$9:$A$998,'Contractor''s Budget Detail'!B78,'COST REPORT'!$F$9:$F$998))-(SUMIFS('COST REPORT'!$F$9:$F$998,'COST REPORT'!$A$9:$A$998,'Contractor''s Budget Detail'!B78,'COST REPORT'!$I$9:$I$998,"Close"))</f>
        <v>0</v>
      </c>
      <c r="F78" s="302">
        <f>(SUMIF(INPUT!$I$231:$I$522,'Contractor''s Budget Detail'!B78,INPUT!$H$231:$H$522)+SUMIFS('COST REPORT'!$F$9:$F$998,'COST REPORT'!$A$9:$A$998,'Contractor''s Budget Detail'!B78,'COST REPORT'!$I$9:$I$998,"close"))-(SUMIFS('COST REPORT'!$F$9:$F$998,'COST REPORT'!$A$9:$A$998,'Contractor''s Budget Detail'!B78,'COST REPORT'!$I$9:$I$998,"close",'COST REPORT'!$J$9:$J$998,"x"))</f>
        <v>0</v>
      </c>
      <c r="G78" s="302">
        <f>E78+F78</f>
        <v>0</v>
      </c>
      <c r="H78" s="302">
        <f>SUMIF('COST REPORT'!$A$9:$A$998,'Contractor''s Budget Detail'!B78,'COST REPORT'!$G$9:$G$998)</f>
        <v>0</v>
      </c>
      <c r="I78" s="302">
        <f>G78-H78</f>
        <v>0</v>
      </c>
      <c r="J78" s="324">
        <f>D78-G78</f>
        <v>0</v>
      </c>
    </row>
    <row r="79" spans="1:10">
      <c r="A79" s="321">
        <v>2000</v>
      </c>
      <c r="B79" s="322">
        <f t="shared" si="10"/>
        <v>2037</v>
      </c>
      <c r="C79" s="317" t="s">
        <v>1975</v>
      </c>
      <c r="D79" s="323">
        <v>0</v>
      </c>
      <c r="E79" s="302">
        <f>(SUMIF('COST REPORT'!$A$9:$A$998,'Contractor''s Budget Detail'!B79,'COST REPORT'!$F$9:$F$998))-(SUMIFS('COST REPORT'!$F$9:$F$998,'COST REPORT'!$A$9:$A$998,'Contractor''s Budget Detail'!B79,'COST REPORT'!$I$9:$I$998,"Close"))</f>
        <v>0</v>
      </c>
      <c r="F79" s="302">
        <f>(SUMIF(INPUT!$I$231:$I$522,'Contractor''s Budget Detail'!B79,INPUT!$H$231:$H$522)+SUMIFS('COST REPORT'!$F$9:$F$998,'COST REPORT'!$A$9:$A$998,'Contractor''s Budget Detail'!B79,'COST REPORT'!$I$9:$I$998,"close"))-(SUMIFS('COST REPORT'!$F$9:$F$998,'COST REPORT'!$A$9:$A$998,'Contractor''s Budget Detail'!B79,'COST REPORT'!$I$9:$I$998,"close",'COST REPORT'!$J$9:$J$998,"x"))</f>
        <v>0</v>
      </c>
      <c r="G79" s="302">
        <f>E79+F79</f>
        <v>0</v>
      </c>
      <c r="H79" s="302">
        <f>SUMIF('COST REPORT'!$A$9:$A$998,'Contractor''s Budget Detail'!B79,'COST REPORT'!$G$9:$G$998)</f>
        <v>0</v>
      </c>
      <c r="I79" s="302">
        <f>G79-H79</f>
        <v>0</v>
      </c>
      <c r="J79" s="324">
        <f>D79-G79</f>
        <v>0</v>
      </c>
    </row>
    <row r="80" spans="1:10">
      <c r="A80" s="321">
        <v>2000</v>
      </c>
      <c r="B80" s="322">
        <f t="shared" si="10"/>
        <v>2038</v>
      </c>
      <c r="C80" s="317" t="s">
        <v>1976</v>
      </c>
      <c r="D80" s="323">
        <v>0</v>
      </c>
      <c r="E80" s="302">
        <f>(SUMIF('COST REPORT'!$A$9:$A$998,'Contractor''s Budget Detail'!B80,'COST REPORT'!$F$9:$F$998))-(SUMIFS('COST REPORT'!$F$9:$F$998,'COST REPORT'!$A$9:$A$998,'Contractor''s Budget Detail'!B80,'COST REPORT'!$I$9:$I$998,"Close"))</f>
        <v>0</v>
      </c>
      <c r="F80" s="302">
        <f>(SUMIF(INPUT!$I$231:$I$522,'Contractor''s Budget Detail'!B80,INPUT!$H$231:$H$522)+SUMIFS('COST REPORT'!$F$9:$F$998,'COST REPORT'!$A$9:$A$998,'Contractor''s Budget Detail'!B80,'COST REPORT'!$I$9:$I$998,"close"))-(SUMIFS('COST REPORT'!$F$9:$F$998,'COST REPORT'!$A$9:$A$998,'Contractor''s Budget Detail'!B80,'COST REPORT'!$I$9:$I$998,"close",'COST REPORT'!$J$9:$J$998,"x"))</f>
        <v>0</v>
      </c>
      <c r="G80" s="302">
        <f>E80+F80</f>
        <v>0</v>
      </c>
      <c r="H80" s="302">
        <f>SUMIF('COST REPORT'!$A$9:$A$998,'Contractor''s Budget Detail'!B80,'COST REPORT'!$G$9:$G$998)</f>
        <v>0</v>
      </c>
      <c r="I80" s="302">
        <f>G80-H80</f>
        <v>0</v>
      </c>
      <c r="J80" s="324">
        <f>D80-G80</f>
        <v>0</v>
      </c>
    </row>
    <row r="81" spans="1:10">
      <c r="A81" s="321">
        <v>2000</v>
      </c>
      <c r="B81" s="322">
        <f t="shared" si="10"/>
        <v>2039</v>
      </c>
      <c r="C81" s="317" t="s">
        <v>1977</v>
      </c>
      <c r="D81" s="323">
        <v>0</v>
      </c>
      <c r="E81" s="302">
        <f>(SUMIF('COST REPORT'!$A$9:$A$998,'Contractor''s Budget Detail'!B81,'COST REPORT'!$F$9:$F$998))-(SUMIFS('COST REPORT'!$F$9:$F$998,'COST REPORT'!$A$9:$A$998,'Contractor''s Budget Detail'!B81,'COST REPORT'!$I$9:$I$998,"Close"))</f>
        <v>0</v>
      </c>
      <c r="F81" s="302">
        <f>(SUMIF(INPUT!$I$231:$I$522,'Contractor''s Budget Detail'!B81,INPUT!$H$231:$H$522)+SUMIFS('COST REPORT'!$F$9:$F$998,'COST REPORT'!$A$9:$A$998,'Contractor''s Budget Detail'!B81,'COST REPORT'!$I$9:$I$998,"close"))-(SUMIFS('COST REPORT'!$F$9:$F$998,'COST REPORT'!$A$9:$A$998,'Contractor''s Budget Detail'!B81,'COST REPORT'!$I$9:$I$998,"close",'COST REPORT'!$J$9:$J$998,"x"))</f>
        <v>0</v>
      </c>
      <c r="G81" s="302">
        <f t="shared" si="7"/>
        <v>0</v>
      </c>
      <c r="H81" s="302">
        <f>SUMIF('COST REPORT'!$A$9:$A$998,'Contractor''s Budget Detail'!B81,'COST REPORT'!$G$9:$G$998)</f>
        <v>0</v>
      </c>
      <c r="I81" s="302">
        <f t="shared" si="8"/>
        <v>0</v>
      </c>
      <c r="J81" s="324">
        <f t="shared" si="9"/>
        <v>0</v>
      </c>
    </row>
    <row r="82" spans="1:10">
      <c r="A82" s="321">
        <v>2000</v>
      </c>
      <c r="B82" s="322">
        <f t="shared" si="10"/>
        <v>2040</v>
      </c>
      <c r="C82" s="317" t="s">
        <v>1317</v>
      </c>
      <c r="D82" s="323">
        <v>0</v>
      </c>
      <c r="E82" s="302">
        <f>(SUMIF('COST REPORT'!$A$9:$A$998,'Contractor''s Budget Detail'!B82,'COST REPORT'!$F$9:$F$998))-(SUMIFS('COST REPORT'!$F$9:$F$998,'COST REPORT'!$A$9:$A$998,'Contractor''s Budget Detail'!B82,'COST REPORT'!$I$9:$I$998,"Close"))</f>
        <v>0</v>
      </c>
      <c r="F82" s="302">
        <f>(SUMIF(INPUT!$I$231:$I$522,'Contractor''s Budget Detail'!B82,INPUT!$H$231:$H$522)+SUMIFS('COST REPORT'!$F$9:$F$998,'COST REPORT'!$A$9:$A$998,'Contractor''s Budget Detail'!B82,'COST REPORT'!$I$9:$I$998,"close"))-(SUMIFS('COST REPORT'!$F$9:$F$998,'COST REPORT'!$A$9:$A$998,'Contractor''s Budget Detail'!B82,'COST REPORT'!$I$9:$I$998,"close",'COST REPORT'!$J$9:$J$998,"x"))</f>
        <v>0</v>
      </c>
      <c r="G82" s="302">
        <f t="shared" si="7"/>
        <v>0</v>
      </c>
      <c r="H82" s="302">
        <f>SUMIF('COST REPORT'!$A$9:$A$998,'Contractor''s Budget Detail'!B82,'COST REPORT'!$G$9:$G$998)</f>
        <v>0</v>
      </c>
      <c r="I82" s="302">
        <f t="shared" si="8"/>
        <v>0</v>
      </c>
      <c r="J82" s="324">
        <f t="shared" si="9"/>
        <v>0</v>
      </c>
    </row>
    <row r="83" spans="1:10">
      <c r="A83" s="321">
        <v>2000</v>
      </c>
      <c r="B83" s="322">
        <f t="shared" si="10"/>
        <v>2041</v>
      </c>
      <c r="C83" s="317" t="s">
        <v>1978</v>
      </c>
      <c r="D83" s="323">
        <v>0</v>
      </c>
      <c r="E83" s="302">
        <f>(SUMIF('COST REPORT'!$A$9:$A$998,'Contractor''s Budget Detail'!B83,'COST REPORT'!$F$9:$F$998))-(SUMIFS('COST REPORT'!$F$9:$F$998,'COST REPORT'!$A$9:$A$998,'Contractor''s Budget Detail'!B83,'COST REPORT'!$I$9:$I$998,"Close"))</f>
        <v>0</v>
      </c>
      <c r="F83" s="302">
        <f>(SUMIF(INPUT!$I$231:$I$522,'Contractor''s Budget Detail'!B83,INPUT!$H$231:$H$522)+SUMIFS('COST REPORT'!$F$9:$F$998,'COST REPORT'!$A$9:$A$998,'Contractor''s Budget Detail'!B83,'COST REPORT'!$I$9:$I$998,"close"))-(SUMIFS('COST REPORT'!$F$9:$F$998,'COST REPORT'!$A$9:$A$998,'Contractor''s Budget Detail'!B83,'COST REPORT'!$I$9:$I$998,"close",'COST REPORT'!$J$9:$J$998,"x"))</f>
        <v>0</v>
      </c>
      <c r="G83" s="302">
        <f t="shared" ref="G83:G89" si="11">E83+F83</f>
        <v>0</v>
      </c>
      <c r="H83" s="302">
        <f>SUMIF('COST REPORT'!$A$9:$A$998,'Contractor''s Budget Detail'!B83,'COST REPORT'!$G$9:$G$998)</f>
        <v>0</v>
      </c>
      <c r="I83" s="302">
        <f t="shared" ref="I83:I89" si="12">G83-H83</f>
        <v>0</v>
      </c>
      <c r="J83" s="324">
        <f t="shared" ref="J83:J89" si="13">D83-G83</f>
        <v>0</v>
      </c>
    </row>
    <row r="84" spans="1:10">
      <c r="A84" s="321">
        <v>2000</v>
      </c>
      <c r="B84" s="322">
        <f t="shared" si="10"/>
        <v>2042</v>
      </c>
      <c r="C84" s="325" t="s">
        <v>1416</v>
      </c>
      <c r="D84" s="323">
        <v>0</v>
      </c>
      <c r="E84" s="302">
        <f>(SUMIF('COST REPORT'!$A$9:$A$998,'Contractor''s Budget Detail'!B84,'COST REPORT'!$F$9:$F$998))-(SUMIFS('COST REPORT'!$F$9:$F$998,'COST REPORT'!$A$9:$A$998,'Contractor''s Budget Detail'!B84,'COST REPORT'!$I$9:$I$998,"Close"))</f>
        <v>0</v>
      </c>
      <c r="F84" s="302">
        <f>(SUMIF(INPUT!$I$231:$I$522,'Contractor''s Budget Detail'!B84,INPUT!$H$231:$H$522)+SUMIFS('COST REPORT'!$F$9:$F$998,'COST REPORT'!$A$9:$A$998,'Contractor''s Budget Detail'!B84,'COST REPORT'!$I$9:$I$998,"close"))-(SUMIFS('COST REPORT'!$F$9:$F$998,'COST REPORT'!$A$9:$A$998,'Contractor''s Budget Detail'!B84,'COST REPORT'!$I$9:$I$998,"close",'COST REPORT'!$J$9:$J$998,"x"))</f>
        <v>0</v>
      </c>
      <c r="G84" s="302">
        <f t="shared" si="11"/>
        <v>0</v>
      </c>
      <c r="H84" s="302">
        <f>SUMIF('COST REPORT'!$A$9:$A$998,'Contractor''s Budget Detail'!B84,'COST REPORT'!$G$9:$G$998)</f>
        <v>0</v>
      </c>
      <c r="I84" s="302">
        <f t="shared" si="12"/>
        <v>0</v>
      </c>
      <c r="J84" s="324">
        <f t="shared" si="13"/>
        <v>0</v>
      </c>
    </row>
    <row r="85" spans="1:10">
      <c r="A85" s="321">
        <v>2000</v>
      </c>
      <c r="B85" s="322">
        <f t="shared" si="10"/>
        <v>2043</v>
      </c>
      <c r="C85" s="325" t="s">
        <v>1416</v>
      </c>
      <c r="D85" s="323">
        <v>0</v>
      </c>
      <c r="E85" s="302">
        <f>(SUMIF('COST REPORT'!$A$9:$A$998,'Contractor''s Budget Detail'!B85,'COST REPORT'!$F$9:$F$998))-(SUMIFS('COST REPORT'!$F$9:$F$998,'COST REPORT'!$A$9:$A$998,'Contractor''s Budget Detail'!B85,'COST REPORT'!$I$9:$I$998,"Close"))</f>
        <v>0</v>
      </c>
      <c r="F85" s="302">
        <f>(SUMIF(INPUT!$I$231:$I$522,'Contractor''s Budget Detail'!B85,INPUT!$H$231:$H$522)+SUMIFS('COST REPORT'!$F$9:$F$998,'COST REPORT'!$A$9:$A$998,'Contractor''s Budget Detail'!B85,'COST REPORT'!$I$9:$I$998,"close"))-(SUMIFS('COST REPORT'!$F$9:$F$998,'COST REPORT'!$A$9:$A$998,'Contractor''s Budget Detail'!B85,'COST REPORT'!$I$9:$I$998,"close",'COST REPORT'!$J$9:$J$998,"x"))</f>
        <v>0</v>
      </c>
      <c r="G85" s="302">
        <f t="shared" si="11"/>
        <v>0</v>
      </c>
      <c r="H85" s="302">
        <f>SUMIF('COST REPORT'!$A$9:$A$998,'Contractor''s Budget Detail'!B85,'COST REPORT'!$G$9:$G$998)</f>
        <v>0</v>
      </c>
      <c r="I85" s="302">
        <f t="shared" si="12"/>
        <v>0</v>
      </c>
      <c r="J85" s="324">
        <f t="shared" si="13"/>
        <v>0</v>
      </c>
    </row>
    <row r="86" spans="1:10">
      <c r="A86" s="321">
        <v>2000</v>
      </c>
      <c r="B86" s="322">
        <f t="shared" si="10"/>
        <v>2044</v>
      </c>
      <c r="C86" s="325" t="s">
        <v>1416</v>
      </c>
      <c r="D86" s="323">
        <v>0</v>
      </c>
      <c r="E86" s="302">
        <f>(SUMIF('COST REPORT'!$A$9:$A$998,'Contractor''s Budget Detail'!B86,'COST REPORT'!$F$9:$F$998))-(SUMIFS('COST REPORT'!$F$9:$F$998,'COST REPORT'!$A$9:$A$998,'Contractor''s Budget Detail'!B86,'COST REPORT'!$I$9:$I$998,"Close"))</f>
        <v>0</v>
      </c>
      <c r="F86" s="302">
        <f>(SUMIF(INPUT!$I$231:$I$522,'Contractor''s Budget Detail'!B86,INPUT!$H$231:$H$522)+SUMIFS('COST REPORT'!$F$9:$F$998,'COST REPORT'!$A$9:$A$998,'Contractor''s Budget Detail'!B86,'COST REPORT'!$I$9:$I$998,"close"))-(SUMIFS('COST REPORT'!$F$9:$F$998,'COST REPORT'!$A$9:$A$998,'Contractor''s Budget Detail'!B86,'COST REPORT'!$I$9:$I$998,"close",'COST REPORT'!$J$9:$J$998,"x"))</f>
        <v>0</v>
      </c>
      <c r="G86" s="302">
        <f t="shared" si="11"/>
        <v>0</v>
      </c>
      <c r="H86" s="302">
        <f>SUMIF('COST REPORT'!$A$9:$A$998,'Contractor''s Budget Detail'!B86,'COST REPORT'!$G$9:$G$998)</f>
        <v>0</v>
      </c>
      <c r="I86" s="302">
        <f t="shared" si="12"/>
        <v>0</v>
      </c>
      <c r="J86" s="324">
        <f t="shared" si="13"/>
        <v>0</v>
      </c>
    </row>
    <row r="87" spans="1:10">
      <c r="A87" s="321">
        <v>2000</v>
      </c>
      <c r="B87" s="322">
        <f t="shared" si="10"/>
        <v>2045</v>
      </c>
      <c r="C87" s="325" t="s">
        <v>1416</v>
      </c>
      <c r="D87" s="323">
        <v>0</v>
      </c>
      <c r="E87" s="302">
        <f>(SUMIF('COST REPORT'!$A$9:$A$998,'Contractor''s Budget Detail'!B87,'COST REPORT'!$F$9:$F$998))-(SUMIFS('COST REPORT'!$F$9:$F$998,'COST REPORT'!$A$9:$A$998,'Contractor''s Budget Detail'!B87,'COST REPORT'!$I$9:$I$998,"Close"))</f>
        <v>0</v>
      </c>
      <c r="F87" s="302">
        <f>(SUMIF(INPUT!$I$231:$I$522,'Contractor''s Budget Detail'!B87,INPUT!$H$231:$H$522)+SUMIFS('COST REPORT'!$F$9:$F$998,'COST REPORT'!$A$9:$A$998,'Contractor''s Budget Detail'!B87,'COST REPORT'!$I$9:$I$998,"close"))-(SUMIFS('COST REPORT'!$F$9:$F$998,'COST REPORT'!$A$9:$A$998,'Contractor''s Budget Detail'!B87,'COST REPORT'!$I$9:$I$998,"close",'COST REPORT'!$J$9:$J$998,"x"))</f>
        <v>0</v>
      </c>
      <c r="G87" s="302">
        <f t="shared" si="11"/>
        <v>0</v>
      </c>
      <c r="H87" s="302">
        <f>SUMIF('COST REPORT'!$A$9:$A$998,'Contractor''s Budget Detail'!B87,'COST REPORT'!$G$9:$G$998)</f>
        <v>0</v>
      </c>
      <c r="I87" s="302">
        <f t="shared" si="12"/>
        <v>0</v>
      </c>
      <c r="J87" s="324">
        <f t="shared" si="13"/>
        <v>0</v>
      </c>
    </row>
    <row r="88" spans="1:10">
      <c r="A88" s="321">
        <v>2000</v>
      </c>
      <c r="B88" s="322">
        <f t="shared" si="10"/>
        <v>2046</v>
      </c>
      <c r="C88" s="325" t="s">
        <v>1416</v>
      </c>
      <c r="D88" s="323">
        <v>0</v>
      </c>
      <c r="E88" s="302">
        <f>(SUMIF('COST REPORT'!$A$9:$A$998,'Contractor''s Budget Detail'!B88,'COST REPORT'!$F$9:$F$998))-(SUMIFS('COST REPORT'!$F$9:$F$998,'COST REPORT'!$A$9:$A$998,'Contractor''s Budget Detail'!B88,'COST REPORT'!$I$9:$I$998,"Close"))</f>
        <v>0</v>
      </c>
      <c r="F88" s="302">
        <f>(SUMIF(INPUT!$I$231:$I$522,'Contractor''s Budget Detail'!B88,INPUT!$H$231:$H$522)+SUMIFS('COST REPORT'!$F$9:$F$998,'COST REPORT'!$A$9:$A$998,'Contractor''s Budget Detail'!B88,'COST REPORT'!$I$9:$I$998,"close"))-(SUMIFS('COST REPORT'!$F$9:$F$998,'COST REPORT'!$A$9:$A$998,'Contractor''s Budget Detail'!B88,'COST REPORT'!$I$9:$I$998,"close",'COST REPORT'!$J$9:$J$998,"x"))</f>
        <v>0</v>
      </c>
      <c r="G88" s="302">
        <f t="shared" si="11"/>
        <v>0</v>
      </c>
      <c r="H88" s="302">
        <f>SUMIF('COST REPORT'!$A$9:$A$998,'Contractor''s Budget Detail'!B88,'COST REPORT'!$G$9:$G$998)</f>
        <v>0</v>
      </c>
      <c r="I88" s="302">
        <f t="shared" si="12"/>
        <v>0</v>
      </c>
      <c r="J88" s="324">
        <f t="shared" si="13"/>
        <v>0</v>
      </c>
    </row>
    <row r="89" spans="1:10">
      <c r="A89" s="321">
        <v>2000</v>
      </c>
      <c r="B89" s="322">
        <f t="shared" si="10"/>
        <v>2047</v>
      </c>
      <c r="C89" s="325" t="s">
        <v>1416</v>
      </c>
      <c r="D89" s="323">
        <v>0</v>
      </c>
      <c r="E89" s="302">
        <f>(SUMIF('COST REPORT'!$A$9:$A$998,'Contractor''s Budget Detail'!B89,'COST REPORT'!$F$9:$F$998))-(SUMIFS('COST REPORT'!$F$9:$F$998,'COST REPORT'!$A$9:$A$998,'Contractor''s Budget Detail'!B89,'COST REPORT'!$I$9:$I$998,"Close"))</f>
        <v>0</v>
      </c>
      <c r="F89" s="302">
        <f>(SUMIF(INPUT!$I$231:$I$522,'Contractor''s Budget Detail'!B89,INPUT!$H$231:$H$522)+SUMIFS('COST REPORT'!$F$9:$F$998,'COST REPORT'!$A$9:$A$998,'Contractor''s Budget Detail'!B89,'COST REPORT'!$I$9:$I$998,"close"))-(SUMIFS('COST REPORT'!$F$9:$F$998,'COST REPORT'!$A$9:$A$998,'Contractor''s Budget Detail'!B89,'COST REPORT'!$I$9:$I$998,"close",'COST REPORT'!$J$9:$J$998,"x"))</f>
        <v>0</v>
      </c>
      <c r="G89" s="302">
        <f t="shared" si="11"/>
        <v>0</v>
      </c>
      <c r="H89" s="302">
        <f>SUMIF('COST REPORT'!$A$9:$A$998,'Contractor''s Budget Detail'!B89,'COST REPORT'!$G$9:$G$998)</f>
        <v>0</v>
      </c>
      <c r="I89" s="302">
        <f t="shared" si="12"/>
        <v>0</v>
      </c>
      <c r="J89" s="324">
        <f t="shared" si="13"/>
        <v>0</v>
      </c>
    </row>
    <row r="90" spans="1:10">
      <c r="A90" s="321">
        <v>2000</v>
      </c>
      <c r="B90" s="322">
        <f t="shared" si="10"/>
        <v>2048</v>
      </c>
      <c r="C90" s="325" t="s">
        <v>1416</v>
      </c>
      <c r="D90" s="323">
        <v>0</v>
      </c>
      <c r="E90" s="302">
        <f>(SUMIF('COST REPORT'!$A$9:$A$998,'Contractor''s Budget Detail'!B90,'COST REPORT'!$F$9:$F$998))-(SUMIFS('COST REPORT'!$F$9:$F$998,'COST REPORT'!$A$9:$A$998,'Contractor''s Budget Detail'!B90,'COST REPORT'!$I$9:$I$998,"Close"))</f>
        <v>0</v>
      </c>
      <c r="F90" s="302">
        <f>(SUMIF(INPUT!$I$231:$I$522,'Contractor''s Budget Detail'!B90,INPUT!$H$231:$H$522)+SUMIFS('COST REPORT'!$F$9:$F$998,'COST REPORT'!$A$9:$A$998,'Contractor''s Budget Detail'!B90,'COST REPORT'!$I$9:$I$998,"close"))-(SUMIFS('COST REPORT'!$F$9:$F$998,'COST REPORT'!$A$9:$A$998,'Contractor''s Budget Detail'!B90,'COST REPORT'!$I$9:$I$998,"close",'COST REPORT'!$J$9:$J$998,"x"))</f>
        <v>0</v>
      </c>
      <c r="G90" s="302">
        <f t="shared" si="7"/>
        <v>0</v>
      </c>
      <c r="H90" s="302">
        <f>SUMIF('COST REPORT'!$A$9:$A$998,'Contractor''s Budget Detail'!B90,'COST REPORT'!$G$9:$G$998)</f>
        <v>0</v>
      </c>
      <c r="I90" s="302">
        <f t="shared" si="8"/>
        <v>0</v>
      </c>
      <c r="J90" s="324">
        <f t="shared" si="9"/>
        <v>0</v>
      </c>
    </row>
    <row r="91" spans="1:10">
      <c r="A91" s="321">
        <v>2000</v>
      </c>
      <c r="B91" s="322">
        <f t="shared" si="10"/>
        <v>2049</v>
      </c>
      <c r="C91" s="325" t="s">
        <v>1416</v>
      </c>
      <c r="D91" s="323">
        <v>0</v>
      </c>
      <c r="E91" s="302">
        <f>(SUMIF('COST REPORT'!$A$9:$A$998,'Contractor''s Budget Detail'!B91,'COST REPORT'!$F$9:$F$998))-(SUMIFS('COST REPORT'!$F$9:$F$998,'COST REPORT'!$A$9:$A$998,'Contractor''s Budget Detail'!B91,'COST REPORT'!$I$9:$I$998,"Close"))</f>
        <v>0</v>
      </c>
      <c r="F91" s="302">
        <f>(SUMIF(INPUT!$I$231:$I$522,'Contractor''s Budget Detail'!B91,INPUT!$H$231:$H$522)+SUMIFS('COST REPORT'!$F$9:$F$998,'COST REPORT'!$A$9:$A$998,'Contractor''s Budget Detail'!B91,'COST REPORT'!$I$9:$I$998,"close"))-(SUMIFS('COST REPORT'!$F$9:$F$998,'COST REPORT'!$A$9:$A$998,'Contractor''s Budget Detail'!B91,'COST REPORT'!$I$9:$I$998,"close",'COST REPORT'!$J$9:$J$998,"x"))</f>
        <v>0</v>
      </c>
      <c r="G91" s="302">
        <f t="shared" si="7"/>
        <v>0</v>
      </c>
      <c r="H91" s="302">
        <f>SUMIF('COST REPORT'!$A$9:$A$998,'Contractor''s Budget Detail'!B91,'COST REPORT'!$G$9:$G$998)</f>
        <v>0</v>
      </c>
      <c r="I91" s="302">
        <f t="shared" si="8"/>
        <v>0</v>
      </c>
      <c r="J91" s="324">
        <f t="shared" si="9"/>
        <v>0</v>
      </c>
    </row>
    <row r="92" spans="1:10" ht="13.5" thickBot="1">
      <c r="A92" s="326" t="s">
        <v>1979</v>
      </c>
      <c r="B92" s="307"/>
      <c r="C92" s="308"/>
      <c r="D92" s="305">
        <f t="shared" ref="D92:J92" si="14">SUM(D43:D91)</f>
        <v>0</v>
      </c>
      <c r="E92" s="305">
        <f t="shared" si="14"/>
        <v>0</v>
      </c>
      <c r="F92" s="305">
        <f t="shared" si="14"/>
        <v>0</v>
      </c>
      <c r="G92" s="305">
        <f t="shared" si="14"/>
        <v>0</v>
      </c>
      <c r="H92" s="305">
        <f t="shared" si="14"/>
        <v>0</v>
      </c>
      <c r="I92" s="305">
        <f t="shared" si="14"/>
        <v>0</v>
      </c>
      <c r="J92" s="327">
        <f t="shared" si="14"/>
        <v>0</v>
      </c>
    </row>
    <row r="93" spans="1:10">
      <c r="A93" s="328"/>
      <c r="B93" s="71"/>
      <c r="C93" s="90"/>
      <c r="D93" s="306"/>
      <c r="E93" s="306"/>
      <c r="H93" s="306"/>
      <c r="I93" s="306"/>
      <c r="J93" s="329"/>
    </row>
    <row r="94" spans="1:10">
      <c r="A94" s="330" t="s">
        <v>1360</v>
      </c>
      <c r="B94" s="333"/>
      <c r="C94" s="334"/>
      <c r="D94" s="335"/>
      <c r="E94" s="335"/>
      <c r="F94" s="335"/>
      <c r="G94" s="335"/>
      <c r="H94" s="335"/>
      <c r="I94" s="335"/>
      <c r="J94" s="336"/>
    </row>
    <row r="95" spans="1:10">
      <c r="A95" s="321">
        <v>3000</v>
      </c>
      <c r="B95" s="322">
        <v>3001</v>
      </c>
      <c r="C95" s="317" t="s">
        <v>1980</v>
      </c>
      <c r="D95" s="323">
        <v>0</v>
      </c>
      <c r="E95" s="302">
        <f>(SUMIF('COST REPORT'!$A$9:$A$998,'Contractor''s Budget Detail'!B95,'COST REPORT'!$F$9:$F$998))-(SUMIFS('COST REPORT'!$F$9:$F$998,'COST REPORT'!$A$9:$A$998,'Contractor''s Budget Detail'!B95,'COST REPORT'!$I$9:$I$998,"Close"))</f>
        <v>0</v>
      </c>
      <c r="F95" s="302">
        <f>(SUMIF(INPUT!$I$231:$I$522,'Contractor''s Budget Detail'!B95,INPUT!$H$231:$H$522)+SUMIFS('COST REPORT'!$F$9:$F$998,'COST REPORT'!$A$9:$A$998,'Contractor''s Budget Detail'!B95,'COST REPORT'!$I$9:$I$998,"close"))-(SUMIFS('COST REPORT'!$F$9:$F$998,'COST REPORT'!$A$9:$A$998,'Contractor''s Budget Detail'!B95,'COST REPORT'!$I$9:$I$998,"close",'COST REPORT'!$J$9:$J$998,"x"))</f>
        <v>0</v>
      </c>
      <c r="G95" s="302">
        <f>E95+F95</f>
        <v>0</v>
      </c>
      <c r="H95" s="302">
        <f>SUMIF('COST REPORT'!$A$9:$A$998,'Contractor''s Budget Detail'!B95,'COST REPORT'!$G$9:$G$998)</f>
        <v>0</v>
      </c>
      <c r="I95" s="302">
        <f>G95-H95</f>
        <v>0</v>
      </c>
      <c r="J95" s="324">
        <f>D95-G95</f>
        <v>0</v>
      </c>
    </row>
    <row r="96" spans="1:10">
      <c r="A96" s="321">
        <v>3000</v>
      </c>
      <c r="B96" s="322">
        <f>B95+1</f>
        <v>3002</v>
      </c>
      <c r="C96" s="317" t="s">
        <v>1360</v>
      </c>
      <c r="D96" s="323">
        <v>0</v>
      </c>
      <c r="E96" s="302">
        <f>(SUMIF('COST REPORT'!$A$9:$A$998,'Contractor''s Budget Detail'!B96,'COST REPORT'!$F$9:$F$998))-(SUMIFS('COST REPORT'!$F$9:$F$998,'COST REPORT'!$A$9:$A$998,'Contractor''s Budget Detail'!B96,'COST REPORT'!$I$9:$I$998,"Close"))</f>
        <v>0</v>
      </c>
      <c r="F96" s="302">
        <f>(SUMIF(INPUT!$I$231:$I$522,'Contractor''s Budget Detail'!B96,INPUT!$H$231:$H$522)+SUMIFS('COST REPORT'!$F$9:$F$998,'COST REPORT'!$A$9:$A$998,'Contractor''s Budget Detail'!B96,'COST REPORT'!$I$9:$I$998,"close"))-(SUMIFS('COST REPORT'!$F$9:$F$998,'COST REPORT'!$A$9:$A$998,'Contractor''s Budget Detail'!B96,'COST REPORT'!$I$9:$I$998,"close",'COST REPORT'!$J$9:$J$998,"x"))</f>
        <v>0</v>
      </c>
      <c r="G96" s="302">
        <f t="shared" ref="G96:G112" si="15">E96+F96</f>
        <v>0</v>
      </c>
      <c r="H96" s="302">
        <f>SUMIF('COST REPORT'!$A$9:$A$998,'Contractor''s Budget Detail'!B96,'COST REPORT'!$G$9:$G$998)</f>
        <v>0</v>
      </c>
      <c r="I96" s="302">
        <f t="shared" ref="I96:I112" si="16">G96-H96</f>
        <v>0</v>
      </c>
      <c r="J96" s="324">
        <f t="shared" ref="J96:J112" si="17">D96-G96</f>
        <v>0</v>
      </c>
    </row>
    <row r="97" spans="1:10">
      <c r="A97" s="321">
        <v>3000</v>
      </c>
      <c r="B97" s="322">
        <f t="shared" ref="B97:B112" si="18">B96+1</f>
        <v>3003</v>
      </c>
      <c r="C97" s="317" t="s">
        <v>1981</v>
      </c>
      <c r="D97" s="323">
        <v>0</v>
      </c>
      <c r="E97" s="302">
        <f>(SUMIF('COST REPORT'!$A$9:$A$998,'Contractor''s Budget Detail'!B97,'COST REPORT'!$F$9:$F$998))-(SUMIFS('COST REPORT'!$F$9:$F$998,'COST REPORT'!$A$9:$A$998,'Contractor''s Budget Detail'!B97,'COST REPORT'!$I$9:$I$998,"Close"))</f>
        <v>0</v>
      </c>
      <c r="F97" s="302">
        <f>(SUMIF(INPUT!$I$231:$I$522,'Contractor''s Budget Detail'!B97,INPUT!$H$231:$H$522)+SUMIFS('COST REPORT'!$F$9:$F$998,'COST REPORT'!$A$9:$A$998,'Contractor''s Budget Detail'!B97,'COST REPORT'!$I$9:$I$998,"close"))-(SUMIFS('COST REPORT'!$F$9:$F$998,'COST REPORT'!$A$9:$A$998,'Contractor''s Budget Detail'!B97,'COST REPORT'!$I$9:$I$998,"close",'COST REPORT'!$J$9:$J$998,"x"))</f>
        <v>0</v>
      </c>
      <c r="G97" s="302">
        <f t="shared" si="15"/>
        <v>0</v>
      </c>
      <c r="H97" s="302">
        <f>SUMIF('COST REPORT'!$A$9:$A$998,'Contractor''s Budget Detail'!B97,'COST REPORT'!$G$9:$G$998)</f>
        <v>0</v>
      </c>
      <c r="I97" s="302">
        <f t="shared" si="16"/>
        <v>0</v>
      </c>
      <c r="J97" s="324">
        <f t="shared" si="17"/>
        <v>0</v>
      </c>
    </row>
    <row r="98" spans="1:10">
      <c r="A98" s="321">
        <v>3000</v>
      </c>
      <c r="B98" s="322">
        <f t="shared" si="18"/>
        <v>3004</v>
      </c>
      <c r="C98" s="317" t="s">
        <v>1982</v>
      </c>
      <c r="D98" s="323">
        <v>0</v>
      </c>
      <c r="E98" s="302">
        <f>(SUMIF('COST REPORT'!$A$9:$A$998,'Contractor''s Budget Detail'!B98,'COST REPORT'!$F$9:$F$998))-(SUMIFS('COST REPORT'!$F$9:$F$998,'COST REPORT'!$A$9:$A$998,'Contractor''s Budget Detail'!B98,'COST REPORT'!$I$9:$I$998,"Close"))</f>
        <v>0</v>
      </c>
      <c r="F98" s="302">
        <f>(SUMIF(INPUT!$I$231:$I$522,'Contractor''s Budget Detail'!B98,INPUT!$H$231:$H$522)+SUMIFS('COST REPORT'!$F$9:$F$998,'COST REPORT'!$A$9:$A$998,'Contractor''s Budget Detail'!B98,'COST REPORT'!$I$9:$I$998,"close"))-(SUMIFS('COST REPORT'!$F$9:$F$998,'COST REPORT'!$A$9:$A$998,'Contractor''s Budget Detail'!B98,'COST REPORT'!$I$9:$I$998,"close",'COST REPORT'!$J$9:$J$998,"x"))</f>
        <v>0</v>
      </c>
      <c r="G98" s="302">
        <f t="shared" si="15"/>
        <v>0</v>
      </c>
      <c r="H98" s="302">
        <f>SUMIF('COST REPORT'!$A$9:$A$998,'Contractor''s Budget Detail'!B98,'COST REPORT'!$G$9:$G$998)</f>
        <v>0</v>
      </c>
      <c r="I98" s="302">
        <f t="shared" si="16"/>
        <v>0</v>
      </c>
      <c r="J98" s="324">
        <f t="shared" si="17"/>
        <v>0</v>
      </c>
    </row>
    <row r="99" spans="1:10">
      <c r="A99" s="321">
        <v>3000</v>
      </c>
      <c r="B99" s="322">
        <f t="shared" si="18"/>
        <v>3005</v>
      </c>
      <c r="C99" s="317" t="s">
        <v>1983</v>
      </c>
      <c r="D99" s="323">
        <v>0</v>
      </c>
      <c r="E99" s="302">
        <f>(SUMIF('COST REPORT'!$A$9:$A$998,'Contractor''s Budget Detail'!B99,'COST REPORT'!$F$9:$F$998))-(SUMIFS('COST REPORT'!$F$9:$F$998,'COST REPORT'!$A$9:$A$998,'Contractor''s Budget Detail'!B99,'COST REPORT'!$I$9:$I$998,"Close"))</f>
        <v>0</v>
      </c>
      <c r="F99" s="302">
        <f>(SUMIF(INPUT!$I$231:$I$522,'Contractor''s Budget Detail'!B99,INPUT!$H$231:$H$522)+SUMIFS('COST REPORT'!$F$9:$F$998,'COST REPORT'!$A$9:$A$998,'Contractor''s Budget Detail'!B99,'COST REPORT'!$I$9:$I$998,"close"))-(SUMIFS('COST REPORT'!$F$9:$F$998,'COST REPORT'!$A$9:$A$998,'Contractor''s Budget Detail'!B99,'COST REPORT'!$I$9:$I$998,"close",'COST REPORT'!$J$9:$J$998,"x"))</f>
        <v>0</v>
      </c>
      <c r="G99" s="302">
        <f t="shared" si="15"/>
        <v>0</v>
      </c>
      <c r="H99" s="302">
        <f>SUMIF('COST REPORT'!$A$9:$A$998,'Contractor''s Budget Detail'!B99,'COST REPORT'!$G$9:$G$998)</f>
        <v>0</v>
      </c>
      <c r="I99" s="302">
        <f t="shared" si="16"/>
        <v>0</v>
      </c>
      <c r="J99" s="324">
        <f t="shared" si="17"/>
        <v>0</v>
      </c>
    </row>
    <row r="100" spans="1:10">
      <c r="A100" s="321">
        <v>3000</v>
      </c>
      <c r="B100" s="322">
        <f t="shared" si="18"/>
        <v>3006</v>
      </c>
      <c r="C100" s="317" t="s">
        <v>1984</v>
      </c>
      <c r="D100" s="323">
        <v>0</v>
      </c>
      <c r="E100" s="302">
        <f>(SUMIF('COST REPORT'!$A$9:$A$998,'Contractor''s Budget Detail'!B100,'COST REPORT'!$F$9:$F$998))-(SUMIFS('COST REPORT'!$F$9:$F$998,'COST REPORT'!$A$9:$A$998,'Contractor''s Budget Detail'!B100,'COST REPORT'!$I$9:$I$998,"Close"))</f>
        <v>0</v>
      </c>
      <c r="F100" s="302">
        <f>(SUMIF(INPUT!$I$231:$I$522,'Contractor''s Budget Detail'!B100,INPUT!$H$231:$H$522)+SUMIFS('COST REPORT'!$F$9:$F$998,'COST REPORT'!$A$9:$A$998,'Contractor''s Budget Detail'!B100,'COST REPORT'!$I$9:$I$998,"close"))-(SUMIFS('COST REPORT'!$F$9:$F$998,'COST REPORT'!$A$9:$A$998,'Contractor''s Budget Detail'!B100,'COST REPORT'!$I$9:$I$998,"close",'COST REPORT'!$J$9:$J$998,"x"))</f>
        <v>0</v>
      </c>
      <c r="G100" s="302">
        <f t="shared" si="15"/>
        <v>0</v>
      </c>
      <c r="H100" s="302">
        <f>SUMIF('COST REPORT'!$A$9:$A$998,'Contractor''s Budget Detail'!B100,'COST REPORT'!$G$9:$G$998)</f>
        <v>0</v>
      </c>
      <c r="I100" s="302">
        <f t="shared" si="16"/>
        <v>0</v>
      </c>
      <c r="J100" s="324">
        <f t="shared" si="17"/>
        <v>0</v>
      </c>
    </row>
    <row r="101" spans="1:10">
      <c r="A101" s="321">
        <v>3000</v>
      </c>
      <c r="B101" s="322">
        <f t="shared" si="18"/>
        <v>3007</v>
      </c>
      <c r="C101" s="317" t="s">
        <v>1985</v>
      </c>
      <c r="D101" s="323">
        <v>0</v>
      </c>
      <c r="E101" s="302">
        <f>(SUMIF('COST REPORT'!$A$9:$A$998,'Contractor''s Budget Detail'!B101,'COST REPORT'!$F$9:$F$998))-(SUMIFS('COST REPORT'!$F$9:$F$998,'COST REPORT'!$A$9:$A$998,'Contractor''s Budget Detail'!B101,'COST REPORT'!$I$9:$I$998,"Close"))</f>
        <v>0</v>
      </c>
      <c r="F101" s="302">
        <f>(SUMIF(INPUT!$I$231:$I$522,'Contractor''s Budget Detail'!B101,INPUT!$H$231:$H$522)+SUMIFS('COST REPORT'!$F$9:$F$998,'COST REPORT'!$A$9:$A$998,'Contractor''s Budget Detail'!B101,'COST REPORT'!$I$9:$I$998,"close"))-(SUMIFS('COST REPORT'!$F$9:$F$998,'COST REPORT'!$A$9:$A$998,'Contractor''s Budget Detail'!B101,'COST REPORT'!$I$9:$I$998,"close",'COST REPORT'!$J$9:$J$998,"x"))</f>
        <v>0</v>
      </c>
      <c r="G101" s="302">
        <f t="shared" si="15"/>
        <v>0</v>
      </c>
      <c r="H101" s="302">
        <f>SUMIF('COST REPORT'!$A$9:$A$998,'Contractor''s Budget Detail'!B101,'COST REPORT'!$G$9:$G$998)</f>
        <v>0</v>
      </c>
      <c r="I101" s="302">
        <f t="shared" si="16"/>
        <v>0</v>
      </c>
      <c r="J101" s="324">
        <f t="shared" si="17"/>
        <v>0</v>
      </c>
    </row>
    <row r="102" spans="1:10">
      <c r="A102" s="321">
        <v>3000</v>
      </c>
      <c r="B102" s="322">
        <f t="shared" si="18"/>
        <v>3008</v>
      </c>
      <c r="C102" s="317" t="s">
        <v>1986</v>
      </c>
      <c r="D102" s="323">
        <v>0</v>
      </c>
      <c r="E102" s="302">
        <f>(SUMIF('COST REPORT'!$A$9:$A$998,'Contractor''s Budget Detail'!B102,'COST REPORT'!$F$9:$F$998))-(SUMIFS('COST REPORT'!$F$9:$F$998,'COST REPORT'!$A$9:$A$998,'Contractor''s Budget Detail'!B102,'COST REPORT'!$I$9:$I$998,"Close"))</f>
        <v>0</v>
      </c>
      <c r="F102" s="302">
        <f>(SUMIF(INPUT!$I$231:$I$522,'Contractor''s Budget Detail'!B102,INPUT!$H$231:$H$522)+SUMIFS('COST REPORT'!$F$9:$F$998,'COST REPORT'!$A$9:$A$998,'Contractor''s Budget Detail'!B102,'COST REPORT'!$I$9:$I$998,"close"))-(SUMIFS('COST REPORT'!$F$9:$F$998,'COST REPORT'!$A$9:$A$998,'Contractor''s Budget Detail'!B102,'COST REPORT'!$I$9:$I$998,"close",'COST REPORT'!$J$9:$J$998,"x"))</f>
        <v>0</v>
      </c>
      <c r="G102" s="302">
        <f t="shared" si="15"/>
        <v>0</v>
      </c>
      <c r="H102" s="302">
        <f>SUMIF('COST REPORT'!$A$9:$A$998,'Contractor''s Budget Detail'!B102,'COST REPORT'!$G$9:$G$998)</f>
        <v>0</v>
      </c>
      <c r="I102" s="302">
        <f t="shared" si="16"/>
        <v>0</v>
      </c>
      <c r="J102" s="324">
        <f t="shared" si="17"/>
        <v>0</v>
      </c>
    </row>
    <row r="103" spans="1:10">
      <c r="A103" s="321">
        <v>3000</v>
      </c>
      <c r="B103" s="322">
        <f t="shared" si="18"/>
        <v>3009</v>
      </c>
      <c r="C103" s="317" t="s">
        <v>1987</v>
      </c>
      <c r="D103" s="323">
        <v>0</v>
      </c>
      <c r="E103" s="302">
        <f>(SUMIF('COST REPORT'!$A$9:$A$998,'Contractor''s Budget Detail'!B103,'COST REPORT'!$F$9:$F$998))-(SUMIFS('COST REPORT'!$F$9:$F$998,'COST REPORT'!$A$9:$A$998,'Contractor''s Budget Detail'!B103,'COST REPORT'!$I$9:$I$998,"Close"))</f>
        <v>0</v>
      </c>
      <c r="F103" s="302">
        <f>(SUMIF(INPUT!$I$231:$I$522,'Contractor''s Budget Detail'!B103,INPUT!$H$231:$H$522)+SUMIFS('COST REPORT'!$F$9:$F$998,'COST REPORT'!$A$9:$A$998,'Contractor''s Budget Detail'!B103,'COST REPORT'!$I$9:$I$998,"close"))-(SUMIFS('COST REPORT'!$F$9:$F$998,'COST REPORT'!$A$9:$A$998,'Contractor''s Budget Detail'!B103,'COST REPORT'!$I$9:$I$998,"close",'COST REPORT'!$J$9:$J$998,"x"))</f>
        <v>0</v>
      </c>
      <c r="G103" s="302">
        <f t="shared" si="15"/>
        <v>0</v>
      </c>
      <c r="H103" s="302">
        <f>SUMIF('COST REPORT'!$A$9:$A$998,'Contractor''s Budget Detail'!B103,'COST REPORT'!$G$9:$G$998)</f>
        <v>0</v>
      </c>
      <c r="I103" s="302">
        <f t="shared" si="16"/>
        <v>0</v>
      </c>
      <c r="J103" s="324">
        <f t="shared" si="17"/>
        <v>0</v>
      </c>
    </row>
    <row r="104" spans="1:10">
      <c r="A104" s="321">
        <v>3000</v>
      </c>
      <c r="B104" s="322">
        <f t="shared" si="18"/>
        <v>3010</v>
      </c>
      <c r="C104" s="317" t="s">
        <v>1988</v>
      </c>
      <c r="D104" s="323">
        <v>0</v>
      </c>
      <c r="E104" s="302">
        <f>(SUMIF('COST REPORT'!$A$9:$A$998,'Contractor''s Budget Detail'!B104,'COST REPORT'!$F$9:$F$998))-(SUMIFS('COST REPORT'!$F$9:$F$998,'COST REPORT'!$A$9:$A$998,'Contractor''s Budget Detail'!B104,'COST REPORT'!$I$9:$I$998,"Close"))</f>
        <v>0</v>
      </c>
      <c r="F104" s="302">
        <f>(SUMIF(INPUT!$I$231:$I$522,'Contractor''s Budget Detail'!B104,INPUT!$H$231:$H$522)+SUMIFS('COST REPORT'!$F$9:$F$998,'COST REPORT'!$A$9:$A$998,'Contractor''s Budget Detail'!B104,'COST REPORT'!$I$9:$I$998,"close"))-(SUMIFS('COST REPORT'!$F$9:$F$998,'COST REPORT'!$A$9:$A$998,'Contractor''s Budget Detail'!B104,'COST REPORT'!$I$9:$I$998,"close",'COST REPORT'!$J$9:$J$998,"x"))</f>
        <v>0</v>
      </c>
      <c r="G104" s="302">
        <f t="shared" si="15"/>
        <v>0</v>
      </c>
      <c r="H104" s="302">
        <f>SUMIF('COST REPORT'!$A$9:$A$998,'Contractor''s Budget Detail'!B104,'COST REPORT'!$G$9:$G$998)</f>
        <v>0</v>
      </c>
      <c r="I104" s="302">
        <f t="shared" si="16"/>
        <v>0</v>
      </c>
      <c r="J104" s="324">
        <f t="shared" si="17"/>
        <v>0</v>
      </c>
    </row>
    <row r="105" spans="1:10">
      <c r="A105" s="321">
        <v>3000</v>
      </c>
      <c r="B105" s="322">
        <f t="shared" si="18"/>
        <v>3011</v>
      </c>
      <c r="C105" s="325" t="s">
        <v>1939</v>
      </c>
      <c r="D105" s="323">
        <v>0</v>
      </c>
      <c r="E105" s="302">
        <f>(SUMIF('COST REPORT'!$A$9:$A$998,'Contractor''s Budget Detail'!B105,'COST REPORT'!$F$9:$F$998))-(SUMIFS('COST REPORT'!$F$9:$F$998,'COST REPORT'!$A$9:$A$998,'Contractor''s Budget Detail'!B105,'COST REPORT'!$I$9:$I$998,"Close"))</f>
        <v>0</v>
      </c>
      <c r="F105" s="302">
        <f>(SUMIF(INPUT!$I$231:$I$522,'Contractor''s Budget Detail'!B105,INPUT!$H$231:$H$522)+SUMIFS('COST REPORT'!$F$9:$F$998,'COST REPORT'!$A$9:$A$998,'Contractor''s Budget Detail'!B105,'COST REPORT'!$I$9:$I$998,"close"))-(SUMIFS('COST REPORT'!$F$9:$F$998,'COST REPORT'!$A$9:$A$998,'Contractor''s Budget Detail'!B105,'COST REPORT'!$I$9:$I$998,"close",'COST REPORT'!$J$9:$J$998,"x"))</f>
        <v>0</v>
      </c>
      <c r="G105" s="302">
        <f t="shared" si="15"/>
        <v>0</v>
      </c>
      <c r="H105" s="302">
        <f>SUMIF('COST REPORT'!$A$9:$A$998,'Contractor''s Budget Detail'!B105,'COST REPORT'!$G$9:$G$998)</f>
        <v>0</v>
      </c>
      <c r="I105" s="302">
        <f t="shared" si="16"/>
        <v>0</v>
      </c>
      <c r="J105" s="324">
        <f t="shared" si="17"/>
        <v>0</v>
      </c>
    </row>
    <row r="106" spans="1:10">
      <c r="A106" s="321">
        <v>3000</v>
      </c>
      <c r="B106" s="322">
        <f t="shared" si="18"/>
        <v>3012</v>
      </c>
      <c r="C106" s="325" t="s">
        <v>1939</v>
      </c>
      <c r="D106" s="323">
        <v>0</v>
      </c>
      <c r="E106" s="302">
        <f>(SUMIF('COST REPORT'!$A$9:$A$998,'Contractor''s Budget Detail'!B106,'COST REPORT'!$F$9:$F$998))-(SUMIFS('COST REPORT'!$F$9:$F$998,'COST REPORT'!$A$9:$A$998,'Contractor''s Budget Detail'!B106,'COST REPORT'!$I$9:$I$998,"Close"))</f>
        <v>0</v>
      </c>
      <c r="F106" s="302">
        <f>(SUMIF(INPUT!$I$231:$I$522,'Contractor''s Budget Detail'!B106,INPUT!$H$231:$H$522)+SUMIFS('COST REPORT'!$F$9:$F$998,'COST REPORT'!$A$9:$A$998,'Contractor''s Budget Detail'!B106,'COST REPORT'!$I$9:$I$998,"close"))-(SUMIFS('COST REPORT'!$F$9:$F$998,'COST REPORT'!$A$9:$A$998,'Contractor''s Budget Detail'!B106,'COST REPORT'!$I$9:$I$998,"close",'COST REPORT'!$J$9:$J$998,"x"))</f>
        <v>0</v>
      </c>
      <c r="G106" s="302">
        <f>E106+F106</f>
        <v>0</v>
      </c>
      <c r="H106" s="302">
        <f>SUMIF('COST REPORT'!$A$9:$A$998,'Contractor''s Budget Detail'!B106,'COST REPORT'!$G$9:$G$998)</f>
        <v>0</v>
      </c>
      <c r="I106" s="302">
        <f>G106-H106</f>
        <v>0</v>
      </c>
      <c r="J106" s="324">
        <f>D106-G106</f>
        <v>0</v>
      </c>
    </row>
    <row r="107" spans="1:10">
      <c r="A107" s="321">
        <v>3000</v>
      </c>
      <c r="B107" s="322">
        <f t="shared" si="18"/>
        <v>3013</v>
      </c>
      <c r="C107" s="325" t="s">
        <v>1939</v>
      </c>
      <c r="D107" s="323">
        <v>0</v>
      </c>
      <c r="E107" s="302">
        <f>(SUMIF('COST REPORT'!$A$9:$A$998,'Contractor''s Budget Detail'!B107,'COST REPORT'!$F$9:$F$998))-(SUMIFS('COST REPORT'!$F$9:$F$998,'COST REPORT'!$A$9:$A$998,'Contractor''s Budget Detail'!B107,'COST REPORT'!$I$9:$I$998,"Close"))</f>
        <v>0</v>
      </c>
      <c r="F107" s="302">
        <f>(SUMIF(INPUT!$I$231:$I$522,'Contractor''s Budget Detail'!B107,INPUT!$H$231:$H$522)+SUMIFS('COST REPORT'!$F$9:$F$998,'COST REPORT'!$A$9:$A$998,'Contractor''s Budget Detail'!B107,'COST REPORT'!$I$9:$I$998,"close"))-(SUMIFS('COST REPORT'!$F$9:$F$998,'COST REPORT'!$A$9:$A$998,'Contractor''s Budget Detail'!B107,'COST REPORT'!$I$9:$I$998,"close",'COST REPORT'!$J$9:$J$998,"x"))</f>
        <v>0</v>
      </c>
      <c r="G107" s="302">
        <f>E107+F107</f>
        <v>0</v>
      </c>
      <c r="H107" s="302">
        <f>SUMIF('COST REPORT'!$A$9:$A$998,'Contractor''s Budget Detail'!B107,'COST REPORT'!$G$9:$G$998)</f>
        <v>0</v>
      </c>
      <c r="I107" s="302">
        <f>G107-H107</f>
        <v>0</v>
      </c>
      <c r="J107" s="324">
        <f>D107-G107</f>
        <v>0</v>
      </c>
    </row>
    <row r="108" spans="1:10">
      <c r="A108" s="321">
        <v>3000</v>
      </c>
      <c r="B108" s="322">
        <f t="shared" si="18"/>
        <v>3014</v>
      </c>
      <c r="C108" s="325" t="s">
        <v>1939</v>
      </c>
      <c r="D108" s="323">
        <v>0</v>
      </c>
      <c r="E108" s="302">
        <f>(SUMIF('COST REPORT'!$A$9:$A$998,'Contractor''s Budget Detail'!B108,'COST REPORT'!$F$9:$F$998))-(SUMIFS('COST REPORT'!$F$9:$F$998,'COST REPORT'!$A$9:$A$998,'Contractor''s Budget Detail'!B108,'COST REPORT'!$I$9:$I$998,"Close"))</f>
        <v>0</v>
      </c>
      <c r="F108" s="302">
        <f>(SUMIF(INPUT!$I$231:$I$522,'Contractor''s Budget Detail'!B108,INPUT!$H$231:$H$522)+SUMIFS('COST REPORT'!$F$9:$F$998,'COST REPORT'!$A$9:$A$998,'Contractor''s Budget Detail'!B108,'COST REPORT'!$I$9:$I$998,"close"))-(SUMIFS('COST REPORT'!$F$9:$F$998,'COST REPORT'!$A$9:$A$998,'Contractor''s Budget Detail'!B108,'COST REPORT'!$I$9:$I$998,"close",'COST REPORT'!$J$9:$J$998,"x"))</f>
        <v>0</v>
      </c>
      <c r="G108" s="302">
        <f>E108+F108</f>
        <v>0</v>
      </c>
      <c r="H108" s="302">
        <f>SUMIF('COST REPORT'!$A$9:$A$998,'Contractor''s Budget Detail'!B108,'COST REPORT'!$G$9:$G$998)</f>
        <v>0</v>
      </c>
      <c r="I108" s="302">
        <f>G108-H108</f>
        <v>0</v>
      </c>
      <c r="J108" s="324">
        <f>D108-G108</f>
        <v>0</v>
      </c>
    </row>
    <row r="109" spans="1:10">
      <c r="A109" s="321">
        <v>3000</v>
      </c>
      <c r="B109" s="322">
        <f t="shared" si="18"/>
        <v>3015</v>
      </c>
      <c r="C109" s="325" t="s">
        <v>1939</v>
      </c>
      <c r="D109" s="323">
        <v>0</v>
      </c>
      <c r="E109" s="302">
        <f>(SUMIF('COST REPORT'!$A$9:$A$998,'Contractor''s Budget Detail'!B109,'COST REPORT'!$F$9:$F$998))-(SUMIFS('COST REPORT'!$F$9:$F$998,'COST REPORT'!$A$9:$A$998,'Contractor''s Budget Detail'!B109,'COST REPORT'!$I$9:$I$998,"Close"))</f>
        <v>0</v>
      </c>
      <c r="F109" s="302">
        <f>(SUMIF(INPUT!$I$231:$I$522,'Contractor''s Budget Detail'!B109,INPUT!$H$231:$H$522)+SUMIFS('COST REPORT'!$F$9:$F$998,'COST REPORT'!$A$9:$A$998,'Contractor''s Budget Detail'!B109,'COST REPORT'!$I$9:$I$998,"close"))-(SUMIFS('COST REPORT'!$F$9:$F$998,'COST REPORT'!$A$9:$A$998,'Contractor''s Budget Detail'!B109,'COST REPORT'!$I$9:$I$998,"close",'COST REPORT'!$J$9:$J$998,"x"))</f>
        <v>0</v>
      </c>
      <c r="G109" s="302">
        <f>E109+F109</f>
        <v>0</v>
      </c>
      <c r="H109" s="302">
        <f>SUMIF('COST REPORT'!$A$9:$A$998,'Contractor''s Budget Detail'!B109,'COST REPORT'!$G$9:$G$998)</f>
        <v>0</v>
      </c>
      <c r="I109" s="302">
        <f>G109-H109</f>
        <v>0</v>
      </c>
      <c r="J109" s="324">
        <f>D109-G109</f>
        <v>0</v>
      </c>
    </row>
    <row r="110" spans="1:10">
      <c r="A110" s="321">
        <v>3000</v>
      </c>
      <c r="B110" s="322">
        <f t="shared" si="18"/>
        <v>3016</v>
      </c>
      <c r="C110" s="325" t="s">
        <v>1939</v>
      </c>
      <c r="D110" s="323">
        <v>0</v>
      </c>
      <c r="E110" s="302">
        <f>(SUMIF('COST REPORT'!$A$9:$A$998,'Contractor''s Budget Detail'!B110,'COST REPORT'!$F$9:$F$998))-(SUMIFS('COST REPORT'!$F$9:$F$998,'COST REPORT'!$A$9:$A$998,'Contractor''s Budget Detail'!B110,'COST REPORT'!$I$9:$I$998,"Close"))</f>
        <v>0</v>
      </c>
      <c r="F110" s="302">
        <f>(SUMIF(INPUT!$I$231:$I$522,'Contractor''s Budget Detail'!B110,INPUT!$H$231:$H$522)+SUMIFS('COST REPORT'!$F$9:$F$998,'COST REPORT'!$A$9:$A$998,'Contractor''s Budget Detail'!B110,'COST REPORT'!$I$9:$I$998,"close"))-(SUMIFS('COST REPORT'!$F$9:$F$998,'COST REPORT'!$A$9:$A$998,'Contractor''s Budget Detail'!B110,'COST REPORT'!$I$9:$I$998,"close",'COST REPORT'!$J$9:$J$998,"x"))</f>
        <v>0</v>
      </c>
      <c r="G110" s="302">
        <f t="shared" si="15"/>
        <v>0</v>
      </c>
      <c r="H110" s="302">
        <f>SUMIF('COST REPORT'!$A$9:$A$998,'Contractor''s Budget Detail'!B110,'COST REPORT'!$G$9:$G$998)</f>
        <v>0</v>
      </c>
      <c r="I110" s="302">
        <f t="shared" si="16"/>
        <v>0</v>
      </c>
      <c r="J110" s="324">
        <f t="shared" si="17"/>
        <v>0</v>
      </c>
    </row>
    <row r="111" spans="1:10">
      <c r="A111" s="321">
        <v>3000</v>
      </c>
      <c r="B111" s="322">
        <f t="shared" si="18"/>
        <v>3017</v>
      </c>
      <c r="C111" s="325" t="s">
        <v>1939</v>
      </c>
      <c r="D111" s="323">
        <v>0</v>
      </c>
      <c r="E111" s="302">
        <f>(SUMIF('COST REPORT'!$A$9:$A$998,'Contractor''s Budget Detail'!B111,'COST REPORT'!$F$9:$F$998))-(SUMIFS('COST REPORT'!$F$9:$F$998,'COST REPORT'!$A$9:$A$998,'Contractor''s Budget Detail'!B111,'COST REPORT'!$I$9:$I$998,"Close"))</f>
        <v>0</v>
      </c>
      <c r="F111" s="302">
        <f>(SUMIF(INPUT!$I$231:$I$522,'Contractor''s Budget Detail'!B111,INPUT!$H$231:$H$522)+SUMIFS('COST REPORT'!$F$9:$F$998,'COST REPORT'!$A$9:$A$998,'Contractor''s Budget Detail'!B111,'COST REPORT'!$I$9:$I$998,"close"))-(SUMIFS('COST REPORT'!$F$9:$F$998,'COST REPORT'!$A$9:$A$998,'Contractor''s Budget Detail'!B111,'COST REPORT'!$I$9:$I$998,"close",'COST REPORT'!$J$9:$J$998,"x"))</f>
        <v>0</v>
      </c>
      <c r="G111" s="302">
        <f t="shared" si="15"/>
        <v>0</v>
      </c>
      <c r="H111" s="302">
        <f>SUMIF('COST REPORT'!$A$9:$A$998,'Contractor''s Budget Detail'!B111,'COST REPORT'!$G$9:$G$998)</f>
        <v>0</v>
      </c>
      <c r="I111" s="302">
        <f t="shared" si="16"/>
        <v>0</v>
      </c>
      <c r="J111" s="324">
        <f t="shared" si="17"/>
        <v>0</v>
      </c>
    </row>
    <row r="112" spans="1:10">
      <c r="A112" s="321">
        <v>3000</v>
      </c>
      <c r="B112" s="322">
        <f t="shared" si="18"/>
        <v>3018</v>
      </c>
      <c r="C112" s="325" t="s">
        <v>1939</v>
      </c>
      <c r="D112" s="323">
        <v>0</v>
      </c>
      <c r="E112" s="302">
        <f>(SUMIF('COST REPORT'!$A$9:$A$998,'Contractor''s Budget Detail'!B112,'COST REPORT'!$F$9:$F$998))-(SUMIFS('COST REPORT'!$F$9:$F$998,'COST REPORT'!$A$9:$A$998,'Contractor''s Budget Detail'!B112,'COST REPORT'!$I$9:$I$998,"Close"))</f>
        <v>0</v>
      </c>
      <c r="F112" s="302">
        <f>(SUMIF(INPUT!$I$231:$I$522,'Contractor''s Budget Detail'!B112,INPUT!$H$231:$H$522)+SUMIFS('COST REPORT'!$F$9:$F$998,'COST REPORT'!$A$9:$A$998,'Contractor''s Budget Detail'!B112,'COST REPORT'!$I$9:$I$998,"close"))-(SUMIFS('COST REPORT'!$F$9:$F$998,'COST REPORT'!$A$9:$A$998,'Contractor''s Budget Detail'!B112,'COST REPORT'!$I$9:$I$998,"close",'COST REPORT'!$J$9:$J$998,"x"))</f>
        <v>0</v>
      </c>
      <c r="G112" s="302">
        <f t="shared" si="15"/>
        <v>0</v>
      </c>
      <c r="H112" s="302">
        <f>SUMIF('COST REPORT'!$A$9:$A$998,'Contractor''s Budget Detail'!B112,'COST REPORT'!$G$9:$G$998)</f>
        <v>0</v>
      </c>
      <c r="I112" s="302">
        <f t="shared" si="16"/>
        <v>0</v>
      </c>
      <c r="J112" s="324">
        <f t="shared" si="17"/>
        <v>0</v>
      </c>
    </row>
    <row r="113" spans="1:10" ht="13.5" thickBot="1">
      <c r="A113" s="326" t="s">
        <v>1989</v>
      </c>
      <c r="B113" s="307"/>
      <c r="C113" s="308"/>
      <c r="D113" s="305">
        <f t="shared" ref="D113:J113" si="19">SUM(D95:D112)</f>
        <v>0</v>
      </c>
      <c r="E113" s="305">
        <f t="shared" si="19"/>
        <v>0</v>
      </c>
      <c r="F113" s="305">
        <f t="shared" si="19"/>
        <v>0</v>
      </c>
      <c r="G113" s="305">
        <f t="shared" si="19"/>
        <v>0</v>
      </c>
      <c r="H113" s="305">
        <f t="shared" si="19"/>
        <v>0</v>
      </c>
      <c r="I113" s="305">
        <f t="shared" si="19"/>
        <v>0</v>
      </c>
      <c r="J113" s="327">
        <f t="shared" si="19"/>
        <v>0</v>
      </c>
    </row>
    <row r="114" spans="1:10">
      <c r="A114" s="328"/>
      <c r="B114" s="71"/>
      <c r="C114" s="90"/>
      <c r="D114" s="306"/>
      <c r="E114" s="306"/>
      <c r="H114" s="306"/>
      <c r="I114" s="306"/>
      <c r="J114" s="329"/>
    </row>
    <row r="115" spans="1:10">
      <c r="A115" s="330" t="s">
        <v>1361</v>
      </c>
      <c r="B115" s="337"/>
      <c r="C115" s="89"/>
      <c r="D115" s="338"/>
      <c r="E115" s="338"/>
      <c r="F115" s="338"/>
      <c r="G115" s="338"/>
      <c r="H115" s="338"/>
      <c r="I115" s="338"/>
      <c r="J115" s="339"/>
    </row>
    <row r="116" spans="1:10">
      <c r="A116" s="321">
        <v>4000</v>
      </c>
      <c r="B116" s="322">
        <v>4001</v>
      </c>
      <c r="C116" s="317" t="s">
        <v>1990</v>
      </c>
      <c r="D116" s="323">
        <v>0</v>
      </c>
      <c r="E116" s="302">
        <f>(SUMIF('COST REPORT'!$A$9:$A$998,'Contractor''s Budget Detail'!B116,'COST REPORT'!$F$9:$F$998))-(SUMIFS('COST REPORT'!$F$9:$F$998,'COST REPORT'!$A$9:$A$998,'Contractor''s Budget Detail'!B116,'COST REPORT'!$I$9:$I$998,"Close"))</f>
        <v>0</v>
      </c>
      <c r="F116" s="302">
        <f>(SUMIF(INPUT!$I$231:$I$522,'Contractor''s Budget Detail'!B116,INPUT!$H$231:$H$522)+SUMIFS('COST REPORT'!$F$9:$F$998,'COST REPORT'!$A$9:$A$998,'Contractor''s Budget Detail'!B116,'COST REPORT'!$I$9:$I$998,"close"))-(SUMIFS('COST REPORT'!$F$9:$F$998,'COST REPORT'!$A$9:$A$998,'Contractor''s Budget Detail'!B116,'COST REPORT'!$I$9:$I$998,"close",'COST REPORT'!$J$9:$J$998,"x"))</f>
        <v>0</v>
      </c>
      <c r="G116" s="302">
        <f>E116+F116</f>
        <v>0</v>
      </c>
      <c r="H116" s="302">
        <f>SUMIF('COST REPORT'!$A$9:$A$998,'Contractor''s Budget Detail'!B116,'COST REPORT'!$G$9:$G$998)</f>
        <v>0</v>
      </c>
      <c r="I116" s="302">
        <f>G116-H116</f>
        <v>0</v>
      </c>
      <c r="J116" s="324">
        <f>D116-G116</f>
        <v>0</v>
      </c>
    </row>
    <row r="117" spans="1:10">
      <c r="A117" s="321">
        <v>4000</v>
      </c>
      <c r="B117" s="322">
        <f>B116+1</f>
        <v>4002</v>
      </c>
      <c r="C117" s="317" t="s">
        <v>1991</v>
      </c>
      <c r="D117" s="323">
        <v>0</v>
      </c>
      <c r="E117" s="302">
        <f>(SUMIF('COST REPORT'!$A$9:$A$998,'Contractor''s Budget Detail'!B117,'COST REPORT'!$F$9:$F$998))-(SUMIFS('COST REPORT'!$F$9:$F$998,'COST REPORT'!$A$9:$A$998,'Contractor''s Budget Detail'!B117,'COST REPORT'!$I$9:$I$998,"Close"))</f>
        <v>0</v>
      </c>
      <c r="F117" s="302">
        <f>(SUMIF(INPUT!$I$231:$I$522,'Contractor''s Budget Detail'!B117,INPUT!$H$231:$H$522)+SUMIFS('COST REPORT'!$F$9:$F$998,'COST REPORT'!$A$9:$A$998,'Contractor''s Budget Detail'!B117,'COST REPORT'!$I$9:$I$998,"close"))-(SUMIFS('COST REPORT'!$F$9:$F$998,'COST REPORT'!$A$9:$A$998,'Contractor''s Budget Detail'!B117,'COST REPORT'!$I$9:$I$998,"close",'COST REPORT'!$J$9:$J$998,"x"))</f>
        <v>0</v>
      </c>
      <c r="G117" s="302">
        <f t="shared" ref="G117:G131" si="20">E117+F117</f>
        <v>0</v>
      </c>
      <c r="H117" s="302">
        <f>SUMIF('COST REPORT'!$A$9:$A$998,'Contractor''s Budget Detail'!B117,'COST REPORT'!$G$9:$G$998)</f>
        <v>0</v>
      </c>
      <c r="I117" s="302">
        <f t="shared" ref="I117:I131" si="21">G117-H117</f>
        <v>0</v>
      </c>
      <c r="J117" s="324">
        <f t="shared" ref="J117:J131" si="22">D117-G117</f>
        <v>0</v>
      </c>
    </row>
    <row r="118" spans="1:10">
      <c r="A118" s="321">
        <v>4000</v>
      </c>
      <c r="B118" s="322">
        <f t="shared" ref="B118:B131" si="23">B117+1</f>
        <v>4003</v>
      </c>
      <c r="C118" s="317" t="s">
        <v>1992</v>
      </c>
      <c r="D118" s="323">
        <v>0</v>
      </c>
      <c r="E118" s="302">
        <f>(SUMIF('COST REPORT'!$A$9:$A$998,'Contractor''s Budget Detail'!B118,'COST REPORT'!$F$9:$F$998))-(SUMIFS('COST REPORT'!$F$9:$F$998,'COST REPORT'!$A$9:$A$998,'Contractor''s Budget Detail'!B118,'COST REPORT'!$I$9:$I$998,"Close"))</f>
        <v>0</v>
      </c>
      <c r="F118" s="302">
        <f>(SUMIF(INPUT!$I$231:$I$522,'Contractor''s Budget Detail'!B118,INPUT!$H$231:$H$522)+SUMIFS('COST REPORT'!$F$9:$F$998,'COST REPORT'!$A$9:$A$998,'Contractor''s Budget Detail'!B118,'COST REPORT'!$I$9:$I$998,"close"))-(SUMIFS('COST REPORT'!$F$9:$F$998,'COST REPORT'!$A$9:$A$998,'Contractor''s Budget Detail'!B118,'COST REPORT'!$I$9:$I$998,"close",'COST REPORT'!$J$9:$J$998,"x"))</f>
        <v>0</v>
      </c>
      <c r="G118" s="302">
        <f t="shared" si="20"/>
        <v>0</v>
      </c>
      <c r="H118" s="302">
        <f>SUMIF('COST REPORT'!$A$9:$A$998,'Contractor''s Budget Detail'!B118,'COST REPORT'!$G$9:$G$998)</f>
        <v>0</v>
      </c>
      <c r="I118" s="302">
        <f t="shared" si="21"/>
        <v>0</v>
      </c>
      <c r="J118" s="324">
        <f t="shared" si="22"/>
        <v>0</v>
      </c>
    </row>
    <row r="119" spans="1:10">
      <c r="A119" s="321">
        <v>4000</v>
      </c>
      <c r="B119" s="322">
        <f t="shared" si="23"/>
        <v>4004</v>
      </c>
      <c r="C119" s="317" t="s">
        <v>1361</v>
      </c>
      <c r="D119" s="323">
        <v>0</v>
      </c>
      <c r="E119" s="302">
        <f>(SUMIF('COST REPORT'!$A$9:$A$998,'Contractor''s Budget Detail'!B119,'COST REPORT'!$F$9:$F$998))-(SUMIFS('COST REPORT'!$F$9:$F$998,'COST REPORT'!$A$9:$A$998,'Contractor''s Budget Detail'!B119,'COST REPORT'!$I$9:$I$998,"Close"))</f>
        <v>0</v>
      </c>
      <c r="F119" s="302">
        <f>(SUMIF(INPUT!$I$231:$I$522,'Contractor''s Budget Detail'!B119,INPUT!$H$231:$H$522)+SUMIFS('COST REPORT'!$F$9:$F$998,'COST REPORT'!$A$9:$A$998,'Contractor''s Budget Detail'!B119,'COST REPORT'!$I$9:$I$998,"close"))-(SUMIFS('COST REPORT'!$F$9:$F$998,'COST REPORT'!$A$9:$A$998,'Contractor''s Budget Detail'!B119,'COST REPORT'!$I$9:$I$998,"close",'COST REPORT'!$J$9:$J$998,"x"))</f>
        <v>0</v>
      </c>
      <c r="G119" s="302">
        <f t="shared" si="20"/>
        <v>0</v>
      </c>
      <c r="H119" s="302">
        <f>SUMIF('COST REPORT'!$A$9:$A$998,'Contractor''s Budget Detail'!B119,'COST REPORT'!$G$9:$G$998)</f>
        <v>0</v>
      </c>
      <c r="I119" s="302">
        <f t="shared" si="21"/>
        <v>0</v>
      </c>
      <c r="J119" s="324">
        <f t="shared" si="22"/>
        <v>0</v>
      </c>
    </row>
    <row r="120" spans="1:10">
      <c r="A120" s="321">
        <v>4000</v>
      </c>
      <c r="B120" s="322">
        <f t="shared" si="23"/>
        <v>4005</v>
      </c>
      <c r="C120" s="317" t="s">
        <v>1993</v>
      </c>
      <c r="D120" s="323">
        <v>0</v>
      </c>
      <c r="E120" s="302">
        <f>(SUMIF('COST REPORT'!$A$9:$A$998,'Contractor''s Budget Detail'!B120,'COST REPORT'!$F$9:$F$998))-(SUMIFS('COST REPORT'!$F$9:$F$998,'COST REPORT'!$A$9:$A$998,'Contractor''s Budget Detail'!B120,'COST REPORT'!$I$9:$I$998,"Close"))</f>
        <v>0</v>
      </c>
      <c r="F120" s="302">
        <f>(SUMIF(INPUT!$I$231:$I$522,'Contractor''s Budget Detail'!B120,INPUT!$H$231:$H$522)+SUMIFS('COST REPORT'!$F$9:$F$998,'COST REPORT'!$A$9:$A$998,'Contractor''s Budget Detail'!B120,'COST REPORT'!$I$9:$I$998,"close"))-(SUMIFS('COST REPORT'!$F$9:$F$998,'COST REPORT'!$A$9:$A$998,'Contractor''s Budget Detail'!B120,'COST REPORT'!$I$9:$I$998,"close",'COST REPORT'!$J$9:$J$998,"x"))</f>
        <v>0</v>
      </c>
      <c r="G120" s="302">
        <f t="shared" si="20"/>
        <v>0</v>
      </c>
      <c r="H120" s="302">
        <f>SUMIF('COST REPORT'!$A$9:$A$998,'Contractor''s Budget Detail'!B120,'COST REPORT'!$G$9:$G$998)</f>
        <v>0</v>
      </c>
      <c r="I120" s="302">
        <f t="shared" si="21"/>
        <v>0</v>
      </c>
      <c r="J120" s="324">
        <f t="shared" si="22"/>
        <v>0</v>
      </c>
    </row>
    <row r="121" spans="1:10">
      <c r="A121" s="321">
        <v>4000</v>
      </c>
      <c r="B121" s="322">
        <f t="shared" si="23"/>
        <v>4006</v>
      </c>
      <c r="C121" s="317" t="s">
        <v>1987</v>
      </c>
      <c r="D121" s="323">
        <v>0</v>
      </c>
      <c r="E121" s="302">
        <f>(SUMIF('COST REPORT'!$A$9:$A$998,'Contractor''s Budget Detail'!B121,'COST REPORT'!$F$9:$F$998))-(SUMIFS('COST REPORT'!$F$9:$F$998,'COST REPORT'!$A$9:$A$998,'Contractor''s Budget Detail'!B121,'COST REPORT'!$I$9:$I$998,"Close"))</f>
        <v>0</v>
      </c>
      <c r="F121" s="302">
        <f>(SUMIF(INPUT!$I$231:$I$522,'Contractor''s Budget Detail'!B121,INPUT!$H$231:$H$522)+SUMIFS('COST REPORT'!$F$9:$F$998,'COST REPORT'!$A$9:$A$998,'Contractor''s Budget Detail'!B121,'COST REPORT'!$I$9:$I$998,"close"))-(SUMIFS('COST REPORT'!$F$9:$F$998,'COST REPORT'!$A$9:$A$998,'Contractor''s Budget Detail'!B121,'COST REPORT'!$I$9:$I$998,"close",'COST REPORT'!$J$9:$J$998,"x"))</f>
        <v>0</v>
      </c>
      <c r="G121" s="302">
        <f t="shared" si="20"/>
        <v>0</v>
      </c>
      <c r="H121" s="302">
        <f>SUMIF('COST REPORT'!$A$9:$A$998,'Contractor''s Budget Detail'!B121,'COST REPORT'!$G$9:$G$998)</f>
        <v>0</v>
      </c>
      <c r="I121" s="302">
        <f t="shared" si="21"/>
        <v>0</v>
      </c>
      <c r="J121" s="324">
        <f t="shared" si="22"/>
        <v>0</v>
      </c>
    </row>
    <row r="122" spans="1:10">
      <c r="A122" s="321">
        <v>4000</v>
      </c>
      <c r="B122" s="322">
        <f t="shared" si="23"/>
        <v>4007</v>
      </c>
      <c r="C122" s="317" t="s">
        <v>1994</v>
      </c>
      <c r="D122" s="323">
        <v>0</v>
      </c>
      <c r="E122" s="302">
        <f>(SUMIF('COST REPORT'!$A$9:$A$998,'Contractor''s Budget Detail'!B122,'COST REPORT'!$F$9:$F$998))-(SUMIFS('COST REPORT'!$F$9:$F$998,'COST REPORT'!$A$9:$A$998,'Contractor''s Budget Detail'!B122,'COST REPORT'!$I$9:$I$998,"Close"))</f>
        <v>0</v>
      </c>
      <c r="F122" s="302">
        <f>(SUMIF(INPUT!$I$231:$I$522,'Contractor''s Budget Detail'!B122,INPUT!$H$231:$H$522)+SUMIFS('COST REPORT'!$F$9:$F$998,'COST REPORT'!$A$9:$A$998,'Contractor''s Budget Detail'!B122,'COST REPORT'!$I$9:$I$998,"close"))-(SUMIFS('COST REPORT'!$F$9:$F$998,'COST REPORT'!$A$9:$A$998,'Contractor''s Budget Detail'!B122,'COST REPORT'!$I$9:$I$998,"close",'COST REPORT'!$J$9:$J$998,"x"))</f>
        <v>0</v>
      </c>
      <c r="G122" s="302">
        <f t="shared" si="20"/>
        <v>0</v>
      </c>
      <c r="H122" s="302">
        <f>SUMIF('COST REPORT'!$A$9:$A$998,'Contractor''s Budget Detail'!B122,'COST REPORT'!$G$9:$G$998)</f>
        <v>0</v>
      </c>
      <c r="I122" s="302">
        <f t="shared" si="21"/>
        <v>0</v>
      </c>
      <c r="J122" s="324">
        <f t="shared" si="22"/>
        <v>0</v>
      </c>
    </row>
    <row r="123" spans="1:10">
      <c r="A123" s="321">
        <v>4000</v>
      </c>
      <c r="B123" s="322">
        <f t="shared" si="23"/>
        <v>4008</v>
      </c>
      <c r="C123" s="317" t="s">
        <v>1995</v>
      </c>
      <c r="D123" s="323">
        <v>0</v>
      </c>
      <c r="E123" s="302">
        <f>(SUMIF('COST REPORT'!$A$9:$A$998,'Contractor''s Budget Detail'!B123,'COST REPORT'!$F$9:$F$998))-(SUMIFS('COST REPORT'!$F$9:$F$998,'COST REPORT'!$A$9:$A$998,'Contractor''s Budget Detail'!B123,'COST REPORT'!$I$9:$I$998,"Close"))</f>
        <v>0</v>
      </c>
      <c r="F123" s="302">
        <f>(SUMIF(INPUT!$I$231:$I$522,'Contractor''s Budget Detail'!B123,INPUT!$H$231:$H$522)+SUMIFS('COST REPORT'!$F$9:$F$998,'COST REPORT'!$A$9:$A$998,'Contractor''s Budget Detail'!B123,'COST REPORT'!$I$9:$I$998,"close"))-(SUMIFS('COST REPORT'!$F$9:$F$998,'COST REPORT'!$A$9:$A$998,'Contractor''s Budget Detail'!B123,'COST REPORT'!$I$9:$I$998,"close",'COST REPORT'!$J$9:$J$998,"x"))</f>
        <v>0</v>
      </c>
      <c r="G123" s="302">
        <f t="shared" ref="G123:G128" si="24">E123+F123</f>
        <v>0</v>
      </c>
      <c r="H123" s="302">
        <f>SUMIF('COST REPORT'!$A$9:$A$998,'Contractor''s Budget Detail'!B123,'COST REPORT'!$G$9:$G$998)</f>
        <v>0</v>
      </c>
      <c r="I123" s="302">
        <f t="shared" ref="I123:I128" si="25">G123-H123</f>
        <v>0</v>
      </c>
      <c r="J123" s="324">
        <f t="shared" ref="J123:J128" si="26">D123-G123</f>
        <v>0</v>
      </c>
    </row>
    <row r="124" spans="1:10">
      <c r="A124" s="321">
        <v>4000</v>
      </c>
      <c r="B124" s="322">
        <f t="shared" si="23"/>
        <v>4009</v>
      </c>
      <c r="C124" s="325" t="s">
        <v>1939</v>
      </c>
      <c r="D124" s="323">
        <v>0</v>
      </c>
      <c r="E124" s="302">
        <f>(SUMIF('COST REPORT'!$A$9:$A$998,'Contractor''s Budget Detail'!B124,'COST REPORT'!$F$9:$F$998))-(SUMIFS('COST REPORT'!$F$9:$F$998,'COST REPORT'!$A$9:$A$998,'Contractor''s Budget Detail'!B124,'COST REPORT'!$I$9:$I$998,"Close"))</f>
        <v>0</v>
      </c>
      <c r="F124" s="302">
        <f>(SUMIF(INPUT!$I$231:$I$522,'Contractor''s Budget Detail'!B124,INPUT!$H$231:$H$522)+SUMIFS('COST REPORT'!$F$9:$F$998,'COST REPORT'!$A$9:$A$998,'Contractor''s Budget Detail'!B124,'COST REPORT'!$I$9:$I$998,"close"))-(SUMIFS('COST REPORT'!$F$9:$F$998,'COST REPORT'!$A$9:$A$998,'Contractor''s Budget Detail'!B124,'COST REPORT'!$I$9:$I$998,"close",'COST REPORT'!$J$9:$J$998,"x"))</f>
        <v>0</v>
      </c>
      <c r="G124" s="302">
        <f t="shared" si="24"/>
        <v>0</v>
      </c>
      <c r="H124" s="302">
        <f>SUMIF('COST REPORT'!$A$9:$A$998,'Contractor''s Budget Detail'!B124,'COST REPORT'!$G$9:$G$998)</f>
        <v>0</v>
      </c>
      <c r="I124" s="302">
        <f t="shared" si="25"/>
        <v>0</v>
      </c>
      <c r="J124" s="324">
        <f t="shared" si="26"/>
        <v>0</v>
      </c>
    </row>
    <row r="125" spans="1:10">
      <c r="A125" s="321">
        <v>4000</v>
      </c>
      <c r="B125" s="322">
        <f t="shared" si="23"/>
        <v>4010</v>
      </c>
      <c r="C125" s="325" t="s">
        <v>1939</v>
      </c>
      <c r="D125" s="323">
        <v>0</v>
      </c>
      <c r="E125" s="302">
        <f>(SUMIF('COST REPORT'!$A$9:$A$998,'Contractor''s Budget Detail'!B125,'COST REPORT'!$F$9:$F$998))-(SUMIFS('COST REPORT'!$F$9:$F$998,'COST REPORT'!$A$9:$A$998,'Contractor''s Budget Detail'!B125,'COST REPORT'!$I$9:$I$998,"Close"))</f>
        <v>0</v>
      </c>
      <c r="F125" s="302">
        <f>(SUMIF(INPUT!$I$231:$I$522,'Contractor''s Budget Detail'!B125,INPUT!$H$231:$H$522)+SUMIFS('COST REPORT'!$F$9:$F$998,'COST REPORT'!$A$9:$A$998,'Contractor''s Budget Detail'!B125,'COST REPORT'!$I$9:$I$998,"close"))-(SUMIFS('COST REPORT'!$F$9:$F$998,'COST REPORT'!$A$9:$A$998,'Contractor''s Budget Detail'!B125,'COST REPORT'!$I$9:$I$998,"close",'COST REPORT'!$J$9:$J$998,"x"))</f>
        <v>0</v>
      </c>
      <c r="G125" s="302">
        <f t="shared" si="24"/>
        <v>0</v>
      </c>
      <c r="H125" s="302">
        <f>SUMIF('COST REPORT'!$A$9:$A$998,'Contractor''s Budget Detail'!B125,'COST REPORT'!$G$9:$G$998)</f>
        <v>0</v>
      </c>
      <c r="I125" s="302">
        <f t="shared" si="25"/>
        <v>0</v>
      </c>
      <c r="J125" s="324">
        <f t="shared" si="26"/>
        <v>0</v>
      </c>
    </row>
    <row r="126" spans="1:10">
      <c r="A126" s="321">
        <v>4000</v>
      </c>
      <c r="B126" s="322">
        <f t="shared" si="23"/>
        <v>4011</v>
      </c>
      <c r="C126" s="325" t="s">
        <v>1939</v>
      </c>
      <c r="D126" s="323">
        <v>0</v>
      </c>
      <c r="E126" s="302">
        <f>(SUMIF('COST REPORT'!$A$9:$A$998,'Contractor''s Budget Detail'!B126,'COST REPORT'!$F$9:$F$998))-(SUMIFS('COST REPORT'!$F$9:$F$998,'COST REPORT'!$A$9:$A$998,'Contractor''s Budget Detail'!B126,'COST REPORT'!$I$9:$I$998,"Close"))</f>
        <v>0</v>
      </c>
      <c r="F126" s="302">
        <f>(SUMIF(INPUT!$I$231:$I$522,'Contractor''s Budget Detail'!B126,INPUT!$H$231:$H$522)+SUMIFS('COST REPORT'!$F$9:$F$998,'COST REPORT'!$A$9:$A$998,'Contractor''s Budget Detail'!B126,'COST REPORT'!$I$9:$I$998,"close"))-(SUMIFS('COST REPORT'!$F$9:$F$998,'COST REPORT'!$A$9:$A$998,'Contractor''s Budget Detail'!B126,'COST REPORT'!$I$9:$I$998,"close",'COST REPORT'!$J$9:$J$998,"x"))</f>
        <v>0</v>
      </c>
      <c r="G126" s="302">
        <f t="shared" si="24"/>
        <v>0</v>
      </c>
      <c r="H126" s="302">
        <f>SUMIF('COST REPORT'!$A$9:$A$998,'Contractor''s Budget Detail'!B126,'COST REPORT'!$G$9:$G$998)</f>
        <v>0</v>
      </c>
      <c r="I126" s="302">
        <f t="shared" si="25"/>
        <v>0</v>
      </c>
      <c r="J126" s="324">
        <f t="shared" si="26"/>
        <v>0</v>
      </c>
    </row>
    <row r="127" spans="1:10">
      <c r="A127" s="321">
        <v>4000</v>
      </c>
      <c r="B127" s="322">
        <f t="shared" si="23"/>
        <v>4012</v>
      </c>
      <c r="C127" s="325" t="s">
        <v>1939</v>
      </c>
      <c r="D127" s="323">
        <v>0</v>
      </c>
      <c r="E127" s="302">
        <f>(SUMIF('COST REPORT'!$A$9:$A$998,'Contractor''s Budget Detail'!B127,'COST REPORT'!$F$9:$F$998))-(SUMIFS('COST REPORT'!$F$9:$F$998,'COST REPORT'!$A$9:$A$998,'Contractor''s Budget Detail'!B127,'COST REPORT'!$I$9:$I$998,"Close"))</f>
        <v>0</v>
      </c>
      <c r="F127" s="302">
        <f>(SUMIF(INPUT!$I$231:$I$522,'Contractor''s Budget Detail'!B127,INPUT!$H$231:$H$522)+SUMIFS('COST REPORT'!$F$9:$F$998,'COST REPORT'!$A$9:$A$998,'Contractor''s Budget Detail'!B127,'COST REPORT'!$I$9:$I$998,"close"))-(SUMIFS('COST REPORT'!$F$9:$F$998,'COST REPORT'!$A$9:$A$998,'Contractor''s Budget Detail'!B127,'COST REPORT'!$I$9:$I$998,"close",'COST REPORT'!$J$9:$J$998,"x"))</f>
        <v>0</v>
      </c>
      <c r="G127" s="302">
        <f t="shared" si="24"/>
        <v>0</v>
      </c>
      <c r="H127" s="302">
        <f>SUMIF('COST REPORT'!$A$9:$A$998,'Contractor''s Budget Detail'!B127,'COST REPORT'!$G$9:$G$998)</f>
        <v>0</v>
      </c>
      <c r="I127" s="302">
        <f t="shared" si="25"/>
        <v>0</v>
      </c>
      <c r="J127" s="324">
        <f t="shared" si="26"/>
        <v>0</v>
      </c>
    </row>
    <row r="128" spans="1:10">
      <c r="A128" s="321">
        <v>4000</v>
      </c>
      <c r="B128" s="322">
        <f t="shared" si="23"/>
        <v>4013</v>
      </c>
      <c r="C128" s="325" t="s">
        <v>1939</v>
      </c>
      <c r="D128" s="323">
        <v>0</v>
      </c>
      <c r="E128" s="302">
        <f>(SUMIF('COST REPORT'!$A$9:$A$998,'Contractor''s Budget Detail'!B128,'COST REPORT'!$F$9:$F$998))-(SUMIFS('COST REPORT'!$F$9:$F$998,'COST REPORT'!$A$9:$A$998,'Contractor''s Budget Detail'!B128,'COST REPORT'!$I$9:$I$998,"Close"))</f>
        <v>0</v>
      </c>
      <c r="F128" s="302">
        <f>(SUMIF(INPUT!$I$231:$I$522,'Contractor''s Budget Detail'!B128,INPUT!$H$231:$H$522)+SUMIFS('COST REPORT'!$F$9:$F$998,'COST REPORT'!$A$9:$A$998,'Contractor''s Budget Detail'!B128,'COST REPORT'!$I$9:$I$998,"close"))-(SUMIFS('COST REPORT'!$F$9:$F$998,'COST REPORT'!$A$9:$A$998,'Contractor''s Budget Detail'!B128,'COST REPORT'!$I$9:$I$998,"close",'COST REPORT'!$J$9:$J$998,"x"))</f>
        <v>0</v>
      </c>
      <c r="G128" s="302">
        <f t="shared" si="24"/>
        <v>0</v>
      </c>
      <c r="H128" s="302">
        <f>SUMIF('COST REPORT'!$A$9:$A$998,'Contractor''s Budget Detail'!B128,'COST REPORT'!$G$9:$G$998)</f>
        <v>0</v>
      </c>
      <c r="I128" s="302">
        <f t="shared" si="25"/>
        <v>0</v>
      </c>
      <c r="J128" s="324">
        <f t="shared" si="26"/>
        <v>0</v>
      </c>
    </row>
    <row r="129" spans="1:10">
      <c r="A129" s="321">
        <v>4000</v>
      </c>
      <c r="B129" s="322">
        <f t="shared" si="23"/>
        <v>4014</v>
      </c>
      <c r="C129" s="325" t="s">
        <v>1939</v>
      </c>
      <c r="D129" s="323">
        <v>0</v>
      </c>
      <c r="E129" s="302">
        <f>(SUMIF('COST REPORT'!$A$9:$A$998,'Contractor''s Budget Detail'!B129,'COST REPORT'!$F$9:$F$998))-(SUMIFS('COST REPORT'!$F$9:$F$998,'COST REPORT'!$A$9:$A$998,'Contractor''s Budget Detail'!B129,'COST REPORT'!$I$9:$I$998,"Close"))</f>
        <v>0</v>
      </c>
      <c r="F129" s="302">
        <f>(SUMIF(INPUT!$I$231:$I$522,'Contractor''s Budget Detail'!B129,INPUT!$H$231:$H$522)+SUMIFS('COST REPORT'!$F$9:$F$998,'COST REPORT'!$A$9:$A$998,'Contractor''s Budget Detail'!B129,'COST REPORT'!$I$9:$I$998,"close"))-(SUMIFS('COST REPORT'!$F$9:$F$998,'COST REPORT'!$A$9:$A$998,'Contractor''s Budget Detail'!B129,'COST REPORT'!$I$9:$I$998,"close",'COST REPORT'!$J$9:$J$998,"x"))</f>
        <v>0</v>
      </c>
      <c r="G129" s="302">
        <f t="shared" si="20"/>
        <v>0</v>
      </c>
      <c r="H129" s="302">
        <f>SUMIF('COST REPORT'!$A$9:$A$998,'Contractor''s Budget Detail'!B129,'COST REPORT'!$G$9:$G$998)</f>
        <v>0</v>
      </c>
      <c r="I129" s="302">
        <f t="shared" si="21"/>
        <v>0</v>
      </c>
      <c r="J129" s="324">
        <f t="shared" si="22"/>
        <v>0</v>
      </c>
    </row>
    <row r="130" spans="1:10">
      <c r="A130" s="321">
        <v>4000</v>
      </c>
      <c r="B130" s="322">
        <f t="shared" si="23"/>
        <v>4015</v>
      </c>
      <c r="C130" s="325" t="s">
        <v>1939</v>
      </c>
      <c r="D130" s="323">
        <v>0</v>
      </c>
      <c r="E130" s="302">
        <f>(SUMIF('COST REPORT'!$A$9:$A$998,'Contractor''s Budget Detail'!B130,'COST REPORT'!$F$9:$F$998))-(SUMIFS('COST REPORT'!$F$9:$F$998,'COST REPORT'!$A$9:$A$998,'Contractor''s Budget Detail'!B130,'COST REPORT'!$I$9:$I$998,"Close"))</f>
        <v>0</v>
      </c>
      <c r="F130" s="302">
        <f>(SUMIF(INPUT!$I$231:$I$522,'Contractor''s Budget Detail'!B130,INPUT!$H$231:$H$522)+SUMIFS('COST REPORT'!$F$9:$F$998,'COST REPORT'!$A$9:$A$998,'Contractor''s Budget Detail'!B130,'COST REPORT'!$I$9:$I$998,"close"))-(SUMIFS('COST REPORT'!$F$9:$F$998,'COST REPORT'!$A$9:$A$998,'Contractor''s Budget Detail'!B130,'COST REPORT'!$I$9:$I$998,"close",'COST REPORT'!$J$9:$J$998,"x"))</f>
        <v>0</v>
      </c>
      <c r="G130" s="302">
        <f t="shared" si="20"/>
        <v>0</v>
      </c>
      <c r="H130" s="302">
        <f>SUMIF('COST REPORT'!$A$9:$A$998,'Contractor''s Budget Detail'!B130,'COST REPORT'!$G$9:$G$998)</f>
        <v>0</v>
      </c>
      <c r="I130" s="302">
        <f t="shared" si="21"/>
        <v>0</v>
      </c>
      <c r="J130" s="324">
        <f t="shared" si="22"/>
        <v>0</v>
      </c>
    </row>
    <row r="131" spans="1:10">
      <c r="A131" s="321">
        <v>4000</v>
      </c>
      <c r="B131" s="322">
        <f t="shared" si="23"/>
        <v>4016</v>
      </c>
      <c r="C131" s="325" t="s">
        <v>1939</v>
      </c>
      <c r="D131" s="323">
        <v>0</v>
      </c>
      <c r="E131" s="302">
        <f>(SUMIF('COST REPORT'!$A$9:$A$998,'Contractor''s Budget Detail'!B131,'COST REPORT'!$F$9:$F$998))-(SUMIFS('COST REPORT'!$F$9:$F$998,'COST REPORT'!$A$9:$A$998,'Contractor''s Budget Detail'!B131,'COST REPORT'!$I$9:$I$998,"Close"))</f>
        <v>0</v>
      </c>
      <c r="F131" s="302">
        <f>(SUMIF(INPUT!$I$231:$I$522,'Contractor''s Budget Detail'!B131,INPUT!$H$231:$H$522)+SUMIFS('COST REPORT'!$F$9:$F$998,'COST REPORT'!$A$9:$A$998,'Contractor''s Budget Detail'!B131,'COST REPORT'!$I$9:$I$998,"close"))-(SUMIFS('COST REPORT'!$F$9:$F$998,'COST REPORT'!$A$9:$A$998,'Contractor''s Budget Detail'!B131,'COST REPORT'!$I$9:$I$998,"close",'COST REPORT'!$J$9:$J$998,"x"))</f>
        <v>0</v>
      </c>
      <c r="G131" s="302">
        <f t="shared" si="20"/>
        <v>0</v>
      </c>
      <c r="H131" s="302">
        <f>SUMIF('COST REPORT'!$A$9:$A$998,'Contractor''s Budget Detail'!B131,'COST REPORT'!$G$9:$G$998)</f>
        <v>0</v>
      </c>
      <c r="I131" s="302">
        <f t="shared" si="21"/>
        <v>0</v>
      </c>
      <c r="J131" s="324">
        <f t="shared" si="22"/>
        <v>0</v>
      </c>
    </row>
    <row r="132" spans="1:10" ht="13.5" thickBot="1">
      <c r="A132" s="326" t="s">
        <v>1996</v>
      </c>
      <c r="B132" s="307"/>
      <c r="C132" s="308"/>
      <c r="D132" s="305">
        <f t="shared" ref="D132:J132" si="27">SUM(D116:D131)</f>
        <v>0</v>
      </c>
      <c r="E132" s="305">
        <f t="shared" si="27"/>
        <v>0</v>
      </c>
      <c r="F132" s="305">
        <f t="shared" si="27"/>
        <v>0</v>
      </c>
      <c r="G132" s="305">
        <f t="shared" si="27"/>
        <v>0</v>
      </c>
      <c r="H132" s="305">
        <f t="shared" si="27"/>
        <v>0</v>
      </c>
      <c r="I132" s="305">
        <f t="shared" si="27"/>
        <v>0</v>
      </c>
      <c r="J132" s="327">
        <f t="shared" si="27"/>
        <v>0</v>
      </c>
    </row>
    <row r="133" spans="1:10">
      <c r="A133" s="328"/>
      <c r="B133" s="71"/>
      <c r="C133" s="90"/>
      <c r="D133" s="306"/>
      <c r="E133" s="306"/>
      <c r="H133" s="306"/>
      <c r="I133" s="306"/>
      <c r="J133" s="329"/>
    </row>
    <row r="134" spans="1:10">
      <c r="A134" s="330" t="s">
        <v>1362</v>
      </c>
      <c r="B134" s="205"/>
      <c r="C134" s="88"/>
      <c r="D134" s="331"/>
      <c r="E134" s="331"/>
      <c r="F134" s="338"/>
      <c r="G134" s="338"/>
      <c r="H134" s="331"/>
      <c r="I134" s="331"/>
      <c r="J134" s="339"/>
    </row>
    <row r="135" spans="1:10">
      <c r="A135" s="321">
        <v>5000</v>
      </c>
      <c r="B135" s="322">
        <f>5001</f>
        <v>5001</v>
      </c>
      <c r="C135" s="317" t="s">
        <v>1997</v>
      </c>
      <c r="D135" s="323">
        <v>0</v>
      </c>
      <c r="E135" s="302">
        <f>(SUMIF('COST REPORT'!$A$9:$A$998,'Contractor''s Budget Detail'!B135,'COST REPORT'!$F$9:$F$998))-(SUMIFS('COST REPORT'!$F$9:$F$998,'COST REPORT'!$A$9:$A$998,'Contractor''s Budget Detail'!B135,'COST REPORT'!$I$9:$I$998,"Close"))</f>
        <v>0</v>
      </c>
      <c r="F135" s="302">
        <f>(SUMIF(INPUT!$I$231:$I$522,'Contractor''s Budget Detail'!B135,INPUT!$H$231:$H$522)+SUMIFS('COST REPORT'!$F$9:$F$998,'COST REPORT'!$A$9:$A$998,'Contractor''s Budget Detail'!B135,'COST REPORT'!$I$9:$I$998,"close"))-(SUMIFS('COST REPORT'!$F$9:$F$998,'COST REPORT'!$A$9:$A$998,'Contractor''s Budget Detail'!B135,'COST REPORT'!$I$9:$I$998,"close",'COST REPORT'!$J$9:$J$998,"x"))</f>
        <v>0</v>
      </c>
      <c r="G135" s="302">
        <f>E135+F135</f>
        <v>0</v>
      </c>
      <c r="H135" s="302">
        <f>SUMIF('COST REPORT'!$A$9:$A$998,'Contractor''s Budget Detail'!B135,'COST REPORT'!$G$9:$G$998)</f>
        <v>0</v>
      </c>
      <c r="I135" s="302">
        <f>G135-H135</f>
        <v>0</v>
      </c>
      <c r="J135" s="324">
        <f>D135-G135</f>
        <v>0</v>
      </c>
    </row>
    <row r="136" spans="1:10">
      <c r="A136" s="321">
        <v>5000</v>
      </c>
      <c r="B136" s="322">
        <f>B135+1</f>
        <v>5002</v>
      </c>
      <c r="C136" s="317" t="s">
        <v>1998</v>
      </c>
      <c r="D136" s="323">
        <v>0</v>
      </c>
      <c r="E136" s="302">
        <f>(SUMIF('COST REPORT'!$A$9:$A$998,'Contractor''s Budget Detail'!B136,'COST REPORT'!$F$9:$F$998))-(SUMIFS('COST REPORT'!$F$9:$F$998,'COST REPORT'!$A$9:$A$998,'Contractor''s Budget Detail'!B136,'COST REPORT'!$I$9:$I$998,"Close"))</f>
        <v>0</v>
      </c>
      <c r="F136" s="302">
        <f>(SUMIF(INPUT!$I$231:$I$522,'Contractor''s Budget Detail'!B136,INPUT!$H$231:$H$522)+SUMIFS('COST REPORT'!$F$9:$F$998,'COST REPORT'!$A$9:$A$998,'Contractor''s Budget Detail'!B136,'COST REPORT'!$I$9:$I$998,"close"))-(SUMIFS('COST REPORT'!$F$9:$F$998,'COST REPORT'!$A$9:$A$998,'Contractor''s Budget Detail'!B136,'COST REPORT'!$I$9:$I$998,"close",'COST REPORT'!$J$9:$J$998,"x"))</f>
        <v>0</v>
      </c>
      <c r="G136" s="302">
        <f>E136+F136</f>
        <v>0</v>
      </c>
      <c r="H136" s="302">
        <f>SUMIF('COST REPORT'!$A$9:$A$998,'Contractor''s Budget Detail'!B136,'COST REPORT'!$G$9:$G$998)</f>
        <v>0</v>
      </c>
      <c r="I136" s="302">
        <f>G136-H136</f>
        <v>0</v>
      </c>
      <c r="J136" s="324">
        <f>D136-G136</f>
        <v>0</v>
      </c>
    </row>
    <row r="137" spans="1:10">
      <c r="A137" s="321">
        <v>5000</v>
      </c>
      <c r="B137" s="322">
        <f t="shared" ref="B137:B152" si="28">B136+1</f>
        <v>5003</v>
      </c>
      <c r="C137" s="317" t="s">
        <v>1999</v>
      </c>
      <c r="D137" s="323">
        <v>0</v>
      </c>
      <c r="E137" s="302">
        <f>(SUMIF('COST REPORT'!$A$9:$A$998,'Contractor''s Budget Detail'!B137,'COST REPORT'!$F$9:$F$998))-(SUMIFS('COST REPORT'!$F$9:$F$998,'COST REPORT'!$A$9:$A$998,'Contractor''s Budget Detail'!B137,'COST REPORT'!$I$9:$I$998,"Close"))</f>
        <v>0</v>
      </c>
      <c r="F137" s="302">
        <f>(SUMIF(INPUT!$I$231:$I$522,'Contractor''s Budget Detail'!B137,INPUT!$H$231:$H$522)+SUMIFS('COST REPORT'!$F$9:$F$998,'COST REPORT'!$A$9:$A$998,'Contractor''s Budget Detail'!B137,'COST REPORT'!$I$9:$I$998,"close"))-(SUMIFS('COST REPORT'!$F$9:$F$998,'COST REPORT'!$A$9:$A$998,'Contractor''s Budget Detail'!B137,'COST REPORT'!$I$9:$I$998,"close",'COST REPORT'!$J$9:$J$998,"x"))</f>
        <v>0</v>
      </c>
      <c r="G137" s="302">
        <f t="shared" ref="G137:G152" si="29">E137+F137</f>
        <v>0</v>
      </c>
      <c r="H137" s="302">
        <f>SUMIF('COST REPORT'!$A$9:$A$998,'Contractor''s Budget Detail'!B137,'COST REPORT'!$G$9:$G$998)</f>
        <v>0</v>
      </c>
      <c r="I137" s="302">
        <f t="shared" ref="I137:I152" si="30">G137-H137</f>
        <v>0</v>
      </c>
      <c r="J137" s="324">
        <f t="shared" ref="J137:J152" si="31">D137-G137</f>
        <v>0</v>
      </c>
    </row>
    <row r="138" spans="1:10">
      <c r="A138" s="321">
        <v>5000</v>
      </c>
      <c r="B138" s="322">
        <f t="shared" si="28"/>
        <v>5004</v>
      </c>
      <c r="C138" s="317" t="s">
        <v>2000</v>
      </c>
      <c r="D138" s="323">
        <v>0</v>
      </c>
      <c r="E138" s="302">
        <f>(SUMIF('COST REPORT'!$A$9:$A$998,'Contractor''s Budget Detail'!B138,'COST REPORT'!$F$9:$F$998))-(SUMIFS('COST REPORT'!$F$9:$F$998,'COST REPORT'!$A$9:$A$998,'Contractor''s Budget Detail'!B138,'COST REPORT'!$I$9:$I$998,"Close"))</f>
        <v>0</v>
      </c>
      <c r="F138" s="302">
        <f>(SUMIF(INPUT!$I$231:$I$522,'Contractor''s Budget Detail'!B138,INPUT!$H$231:$H$522)+SUMIFS('COST REPORT'!$F$9:$F$998,'COST REPORT'!$A$9:$A$998,'Contractor''s Budget Detail'!B138,'COST REPORT'!$I$9:$I$998,"close"))-(SUMIFS('COST REPORT'!$F$9:$F$998,'COST REPORT'!$A$9:$A$998,'Contractor''s Budget Detail'!B138,'COST REPORT'!$I$9:$I$998,"close",'COST REPORT'!$J$9:$J$998,"x"))</f>
        <v>0</v>
      </c>
      <c r="G138" s="302">
        <f t="shared" si="29"/>
        <v>0</v>
      </c>
      <c r="H138" s="302">
        <f>SUMIF('COST REPORT'!$A$9:$A$998,'Contractor''s Budget Detail'!B138,'COST REPORT'!$G$9:$G$998)</f>
        <v>0</v>
      </c>
      <c r="I138" s="302">
        <f t="shared" si="30"/>
        <v>0</v>
      </c>
      <c r="J138" s="324">
        <f t="shared" si="31"/>
        <v>0</v>
      </c>
    </row>
    <row r="139" spans="1:10">
      <c r="A139" s="321">
        <v>5000</v>
      </c>
      <c r="B139" s="322">
        <f t="shared" si="28"/>
        <v>5005</v>
      </c>
      <c r="C139" s="317" t="s">
        <v>2001</v>
      </c>
      <c r="D139" s="323">
        <v>0</v>
      </c>
      <c r="E139" s="302">
        <f>(SUMIF('COST REPORT'!$A$9:$A$998,'Contractor''s Budget Detail'!B139,'COST REPORT'!$F$9:$F$998))-(SUMIFS('COST REPORT'!$F$9:$F$998,'COST REPORT'!$A$9:$A$998,'Contractor''s Budget Detail'!B139,'COST REPORT'!$I$9:$I$998,"Close"))</f>
        <v>0</v>
      </c>
      <c r="F139" s="302">
        <f>(SUMIF(INPUT!$I$231:$I$522,'Contractor''s Budget Detail'!B139,INPUT!$H$231:$H$522)+SUMIFS('COST REPORT'!$F$9:$F$998,'COST REPORT'!$A$9:$A$998,'Contractor''s Budget Detail'!B139,'COST REPORT'!$I$9:$I$998,"close"))-(SUMIFS('COST REPORT'!$F$9:$F$998,'COST REPORT'!$A$9:$A$998,'Contractor''s Budget Detail'!B139,'COST REPORT'!$I$9:$I$998,"close",'COST REPORT'!$J$9:$J$998,"x"))</f>
        <v>0</v>
      </c>
      <c r="G139" s="302">
        <f t="shared" si="29"/>
        <v>0</v>
      </c>
      <c r="H139" s="302">
        <f>SUMIF('COST REPORT'!$A$9:$A$998,'Contractor''s Budget Detail'!B139,'COST REPORT'!$G$9:$G$998)</f>
        <v>0</v>
      </c>
      <c r="I139" s="302">
        <f t="shared" si="30"/>
        <v>0</v>
      </c>
      <c r="J139" s="324">
        <f t="shared" si="31"/>
        <v>0</v>
      </c>
    </row>
    <row r="140" spans="1:10">
      <c r="A140" s="321">
        <v>5000</v>
      </c>
      <c r="B140" s="322">
        <f t="shared" si="28"/>
        <v>5006</v>
      </c>
      <c r="C140" s="317" t="s">
        <v>2002</v>
      </c>
      <c r="D140" s="323">
        <v>0</v>
      </c>
      <c r="E140" s="302">
        <f>(SUMIF('COST REPORT'!$A$9:$A$998,'Contractor''s Budget Detail'!B140,'COST REPORT'!$F$9:$F$998))-(SUMIFS('COST REPORT'!$F$9:$F$998,'COST REPORT'!$A$9:$A$998,'Contractor''s Budget Detail'!B140,'COST REPORT'!$I$9:$I$998,"Close"))</f>
        <v>0</v>
      </c>
      <c r="F140" s="302">
        <f>(SUMIF(INPUT!$I$231:$I$522,'Contractor''s Budget Detail'!B140,INPUT!$H$231:$H$522)+SUMIFS('COST REPORT'!$F$9:$F$998,'COST REPORT'!$A$9:$A$998,'Contractor''s Budget Detail'!B140,'COST REPORT'!$I$9:$I$998,"close"))-(SUMIFS('COST REPORT'!$F$9:$F$998,'COST REPORT'!$A$9:$A$998,'Contractor''s Budget Detail'!B140,'COST REPORT'!$I$9:$I$998,"close",'COST REPORT'!$J$9:$J$998,"x"))</f>
        <v>0</v>
      </c>
      <c r="G140" s="302">
        <f>E140+F140</f>
        <v>0</v>
      </c>
      <c r="H140" s="302">
        <f>SUMIF('COST REPORT'!$A$9:$A$998,'Contractor''s Budget Detail'!B140,'COST REPORT'!$G$9:$G$998)</f>
        <v>0</v>
      </c>
      <c r="I140" s="302">
        <f>G140-H140</f>
        <v>0</v>
      </c>
      <c r="J140" s="324">
        <f>D140-G140</f>
        <v>0</v>
      </c>
    </row>
    <row r="141" spans="1:10">
      <c r="A141" s="321">
        <v>5000</v>
      </c>
      <c r="B141" s="322">
        <f t="shared" si="28"/>
        <v>5007</v>
      </c>
      <c r="C141" s="317" t="s">
        <v>2003</v>
      </c>
      <c r="D141" s="323">
        <v>0</v>
      </c>
      <c r="E141" s="302">
        <f>(SUMIF('COST REPORT'!$A$9:$A$998,'Contractor''s Budget Detail'!B141,'COST REPORT'!$F$9:$F$998))-(SUMIFS('COST REPORT'!$F$9:$F$998,'COST REPORT'!$A$9:$A$998,'Contractor''s Budget Detail'!B141,'COST REPORT'!$I$9:$I$998,"Close"))</f>
        <v>0</v>
      </c>
      <c r="F141" s="302">
        <f>(SUMIF(INPUT!$I$231:$I$522,'Contractor''s Budget Detail'!B141,INPUT!$H$231:$H$522)+SUMIFS('COST REPORT'!$F$9:$F$998,'COST REPORT'!$A$9:$A$998,'Contractor''s Budget Detail'!B141,'COST REPORT'!$I$9:$I$998,"close"))-(SUMIFS('COST REPORT'!$F$9:$F$998,'COST REPORT'!$A$9:$A$998,'Contractor''s Budget Detail'!B141,'COST REPORT'!$I$9:$I$998,"close",'COST REPORT'!$J$9:$J$998,"x"))</f>
        <v>0</v>
      </c>
      <c r="G141" s="302">
        <f>E141+F141</f>
        <v>0</v>
      </c>
      <c r="H141" s="302">
        <f>SUMIF('COST REPORT'!$A$9:$A$998,'Contractor''s Budget Detail'!B141,'COST REPORT'!$G$9:$G$998)</f>
        <v>0</v>
      </c>
      <c r="I141" s="302">
        <f>G141-H141</f>
        <v>0</v>
      </c>
      <c r="J141" s="324">
        <f>D141-G141</f>
        <v>0</v>
      </c>
    </row>
    <row r="142" spans="1:10">
      <c r="A142" s="321">
        <v>5000</v>
      </c>
      <c r="B142" s="322">
        <f t="shared" si="28"/>
        <v>5008</v>
      </c>
      <c r="C142" s="317" t="s">
        <v>2004</v>
      </c>
      <c r="D142" s="323">
        <v>0</v>
      </c>
      <c r="E142" s="302">
        <f>(SUMIF('COST REPORT'!$A$9:$A$998,'Contractor''s Budget Detail'!B142,'COST REPORT'!$F$9:$F$998))-(SUMIFS('COST REPORT'!$F$9:$F$998,'COST REPORT'!$A$9:$A$998,'Contractor''s Budget Detail'!B142,'COST REPORT'!$I$9:$I$998,"Close"))</f>
        <v>0</v>
      </c>
      <c r="F142" s="302">
        <f>(SUMIF(INPUT!$I$231:$I$522,'Contractor''s Budget Detail'!B142,INPUT!$H$231:$H$522)+SUMIFS('COST REPORT'!$F$9:$F$998,'COST REPORT'!$A$9:$A$998,'Contractor''s Budget Detail'!B142,'COST REPORT'!$I$9:$I$998,"close"))-(SUMIFS('COST REPORT'!$F$9:$F$998,'COST REPORT'!$A$9:$A$998,'Contractor''s Budget Detail'!B142,'COST REPORT'!$I$9:$I$998,"close",'COST REPORT'!$J$9:$J$998,"x"))</f>
        <v>0</v>
      </c>
      <c r="G142" s="302">
        <f t="shared" si="29"/>
        <v>0</v>
      </c>
      <c r="H142" s="302">
        <f>SUMIF('COST REPORT'!$A$9:$A$998,'Contractor''s Budget Detail'!B142,'COST REPORT'!$G$9:$G$998)</f>
        <v>0</v>
      </c>
      <c r="I142" s="302">
        <f t="shared" si="30"/>
        <v>0</v>
      </c>
      <c r="J142" s="324">
        <f t="shared" si="31"/>
        <v>0</v>
      </c>
    </row>
    <row r="143" spans="1:10">
      <c r="A143" s="321">
        <v>5000</v>
      </c>
      <c r="B143" s="322">
        <f t="shared" si="28"/>
        <v>5009</v>
      </c>
      <c r="C143" s="317" t="s">
        <v>2005</v>
      </c>
      <c r="D143" s="323">
        <v>0</v>
      </c>
      <c r="E143" s="302">
        <f>(SUMIF('COST REPORT'!$A$9:$A$998,'Contractor''s Budget Detail'!B143,'COST REPORT'!$F$9:$F$998))-(SUMIFS('COST REPORT'!$F$9:$F$998,'COST REPORT'!$A$9:$A$998,'Contractor''s Budget Detail'!B143,'COST REPORT'!$I$9:$I$998,"Close"))</f>
        <v>0</v>
      </c>
      <c r="F143" s="302">
        <f>(SUMIF(INPUT!$I$231:$I$522,'Contractor''s Budget Detail'!B143,INPUT!$H$231:$H$522)+SUMIFS('COST REPORT'!$F$9:$F$998,'COST REPORT'!$A$9:$A$998,'Contractor''s Budget Detail'!B143,'COST REPORT'!$I$9:$I$998,"close"))-(SUMIFS('COST REPORT'!$F$9:$F$998,'COST REPORT'!$A$9:$A$998,'Contractor''s Budget Detail'!B143,'COST REPORT'!$I$9:$I$998,"close",'COST REPORT'!$J$9:$J$998,"x"))</f>
        <v>0</v>
      </c>
      <c r="G143" s="302">
        <f>E143+F143</f>
        <v>0</v>
      </c>
      <c r="H143" s="302">
        <f>SUMIF('COST REPORT'!$A$9:$A$998,'Contractor''s Budget Detail'!B143,'COST REPORT'!$G$9:$G$998)</f>
        <v>0</v>
      </c>
      <c r="I143" s="302">
        <f>G143-H143</f>
        <v>0</v>
      </c>
      <c r="J143" s="324">
        <f>D143-G143</f>
        <v>0</v>
      </c>
    </row>
    <row r="144" spans="1:10">
      <c r="A144" s="321">
        <v>5000</v>
      </c>
      <c r="B144" s="322">
        <f t="shared" si="28"/>
        <v>5010</v>
      </c>
      <c r="C144" s="317" t="s">
        <v>2006</v>
      </c>
      <c r="D144" s="323">
        <v>0</v>
      </c>
      <c r="E144" s="302">
        <f>(SUMIF('COST REPORT'!$A$9:$A$998,'Contractor''s Budget Detail'!B144,'COST REPORT'!$F$9:$F$998))-(SUMIFS('COST REPORT'!$F$9:$F$998,'COST REPORT'!$A$9:$A$998,'Contractor''s Budget Detail'!B144,'COST REPORT'!$I$9:$I$998,"Close"))</f>
        <v>0</v>
      </c>
      <c r="F144" s="302">
        <f>(SUMIF(INPUT!$I$231:$I$522,'Contractor''s Budget Detail'!B144,INPUT!$H$231:$H$522)+SUMIFS('COST REPORT'!$F$9:$F$998,'COST REPORT'!$A$9:$A$998,'Contractor''s Budget Detail'!B144,'COST REPORT'!$I$9:$I$998,"close"))-(SUMIFS('COST REPORT'!$F$9:$F$998,'COST REPORT'!$A$9:$A$998,'Contractor''s Budget Detail'!B144,'COST REPORT'!$I$9:$I$998,"close",'COST REPORT'!$J$9:$J$998,"x"))</f>
        <v>0</v>
      </c>
      <c r="G144" s="302">
        <f t="shared" si="29"/>
        <v>0</v>
      </c>
      <c r="H144" s="302">
        <f>SUMIF('COST REPORT'!$A$9:$A$998,'Contractor''s Budget Detail'!B144,'COST REPORT'!$G$9:$G$998)</f>
        <v>0</v>
      </c>
      <c r="I144" s="302">
        <f t="shared" si="30"/>
        <v>0</v>
      </c>
      <c r="J144" s="324">
        <f t="shared" si="31"/>
        <v>0</v>
      </c>
    </row>
    <row r="145" spans="1:10">
      <c r="A145" s="321">
        <v>5000</v>
      </c>
      <c r="B145" s="322">
        <f t="shared" si="28"/>
        <v>5011</v>
      </c>
      <c r="C145" s="325" t="s">
        <v>2007</v>
      </c>
      <c r="D145" s="323">
        <v>0</v>
      </c>
      <c r="E145" s="302">
        <f>(SUMIF('COST REPORT'!$A$9:$A$998,'Contractor''s Budget Detail'!B145,'COST REPORT'!$F$9:$F$998))-(SUMIFS('COST REPORT'!$F$9:$F$998,'COST REPORT'!$A$9:$A$998,'Contractor''s Budget Detail'!B145,'COST REPORT'!$I$9:$I$998,"Close"))</f>
        <v>0</v>
      </c>
      <c r="F145" s="302">
        <f>(SUMIF(INPUT!$I$231:$I$522,'Contractor''s Budget Detail'!B145,INPUT!$H$231:$H$522)+SUMIFS('COST REPORT'!$F$9:$F$998,'COST REPORT'!$A$9:$A$998,'Contractor''s Budget Detail'!B145,'COST REPORT'!$I$9:$I$998,"close"))-(SUMIFS('COST REPORT'!$F$9:$F$998,'COST REPORT'!$A$9:$A$998,'Contractor''s Budget Detail'!B145,'COST REPORT'!$I$9:$I$998,"close",'COST REPORT'!$J$9:$J$998,"x"))</f>
        <v>0</v>
      </c>
      <c r="G145" s="302">
        <f t="shared" si="29"/>
        <v>0</v>
      </c>
      <c r="H145" s="302">
        <f>SUMIF('COST REPORT'!$A$9:$A$998,'Contractor''s Budget Detail'!B145,'COST REPORT'!$G$9:$G$998)</f>
        <v>0</v>
      </c>
      <c r="I145" s="302">
        <f t="shared" si="30"/>
        <v>0</v>
      </c>
      <c r="J145" s="324">
        <f t="shared" si="31"/>
        <v>0</v>
      </c>
    </row>
    <row r="146" spans="1:10">
      <c r="A146" s="321">
        <v>5000</v>
      </c>
      <c r="B146" s="322">
        <f t="shared" si="28"/>
        <v>5012</v>
      </c>
      <c r="C146" s="325" t="s">
        <v>1939</v>
      </c>
      <c r="D146" s="323">
        <v>0</v>
      </c>
      <c r="E146" s="302">
        <f>(SUMIF('COST REPORT'!$A$9:$A$998,'Contractor''s Budget Detail'!B146,'COST REPORT'!$F$9:$F$998))-(SUMIFS('COST REPORT'!$F$9:$F$998,'COST REPORT'!$A$9:$A$998,'Contractor''s Budget Detail'!B146,'COST REPORT'!$I$9:$I$998,"Close"))</f>
        <v>0</v>
      </c>
      <c r="F146" s="302">
        <f>(SUMIF(INPUT!$I$231:$I$522,'Contractor''s Budget Detail'!B146,INPUT!$H$231:$H$522)+SUMIFS('COST REPORT'!$F$9:$F$998,'COST REPORT'!$A$9:$A$998,'Contractor''s Budget Detail'!B146,'COST REPORT'!$I$9:$I$998,"close"))-(SUMIFS('COST REPORT'!$F$9:$F$998,'COST REPORT'!$A$9:$A$998,'Contractor''s Budget Detail'!B146,'COST REPORT'!$I$9:$I$998,"close",'COST REPORT'!$J$9:$J$998,"x"))</f>
        <v>0</v>
      </c>
      <c r="G146" s="302">
        <f t="shared" si="29"/>
        <v>0</v>
      </c>
      <c r="H146" s="302">
        <f>SUMIF('COST REPORT'!$A$9:$A$998,'Contractor''s Budget Detail'!B146,'COST REPORT'!$G$9:$G$998)</f>
        <v>0</v>
      </c>
      <c r="I146" s="302">
        <f t="shared" si="30"/>
        <v>0</v>
      </c>
      <c r="J146" s="324">
        <f t="shared" si="31"/>
        <v>0</v>
      </c>
    </row>
    <row r="147" spans="1:10">
      <c r="A147" s="321">
        <v>5000</v>
      </c>
      <c r="B147" s="322">
        <f t="shared" si="28"/>
        <v>5013</v>
      </c>
      <c r="C147" s="325" t="s">
        <v>1939</v>
      </c>
      <c r="D147" s="323">
        <v>0</v>
      </c>
      <c r="E147" s="302">
        <f>(SUMIF('COST REPORT'!$A$9:$A$998,'Contractor''s Budget Detail'!B147,'COST REPORT'!$F$9:$F$998))-(SUMIFS('COST REPORT'!$F$9:$F$998,'COST REPORT'!$A$9:$A$998,'Contractor''s Budget Detail'!B147,'COST REPORT'!$I$9:$I$998,"Close"))</f>
        <v>0</v>
      </c>
      <c r="F147" s="302">
        <f>(SUMIF(INPUT!$I$231:$I$522,'Contractor''s Budget Detail'!B147,INPUT!$H$231:$H$522)+SUMIFS('COST REPORT'!$F$9:$F$998,'COST REPORT'!$A$9:$A$998,'Contractor''s Budget Detail'!B147,'COST REPORT'!$I$9:$I$998,"close"))-(SUMIFS('COST REPORT'!$F$9:$F$998,'COST REPORT'!$A$9:$A$998,'Contractor''s Budget Detail'!B147,'COST REPORT'!$I$9:$I$998,"close",'COST REPORT'!$J$9:$J$998,"x"))</f>
        <v>0</v>
      </c>
      <c r="G147" s="302">
        <f>E147+F147</f>
        <v>0</v>
      </c>
      <c r="H147" s="302">
        <f>SUMIF('COST REPORT'!$A$9:$A$998,'Contractor''s Budget Detail'!B147,'COST REPORT'!$G$9:$G$998)</f>
        <v>0</v>
      </c>
      <c r="I147" s="302">
        <f>G147-H147</f>
        <v>0</v>
      </c>
      <c r="J147" s="324">
        <f>D147-G147</f>
        <v>0</v>
      </c>
    </row>
    <row r="148" spans="1:10">
      <c r="A148" s="321">
        <v>5000</v>
      </c>
      <c r="B148" s="322">
        <f t="shared" si="28"/>
        <v>5014</v>
      </c>
      <c r="C148" s="325" t="s">
        <v>1939</v>
      </c>
      <c r="D148" s="323">
        <v>0</v>
      </c>
      <c r="E148" s="302">
        <f>(SUMIF('COST REPORT'!$A$9:$A$998,'Contractor''s Budget Detail'!B148,'COST REPORT'!$F$9:$F$998))-(SUMIFS('COST REPORT'!$F$9:$F$998,'COST REPORT'!$A$9:$A$998,'Contractor''s Budget Detail'!B148,'COST REPORT'!$I$9:$I$998,"Close"))</f>
        <v>0</v>
      </c>
      <c r="F148" s="302">
        <f>(SUMIF(INPUT!$I$231:$I$522,'Contractor''s Budget Detail'!B148,INPUT!$H$231:$H$522)+SUMIFS('COST REPORT'!$F$9:$F$998,'COST REPORT'!$A$9:$A$998,'Contractor''s Budget Detail'!B148,'COST REPORT'!$I$9:$I$998,"close"))-(SUMIFS('COST REPORT'!$F$9:$F$998,'COST REPORT'!$A$9:$A$998,'Contractor''s Budget Detail'!B148,'COST REPORT'!$I$9:$I$998,"close",'COST REPORT'!$J$9:$J$998,"x"))</f>
        <v>0</v>
      </c>
      <c r="G148" s="302">
        <f>E148+F148</f>
        <v>0</v>
      </c>
      <c r="H148" s="302">
        <f>SUMIF('COST REPORT'!$A$9:$A$998,'Contractor''s Budget Detail'!B148,'COST REPORT'!$G$9:$G$998)</f>
        <v>0</v>
      </c>
      <c r="I148" s="302">
        <f>G148-H148</f>
        <v>0</v>
      </c>
      <c r="J148" s="324">
        <f>D148-G148</f>
        <v>0</v>
      </c>
    </row>
    <row r="149" spans="1:10">
      <c r="A149" s="321">
        <v>5000</v>
      </c>
      <c r="B149" s="322">
        <f t="shared" si="28"/>
        <v>5015</v>
      </c>
      <c r="C149" s="325" t="s">
        <v>1939</v>
      </c>
      <c r="D149" s="323">
        <v>0</v>
      </c>
      <c r="E149" s="302">
        <f>(SUMIF('COST REPORT'!$A$9:$A$998,'Contractor''s Budget Detail'!B149,'COST REPORT'!$F$9:$F$998))-(SUMIFS('COST REPORT'!$F$9:$F$998,'COST REPORT'!$A$9:$A$998,'Contractor''s Budget Detail'!B149,'COST REPORT'!$I$9:$I$998,"Close"))</f>
        <v>0</v>
      </c>
      <c r="F149" s="302">
        <f>(SUMIF(INPUT!$I$231:$I$522,'Contractor''s Budget Detail'!B149,INPUT!$H$231:$H$522)+SUMIFS('COST REPORT'!$F$9:$F$998,'COST REPORT'!$A$9:$A$998,'Contractor''s Budget Detail'!B149,'COST REPORT'!$I$9:$I$998,"close"))-(SUMIFS('COST REPORT'!$F$9:$F$998,'COST REPORT'!$A$9:$A$998,'Contractor''s Budget Detail'!B149,'COST REPORT'!$I$9:$I$998,"close",'COST REPORT'!$J$9:$J$998,"x"))</f>
        <v>0</v>
      </c>
      <c r="G149" s="302">
        <f>E149+F149</f>
        <v>0</v>
      </c>
      <c r="H149" s="302">
        <f>SUMIF('COST REPORT'!$A$9:$A$998,'Contractor''s Budget Detail'!B149,'COST REPORT'!$G$9:$G$998)</f>
        <v>0</v>
      </c>
      <c r="I149" s="302">
        <f>G149-H149</f>
        <v>0</v>
      </c>
      <c r="J149" s="324">
        <f>D149-G149</f>
        <v>0</v>
      </c>
    </row>
    <row r="150" spans="1:10">
      <c r="A150" s="321">
        <v>5000</v>
      </c>
      <c r="B150" s="322">
        <f t="shared" si="28"/>
        <v>5016</v>
      </c>
      <c r="C150" s="325" t="s">
        <v>1939</v>
      </c>
      <c r="D150" s="323">
        <v>0</v>
      </c>
      <c r="E150" s="302">
        <f>(SUMIF('COST REPORT'!$A$9:$A$998,'Contractor''s Budget Detail'!B150,'COST REPORT'!$F$9:$F$998))-(SUMIFS('COST REPORT'!$F$9:$F$998,'COST REPORT'!$A$9:$A$998,'Contractor''s Budget Detail'!B150,'COST REPORT'!$I$9:$I$998,"Close"))</f>
        <v>0</v>
      </c>
      <c r="F150" s="302">
        <f>(SUMIF(INPUT!$I$231:$I$522,'Contractor''s Budget Detail'!B150,INPUT!$H$231:$H$522)+SUMIFS('COST REPORT'!$F$9:$F$998,'COST REPORT'!$A$9:$A$998,'Contractor''s Budget Detail'!B150,'COST REPORT'!$I$9:$I$998,"close"))-(SUMIFS('COST REPORT'!$F$9:$F$998,'COST REPORT'!$A$9:$A$998,'Contractor''s Budget Detail'!B150,'COST REPORT'!$I$9:$I$998,"close",'COST REPORT'!$J$9:$J$998,"x"))</f>
        <v>0</v>
      </c>
      <c r="G150" s="302">
        <f t="shared" si="29"/>
        <v>0</v>
      </c>
      <c r="H150" s="302">
        <f>SUMIF('COST REPORT'!$A$9:$A$998,'Contractor''s Budget Detail'!B150,'COST REPORT'!$G$9:$G$998)</f>
        <v>0</v>
      </c>
      <c r="I150" s="302">
        <f t="shared" si="30"/>
        <v>0</v>
      </c>
      <c r="J150" s="324">
        <f t="shared" si="31"/>
        <v>0</v>
      </c>
    </row>
    <row r="151" spans="1:10">
      <c r="A151" s="321">
        <v>5000</v>
      </c>
      <c r="B151" s="322">
        <f t="shared" si="28"/>
        <v>5017</v>
      </c>
      <c r="C151" s="325" t="s">
        <v>1939</v>
      </c>
      <c r="D151" s="323">
        <v>0</v>
      </c>
      <c r="E151" s="302">
        <f>(SUMIF('COST REPORT'!$A$9:$A$998,'Contractor''s Budget Detail'!B151,'COST REPORT'!$F$9:$F$998))-(SUMIFS('COST REPORT'!$F$9:$F$998,'COST REPORT'!$A$9:$A$998,'Contractor''s Budget Detail'!B151,'COST REPORT'!$I$9:$I$998,"Close"))</f>
        <v>0</v>
      </c>
      <c r="F151" s="302">
        <f>(SUMIF(INPUT!$I$231:$I$522,'Contractor''s Budget Detail'!B151,INPUT!$H$231:$H$522)+SUMIFS('COST REPORT'!$F$9:$F$998,'COST REPORT'!$A$9:$A$998,'Contractor''s Budget Detail'!B151,'COST REPORT'!$I$9:$I$998,"close"))-(SUMIFS('COST REPORT'!$F$9:$F$998,'COST REPORT'!$A$9:$A$998,'Contractor''s Budget Detail'!B151,'COST REPORT'!$I$9:$I$998,"close",'COST REPORT'!$J$9:$J$998,"x"))</f>
        <v>0</v>
      </c>
      <c r="G151" s="302">
        <f t="shared" si="29"/>
        <v>0</v>
      </c>
      <c r="H151" s="302">
        <f>SUMIF('COST REPORT'!$A$9:$A$998,'Contractor''s Budget Detail'!B151,'COST REPORT'!$G$9:$G$998)</f>
        <v>0</v>
      </c>
      <c r="I151" s="302">
        <f t="shared" si="30"/>
        <v>0</v>
      </c>
      <c r="J151" s="324">
        <f t="shared" si="31"/>
        <v>0</v>
      </c>
    </row>
    <row r="152" spans="1:10">
      <c r="A152" s="321">
        <v>5000</v>
      </c>
      <c r="B152" s="322">
        <f t="shared" si="28"/>
        <v>5018</v>
      </c>
      <c r="C152" s="325" t="s">
        <v>1939</v>
      </c>
      <c r="D152" s="323">
        <v>0</v>
      </c>
      <c r="E152" s="302">
        <f>(SUMIF('COST REPORT'!$A$9:$A$998,'Contractor''s Budget Detail'!B152,'COST REPORT'!$F$9:$F$998))-(SUMIFS('COST REPORT'!$F$9:$F$998,'COST REPORT'!$A$9:$A$998,'Contractor''s Budget Detail'!B152,'COST REPORT'!$I$9:$I$998,"Close"))</f>
        <v>0</v>
      </c>
      <c r="F152" s="302">
        <f>(SUMIF(INPUT!$I$231:$I$522,'Contractor''s Budget Detail'!B152,INPUT!$H$231:$H$522)+SUMIFS('COST REPORT'!$F$9:$F$998,'COST REPORT'!$A$9:$A$998,'Contractor''s Budget Detail'!B152,'COST REPORT'!$I$9:$I$998,"close"))-(SUMIFS('COST REPORT'!$F$9:$F$998,'COST REPORT'!$A$9:$A$998,'Contractor''s Budget Detail'!B152,'COST REPORT'!$I$9:$I$998,"close",'COST REPORT'!$J$9:$J$998,"x"))</f>
        <v>0</v>
      </c>
      <c r="G152" s="302">
        <f t="shared" si="29"/>
        <v>0</v>
      </c>
      <c r="H152" s="302">
        <f>SUMIF('COST REPORT'!$A$9:$A$998,'Contractor''s Budget Detail'!B152,'COST REPORT'!$G$9:$G$998)</f>
        <v>0</v>
      </c>
      <c r="I152" s="302">
        <f t="shared" si="30"/>
        <v>0</v>
      </c>
      <c r="J152" s="324">
        <f t="shared" si="31"/>
        <v>0</v>
      </c>
    </row>
    <row r="153" spans="1:10" ht="13.5" thickBot="1">
      <c r="A153" s="326" t="s">
        <v>2008</v>
      </c>
      <c r="B153" s="307"/>
      <c r="C153" s="308"/>
      <c r="D153" s="305">
        <f t="shared" ref="D153:J153" si="32">SUM(D135:D152)</f>
        <v>0</v>
      </c>
      <c r="E153" s="305">
        <f t="shared" si="32"/>
        <v>0</v>
      </c>
      <c r="F153" s="305">
        <f t="shared" si="32"/>
        <v>0</v>
      </c>
      <c r="G153" s="305">
        <f t="shared" si="32"/>
        <v>0</v>
      </c>
      <c r="H153" s="305">
        <f t="shared" si="32"/>
        <v>0</v>
      </c>
      <c r="I153" s="305">
        <f t="shared" si="32"/>
        <v>0</v>
      </c>
      <c r="J153" s="327">
        <f t="shared" si="32"/>
        <v>0</v>
      </c>
    </row>
    <row r="154" spans="1:10">
      <c r="A154" s="328"/>
      <c r="B154" s="71"/>
      <c r="C154" s="90"/>
      <c r="D154" s="306"/>
      <c r="E154" s="306"/>
      <c r="H154" s="306"/>
      <c r="I154" s="306"/>
      <c r="J154" s="329"/>
    </row>
    <row r="155" spans="1:10">
      <c r="A155" s="330" t="s">
        <v>2009</v>
      </c>
      <c r="B155" s="205"/>
      <c r="C155" s="88"/>
      <c r="D155" s="331"/>
      <c r="E155" s="331"/>
      <c r="F155" s="338"/>
      <c r="G155" s="338"/>
      <c r="H155" s="331"/>
      <c r="I155" s="331"/>
      <c r="J155" s="339"/>
    </row>
    <row r="156" spans="1:10">
      <c r="A156" s="321">
        <v>6000</v>
      </c>
      <c r="B156" s="322">
        <f>6001</f>
        <v>6001</v>
      </c>
      <c r="C156" s="317" t="s">
        <v>2010</v>
      </c>
      <c r="D156" s="323">
        <v>0</v>
      </c>
      <c r="E156" s="302">
        <f>(SUMIF('COST REPORT'!$A$9:$A$998,'Contractor''s Budget Detail'!B156,'COST REPORT'!$F$9:$F$998))-(SUMIFS('COST REPORT'!$F$9:$F$998,'COST REPORT'!$A$9:$A$998,'Contractor''s Budget Detail'!B156,'COST REPORT'!$I$9:$I$998,"Close"))</f>
        <v>0</v>
      </c>
      <c r="F156" s="302">
        <f>(SUMIF(INPUT!$I$231:$I$522,'Contractor''s Budget Detail'!B156,INPUT!$H$231:$H$522)+SUMIFS('COST REPORT'!$F$9:$F$998,'COST REPORT'!$A$9:$A$998,'Contractor''s Budget Detail'!B156,'COST REPORT'!$I$9:$I$998,"close"))-(SUMIFS('COST REPORT'!$F$9:$F$998,'COST REPORT'!$A$9:$A$998,'Contractor''s Budget Detail'!B156,'COST REPORT'!$I$9:$I$998,"close",'COST REPORT'!$J$9:$J$998,"x"))</f>
        <v>0</v>
      </c>
      <c r="G156" s="302">
        <f>E156+F156</f>
        <v>0</v>
      </c>
      <c r="H156" s="302">
        <f>SUMIF('COST REPORT'!$A$9:$A$998,'Contractor''s Budget Detail'!B156,'COST REPORT'!$G$9:$G$998)</f>
        <v>0</v>
      </c>
      <c r="I156" s="302">
        <f>G156-H156</f>
        <v>0</v>
      </c>
      <c r="J156" s="324">
        <f>D156-G156</f>
        <v>0</v>
      </c>
    </row>
    <row r="157" spans="1:10">
      <c r="A157" s="321">
        <v>6000</v>
      </c>
      <c r="B157" s="322">
        <f>B156+1</f>
        <v>6002</v>
      </c>
      <c r="C157" s="317" t="s">
        <v>2011</v>
      </c>
      <c r="D157" s="323">
        <v>0</v>
      </c>
      <c r="E157" s="302">
        <f>(SUMIF('COST REPORT'!$A$9:$A$998,'Contractor''s Budget Detail'!B157,'COST REPORT'!$F$9:$F$998))-(SUMIFS('COST REPORT'!$F$9:$F$998,'COST REPORT'!$A$9:$A$998,'Contractor''s Budget Detail'!B157,'COST REPORT'!$I$9:$I$998,"Close"))</f>
        <v>0</v>
      </c>
      <c r="F157" s="302">
        <f>(SUMIF(INPUT!$I$231:$I$522,'Contractor''s Budget Detail'!B157,INPUT!$H$231:$H$522)+SUMIFS('COST REPORT'!$F$9:$F$998,'COST REPORT'!$A$9:$A$998,'Contractor''s Budget Detail'!B157,'COST REPORT'!$I$9:$I$998,"close"))-(SUMIFS('COST REPORT'!$F$9:$F$998,'COST REPORT'!$A$9:$A$998,'Contractor''s Budget Detail'!B157,'COST REPORT'!$I$9:$I$998,"close",'COST REPORT'!$J$9:$J$998,"x"))</f>
        <v>0</v>
      </c>
      <c r="G157" s="302">
        <f>E157+F157</f>
        <v>0</v>
      </c>
      <c r="H157" s="302">
        <f>SUMIF('COST REPORT'!$A$9:$A$998,'Contractor''s Budget Detail'!B157,'COST REPORT'!$G$9:$G$998)</f>
        <v>0</v>
      </c>
      <c r="I157" s="302">
        <f>G157-H157</f>
        <v>0</v>
      </c>
      <c r="J157" s="324">
        <f>D157-G157</f>
        <v>0</v>
      </c>
    </row>
    <row r="158" spans="1:10">
      <c r="A158" s="321">
        <v>6000</v>
      </c>
      <c r="B158" s="322">
        <f t="shared" ref="B158:B178" si="33">B157+1</f>
        <v>6003</v>
      </c>
      <c r="C158" s="317" t="s">
        <v>2012</v>
      </c>
      <c r="D158" s="323">
        <v>0</v>
      </c>
      <c r="E158" s="302">
        <f>(SUMIF('COST REPORT'!$A$9:$A$998,'Contractor''s Budget Detail'!B158,'COST REPORT'!$F$9:$F$998))-(SUMIFS('COST REPORT'!$F$9:$F$998,'COST REPORT'!$A$9:$A$998,'Contractor''s Budget Detail'!B158,'COST REPORT'!$I$9:$I$998,"Close"))</f>
        <v>0</v>
      </c>
      <c r="F158" s="302">
        <f>(SUMIF(INPUT!$I$231:$I$522,'Contractor''s Budget Detail'!B158,INPUT!$H$231:$H$522)+SUMIFS('COST REPORT'!$F$9:$F$998,'COST REPORT'!$A$9:$A$998,'Contractor''s Budget Detail'!B158,'COST REPORT'!$I$9:$I$998,"close"))-(SUMIFS('COST REPORT'!$F$9:$F$998,'COST REPORT'!$A$9:$A$998,'Contractor''s Budget Detail'!B158,'COST REPORT'!$I$9:$I$998,"close",'COST REPORT'!$J$9:$J$998,"x"))</f>
        <v>0</v>
      </c>
      <c r="G158" s="302">
        <f>E158+F158</f>
        <v>0</v>
      </c>
      <c r="H158" s="302">
        <f>SUMIF('COST REPORT'!$A$9:$A$998,'Contractor''s Budget Detail'!B158,'COST REPORT'!$G$9:$G$998)</f>
        <v>0</v>
      </c>
      <c r="I158" s="302">
        <f>G158-H158</f>
        <v>0</v>
      </c>
      <c r="J158" s="324">
        <f>D158-G158</f>
        <v>0</v>
      </c>
    </row>
    <row r="159" spans="1:10">
      <c r="A159" s="321">
        <v>6000</v>
      </c>
      <c r="B159" s="322">
        <f t="shared" si="33"/>
        <v>6004</v>
      </c>
      <c r="C159" s="317" t="s">
        <v>2013</v>
      </c>
      <c r="D159" s="323">
        <v>0</v>
      </c>
      <c r="E159" s="302">
        <f>(SUMIF('COST REPORT'!$A$9:$A$998,'Contractor''s Budget Detail'!B159,'COST REPORT'!$F$9:$F$998))-(SUMIFS('COST REPORT'!$F$9:$F$998,'COST REPORT'!$A$9:$A$998,'Contractor''s Budget Detail'!B159,'COST REPORT'!$I$9:$I$998,"Close"))</f>
        <v>0</v>
      </c>
      <c r="F159" s="302">
        <f>(SUMIF(INPUT!$I$231:$I$522,'Contractor''s Budget Detail'!B159,INPUT!$H$231:$H$522)+SUMIFS('COST REPORT'!$F$9:$F$998,'COST REPORT'!$A$9:$A$998,'Contractor''s Budget Detail'!B159,'COST REPORT'!$I$9:$I$998,"close"))-(SUMIFS('COST REPORT'!$F$9:$F$998,'COST REPORT'!$A$9:$A$998,'Contractor''s Budget Detail'!B159,'COST REPORT'!$I$9:$I$998,"close",'COST REPORT'!$J$9:$J$998,"x"))</f>
        <v>0</v>
      </c>
      <c r="G159" s="302">
        <f>E159+F159</f>
        <v>0</v>
      </c>
      <c r="H159" s="302">
        <f>SUMIF('COST REPORT'!$A$9:$A$998,'Contractor''s Budget Detail'!B159,'COST REPORT'!$G$9:$G$998)</f>
        <v>0</v>
      </c>
      <c r="I159" s="302">
        <f>G159-H159</f>
        <v>0</v>
      </c>
      <c r="J159" s="324">
        <f>D159-G159</f>
        <v>0</v>
      </c>
    </row>
    <row r="160" spans="1:10">
      <c r="A160" s="321">
        <v>6000</v>
      </c>
      <c r="B160" s="322">
        <f t="shared" si="33"/>
        <v>6005</v>
      </c>
      <c r="C160" s="317" t="s">
        <v>2014</v>
      </c>
      <c r="D160" s="323">
        <v>0</v>
      </c>
      <c r="E160" s="302">
        <f>(SUMIF('COST REPORT'!$A$9:$A$998,'Contractor''s Budget Detail'!B160,'COST REPORT'!$F$9:$F$998))-(SUMIFS('COST REPORT'!$F$9:$F$998,'COST REPORT'!$A$9:$A$998,'Contractor''s Budget Detail'!B160,'COST REPORT'!$I$9:$I$998,"Close"))</f>
        <v>0</v>
      </c>
      <c r="F160" s="302">
        <f>(SUMIF(INPUT!$I$231:$I$522,'Contractor''s Budget Detail'!B160,INPUT!$H$231:$H$522)+SUMIFS('COST REPORT'!$F$9:$F$998,'COST REPORT'!$A$9:$A$998,'Contractor''s Budget Detail'!B160,'COST REPORT'!$I$9:$I$998,"close"))-(SUMIFS('COST REPORT'!$F$9:$F$998,'COST REPORT'!$A$9:$A$998,'Contractor''s Budget Detail'!B160,'COST REPORT'!$I$9:$I$998,"close",'COST REPORT'!$J$9:$J$998,"x"))</f>
        <v>0</v>
      </c>
      <c r="G160" s="302">
        <f>E160+F160</f>
        <v>0</v>
      </c>
      <c r="H160" s="302">
        <f>SUMIF('COST REPORT'!$A$9:$A$998,'Contractor''s Budget Detail'!B160,'COST REPORT'!$G$9:$G$998)</f>
        <v>0</v>
      </c>
      <c r="I160" s="302">
        <f>G160-H160</f>
        <v>0</v>
      </c>
      <c r="J160" s="324">
        <f>D160-G160</f>
        <v>0</v>
      </c>
    </row>
    <row r="161" spans="1:10">
      <c r="A161" s="321">
        <v>6000</v>
      </c>
      <c r="B161" s="322">
        <f t="shared" si="33"/>
        <v>6006</v>
      </c>
      <c r="C161" s="317" t="s">
        <v>2015</v>
      </c>
      <c r="D161" s="323">
        <v>0</v>
      </c>
      <c r="E161" s="302">
        <f>(SUMIF('COST REPORT'!$A$9:$A$998,'Contractor''s Budget Detail'!B161,'COST REPORT'!$F$9:$F$998))-(SUMIFS('COST REPORT'!$F$9:$F$998,'COST REPORT'!$A$9:$A$998,'Contractor''s Budget Detail'!B161,'COST REPORT'!$I$9:$I$998,"Close"))</f>
        <v>0</v>
      </c>
      <c r="F161" s="302">
        <f>(SUMIF(INPUT!$I$231:$I$522,'Contractor''s Budget Detail'!B161,INPUT!$H$231:$H$522)+SUMIFS('COST REPORT'!$F$9:$F$998,'COST REPORT'!$A$9:$A$998,'Contractor''s Budget Detail'!B161,'COST REPORT'!$I$9:$I$998,"close"))-(SUMIFS('COST REPORT'!$F$9:$F$998,'COST REPORT'!$A$9:$A$998,'Contractor''s Budget Detail'!B161,'COST REPORT'!$I$9:$I$998,"close",'COST REPORT'!$J$9:$J$998,"x"))</f>
        <v>0</v>
      </c>
      <c r="G161" s="302">
        <f t="shared" ref="G161:G178" si="34">E161+F161</f>
        <v>0</v>
      </c>
      <c r="H161" s="302">
        <f>SUMIF('COST REPORT'!$A$9:$A$998,'Contractor''s Budget Detail'!B161,'COST REPORT'!$G$9:$G$998)</f>
        <v>0</v>
      </c>
      <c r="I161" s="302">
        <f t="shared" ref="I161:I178" si="35">G161-H161</f>
        <v>0</v>
      </c>
      <c r="J161" s="324">
        <f t="shared" ref="J161:J178" si="36">D161-G161</f>
        <v>0</v>
      </c>
    </row>
    <row r="162" spans="1:10">
      <c r="A162" s="321">
        <v>6000</v>
      </c>
      <c r="B162" s="322">
        <f t="shared" si="33"/>
        <v>6007</v>
      </c>
      <c r="C162" s="317" t="s">
        <v>2016</v>
      </c>
      <c r="D162" s="323">
        <v>0</v>
      </c>
      <c r="E162" s="302">
        <f>(SUMIF('COST REPORT'!$A$9:$A$998,'Contractor''s Budget Detail'!B162,'COST REPORT'!$F$9:$F$998))-(SUMIFS('COST REPORT'!$F$9:$F$998,'COST REPORT'!$A$9:$A$998,'Contractor''s Budget Detail'!B162,'COST REPORT'!$I$9:$I$998,"Close"))</f>
        <v>0</v>
      </c>
      <c r="F162" s="302">
        <f>(SUMIF(INPUT!$I$231:$I$522,'Contractor''s Budget Detail'!B162,INPUT!$H$231:$H$522)+SUMIFS('COST REPORT'!$F$9:$F$998,'COST REPORT'!$A$9:$A$998,'Contractor''s Budget Detail'!B162,'COST REPORT'!$I$9:$I$998,"close"))-(SUMIFS('COST REPORT'!$F$9:$F$998,'COST REPORT'!$A$9:$A$998,'Contractor''s Budget Detail'!B162,'COST REPORT'!$I$9:$I$998,"close",'COST REPORT'!$J$9:$J$998,"x"))</f>
        <v>0</v>
      </c>
      <c r="G162" s="302">
        <f t="shared" si="34"/>
        <v>0</v>
      </c>
      <c r="H162" s="302">
        <f>SUMIF('COST REPORT'!$A$9:$A$998,'Contractor''s Budget Detail'!B162,'COST REPORT'!$G$9:$G$998)</f>
        <v>0</v>
      </c>
      <c r="I162" s="302">
        <f t="shared" si="35"/>
        <v>0</v>
      </c>
      <c r="J162" s="324">
        <f t="shared" si="36"/>
        <v>0</v>
      </c>
    </row>
    <row r="163" spans="1:10">
      <c r="A163" s="321">
        <v>6000</v>
      </c>
      <c r="B163" s="322">
        <f t="shared" si="33"/>
        <v>6008</v>
      </c>
      <c r="C163" s="317" t="s">
        <v>2017</v>
      </c>
      <c r="D163" s="323">
        <v>0</v>
      </c>
      <c r="E163" s="302">
        <f>(SUMIF('COST REPORT'!$A$9:$A$998,'Contractor''s Budget Detail'!B163,'COST REPORT'!$F$9:$F$998))-(SUMIFS('COST REPORT'!$F$9:$F$998,'COST REPORT'!$A$9:$A$998,'Contractor''s Budget Detail'!B163,'COST REPORT'!$I$9:$I$998,"Close"))</f>
        <v>0</v>
      </c>
      <c r="F163" s="302">
        <f>(SUMIF(INPUT!$I$231:$I$522,'Contractor''s Budget Detail'!B163,INPUT!$H$231:$H$522)+SUMIFS('COST REPORT'!$F$9:$F$998,'COST REPORT'!$A$9:$A$998,'Contractor''s Budget Detail'!B163,'COST REPORT'!$I$9:$I$998,"close"))-(SUMIFS('COST REPORT'!$F$9:$F$998,'COST REPORT'!$A$9:$A$998,'Contractor''s Budget Detail'!B163,'COST REPORT'!$I$9:$I$998,"close",'COST REPORT'!$J$9:$J$998,"x"))</f>
        <v>0</v>
      </c>
      <c r="G163" s="302">
        <f t="shared" si="34"/>
        <v>0</v>
      </c>
      <c r="H163" s="302">
        <f>SUMIF('COST REPORT'!$A$9:$A$998,'Contractor''s Budget Detail'!B163,'COST REPORT'!$G$9:$G$998)</f>
        <v>0</v>
      </c>
      <c r="I163" s="302">
        <f t="shared" si="35"/>
        <v>0</v>
      </c>
      <c r="J163" s="324">
        <f t="shared" si="36"/>
        <v>0</v>
      </c>
    </row>
    <row r="164" spans="1:10">
      <c r="A164" s="321">
        <v>6000</v>
      </c>
      <c r="B164" s="322">
        <f t="shared" si="33"/>
        <v>6009</v>
      </c>
      <c r="C164" s="317" t="s">
        <v>2018</v>
      </c>
      <c r="D164" s="323">
        <v>0</v>
      </c>
      <c r="E164" s="302">
        <f>(SUMIF('COST REPORT'!$A$9:$A$998,'Contractor''s Budget Detail'!B164,'COST REPORT'!$F$9:$F$998))-(SUMIFS('COST REPORT'!$F$9:$F$998,'COST REPORT'!$A$9:$A$998,'Contractor''s Budget Detail'!B164,'COST REPORT'!$I$9:$I$998,"Close"))</f>
        <v>0</v>
      </c>
      <c r="F164" s="302">
        <f>(SUMIF(INPUT!$I$231:$I$522,'Contractor''s Budget Detail'!B164,INPUT!$H$231:$H$522)+SUMIFS('COST REPORT'!$F$9:$F$998,'COST REPORT'!$A$9:$A$998,'Contractor''s Budget Detail'!B164,'COST REPORT'!$I$9:$I$998,"close"))-(SUMIFS('COST REPORT'!$F$9:$F$998,'COST REPORT'!$A$9:$A$998,'Contractor''s Budget Detail'!B164,'COST REPORT'!$I$9:$I$998,"close",'COST REPORT'!$J$9:$J$998,"x"))</f>
        <v>0</v>
      </c>
      <c r="G164" s="302">
        <f t="shared" si="34"/>
        <v>0</v>
      </c>
      <c r="H164" s="302">
        <f>SUMIF('COST REPORT'!$A$9:$A$998,'Contractor''s Budget Detail'!B164,'COST REPORT'!$G$9:$G$998)</f>
        <v>0</v>
      </c>
      <c r="I164" s="302">
        <f t="shared" si="35"/>
        <v>0</v>
      </c>
      <c r="J164" s="324">
        <f t="shared" si="36"/>
        <v>0</v>
      </c>
    </row>
    <row r="165" spans="1:10">
      <c r="A165" s="321">
        <v>6000</v>
      </c>
      <c r="B165" s="322">
        <f t="shared" si="33"/>
        <v>6010</v>
      </c>
      <c r="C165" s="317" t="s">
        <v>2019</v>
      </c>
      <c r="D165" s="323">
        <v>0</v>
      </c>
      <c r="E165" s="302">
        <f>(SUMIF('COST REPORT'!$A$9:$A$998,'Contractor''s Budget Detail'!B165,'COST REPORT'!$F$9:$F$998))-(SUMIFS('COST REPORT'!$F$9:$F$998,'COST REPORT'!$A$9:$A$998,'Contractor''s Budget Detail'!B165,'COST REPORT'!$I$9:$I$998,"Close"))</f>
        <v>0</v>
      </c>
      <c r="F165" s="302">
        <f>(SUMIF(INPUT!$I$231:$I$522,'Contractor''s Budget Detail'!B165,INPUT!$H$231:$H$522)+SUMIFS('COST REPORT'!$F$9:$F$998,'COST REPORT'!$A$9:$A$998,'Contractor''s Budget Detail'!B165,'COST REPORT'!$I$9:$I$998,"close"))-(SUMIFS('COST REPORT'!$F$9:$F$998,'COST REPORT'!$A$9:$A$998,'Contractor''s Budget Detail'!B165,'COST REPORT'!$I$9:$I$998,"close",'COST REPORT'!$J$9:$J$998,"x"))</f>
        <v>0</v>
      </c>
      <c r="G165" s="302">
        <f t="shared" si="34"/>
        <v>0</v>
      </c>
      <c r="H165" s="302">
        <f>SUMIF('COST REPORT'!$A$9:$A$998,'Contractor''s Budget Detail'!B165,'COST REPORT'!$G$9:$G$998)</f>
        <v>0</v>
      </c>
      <c r="I165" s="302">
        <f t="shared" si="35"/>
        <v>0</v>
      </c>
      <c r="J165" s="324">
        <f t="shared" si="36"/>
        <v>0</v>
      </c>
    </row>
    <row r="166" spans="1:10">
      <c r="A166" s="321">
        <v>6000</v>
      </c>
      <c r="B166" s="322">
        <f t="shared" si="33"/>
        <v>6011</v>
      </c>
      <c r="C166" s="317" t="s">
        <v>2020</v>
      </c>
      <c r="D166" s="323">
        <v>0</v>
      </c>
      <c r="E166" s="302">
        <f>(SUMIF('COST REPORT'!$A$9:$A$998,'Contractor''s Budget Detail'!B166,'COST REPORT'!$F$9:$F$998))-(SUMIFS('COST REPORT'!$F$9:$F$998,'COST REPORT'!$A$9:$A$998,'Contractor''s Budget Detail'!B166,'COST REPORT'!$I$9:$I$998,"Close"))</f>
        <v>0</v>
      </c>
      <c r="F166" s="302">
        <f>(SUMIF(INPUT!$I$231:$I$522,'Contractor''s Budget Detail'!B166,INPUT!$H$231:$H$522)+SUMIFS('COST REPORT'!$F$9:$F$998,'COST REPORT'!$A$9:$A$998,'Contractor''s Budget Detail'!B166,'COST REPORT'!$I$9:$I$998,"close"))-(SUMIFS('COST REPORT'!$F$9:$F$998,'COST REPORT'!$A$9:$A$998,'Contractor''s Budget Detail'!B166,'COST REPORT'!$I$9:$I$998,"close",'COST REPORT'!$J$9:$J$998,"x"))</f>
        <v>0</v>
      </c>
      <c r="G166" s="302">
        <f>E166+F166</f>
        <v>0</v>
      </c>
      <c r="H166" s="302">
        <f>SUMIF('COST REPORT'!$A$9:$A$998,'Contractor''s Budget Detail'!B166,'COST REPORT'!$G$9:$G$998)</f>
        <v>0</v>
      </c>
      <c r="I166" s="302">
        <f>G166-H166</f>
        <v>0</v>
      </c>
      <c r="J166" s="324">
        <f>D166-G166</f>
        <v>0</v>
      </c>
    </row>
    <row r="167" spans="1:10">
      <c r="A167" s="321">
        <v>6000</v>
      </c>
      <c r="B167" s="322">
        <f t="shared" si="33"/>
        <v>6012</v>
      </c>
      <c r="C167" s="317" t="s">
        <v>2021</v>
      </c>
      <c r="D167" s="323">
        <v>0</v>
      </c>
      <c r="E167" s="302">
        <f>(SUMIF('COST REPORT'!$A$9:$A$998,'Contractor''s Budget Detail'!B167,'COST REPORT'!$F$9:$F$998))-(SUMIFS('COST REPORT'!$F$9:$F$998,'COST REPORT'!$A$9:$A$998,'Contractor''s Budget Detail'!B167,'COST REPORT'!$I$9:$I$998,"Close"))</f>
        <v>0</v>
      </c>
      <c r="F167" s="302">
        <f>(SUMIF(INPUT!$I$231:$I$522,'Contractor''s Budget Detail'!B167,INPUT!$H$231:$H$522)+SUMIFS('COST REPORT'!$F$9:$F$998,'COST REPORT'!$A$9:$A$998,'Contractor''s Budget Detail'!B167,'COST REPORT'!$I$9:$I$998,"close"))-(SUMIFS('COST REPORT'!$F$9:$F$998,'COST REPORT'!$A$9:$A$998,'Contractor''s Budget Detail'!B167,'COST REPORT'!$I$9:$I$998,"close",'COST REPORT'!$J$9:$J$998,"x"))</f>
        <v>0</v>
      </c>
      <c r="G167" s="302">
        <f t="shared" si="34"/>
        <v>0</v>
      </c>
      <c r="H167" s="302">
        <f>SUMIF('COST REPORT'!$A$9:$A$998,'Contractor''s Budget Detail'!B167,'COST REPORT'!$G$9:$G$998)</f>
        <v>0</v>
      </c>
      <c r="I167" s="302">
        <f t="shared" si="35"/>
        <v>0</v>
      </c>
      <c r="J167" s="324">
        <f t="shared" si="36"/>
        <v>0</v>
      </c>
    </row>
    <row r="168" spans="1:10">
      <c r="A168" s="321">
        <v>6000</v>
      </c>
      <c r="B168" s="322">
        <f t="shared" si="33"/>
        <v>6013</v>
      </c>
      <c r="C168" s="317" t="s">
        <v>2022</v>
      </c>
      <c r="D168" s="323">
        <v>0</v>
      </c>
      <c r="E168" s="302">
        <f>(SUMIF('COST REPORT'!$A$9:$A$998,'Contractor''s Budget Detail'!B168,'COST REPORT'!$F$9:$F$998))-(SUMIFS('COST REPORT'!$F$9:$F$998,'COST REPORT'!$A$9:$A$998,'Contractor''s Budget Detail'!B168,'COST REPORT'!$I$9:$I$998,"Close"))</f>
        <v>0</v>
      </c>
      <c r="F168" s="302">
        <f>(SUMIF(INPUT!$I$231:$I$522,'Contractor''s Budget Detail'!B168,INPUT!$H$231:$H$522)+SUMIFS('COST REPORT'!$F$9:$F$998,'COST REPORT'!$A$9:$A$998,'Contractor''s Budget Detail'!B168,'COST REPORT'!$I$9:$I$998,"close"))-(SUMIFS('COST REPORT'!$F$9:$F$998,'COST REPORT'!$A$9:$A$998,'Contractor''s Budget Detail'!B168,'COST REPORT'!$I$9:$I$998,"close",'COST REPORT'!$J$9:$J$998,"x"))</f>
        <v>0</v>
      </c>
      <c r="G168" s="302">
        <f t="shared" si="34"/>
        <v>0</v>
      </c>
      <c r="H168" s="302">
        <f>SUMIF('COST REPORT'!$A$9:$A$998,'Contractor''s Budget Detail'!B168,'COST REPORT'!$G$9:$G$998)</f>
        <v>0</v>
      </c>
      <c r="I168" s="302">
        <f t="shared" si="35"/>
        <v>0</v>
      </c>
      <c r="J168" s="324">
        <f t="shared" si="36"/>
        <v>0</v>
      </c>
    </row>
    <row r="169" spans="1:10">
      <c r="A169" s="321">
        <v>6000</v>
      </c>
      <c r="B169" s="322">
        <f t="shared" si="33"/>
        <v>6014</v>
      </c>
      <c r="C169" s="317" t="s">
        <v>2023</v>
      </c>
      <c r="D169" s="323">
        <v>0</v>
      </c>
      <c r="E169" s="302">
        <f>(SUMIF('COST REPORT'!$A$9:$A$998,'Contractor''s Budget Detail'!B169,'COST REPORT'!$F$9:$F$998))-(SUMIFS('COST REPORT'!$F$9:$F$998,'COST REPORT'!$A$9:$A$998,'Contractor''s Budget Detail'!B169,'COST REPORT'!$I$9:$I$998,"Close"))</f>
        <v>0</v>
      </c>
      <c r="F169" s="302">
        <f>(SUMIF(INPUT!$I$231:$I$522,'Contractor''s Budget Detail'!B169,INPUT!$H$231:$H$522)+SUMIFS('COST REPORT'!$F$9:$F$998,'COST REPORT'!$A$9:$A$998,'Contractor''s Budget Detail'!B169,'COST REPORT'!$I$9:$I$998,"close"))-(SUMIFS('COST REPORT'!$F$9:$F$998,'COST REPORT'!$A$9:$A$998,'Contractor''s Budget Detail'!B169,'COST REPORT'!$I$9:$I$998,"close",'COST REPORT'!$J$9:$J$998,"x"))</f>
        <v>0</v>
      </c>
      <c r="G169" s="302">
        <f t="shared" si="34"/>
        <v>0</v>
      </c>
      <c r="H169" s="302">
        <f>SUMIF('COST REPORT'!$A$9:$A$998,'Contractor''s Budget Detail'!B169,'COST REPORT'!$G$9:$G$998)</f>
        <v>0</v>
      </c>
      <c r="I169" s="302">
        <f t="shared" si="35"/>
        <v>0</v>
      </c>
      <c r="J169" s="324">
        <f t="shared" si="36"/>
        <v>0</v>
      </c>
    </row>
    <row r="170" spans="1:10">
      <c r="A170" s="321">
        <v>6000</v>
      </c>
      <c r="B170" s="322">
        <f t="shared" si="33"/>
        <v>6015</v>
      </c>
      <c r="C170" s="317" t="s">
        <v>2024</v>
      </c>
      <c r="D170" s="323">
        <v>0</v>
      </c>
      <c r="E170" s="302">
        <f>(SUMIF('COST REPORT'!$A$9:$A$998,'Contractor''s Budget Detail'!B170,'COST REPORT'!$F$9:$F$998))-(SUMIFS('COST REPORT'!$F$9:$F$998,'COST REPORT'!$A$9:$A$998,'Contractor''s Budget Detail'!B170,'COST REPORT'!$I$9:$I$998,"Close"))</f>
        <v>0</v>
      </c>
      <c r="F170" s="302">
        <f>(SUMIF(INPUT!$I$231:$I$522,'Contractor''s Budget Detail'!B170,INPUT!$H$231:$H$522)+SUMIFS('COST REPORT'!$F$9:$F$998,'COST REPORT'!$A$9:$A$998,'Contractor''s Budget Detail'!B170,'COST REPORT'!$I$9:$I$998,"close"))-(SUMIFS('COST REPORT'!$F$9:$F$998,'COST REPORT'!$A$9:$A$998,'Contractor''s Budget Detail'!B170,'COST REPORT'!$I$9:$I$998,"close",'COST REPORT'!$J$9:$J$998,"x"))</f>
        <v>0</v>
      </c>
      <c r="G170" s="302">
        <f t="shared" si="34"/>
        <v>0</v>
      </c>
      <c r="H170" s="302">
        <f>SUMIF('COST REPORT'!$A$9:$A$998,'Contractor''s Budget Detail'!B170,'COST REPORT'!$G$9:$G$998)</f>
        <v>0</v>
      </c>
      <c r="I170" s="302">
        <f t="shared" si="35"/>
        <v>0</v>
      </c>
      <c r="J170" s="324">
        <f t="shared" si="36"/>
        <v>0</v>
      </c>
    </row>
    <row r="171" spans="1:10">
      <c r="A171" s="321">
        <v>6000</v>
      </c>
      <c r="B171" s="322">
        <f t="shared" si="33"/>
        <v>6016</v>
      </c>
      <c r="C171" s="317" t="s">
        <v>2025</v>
      </c>
      <c r="D171" s="323">
        <v>0</v>
      </c>
      <c r="E171" s="302">
        <f>(SUMIF('COST REPORT'!$A$9:$A$998,'Contractor''s Budget Detail'!B171,'COST REPORT'!$F$9:$F$998))-(SUMIFS('COST REPORT'!$F$9:$F$998,'COST REPORT'!$A$9:$A$998,'Contractor''s Budget Detail'!B171,'COST REPORT'!$I$9:$I$998,"Close"))</f>
        <v>0</v>
      </c>
      <c r="F171" s="302">
        <f>(SUMIF(INPUT!$I$231:$I$522,'Contractor''s Budget Detail'!B171,INPUT!$H$231:$H$522)+SUMIFS('COST REPORT'!$F$9:$F$998,'COST REPORT'!$A$9:$A$998,'Contractor''s Budget Detail'!B171,'COST REPORT'!$I$9:$I$998,"close"))-(SUMIFS('COST REPORT'!$F$9:$F$998,'COST REPORT'!$A$9:$A$998,'Contractor''s Budget Detail'!B171,'COST REPORT'!$I$9:$I$998,"close",'COST REPORT'!$J$9:$J$998,"x"))</f>
        <v>0</v>
      </c>
      <c r="G171" s="302">
        <f t="shared" si="34"/>
        <v>0</v>
      </c>
      <c r="H171" s="302">
        <f>SUMIF('COST REPORT'!$A$9:$A$998,'Contractor''s Budget Detail'!B171,'COST REPORT'!$G$9:$G$998)</f>
        <v>0</v>
      </c>
      <c r="I171" s="302">
        <f t="shared" si="35"/>
        <v>0</v>
      </c>
      <c r="J171" s="324">
        <f t="shared" si="36"/>
        <v>0</v>
      </c>
    </row>
    <row r="172" spans="1:10">
      <c r="A172" s="321">
        <v>6000</v>
      </c>
      <c r="B172" s="322">
        <f t="shared" si="33"/>
        <v>6017</v>
      </c>
      <c r="C172" s="325" t="s">
        <v>2026</v>
      </c>
      <c r="D172" s="323">
        <v>0</v>
      </c>
      <c r="E172" s="302">
        <f>(SUMIF('COST REPORT'!$A$9:$A$998,'Contractor''s Budget Detail'!B172,'COST REPORT'!$F$9:$F$998))-(SUMIFS('COST REPORT'!$F$9:$F$998,'COST REPORT'!$A$9:$A$998,'Contractor''s Budget Detail'!B172,'COST REPORT'!$I$9:$I$998,"Close"))</f>
        <v>0</v>
      </c>
      <c r="F172" s="302">
        <f>(SUMIF(INPUT!$I$231:$I$522,'Contractor''s Budget Detail'!B172,INPUT!$H$231:$H$522)+SUMIFS('COST REPORT'!$F$9:$F$998,'COST REPORT'!$A$9:$A$998,'Contractor''s Budget Detail'!B172,'COST REPORT'!$I$9:$I$998,"close"))-(SUMIFS('COST REPORT'!$F$9:$F$998,'COST REPORT'!$A$9:$A$998,'Contractor''s Budget Detail'!B172,'COST REPORT'!$I$9:$I$998,"close",'COST REPORT'!$J$9:$J$998,"x"))</f>
        <v>0</v>
      </c>
      <c r="G172" s="302">
        <f>E172+F172</f>
        <v>0</v>
      </c>
      <c r="H172" s="302">
        <f>SUMIF('COST REPORT'!$A$9:$A$998,'Contractor''s Budget Detail'!B172,'COST REPORT'!$G$9:$G$998)</f>
        <v>0</v>
      </c>
      <c r="I172" s="302">
        <f>G172-H172</f>
        <v>0</v>
      </c>
      <c r="J172" s="324">
        <f>D172-G172</f>
        <v>0</v>
      </c>
    </row>
    <row r="173" spans="1:10">
      <c r="A173" s="321">
        <v>6000</v>
      </c>
      <c r="B173" s="322">
        <f t="shared" si="33"/>
        <v>6018</v>
      </c>
      <c r="C173" s="325" t="s">
        <v>1939</v>
      </c>
      <c r="D173" s="323">
        <v>0</v>
      </c>
      <c r="E173" s="302">
        <f>(SUMIF('COST REPORT'!$A$9:$A$998,'Contractor''s Budget Detail'!B173,'COST REPORT'!$F$9:$F$998))-(SUMIFS('COST REPORT'!$F$9:$F$998,'COST REPORT'!$A$9:$A$998,'Contractor''s Budget Detail'!B173,'COST REPORT'!$I$9:$I$998,"Close"))</f>
        <v>0</v>
      </c>
      <c r="F173" s="302">
        <f>(SUMIF(INPUT!$I$231:$I$522,'Contractor''s Budget Detail'!B173,INPUT!$H$231:$H$522)+SUMIFS('COST REPORT'!$F$9:$F$998,'COST REPORT'!$A$9:$A$998,'Contractor''s Budget Detail'!B173,'COST REPORT'!$I$9:$I$998,"close"))-(SUMIFS('COST REPORT'!$F$9:$F$998,'COST REPORT'!$A$9:$A$998,'Contractor''s Budget Detail'!B173,'COST REPORT'!$I$9:$I$998,"close",'COST REPORT'!$J$9:$J$998,"x"))</f>
        <v>0</v>
      </c>
      <c r="G173" s="302">
        <f>E173+F173</f>
        <v>0</v>
      </c>
      <c r="H173" s="302">
        <f>SUMIF('COST REPORT'!$A$9:$A$998,'Contractor''s Budget Detail'!B173,'COST REPORT'!$G$9:$G$998)</f>
        <v>0</v>
      </c>
      <c r="I173" s="302">
        <f>G173-H173</f>
        <v>0</v>
      </c>
      <c r="J173" s="324">
        <f>D173-G173</f>
        <v>0</v>
      </c>
    </row>
    <row r="174" spans="1:10">
      <c r="A174" s="321">
        <v>6000</v>
      </c>
      <c r="B174" s="322">
        <f t="shared" si="33"/>
        <v>6019</v>
      </c>
      <c r="C174" s="325" t="s">
        <v>1939</v>
      </c>
      <c r="D174" s="323">
        <v>0</v>
      </c>
      <c r="E174" s="302">
        <f>(SUMIF('COST REPORT'!$A$9:$A$998,'Contractor''s Budget Detail'!B174,'COST REPORT'!$F$9:$F$998))-(SUMIFS('COST REPORT'!$F$9:$F$998,'COST REPORT'!$A$9:$A$998,'Contractor''s Budget Detail'!B174,'COST REPORT'!$I$9:$I$998,"Close"))</f>
        <v>0</v>
      </c>
      <c r="F174" s="302">
        <f>(SUMIF(INPUT!$I$231:$I$522,'Contractor''s Budget Detail'!B174,INPUT!$H$231:$H$522)+SUMIFS('COST REPORT'!$F$9:$F$998,'COST REPORT'!$A$9:$A$998,'Contractor''s Budget Detail'!B174,'COST REPORT'!$I$9:$I$998,"close"))-(SUMIFS('COST REPORT'!$F$9:$F$998,'COST REPORT'!$A$9:$A$998,'Contractor''s Budget Detail'!B174,'COST REPORT'!$I$9:$I$998,"close",'COST REPORT'!$J$9:$J$998,"x"))</f>
        <v>0</v>
      </c>
      <c r="G174" s="302">
        <f>E174+F174</f>
        <v>0</v>
      </c>
      <c r="H174" s="302">
        <f>SUMIF('COST REPORT'!$A$9:$A$998,'Contractor''s Budget Detail'!B174,'COST REPORT'!$G$9:$G$998)</f>
        <v>0</v>
      </c>
      <c r="I174" s="302">
        <f>G174-H174</f>
        <v>0</v>
      </c>
      <c r="J174" s="324">
        <f>D174-G174</f>
        <v>0</v>
      </c>
    </row>
    <row r="175" spans="1:10">
      <c r="A175" s="321">
        <v>6000</v>
      </c>
      <c r="B175" s="322">
        <f t="shared" si="33"/>
        <v>6020</v>
      </c>
      <c r="C175" s="325" t="s">
        <v>1939</v>
      </c>
      <c r="D175" s="323">
        <v>0</v>
      </c>
      <c r="E175" s="302">
        <f>(SUMIF('COST REPORT'!$A$9:$A$998,'Contractor''s Budget Detail'!B175,'COST REPORT'!$F$9:$F$998))-(SUMIFS('COST REPORT'!$F$9:$F$998,'COST REPORT'!$A$9:$A$998,'Contractor''s Budget Detail'!B175,'COST REPORT'!$I$9:$I$998,"Close"))</f>
        <v>0</v>
      </c>
      <c r="F175" s="302">
        <f>(SUMIF(INPUT!$I$231:$I$522,'Contractor''s Budget Detail'!B175,INPUT!$H$231:$H$522)+SUMIFS('COST REPORT'!$F$9:$F$998,'COST REPORT'!$A$9:$A$998,'Contractor''s Budget Detail'!B175,'COST REPORT'!$I$9:$I$998,"close"))-(SUMIFS('COST REPORT'!$F$9:$F$998,'COST REPORT'!$A$9:$A$998,'Contractor''s Budget Detail'!B175,'COST REPORT'!$I$9:$I$998,"close",'COST REPORT'!$J$9:$J$998,"x"))</f>
        <v>0</v>
      </c>
      <c r="G175" s="302">
        <f t="shared" si="34"/>
        <v>0</v>
      </c>
      <c r="H175" s="302">
        <f>SUMIF('COST REPORT'!$A$9:$A$998,'Contractor''s Budget Detail'!B175,'COST REPORT'!$G$9:$G$998)</f>
        <v>0</v>
      </c>
      <c r="I175" s="302">
        <f t="shared" si="35"/>
        <v>0</v>
      </c>
      <c r="J175" s="324">
        <f t="shared" si="36"/>
        <v>0</v>
      </c>
    </row>
    <row r="176" spans="1:10">
      <c r="A176" s="321">
        <v>6000</v>
      </c>
      <c r="B176" s="322">
        <f t="shared" si="33"/>
        <v>6021</v>
      </c>
      <c r="C176" s="325" t="s">
        <v>1939</v>
      </c>
      <c r="D176" s="323">
        <v>0</v>
      </c>
      <c r="E176" s="302">
        <f>(SUMIF('COST REPORT'!$A$9:$A$998,'Contractor''s Budget Detail'!B176,'COST REPORT'!$F$9:$F$998))-(SUMIFS('COST REPORT'!$F$9:$F$998,'COST REPORT'!$A$9:$A$998,'Contractor''s Budget Detail'!B176,'COST REPORT'!$I$9:$I$998,"Close"))</f>
        <v>0</v>
      </c>
      <c r="F176" s="302">
        <f>(SUMIF(INPUT!$I$231:$I$522,'Contractor''s Budget Detail'!B176,INPUT!$H$231:$H$522)+SUMIFS('COST REPORT'!$F$9:$F$998,'COST REPORT'!$A$9:$A$998,'Contractor''s Budget Detail'!B176,'COST REPORT'!$I$9:$I$998,"close"))-(SUMIFS('COST REPORT'!$F$9:$F$998,'COST REPORT'!$A$9:$A$998,'Contractor''s Budget Detail'!B176,'COST REPORT'!$I$9:$I$998,"close",'COST REPORT'!$J$9:$J$998,"x"))</f>
        <v>0</v>
      </c>
      <c r="G176" s="302">
        <f t="shared" si="34"/>
        <v>0</v>
      </c>
      <c r="H176" s="302">
        <f>SUMIF('COST REPORT'!$A$9:$A$998,'Contractor''s Budget Detail'!B176,'COST REPORT'!$G$9:$G$998)</f>
        <v>0</v>
      </c>
      <c r="I176" s="302">
        <f t="shared" si="35"/>
        <v>0</v>
      </c>
      <c r="J176" s="324">
        <f t="shared" si="36"/>
        <v>0</v>
      </c>
    </row>
    <row r="177" spans="1:10">
      <c r="A177" s="321">
        <v>6000</v>
      </c>
      <c r="B177" s="322">
        <f t="shared" si="33"/>
        <v>6022</v>
      </c>
      <c r="C177" s="325" t="s">
        <v>1939</v>
      </c>
      <c r="D177" s="323">
        <v>0</v>
      </c>
      <c r="E177" s="302">
        <f>(SUMIF('COST REPORT'!$A$9:$A$998,'Contractor''s Budget Detail'!B177,'COST REPORT'!$F$9:$F$998))-(SUMIFS('COST REPORT'!$F$9:$F$998,'COST REPORT'!$A$9:$A$998,'Contractor''s Budget Detail'!B177,'COST REPORT'!$I$9:$I$998,"Close"))</f>
        <v>0</v>
      </c>
      <c r="F177" s="302">
        <f>(SUMIF(INPUT!$I$231:$I$522,'Contractor''s Budget Detail'!B177,INPUT!$H$231:$H$522)+SUMIFS('COST REPORT'!$F$9:$F$998,'COST REPORT'!$A$9:$A$998,'Contractor''s Budget Detail'!B177,'COST REPORT'!$I$9:$I$998,"close"))-(SUMIFS('COST REPORT'!$F$9:$F$998,'COST REPORT'!$A$9:$A$998,'Contractor''s Budget Detail'!B177,'COST REPORT'!$I$9:$I$998,"close",'COST REPORT'!$J$9:$J$998,"x"))</f>
        <v>0</v>
      </c>
      <c r="G177" s="302">
        <f t="shared" si="34"/>
        <v>0</v>
      </c>
      <c r="H177" s="302">
        <f>SUMIF('COST REPORT'!$A$9:$A$998,'Contractor''s Budget Detail'!B177,'COST REPORT'!$G$9:$G$998)</f>
        <v>0</v>
      </c>
      <c r="I177" s="302">
        <f t="shared" si="35"/>
        <v>0</v>
      </c>
      <c r="J177" s="324">
        <f t="shared" si="36"/>
        <v>0</v>
      </c>
    </row>
    <row r="178" spans="1:10">
      <c r="A178" s="321">
        <v>6000</v>
      </c>
      <c r="B178" s="322">
        <f t="shared" si="33"/>
        <v>6023</v>
      </c>
      <c r="C178" s="325" t="s">
        <v>1939</v>
      </c>
      <c r="D178" s="323">
        <v>0</v>
      </c>
      <c r="E178" s="302">
        <f>(SUMIF('COST REPORT'!$A$9:$A$998,'Contractor''s Budget Detail'!B178,'COST REPORT'!$F$9:$F$998))-(SUMIFS('COST REPORT'!$F$9:$F$998,'COST REPORT'!$A$9:$A$998,'Contractor''s Budget Detail'!B178,'COST REPORT'!$I$9:$I$998,"Close"))</f>
        <v>0</v>
      </c>
      <c r="F178" s="302">
        <f>(SUMIF(INPUT!$I$231:$I$522,'Contractor''s Budget Detail'!B178,INPUT!$H$231:$H$522)+SUMIFS('COST REPORT'!$F$9:$F$998,'COST REPORT'!$A$9:$A$998,'Contractor''s Budget Detail'!B178,'COST REPORT'!$I$9:$I$998,"close"))-(SUMIFS('COST REPORT'!$F$9:$F$998,'COST REPORT'!$A$9:$A$998,'Contractor''s Budget Detail'!B178,'COST REPORT'!$I$9:$I$998,"close",'COST REPORT'!$J$9:$J$998,"x"))</f>
        <v>0</v>
      </c>
      <c r="G178" s="302">
        <f t="shared" si="34"/>
        <v>0</v>
      </c>
      <c r="H178" s="302">
        <f>SUMIF('COST REPORT'!$A$9:$A$998,'Contractor''s Budget Detail'!B178,'COST REPORT'!$G$9:$G$998)</f>
        <v>0</v>
      </c>
      <c r="I178" s="302">
        <f t="shared" si="35"/>
        <v>0</v>
      </c>
      <c r="J178" s="324">
        <f t="shared" si="36"/>
        <v>0</v>
      </c>
    </row>
    <row r="179" spans="1:10" ht="13.5" thickBot="1">
      <c r="A179" s="326" t="s">
        <v>2027</v>
      </c>
      <c r="B179" s="307"/>
      <c r="C179" s="308"/>
      <c r="D179" s="305">
        <f t="shared" ref="D179:J179" si="37">SUM(D156:D178)</f>
        <v>0</v>
      </c>
      <c r="E179" s="305">
        <f t="shared" si="37"/>
        <v>0</v>
      </c>
      <c r="F179" s="305">
        <f t="shared" si="37"/>
        <v>0</v>
      </c>
      <c r="G179" s="305">
        <f t="shared" si="37"/>
        <v>0</v>
      </c>
      <c r="H179" s="305">
        <f t="shared" si="37"/>
        <v>0</v>
      </c>
      <c r="I179" s="305">
        <f t="shared" si="37"/>
        <v>0</v>
      </c>
      <c r="J179" s="327">
        <f t="shared" si="37"/>
        <v>0</v>
      </c>
    </row>
    <row r="180" spans="1:10">
      <c r="A180" s="328"/>
      <c r="B180" s="71"/>
      <c r="C180" s="90"/>
      <c r="D180" s="306"/>
      <c r="E180" s="306"/>
      <c r="H180" s="306"/>
      <c r="I180" s="306"/>
      <c r="J180" s="329"/>
    </row>
    <row r="181" spans="1:10">
      <c r="A181" s="330" t="s">
        <v>2028</v>
      </c>
      <c r="B181" s="205"/>
      <c r="C181" s="88"/>
      <c r="D181" s="331"/>
      <c r="E181" s="331"/>
      <c r="F181" s="338"/>
      <c r="G181" s="338"/>
      <c r="H181" s="331"/>
      <c r="I181" s="331"/>
      <c r="J181" s="339"/>
    </row>
    <row r="182" spans="1:10">
      <c r="A182" s="321">
        <v>7000</v>
      </c>
      <c r="B182" s="322">
        <f>7001</f>
        <v>7001</v>
      </c>
      <c r="C182" s="317" t="s">
        <v>2029</v>
      </c>
      <c r="D182" s="323">
        <v>0</v>
      </c>
      <c r="E182" s="302">
        <f>(SUMIF('COST REPORT'!$A$9:$A$998,'Contractor''s Budget Detail'!B182,'COST REPORT'!$F$9:$F$998))-(SUMIFS('COST REPORT'!$F$9:$F$998,'COST REPORT'!$A$9:$A$998,'Contractor''s Budget Detail'!B182,'COST REPORT'!$I$9:$I$998,"Close"))</f>
        <v>0</v>
      </c>
      <c r="F182" s="302">
        <f>(SUMIF(INPUT!$I$231:$I$522,'Contractor''s Budget Detail'!B182,INPUT!$H$231:$H$522)+SUMIFS('COST REPORT'!$F$9:$F$998,'COST REPORT'!$A$9:$A$998,'Contractor''s Budget Detail'!B182,'COST REPORT'!$I$9:$I$998,"close"))-(SUMIFS('COST REPORT'!$F$9:$F$998,'COST REPORT'!$A$9:$A$998,'Contractor''s Budget Detail'!B182,'COST REPORT'!$I$9:$I$998,"close",'COST REPORT'!$J$9:$J$998,"x"))</f>
        <v>0</v>
      </c>
      <c r="G182" s="302">
        <f>E182+F182</f>
        <v>0</v>
      </c>
      <c r="H182" s="302">
        <f>SUMIF('COST REPORT'!$A$9:$A$998,'Contractor''s Budget Detail'!B182,'COST REPORT'!$G$9:$G$998)</f>
        <v>0</v>
      </c>
      <c r="I182" s="302">
        <f>G182-H182</f>
        <v>0</v>
      </c>
      <c r="J182" s="324">
        <f>D182-G182</f>
        <v>0</v>
      </c>
    </row>
    <row r="183" spans="1:10">
      <c r="A183" s="321">
        <v>7000</v>
      </c>
      <c r="B183" s="322">
        <f>+B182+1</f>
        <v>7002</v>
      </c>
      <c r="C183" s="317" t="s">
        <v>2030</v>
      </c>
      <c r="D183" s="323">
        <v>0</v>
      </c>
      <c r="E183" s="302">
        <f>(SUMIF('COST REPORT'!$A$9:$A$998,'Contractor''s Budget Detail'!B183,'COST REPORT'!$F$9:$F$998))-(SUMIFS('COST REPORT'!$F$9:$F$998,'COST REPORT'!$A$9:$A$998,'Contractor''s Budget Detail'!B183,'COST REPORT'!$I$9:$I$998,"Close"))</f>
        <v>0</v>
      </c>
      <c r="F183" s="302">
        <f>(SUMIF(INPUT!$I$231:$I$522,'Contractor''s Budget Detail'!B183,INPUT!$H$231:$H$522)+SUMIFS('COST REPORT'!$F$9:$F$998,'COST REPORT'!$A$9:$A$998,'Contractor''s Budget Detail'!B183,'COST REPORT'!$I$9:$I$998,"close"))-(SUMIFS('COST REPORT'!$F$9:$F$998,'COST REPORT'!$A$9:$A$998,'Contractor''s Budget Detail'!B183,'COST REPORT'!$I$9:$I$998,"close",'COST REPORT'!$J$9:$J$998,"x"))</f>
        <v>0</v>
      </c>
      <c r="G183" s="302">
        <f>E183+F183</f>
        <v>0</v>
      </c>
      <c r="H183" s="302">
        <f>SUMIF('COST REPORT'!$A$9:$A$998,'Contractor''s Budget Detail'!B183,'COST REPORT'!$G$9:$G$998)</f>
        <v>0</v>
      </c>
      <c r="I183" s="302">
        <f>G183-H183</f>
        <v>0</v>
      </c>
      <c r="J183" s="324">
        <f>D183-G183</f>
        <v>0</v>
      </c>
    </row>
    <row r="184" spans="1:10">
      <c r="A184" s="321">
        <v>7000</v>
      </c>
      <c r="B184" s="322">
        <f t="shared" ref="B184:B207" si="38">+B183+1</f>
        <v>7003</v>
      </c>
      <c r="C184" s="317" t="s">
        <v>2031</v>
      </c>
      <c r="D184" s="323">
        <v>0</v>
      </c>
      <c r="E184" s="302">
        <f>(SUMIF('COST REPORT'!$A$9:$A$998,'Contractor''s Budget Detail'!B184,'COST REPORT'!$F$9:$F$998))-(SUMIFS('COST REPORT'!$F$9:$F$998,'COST REPORT'!$A$9:$A$998,'Contractor''s Budget Detail'!B184,'COST REPORT'!$I$9:$I$998,"Close"))</f>
        <v>0</v>
      </c>
      <c r="F184" s="302">
        <f>(SUMIF(INPUT!$I$231:$I$522,'Contractor''s Budget Detail'!B184,INPUT!$H$231:$H$522)+SUMIFS('COST REPORT'!$F$9:$F$998,'COST REPORT'!$A$9:$A$998,'Contractor''s Budget Detail'!B184,'COST REPORT'!$I$9:$I$998,"close"))-(SUMIFS('COST REPORT'!$F$9:$F$998,'COST REPORT'!$A$9:$A$998,'Contractor''s Budget Detail'!B184,'COST REPORT'!$I$9:$I$998,"close",'COST REPORT'!$J$9:$J$998,"x"))</f>
        <v>0</v>
      </c>
      <c r="G184" s="302">
        <f>E184+F184</f>
        <v>0</v>
      </c>
      <c r="H184" s="302">
        <f>SUMIF('COST REPORT'!$A$9:$A$998,'Contractor''s Budget Detail'!B184,'COST REPORT'!$G$9:$G$998)</f>
        <v>0</v>
      </c>
      <c r="I184" s="302">
        <f>G184-H184</f>
        <v>0</v>
      </c>
      <c r="J184" s="324">
        <f>D184-G184</f>
        <v>0</v>
      </c>
    </row>
    <row r="185" spans="1:10">
      <c r="A185" s="321">
        <v>7000</v>
      </c>
      <c r="B185" s="322">
        <f t="shared" si="38"/>
        <v>7004</v>
      </c>
      <c r="C185" s="317" t="s">
        <v>2032</v>
      </c>
      <c r="D185" s="323">
        <v>0</v>
      </c>
      <c r="E185" s="302">
        <f>(SUMIF('COST REPORT'!$A$9:$A$998,'Contractor''s Budget Detail'!B185,'COST REPORT'!$F$9:$F$998))-(SUMIFS('COST REPORT'!$F$9:$F$998,'COST REPORT'!$A$9:$A$998,'Contractor''s Budget Detail'!B185,'COST REPORT'!$I$9:$I$998,"Close"))</f>
        <v>0</v>
      </c>
      <c r="F185" s="302">
        <f>(SUMIF(INPUT!$I$231:$I$522,'Contractor''s Budget Detail'!B185,INPUT!$H$231:$H$522)+SUMIFS('COST REPORT'!$F$9:$F$998,'COST REPORT'!$A$9:$A$998,'Contractor''s Budget Detail'!B185,'COST REPORT'!$I$9:$I$998,"close"))-(SUMIFS('COST REPORT'!$F$9:$F$998,'COST REPORT'!$A$9:$A$998,'Contractor''s Budget Detail'!B185,'COST REPORT'!$I$9:$I$998,"close",'COST REPORT'!$J$9:$J$998,"x"))</f>
        <v>0</v>
      </c>
      <c r="G185" s="302">
        <f>E185+F185</f>
        <v>0</v>
      </c>
      <c r="H185" s="302">
        <f>SUMIF('COST REPORT'!$A$9:$A$998,'Contractor''s Budget Detail'!B185,'COST REPORT'!$G$9:$G$998)</f>
        <v>0</v>
      </c>
      <c r="I185" s="302">
        <f>G185-H185</f>
        <v>0</v>
      </c>
      <c r="J185" s="324">
        <f>D185-G185</f>
        <v>0</v>
      </c>
    </row>
    <row r="186" spans="1:10">
      <c r="A186" s="321">
        <v>7000</v>
      </c>
      <c r="B186" s="322">
        <f t="shared" si="38"/>
        <v>7005</v>
      </c>
      <c r="C186" s="317" t="s">
        <v>2033</v>
      </c>
      <c r="D186" s="323">
        <v>0</v>
      </c>
      <c r="E186" s="302">
        <f>(SUMIF('COST REPORT'!$A$9:$A$998,'Contractor''s Budget Detail'!B186,'COST REPORT'!$F$9:$F$998))-(SUMIFS('COST REPORT'!$F$9:$F$998,'COST REPORT'!$A$9:$A$998,'Contractor''s Budget Detail'!B186,'COST REPORT'!$I$9:$I$998,"Close"))</f>
        <v>0</v>
      </c>
      <c r="F186" s="302">
        <f>(SUMIF(INPUT!$I$231:$I$522,'Contractor''s Budget Detail'!B186,INPUT!$H$231:$H$522)+SUMIFS('COST REPORT'!$F$9:$F$998,'COST REPORT'!$A$9:$A$998,'Contractor''s Budget Detail'!B186,'COST REPORT'!$I$9:$I$998,"close"))-(SUMIFS('COST REPORT'!$F$9:$F$998,'COST REPORT'!$A$9:$A$998,'Contractor''s Budget Detail'!B186,'COST REPORT'!$I$9:$I$998,"close",'COST REPORT'!$J$9:$J$998,"x"))</f>
        <v>0</v>
      </c>
      <c r="G186" s="302">
        <f t="shared" ref="G186:G207" si="39">E186+F186</f>
        <v>0</v>
      </c>
      <c r="H186" s="302">
        <f>SUMIF('COST REPORT'!$A$9:$A$998,'Contractor''s Budget Detail'!B186,'COST REPORT'!$G$9:$G$998)</f>
        <v>0</v>
      </c>
      <c r="I186" s="302">
        <f t="shared" ref="I186:I207" si="40">G186-H186</f>
        <v>0</v>
      </c>
      <c r="J186" s="324">
        <f t="shared" ref="J186:J207" si="41">D186-G186</f>
        <v>0</v>
      </c>
    </row>
    <row r="187" spans="1:10">
      <c r="A187" s="321">
        <v>7000</v>
      </c>
      <c r="B187" s="322">
        <f t="shared" si="38"/>
        <v>7006</v>
      </c>
      <c r="C187" s="317" t="s">
        <v>2034</v>
      </c>
      <c r="D187" s="323">
        <v>0</v>
      </c>
      <c r="E187" s="302">
        <f>(SUMIF('COST REPORT'!$A$9:$A$998,'Contractor''s Budget Detail'!B187,'COST REPORT'!$F$9:$F$998))-(SUMIFS('COST REPORT'!$F$9:$F$998,'COST REPORT'!$A$9:$A$998,'Contractor''s Budget Detail'!B187,'COST REPORT'!$I$9:$I$998,"Close"))</f>
        <v>0</v>
      </c>
      <c r="F187" s="302">
        <f>(SUMIF(INPUT!$I$231:$I$522,'Contractor''s Budget Detail'!B187,INPUT!$H$231:$H$522)+SUMIFS('COST REPORT'!$F$9:$F$998,'COST REPORT'!$A$9:$A$998,'Contractor''s Budget Detail'!B187,'COST REPORT'!$I$9:$I$998,"close"))-(SUMIFS('COST REPORT'!$F$9:$F$998,'COST REPORT'!$A$9:$A$998,'Contractor''s Budget Detail'!B187,'COST REPORT'!$I$9:$I$998,"close",'COST REPORT'!$J$9:$J$998,"x"))</f>
        <v>0</v>
      </c>
      <c r="G187" s="302">
        <f t="shared" si="39"/>
        <v>0</v>
      </c>
      <c r="H187" s="302">
        <f>SUMIF('COST REPORT'!$A$9:$A$998,'Contractor''s Budget Detail'!B187,'COST REPORT'!$G$9:$G$998)</f>
        <v>0</v>
      </c>
      <c r="I187" s="302">
        <f t="shared" si="40"/>
        <v>0</v>
      </c>
      <c r="J187" s="324">
        <f t="shared" si="41"/>
        <v>0</v>
      </c>
    </row>
    <row r="188" spans="1:10">
      <c r="A188" s="321">
        <v>7000</v>
      </c>
      <c r="B188" s="322">
        <f t="shared" si="38"/>
        <v>7007</v>
      </c>
      <c r="C188" s="317" t="s">
        <v>2035</v>
      </c>
      <c r="D188" s="323">
        <v>0</v>
      </c>
      <c r="E188" s="302">
        <f>(SUMIF('COST REPORT'!$A$9:$A$998,'Contractor''s Budget Detail'!B188,'COST REPORT'!$F$9:$F$998))-(SUMIFS('COST REPORT'!$F$9:$F$998,'COST REPORT'!$A$9:$A$998,'Contractor''s Budget Detail'!B188,'COST REPORT'!$I$9:$I$998,"Close"))</f>
        <v>0</v>
      </c>
      <c r="F188" s="302">
        <f>(SUMIF(INPUT!$I$231:$I$522,'Contractor''s Budget Detail'!B188,INPUT!$H$231:$H$522)+SUMIFS('COST REPORT'!$F$9:$F$998,'COST REPORT'!$A$9:$A$998,'Contractor''s Budget Detail'!B188,'COST REPORT'!$I$9:$I$998,"close"))-(SUMIFS('COST REPORT'!$F$9:$F$998,'COST REPORT'!$A$9:$A$998,'Contractor''s Budget Detail'!B188,'COST REPORT'!$I$9:$I$998,"close",'COST REPORT'!$J$9:$J$998,"x"))</f>
        <v>0</v>
      </c>
      <c r="G188" s="302">
        <f t="shared" si="39"/>
        <v>0</v>
      </c>
      <c r="H188" s="302">
        <f>SUMIF('COST REPORT'!$A$9:$A$998,'Contractor''s Budget Detail'!B188,'COST REPORT'!$G$9:$G$998)</f>
        <v>0</v>
      </c>
      <c r="I188" s="302">
        <f t="shared" si="40"/>
        <v>0</v>
      </c>
      <c r="J188" s="324">
        <f t="shared" si="41"/>
        <v>0</v>
      </c>
    </row>
    <row r="189" spans="1:10">
      <c r="A189" s="321">
        <v>7000</v>
      </c>
      <c r="B189" s="322">
        <f t="shared" si="38"/>
        <v>7008</v>
      </c>
      <c r="C189" s="317" t="s">
        <v>2036</v>
      </c>
      <c r="D189" s="323">
        <v>0</v>
      </c>
      <c r="E189" s="302">
        <f>(SUMIF('COST REPORT'!$A$9:$A$998,'Contractor''s Budget Detail'!B189,'COST REPORT'!$F$9:$F$998))-(SUMIFS('COST REPORT'!$F$9:$F$998,'COST REPORT'!$A$9:$A$998,'Contractor''s Budget Detail'!B189,'COST REPORT'!$I$9:$I$998,"Close"))</f>
        <v>0</v>
      </c>
      <c r="F189" s="302">
        <f>(SUMIF(INPUT!$I$231:$I$522,'Contractor''s Budget Detail'!B189,INPUT!$H$231:$H$522)+SUMIFS('COST REPORT'!$F$9:$F$998,'COST REPORT'!$A$9:$A$998,'Contractor''s Budget Detail'!B189,'COST REPORT'!$I$9:$I$998,"close"))-(SUMIFS('COST REPORT'!$F$9:$F$998,'COST REPORT'!$A$9:$A$998,'Contractor''s Budget Detail'!B189,'COST REPORT'!$I$9:$I$998,"close",'COST REPORT'!$J$9:$J$998,"x"))</f>
        <v>0</v>
      </c>
      <c r="G189" s="302">
        <f>E189+F189</f>
        <v>0</v>
      </c>
      <c r="H189" s="302">
        <f>SUMIF('COST REPORT'!$A$9:$A$998,'Contractor''s Budget Detail'!B189,'COST REPORT'!$G$9:$G$998)</f>
        <v>0</v>
      </c>
      <c r="I189" s="302">
        <f>G189-H189</f>
        <v>0</v>
      </c>
      <c r="J189" s="324">
        <f>D189-G189</f>
        <v>0</v>
      </c>
    </row>
    <row r="190" spans="1:10">
      <c r="A190" s="321">
        <v>7000</v>
      </c>
      <c r="B190" s="322">
        <f t="shared" si="38"/>
        <v>7009</v>
      </c>
      <c r="C190" s="317" t="s">
        <v>2037</v>
      </c>
      <c r="D190" s="323">
        <v>0</v>
      </c>
      <c r="E190" s="302">
        <f>(SUMIF('COST REPORT'!$A$9:$A$998,'Contractor''s Budget Detail'!B190,'COST REPORT'!$F$9:$F$998))-(SUMIFS('COST REPORT'!$F$9:$F$998,'COST REPORT'!$A$9:$A$998,'Contractor''s Budget Detail'!B190,'COST REPORT'!$I$9:$I$998,"Close"))</f>
        <v>0</v>
      </c>
      <c r="F190" s="302">
        <f>(SUMIF(INPUT!$I$231:$I$522,'Contractor''s Budget Detail'!B190,INPUT!$H$231:$H$522)+SUMIFS('COST REPORT'!$F$9:$F$998,'COST REPORT'!$A$9:$A$998,'Contractor''s Budget Detail'!B190,'COST REPORT'!$I$9:$I$998,"close"))-(SUMIFS('COST REPORT'!$F$9:$F$998,'COST REPORT'!$A$9:$A$998,'Contractor''s Budget Detail'!B190,'COST REPORT'!$I$9:$I$998,"close",'COST REPORT'!$J$9:$J$998,"x"))</f>
        <v>0</v>
      </c>
      <c r="G190" s="302">
        <f t="shared" si="39"/>
        <v>0</v>
      </c>
      <c r="H190" s="302">
        <f>SUMIF('COST REPORT'!$A$9:$A$998,'Contractor''s Budget Detail'!B190,'COST REPORT'!$G$9:$G$998)</f>
        <v>0</v>
      </c>
      <c r="I190" s="302">
        <f t="shared" si="40"/>
        <v>0</v>
      </c>
      <c r="J190" s="324">
        <f t="shared" si="41"/>
        <v>0</v>
      </c>
    </row>
    <row r="191" spans="1:10">
      <c r="A191" s="321">
        <v>7000</v>
      </c>
      <c r="B191" s="322">
        <f t="shared" si="38"/>
        <v>7010</v>
      </c>
      <c r="C191" s="317" t="s">
        <v>2038</v>
      </c>
      <c r="D191" s="323">
        <v>0</v>
      </c>
      <c r="E191" s="302">
        <f>(SUMIF('COST REPORT'!$A$9:$A$998,'Contractor''s Budget Detail'!B191,'COST REPORT'!$F$9:$F$998))-(SUMIFS('COST REPORT'!$F$9:$F$998,'COST REPORT'!$A$9:$A$998,'Contractor''s Budget Detail'!B191,'COST REPORT'!$I$9:$I$998,"Close"))</f>
        <v>0</v>
      </c>
      <c r="F191" s="302">
        <f>(SUMIF(INPUT!$I$231:$I$522,'Contractor''s Budget Detail'!B191,INPUT!$H$231:$H$522)+SUMIFS('COST REPORT'!$F$9:$F$998,'COST REPORT'!$A$9:$A$998,'Contractor''s Budget Detail'!B191,'COST REPORT'!$I$9:$I$998,"close"))-(SUMIFS('COST REPORT'!$F$9:$F$998,'COST REPORT'!$A$9:$A$998,'Contractor''s Budget Detail'!B191,'COST REPORT'!$I$9:$I$998,"close",'COST REPORT'!$J$9:$J$998,"x"))</f>
        <v>0</v>
      </c>
      <c r="G191" s="302">
        <f t="shared" si="39"/>
        <v>0</v>
      </c>
      <c r="H191" s="302">
        <f>SUMIF('COST REPORT'!$A$9:$A$998,'Contractor''s Budget Detail'!B191,'COST REPORT'!$G$9:$G$998)</f>
        <v>0</v>
      </c>
      <c r="I191" s="302">
        <f t="shared" si="40"/>
        <v>0</v>
      </c>
      <c r="J191" s="324">
        <f t="shared" si="41"/>
        <v>0</v>
      </c>
    </row>
    <row r="192" spans="1:10">
      <c r="A192" s="321">
        <v>7000</v>
      </c>
      <c r="B192" s="322">
        <f t="shared" si="38"/>
        <v>7011</v>
      </c>
      <c r="C192" s="317" t="s">
        <v>2039</v>
      </c>
      <c r="D192" s="323">
        <v>0</v>
      </c>
      <c r="E192" s="302">
        <f>(SUMIF('COST REPORT'!$A$9:$A$998,'Contractor''s Budget Detail'!B192,'COST REPORT'!$F$9:$F$998))-(SUMIFS('COST REPORT'!$F$9:$F$998,'COST REPORT'!$A$9:$A$998,'Contractor''s Budget Detail'!B192,'COST REPORT'!$I$9:$I$998,"Close"))</f>
        <v>0</v>
      </c>
      <c r="F192" s="302">
        <f>(SUMIF(INPUT!$I$231:$I$522,'Contractor''s Budget Detail'!B192,INPUT!$H$231:$H$522)+SUMIFS('COST REPORT'!$F$9:$F$998,'COST REPORT'!$A$9:$A$998,'Contractor''s Budget Detail'!B192,'COST REPORT'!$I$9:$I$998,"close"))-(SUMIFS('COST REPORT'!$F$9:$F$998,'COST REPORT'!$A$9:$A$998,'Contractor''s Budget Detail'!B192,'COST REPORT'!$I$9:$I$998,"close",'COST REPORT'!$J$9:$J$998,"x"))</f>
        <v>0</v>
      </c>
      <c r="G192" s="302">
        <f t="shared" si="39"/>
        <v>0</v>
      </c>
      <c r="H192" s="302">
        <f>SUMIF('COST REPORT'!$A$9:$A$998,'Contractor''s Budget Detail'!B192,'COST REPORT'!$G$9:$G$998)</f>
        <v>0</v>
      </c>
      <c r="I192" s="302">
        <f t="shared" si="40"/>
        <v>0</v>
      </c>
      <c r="J192" s="324">
        <f t="shared" si="41"/>
        <v>0</v>
      </c>
    </row>
    <row r="193" spans="1:10">
      <c r="A193" s="321">
        <v>7000</v>
      </c>
      <c r="B193" s="322">
        <f t="shared" si="38"/>
        <v>7012</v>
      </c>
      <c r="C193" s="317" t="s">
        <v>2040</v>
      </c>
      <c r="D193" s="323">
        <v>0</v>
      </c>
      <c r="E193" s="302">
        <f>(SUMIF('COST REPORT'!$A$9:$A$998,'Contractor''s Budget Detail'!B193,'COST REPORT'!$F$9:$F$998))-(SUMIFS('COST REPORT'!$F$9:$F$998,'COST REPORT'!$A$9:$A$998,'Contractor''s Budget Detail'!B193,'COST REPORT'!$I$9:$I$998,"Close"))</f>
        <v>0</v>
      </c>
      <c r="F193" s="302">
        <f>(SUMIF(INPUT!$I$231:$I$522,'Contractor''s Budget Detail'!B193,INPUT!$H$231:$H$522)+SUMIFS('COST REPORT'!$F$9:$F$998,'COST REPORT'!$A$9:$A$998,'Contractor''s Budget Detail'!B193,'COST REPORT'!$I$9:$I$998,"close"))-(SUMIFS('COST REPORT'!$F$9:$F$998,'COST REPORT'!$A$9:$A$998,'Contractor''s Budget Detail'!B193,'COST REPORT'!$I$9:$I$998,"close",'COST REPORT'!$J$9:$J$998,"x"))</f>
        <v>0</v>
      </c>
      <c r="G193" s="302">
        <f t="shared" si="39"/>
        <v>0</v>
      </c>
      <c r="H193" s="302">
        <f>SUMIF('COST REPORT'!$A$9:$A$998,'Contractor''s Budget Detail'!B193,'COST REPORT'!$G$9:$G$998)</f>
        <v>0</v>
      </c>
      <c r="I193" s="302">
        <f t="shared" si="40"/>
        <v>0</v>
      </c>
      <c r="J193" s="324">
        <f t="shared" si="41"/>
        <v>0</v>
      </c>
    </row>
    <row r="194" spans="1:10">
      <c r="A194" s="321">
        <v>7000</v>
      </c>
      <c r="B194" s="322">
        <f t="shared" si="38"/>
        <v>7013</v>
      </c>
      <c r="C194" s="317" t="s">
        <v>2041</v>
      </c>
      <c r="D194" s="323">
        <v>0</v>
      </c>
      <c r="E194" s="302">
        <f>(SUMIF('COST REPORT'!$A$9:$A$998,'Contractor''s Budget Detail'!B194,'COST REPORT'!$F$9:$F$998))-(SUMIFS('COST REPORT'!$F$9:$F$998,'COST REPORT'!$A$9:$A$998,'Contractor''s Budget Detail'!B194,'COST REPORT'!$I$9:$I$998,"Close"))</f>
        <v>0</v>
      </c>
      <c r="F194" s="302">
        <f>(SUMIF(INPUT!$I$231:$I$522,'Contractor''s Budget Detail'!B194,INPUT!$H$231:$H$522)+SUMIFS('COST REPORT'!$F$9:$F$998,'COST REPORT'!$A$9:$A$998,'Contractor''s Budget Detail'!B194,'COST REPORT'!$I$9:$I$998,"close"))-(SUMIFS('COST REPORT'!$F$9:$F$998,'COST REPORT'!$A$9:$A$998,'Contractor''s Budget Detail'!B194,'COST REPORT'!$I$9:$I$998,"close",'COST REPORT'!$J$9:$J$998,"x"))</f>
        <v>0</v>
      </c>
      <c r="G194" s="302">
        <f t="shared" si="39"/>
        <v>0</v>
      </c>
      <c r="H194" s="302">
        <f>SUMIF('COST REPORT'!$A$9:$A$998,'Contractor''s Budget Detail'!B194,'COST REPORT'!$G$9:$G$998)</f>
        <v>0</v>
      </c>
      <c r="I194" s="302">
        <f t="shared" si="40"/>
        <v>0</v>
      </c>
      <c r="J194" s="324">
        <f t="shared" si="41"/>
        <v>0</v>
      </c>
    </row>
    <row r="195" spans="1:10">
      <c r="A195" s="321">
        <v>7000</v>
      </c>
      <c r="B195" s="322">
        <f t="shared" si="38"/>
        <v>7014</v>
      </c>
      <c r="C195" s="317" t="s">
        <v>2042</v>
      </c>
      <c r="D195" s="323">
        <v>0</v>
      </c>
      <c r="E195" s="302">
        <f>(SUMIF('COST REPORT'!$A$9:$A$998,'Contractor''s Budget Detail'!B195,'COST REPORT'!$F$9:$F$998))-(SUMIFS('COST REPORT'!$F$9:$F$998,'COST REPORT'!$A$9:$A$998,'Contractor''s Budget Detail'!B195,'COST REPORT'!$I$9:$I$998,"Close"))</f>
        <v>0</v>
      </c>
      <c r="F195" s="302">
        <f>(SUMIF(INPUT!$I$231:$I$522,'Contractor''s Budget Detail'!B195,INPUT!$H$231:$H$522)+SUMIFS('COST REPORT'!$F$9:$F$998,'COST REPORT'!$A$9:$A$998,'Contractor''s Budget Detail'!B195,'COST REPORT'!$I$9:$I$998,"close"))-(SUMIFS('COST REPORT'!$F$9:$F$998,'COST REPORT'!$A$9:$A$998,'Contractor''s Budget Detail'!B195,'COST REPORT'!$I$9:$I$998,"close",'COST REPORT'!$J$9:$J$998,"x"))</f>
        <v>0</v>
      </c>
      <c r="G195" s="302">
        <f t="shared" si="39"/>
        <v>0</v>
      </c>
      <c r="H195" s="302">
        <f>SUMIF('COST REPORT'!$A$9:$A$998,'Contractor''s Budget Detail'!B195,'COST REPORT'!$G$9:$G$998)</f>
        <v>0</v>
      </c>
      <c r="I195" s="302">
        <f t="shared" si="40"/>
        <v>0</v>
      </c>
      <c r="J195" s="324">
        <f t="shared" si="41"/>
        <v>0</v>
      </c>
    </row>
    <row r="196" spans="1:10">
      <c r="A196" s="321">
        <v>7000</v>
      </c>
      <c r="B196" s="322">
        <f t="shared" si="38"/>
        <v>7015</v>
      </c>
      <c r="C196" s="317" t="s">
        <v>2043</v>
      </c>
      <c r="D196" s="323">
        <v>0</v>
      </c>
      <c r="E196" s="302">
        <f>(SUMIF('COST REPORT'!$A$9:$A$998,'Contractor''s Budget Detail'!B196,'COST REPORT'!$F$9:$F$998))-(SUMIFS('COST REPORT'!$F$9:$F$998,'COST REPORT'!$A$9:$A$998,'Contractor''s Budget Detail'!B196,'COST REPORT'!$I$9:$I$998,"Close"))</f>
        <v>0</v>
      </c>
      <c r="F196" s="302">
        <f>(SUMIF(INPUT!$I$231:$I$522,'Contractor''s Budget Detail'!B196,INPUT!$H$231:$H$522)+SUMIFS('COST REPORT'!$F$9:$F$998,'COST REPORT'!$A$9:$A$998,'Contractor''s Budget Detail'!B196,'COST REPORT'!$I$9:$I$998,"close"))-(SUMIFS('COST REPORT'!$F$9:$F$998,'COST REPORT'!$A$9:$A$998,'Contractor''s Budget Detail'!B196,'COST REPORT'!$I$9:$I$998,"close",'COST REPORT'!$J$9:$J$998,"x"))</f>
        <v>0</v>
      </c>
      <c r="G196" s="302">
        <f t="shared" si="39"/>
        <v>0</v>
      </c>
      <c r="H196" s="302">
        <f>SUMIF('COST REPORT'!$A$9:$A$998,'Contractor''s Budget Detail'!B196,'COST REPORT'!$G$9:$G$998)</f>
        <v>0</v>
      </c>
      <c r="I196" s="302">
        <f t="shared" si="40"/>
        <v>0</v>
      </c>
      <c r="J196" s="324">
        <f t="shared" si="41"/>
        <v>0</v>
      </c>
    </row>
    <row r="197" spans="1:10">
      <c r="A197" s="321">
        <v>7000</v>
      </c>
      <c r="B197" s="322">
        <f t="shared" si="38"/>
        <v>7016</v>
      </c>
      <c r="C197" s="317" t="s">
        <v>2044</v>
      </c>
      <c r="D197" s="323">
        <v>0</v>
      </c>
      <c r="E197" s="302">
        <f>(SUMIF('COST REPORT'!$A$9:$A$998,'Contractor''s Budget Detail'!B197,'COST REPORT'!$F$9:$F$998))-(SUMIFS('COST REPORT'!$F$9:$F$998,'COST REPORT'!$A$9:$A$998,'Contractor''s Budget Detail'!B197,'COST REPORT'!$I$9:$I$998,"Close"))</f>
        <v>0</v>
      </c>
      <c r="F197" s="302">
        <f>(SUMIF(INPUT!$I$231:$I$522,'Contractor''s Budget Detail'!B197,INPUT!$H$231:$H$522)+SUMIFS('COST REPORT'!$F$9:$F$998,'COST REPORT'!$A$9:$A$998,'Contractor''s Budget Detail'!B197,'COST REPORT'!$I$9:$I$998,"close"))-(SUMIFS('COST REPORT'!$F$9:$F$998,'COST REPORT'!$A$9:$A$998,'Contractor''s Budget Detail'!B197,'COST REPORT'!$I$9:$I$998,"close",'COST REPORT'!$J$9:$J$998,"x"))</f>
        <v>0</v>
      </c>
      <c r="G197" s="302">
        <f t="shared" si="39"/>
        <v>0</v>
      </c>
      <c r="H197" s="302">
        <f>SUMIF('COST REPORT'!$A$9:$A$998,'Contractor''s Budget Detail'!B197,'COST REPORT'!$G$9:$G$998)</f>
        <v>0</v>
      </c>
      <c r="I197" s="302">
        <f t="shared" si="40"/>
        <v>0</v>
      </c>
      <c r="J197" s="324">
        <f t="shared" si="41"/>
        <v>0</v>
      </c>
    </row>
    <row r="198" spans="1:10">
      <c r="A198" s="321">
        <v>7000</v>
      </c>
      <c r="B198" s="322">
        <f t="shared" si="38"/>
        <v>7017</v>
      </c>
      <c r="C198" s="317" t="s">
        <v>2045</v>
      </c>
      <c r="D198" s="323">
        <v>0</v>
      </c>
      <c r="E198" s="302">
        <f>(SUMIF('COST REPORT'!$A$9:$A$998,'Contractor''s Budget Detail'!B198,'COST REPORT'!$F$9:$F$998))-(SUMIFS('COST REPORT'!$F$9:$F$998,'COST REPORT'!$A$9:$A$998,'Contractor''s Budget Detail'!B198,'COST REPORT'!$I$9:$I$998,"Close"))</f>
        <v>0</v>
      </c>
      <c r="F198" s="302">
        <f>(SUMIF(INPUT!$I$231:$I$522,'Contractor''s Budget Detail'!B198,INPUT!$H$231:$H$522)+SUMIFS('COST REPORT'!$F$9:$F$998,'COST REPORT'!$A$9:$A$998,'Contractor''s Budget Detail'!B198,'COST REPORT'!$I$9:$I$998,"close"))-(SUMIFS('COST REPORT'!$F$9:$F$998,'COST REPORT'!$A$9:$A$998,'Contractor''s Budget Detail'!B198,'COST REPORT'!$I$9:$I$998,"close",'COST REPORT'!$J$9:$J$998,"x"))</f>
        <v>0</v>
      </c>
      <c r="G198" s="302">
        <f t="shared" si="39"/>
        <v>0</v>
      </c>
      <c r="H198" s="302">
        <f>SUMIF('COST REPORT'!$A$9:$A$998,'Contractor''s Budget Detail'!B198,'COST REPORT'!$G$9:$G$998)</f>
        <v>0</v>
      </c>
      <c r="I198" s="302">
        <f t="shared" si="40"/>
        <v>0</v>
      </c>
      <c r="J198" s="324">
        <f t="shared" si="41"/>
        <v>0</v>
      </c>
    </row>
    <row r="199" spans="1:10">
      <c r="A199" s="321">
        <v>7000</v>
      </c>
      <c r="B199" s="322">
        <f t="shared" si="38"/>
        <v>7018</v>
      </c>
      <c r="C199" s="317" t="s">
        <v>2046</v>
      </c>
      <c r="D199" s="323">
        <v>0</v>
      </c>
      <c r="E199" s="302">
        <f>(SUMIF('COST REPORT'!$A$9:$A$998,'Contractor''s Budget Detail'!B199,'COST REPORT'!$F$9:$F$998))-(SUMIFS('COST REPORT'!$F$9:$F$998,'COST REPORT'!$A$9:$A$998,'Contractor''s Budget Detail'!B199,'COST REPORT'!$I$9:$I$998,"Close"))</f>
        <v>0</v>
      </c>
      <c r="F199" s="302">
        <f>(SUMIF(INPUT!$I$231:$I$522,'Contractor''s Budget Detail'!B199,INPUT!$H$231:$H$522)+SUMIFS('COST REPORT'!$F$9:$F$998,'COST REPORT'!$A$9:$A$998,'Contractor''s Budget Detail'!B199,'COST REPORT'!$I$9:$I$998,"close"))-(SUMIFS('COST REPORT'!$F$9:$F$998,'COST REPORT'!$A$9:$A$998,'Contractor''s Budget Detail'!B199,'COST REPORT'!$I$9:$I$998,"close",'COST REPORT'!$J$9:$J$998,"x"))</f>
        <v>0</v>
      </c>
      <c r="G199" s="302">
        <f t="shared" si="39"/>
        <v>0</v>
      </c>
      <c r="H199" s="302">
        <f>SUMIF('COST REPORT'!$A$9:$A$998,'Contractor''s Budget Detail'!B199,'COST REPORT'!$G$9:$G$998)</f>
        <v>0</v>
      </c>
      <c r="I199" s="302">
        <f t="shared" si="40"/>
        <v>0</v>
      </c>
      <c r="J199" s="324">
        <f t="shared" si="41"/>
        <v>0</v>
      </c>
    </row>
    <row r="200" spans="1:10">
      <c r="A200" s="321">
        <v>7000</v>
      </c>
      <c r="B200" s="322">
        <f t="shared" si="38"/>
        <v>7019</v>
      </c>
      <c r="C200" s="325" t="s">
        <v>1939</v>
      </c>
      <c r="D200" s="323">
        <v>0</v>
      </c>
      <c r="E200" s="302">
        <f>(SUMIF('COST REPORT'!$A$9:$A$998,'Contractor''s Budget Detail'!B200,'COST REPORT'!$F$9:$F$998))-(SUMIFS('COST REPORT'!$F$9:$F$998,'COST REPORT'!$A$9:$A$998,'Contractor''s Budget Detail'!B200,'COST REPORT'!$I$9:$I$998,"Close"))</f>
        <v>0</v>
      </c>
      <c r="F200" s="302">
        <f>(SUMIF(INPUT!$I$231:$I$522,'Contractor''s Budget Detail'!B200,INPUT!$H$231:$H$522)+SUMIFS('COST REPORT'!$F$9:$F$998,'COST REPORT'!$A$9:$A$998,'Contractor''s Budget Detail'!B200,'COST REPORT'!$I$9:$I$998,"close"))-(SUMIFS('COST REPORT'!$F$9:$F$998,'COST REPORT'!$A$9:$A$998,'Contractor''s Budget Detail'!B200,'COST REPORT'!$I$9:$I$998,"close",'COST REPORT'!$J$9:$J$998,"x"))</f>
        <v>0</v>
      </c>
      <c r="G200" s="302">
        <f>E200+F200</f>
        <v>0</v>
      </c>
      <c r="H200" s="302">
        <f>SUMIF('COST REPORT'!$A$9:$A$998,'Contractor''s Budget Detail'!B200,'COST REPORT'!$G$9:$G$998)</f>
        <v>0</v>
      </c>
      <c r="I200" s="302">
        <f>G200-H200</f>
        <v>0</v>
      </c>
      <c r="J200" s="324">
        <f>D200-G200</f>
        <v>0</v>
      </c>
    </row>
    <row r="201" spans="1:10">
      <c r="A201" s="321">
        <v>7000</v>
      </c>
      <c r="B201" s="322">
        <f t="shared" si="38"/>
        <v>7020</v>
      </c>
      <c r="C201" s="325" t="s">
        <v>1939</v>
      </c>
      <c r="D201" s="323">
        <v>0</v>
      </c>
      <c r="E201" s="302">
        <f>(SUMIF('COST REPORT'!$A$9:$A$998,'Contractor''s Budget Detail'!B201,'COST REPORT'!$F$9:$F$998))-(SUMIFS('COST REPORT'!$F$9:$F$998,'COST REPORT'!$A$9:$A$998,'Contractor''s Budget Detail'!B201,'COST REPORT'!$I$9:$I$998,"Close"))</f>
        <v>0</v>
      </c>
      <c r="F201" s="302">
        <f>(SUMIF(INPUT!$I$231:$I$522,'Contractor''s Budget Detail'!B201,INPUT!$H$231:$H$522)+SUMIFS('COST REPORT'!$F$9:$F$998,'COST REPORT'!$A$9:$A$998,'Contractor''s Budget Detail'!B201,'COST REPORT'!$I$9:$I$998,"close"))-(SUMIFS('COST REPORT'!$F$9:$F$998,'COST REPORT'!$A$9:$A$998,'Contractor''s Budget Detail'!B201,'COST REPORT'!$I$9:$I$998,"close",'COST REPORT'!$J$9:$J$998,"x"))</f>
        <v>0</v>
      </c>
      <c r="G201" s="302">
        <f>E201+F201</f>
        <v>0</v>
      </c>
      <c r="H201" s="302">
        <f>SUMIF('COST REPORT'!$A$9:$A$998,'Contractor''s Budget Detail'!B201,'COST REPORT'!$G$9:$G$998)</f>
        <v>0</v>
      </c>
      <c r="I201" s="302">
        <f>G201-H201</f>
        <v>0</v>
      </c>
      <c r="J201" s="324">
        <f>D201-G201</f>
        <v>0</v>
      </c>
    </row>
    <row r="202" spans="1:10">
      <c r="A202" s="321">
        <v>7000</v>
      </c>
      <c r="B202" s="322">
        <f t="shared" si="38"/>
        <v>7021</v>
      </c>
      <c r="C202" s="325" t="s">
        <v>1939</v>
      </c>
      <c r="D202" s="323">
        <v>0</v>
      </c>
      <c r="E202" s="302">
        <f>(SUMIF('COST REPORT'!$A$9:$A$998,'Contractor''s Budget Detail'!B202,'COST REPORT'!$F$9:$F$998))-(SUMIFS('COST REPORT'!$F$9:$F$998,'COST REPORT'!$A$9:$A$998,'Contractor''s Budget Detail'!B202,'COST REPORT'!$I$9:$I$998,"Close"))</f>
        <v>0</v>
      </c>
      <c r="F202" s="302">
        <f>(SUMIF(INPUT!$I$231:$I$522,'Contractor''s Budget Detail'!B202,INPUT!$H$231:$H$522)+SUMIFS('COST REPORT'!$F$9:$F$998,'COST REPORT'!$A$9:$A$998,'Contractor''s Budget Detail'!B202,'COST REPORT'!$I$9:$I$998,"close"))-(SUMIFS('COST REPORT'!$F$9:$F$998,'COST REPORT'!$A$9:$A$998,'Contractor''s Budget Detail'!B202,'COST REPORT'!$I$9:$I$998,"close",'COST REPORT'!$J$9:$J$998,"x"))</f>
        <v>0</v>
      </c>
      <c r="G202" s="302">
        <f t="shared" si="39"/>
        <v>0</v>
      </c>
      <c r="H202" s="302">
        <f>SUMIF('COST REPORT'!$A$9:$A$998,'Contractor''s Budget Detail'!B202,'COST REPORT'!$G$9:$G$998)</f>
        <v>0</v>
      </c>
      <c r="I202" s="302">
        <f t="shared" si="40"/>
        <v>0</v>
      </c>
      <c r="J202" s="324">
        <f t="shared" si="41"/>
        <v>0</v>
      </c>
    </row>
    <row r="203" spans="1:10">
      <c r="A203" s="321">
        <v>7000</v>
      </c>
      <c r="B203" s="322">
        <f t="shared" si="38"/>
        <v>7022</v>
      </c>
      <c r="C203" s="325" t="s">
        <v>1939</v>
      </c>
      <c r="D203" s="323">
        <v>0</v>
      </c>
      <c r="E203" s="302">
        <f>(SUMIF('COST REPORT'!$A$9:$A$998,'Contractor''s Budget Detail'!B203,'COST REPORT'!$F$9:$F$998))-(SUMIFS('COST REPORT'!$F$9:$F$998,'COST REPORT'!$A$9:$A$998,'Contractor''s Budget Detail'!B203,'COST REPORT'!$I$9:$I$998,"Close"))</f>
        <v>0</v>
      </c>
      <c r="F203" s="302">
        <f>(SUMIF(INPUT!$I$231:$I$522,'Contractor''s Budget Detail'!B203,INPUT!$H$231:$H$522)+SUMIFS('COST REPORT'!$F$9:$F$998,'COST REPORT'!$A$9:$A$998,'Contractor''s Budget Detail'!B203,'COST REPORT'!$I$9:$I$998,"close"))-(SUMIFS('COST REPORT'!$F$9:$F$998,'COST REPORT'!$A$9:$A$998,'Contractor''s Budget Detail'!B203,'COST REPORT'!$I$9:$I$998,"close",'COST REPORT'!$J$9:$J$998,"x"))</f>
        <v>0</v>
      </c>
      <c r="G203" s="302">
        <f>E203+F203</f>
        <v>0</v>
      </c>
      <c r="H203" s="302">
        <f>SUMIF('COST REPORT'!$A$9:$A$998,'Contractor''s Budget Detail'!B203,'COST REPORT'!$G$9:$G$998)</f>
        <v>0</v>
      </c>
      <c r="I203" s="302">
        <f>G203-H203</f>
        <v>0</v>
      </c>
      <c r="J203" s="324">
        <f>D203-G203</f>
        <v>0</v>
      </c>
    </row>
    <row r="204" spans="1:10">
      <c r="A204" s="321">
        <v>7000</v>
      </c>
      <c r="B204" s="322">
        <f t="shared" si="38"/>
        <v>7023</v>
      </c>
      <c r="C204" s="325" t="s">
        <v>1939</v>
      </c>
      <c r="D204" s="323">
        <v>0</v>
      </c>
      <c r="E204" s="302">
        <f>(SUMIF('COST REPORT'!$A$9:$A$998,'Contractor''s Budget Detail'!B204,'COST REPORT'!$F$9:$F$998))-(SUMIFS('COST REPORT'!$F$9:$F$998,'COST REPORT'!$A$9:$A$998,'Contractor''s Budget Detail'!B204,'COST REPORT'!$I$9:$I$998,"Close"))</f>
        <v>0</v>
      </c>
      <c r="F204" s="302">
        <f>(SUMIF(INPUT!$I$231:$I$522,'Contractor''s Budget Detail'!B204,INPUT!$H$231:$H$522)+SUMIFS('COST REPORT'!$F$9:$F$998,'COST REPORT'!$A$9:$A$998,'Contractor''s Budget Detail'!B204,'COST REPORT'!$I$9:$I$998,"close"))-(SUMIFS('COST REPORT'!$F$9:$F$998,'COST REPORT'!$A$9:$A$998,'Contractor''s Budget Detail'!B204,'COST REPORT'!$I$9:$I$998,"close",'COST REPORT'!$J$9:$J$998,"x"))</f>
        <v>0</v>
      </c>
      <c r="G204" s="302">
        <f>E204+F204</f>
        <v>0</v>
      </c>
      <c r="H204" s="302">
        <f>SUMIF('COST REPORT'!$A$9:$A$998,'Contractor''s Budget Detail'!B204,'COST REPORT'!$G$9:$G$998)</f>
        <v>0</v>
      </c>
      <c r="I204" s="302">
        <f>G204-H204</f>
        <v>0</v>
      </c>
      <c r="J204" s="324">
        <f>D204-G204</f>
        <v>0</v>
      </c>
    </row>
    <row r="205" spans="1:10">
      <c r="A205" s="321">
        <v>7000</v>
      </c>
      <c r="B205" s="322">
        <f t="shared" si="38"/>
        <v>7024</v>
      </c>
      <c r="C205" s="325" t="s">
        <v>1939</v>
      </c>
      <c r="D205" s="323">
        <v>0</v>
      </c>
      <c r="E205" s="302">
        <f>(SUMIF('COST REPORT'!$A$9:$A$998,'Contractor''s Budget Detail'!B205,'COST REPORT'!$F$9:$F$998))-(SUMIFS('COST REPORT'!$F$9:$F$998,'COST REPORT'!$A$9:$A$998,'Contractor''s Budget Detail'!B205,'COST REPORT'!$I$9:$I$998,"Close"))</f>
        <v>0</v>
      </c>
      <c r="F205" s="302">
        <f>(SUMIF(INPUT!$I$231:$I$522,'Contractor''s Budget Detail'!B205,INPUT!$H$231:$H$522)+SUMIFS('COST REPORT'!$F$9:$F$998,'COST REPORT'!$A$9:$A$998,'Contractor''s Budget Detail'!B205,'COST REPORT'!$I$9:$I$998,"close"))-(SUMIFS('COST REPORT'!$F$9:$F$998,'COST REPORT'!$A$9:$A$998,'Contractor''s Budget Detail'!B205,'COST REPORT'!$I$9:$I$998,"close",'COST REPORT'!$J$9:$J$998,"x"))</f>
        <v>0</v>
      </c>
      <c r="G205" s="302">
        <f>E205+F205</f>
        <v>0</v>
      </c>
      <c r="H205" s="302">
        <f>SUMIF('COST REPORT'!$A$9:$A$998,'Contractor''s Budget Detail'!B205,'COST REPORT'!$G$9:$G$998)</f>
        <v>0</v>
      </c>
      <c r="I205" s="302">
        <f>G205-H205</f>
        <v>0</v>
      </c>
      <c r="J205" s="324">
        <f>D205-G205</f>
        <v>0</v>
      </c>
    </row>
    <row r="206" spans="1:10">
      <c r="A206" s="321">
        <v>7000</v>
      </c>
      <c r="B206" s="322">
        <f t="shared" si="38"/>
        <v>7025</v>
      </c>
      <c r="C206" s="325" t="s">
        <v>1939</v>
      </c>
      <c r="D206" s="323">
        <v>0</v>
      </c>
      <c r="E206" s="302">
        <f>(SUMIF('COST REPORT'!$A$9:$A$998,'Contractor''s Budget Detail'!B206,'COST REPORT'!$F$9:$F$998))-(SUMIFS('COST REPORT'!$F$9:$F$998,'COST REPORT'!$A$9:$A$998,'Contractor''s Budget Detail'!B206,'COST REPORT'!$I$9:$I$998,"Close"))</f>
        <v>0</v>
      </c>
      <c r="F206" s="302">
        <f>(SUMIF(INPUT!$I$231:$I$522,'Contractor''s Budget Detail'!B206,INPUT!$H$231:$H$522)+SUMIFS('COST REPORT'!$F$9:$F$998,'COST REPORT'!$A$9:$A$998,'Contractor''s Budget Detail'!B206,'COST REPORT'!$I$9:$I$998,"close"))-(SUMIFS('COST REPORT'!$F$9:$F$998,'COST REPORT'!$A$9:$A$998,'Contractor''s Budget Detail'!B206,'COST REPORT'!$I$9:$I$998,"close",'COST REPORT'!$J$9:$J$998,"x"))</f>
        <v>0</v>
      </c>
      <c r="G206" s="302">
        <f t="shared" si="39"/>
        <v>0</v>
      </c>
      <c r="H206" s="302">
        <f>SUMIF('COST REPORT'!$A$9:$A$998,'Contractor''s Budget Detail'!B206,'COST REPORT'!$G$9:$G$998)</f>
        <v>0</v>
      </c>
      <c r="I206" s="302">
        <f t="shared" si="40"/>
        <v>0</v>
      </c>
      <c r="J206" s="324">
        <f t="shared" si="41"/>
        <v>0</v>
      </c>
    </row>
    <row r="207" spans="1:10">
      <c r="A207" s="321">
        <v>7000</v>
      </c>
      <c r="B207" s="322">
        <f t="shared" si="38"/>
        <v>7026</v>
      </c>
      <c r="C207" s="325" t="s">
        <v>1939</v>
      </c>
      <c r="D207" s="323">
        <v>0</v>
      </c>
      <c r="E207" s="302">
        <f>(SUMIF('COST REPORT'!$A$9:$A$998,'Contractor''s Budget Detail'!B207,'COST REPORT'!$F$9:$F$998))-(SUMIFS('COST REPORT'!$F$9:$F$998,'COST REPORT'!$A$9:$A$998,'Contractor''s Budget Detail'!B207,'COST REPORT'!$I$9:$I$998,"Close"))</f>
        <v>0</v>
      </c>
      <c r="F207" s="302">
        <f>(SUMIF(INPUT!$I$231:$I$522,'Contractor''s Budget Detail'!B207,INPUT!$H$231:$H$522)+SUMIFS('COST REPORT'!$F$9:$F$998,'COST REPORT'!$A$9:$A$998,'Contractor''s Budget Detail'!B207,'COST REPORT'!$I$9:$I$998,"close"))-(SUMIFS('COST REPORT'!$F$9:$F$998,'COST REPORT'!$A$9:$A$998,'Contractor''s Budget Detail'!B207,'COST REPORT'!$I$9:$I$998,"close",'COST REPORT'!$J$9:$J$998,"x"))</f>
        <v>0</v>
      </c>
      <c r="G207" s="302">
        <f t="shared" si="39"/>
        <v>0</v>
      </c>
      <c r="H207" s="302">
        <f>SUMIF('COST REPORT'!$A$9:$A$998,'Contractor''s Budget Detail'!B207,'COST REPORT'!$G$9:$G$998)</f>
        <v>0</v>
      </c>
      <c r="I207" s="302">
        <f t="shared" si="40"/>
        <v>0</v>
      </c>
      <c r="J207" s="324">
        <f t="shared" si="41"/>
        <v>0</v>
      </c>
    </row>
    <row r="208" spans="1:10" ht="13.5" thickBot="1">
      <c r="A208" s="326" t="s">
        <v>2047</v>
      </c>
      <c r="B208" s="307"/>
      <c r="C208" s="308"/>
      <c r="D208" s="305">
        <f t="shared" ref="D208:J208" si="42">SUM(D182:D207)</f>
        <v>0</v>
      </c>
      <c r="E208" s="305">
        <f t="shared" si="42"/>
        <v>0</v>
      </c>
      <c r="F208" s="305">
        <f t="shared" si="42"/>
        <v>0</v>
      </c>
      <c r="G208" s="305">
        <f t="shared" si="42"/>
        <v>0</v>
      </c>
      <c r="H208" s="305">
        <f t="shared" si="42"/>
        <v>0</v>
      </c>
      <c r="I208" s="305">
        <f t="shared" si="42"/>
        <v>0</v>
      </c>
      <c r="J208" s="327">
        <f t="shared" si="42"/>
        <v>0</v>
      </c>
    </row>
    <row r="209" spans="1:10">
      <c r="A209" s="328"/>
      <c r="B209" s="71"/>
      <c r="C209" s="90"/>
      <c r="D209" s="306"/>
      <c r="E209" s="306"/>
      <c r="H209" s="306"/>
      <c r="I209" s="306"/>
      <c r="J209" s="329"/>
    </row>
    <row r="210" spans="1:10">
      <c r="A210" s="330" t="s">
        <v>2048</v>
      </c>
      <c r="B210" s="205"/>
      <c r="C210" s="88"/>
      <c r="D210" s="331"/>
      <c r="E210" s="331"/>
      <c r="F210" s="338"/>
      <c r="G210" s="338"/>
      <c r="H210" s="331"/>
      <c r="I210" s="331"/>
      <c r="J210" s="339"/>
    </row>
    <row r="211" spans="1:10">
      <c r="A211" s="321">
        <v>8000</v>
      </c>
      <c r="B211" s="322">
        <v>8001</v>
      </c>
      <c r="C211" s="317" t="s">
        <v>2049</v>
      </c>
      <c r="D211" s="323">
        <v>0</v>
      </c>
      <c r="E211" s="302">
        <f>(SUMIF('COST REPORT'!$A$9:$A$998,'Contractor''s Budget Detail'!B211,'COST REPORT'!$F$9:$F$998))-(SUMIFS('COST REPORT'!$F$9:$F$998,'COST REPORT'!$A$9:$A$998,'Contractor''s Budget Detail'!B211,'COST REPORT'!$I$9:$I$998,"Close"))</f>
        <v>0</v>
      </c>
      <c r="F211" s="302">
        <f>(SUMIF(INPUT!$I$231:$I$522,'Contractor''s Budget Detail'!B211,INPUT!$H$231:$H$522)+SUMIFS('COST REPORT'!$F$9:$F$998,'COST REPORT'!$A$9:$A$998,'Contractor''s Budget Detail'!B211,'COST REPORT'!$I$9:$I$998,"close"))-(SUMIFS('COST REPORT'!$F$9:$F$998,'COST REPORT'!$A$9:$A$998,'Contractor''s Budget Detail'!B211,'COST REPORT'!$I$9:$I$998,"close",'COST REPORT'!$J$9:$J$998,"x"))</f>
        <v>0</v>
      </c>
      <c r="G211" s="302">
        <f>E211+F211</f>
        <v>0</v>
      </c>
      <c r="H211" s="302">
        <f>SUMIF('COST REPORT'!$A$9:$A$998,'Contractor''s Budget Detail'!B211,'COST REPORT'!$G$9:$G$998)</f>
        <v>0</v>
      </c>
      <c r="I211" s="302">
        <f>G211-H211</f>
        <v>0</v>
      </c>
      <c r="J211" s="324">
        <f>D211-G211</f>
        <v>0</v>
      </c>
    </row>
    <row r="212" spans="1:10">
      <c r="A212" s="321">
        <v>8000</v>
      </c>
      <c r="B212" s="322">
        <f>B211+1</f>
        <v>8002</v>
      </c>
      <c r="C212" s="317" t="s">
        <v>2050</v>
      </c>
      <c r="D212" s="323">
        <v>0</v>
      </c>
      <c r="E212" s="302">
        <f>(SUMIF('COST REPORT'!$A$9:$A$998,'Contractor''s Budget Detail'!B212,'COST REPORT'!$F$9:$F$998))-(SUMIFS('COST REPORT'!$F$9:$F$998,'COST REPORT'!$A$9:$A$998,'Contractor''s Budget Detail'!B212,'COST REPORT'!$I$9:$I$998,"Close"))</f>
        <v>0</v>
      </c>
      <c r="F212" s="302">
        <f>(SUMIF(INPUT!$I$231:$I$522,'Contractor''s Budget Detail'!B212,INPUT!$H$231:$H$522)+SUMIFS('COST REPORT'!$F$9:$F$998,'COST REPORT'!$A$9:$A$998,'Contractor''s Budget Detail'!B212,'COST REPORT'!$I$9:$I$998,"close"))-(SUMIFS('COST REPORT'!$F$9:$F$998,'COST REPORT'!$A$9:$A$998,'Contractor''s Budget Detail'!B212,'COST REPORT'!$I$9:$I$998,"close",'COST REPORT'!$J$9:$J$998,"x"))</f>
        <v>0</v>
      </c>
      <c r="G212" s="302">
        <f t="shared" ref="G212:G237" si="43">E212+F212</f>
        <v>0</v>
      </c>
      <c r="H212" s="302">
        <f>SUMIF('COST REPORT'!$A$9:$A$998,'Contractor''s Budget Detail'!B212,'COST REPORT'!$G$9:$G$998)</f>
        <v>0</v>
      </c>
      <c r="I212" s="302">
        <f t="shared" ref="I212:I237" si="44">G212-H212</f>
        <v>0</v>
      </c>
      <c r="J212" s="324">
        <f t="shared" ref="J212:J237" si="45">D212-G212</f>
        <v>0</v>
      </c>
    </row>
    <row r="213" spans="1:10">
      <c r="A213" s="321">
        <v>8000</v>
      </c>
      <c r="B213" s="322">
        <f t="shared" ref="B213:B237" si="46">B212+1</f>
        <v>8003</v>
      </c>
      <c r="C213" s="317" t="s">
        <v>2051</v>
      </c>
      <c r="D213" s="323">
        <v>0</v>
      </c>
      <c r="E213" s="302">
        <f>(SUMIF('COST REPORT'!$A$9:$A$998,'Contractor''s Budget Detail'!B213,'COST REPORT'!$F$9:$F$998))-(SUMIFS('COST REPORT'!$F$9:$F$998,'COST REPORT'!$A$9:$A$998,'Contractor''s Budget Detail'!B213,'COST REPORT'!$I$9:$I$998,"Close"))</f>
        <v>0</v>
      </c>
      <c r="F213" s="302">
        <f>(SUMIF(INPUT!$I$231:$I$522,'Contractor''s Budget Detail'!B213,INPUT!$H$231:$H$522)+SUMIFS('COST REPORT'!$F$9:$F$998,'COST REPORT'!$A$9:$A$998,'Contractor''s Budget Detail'!B213,'COST REPORT'!$I$9:$I$998,"close"))-(SUMIFS('COST REPORT'!$F$9:$F$998,'COST REPORT'!$A$9:$A$998,'Contractor''s Budget Detail'!B213,'COST REPORT'!$I$9:$I$998,"close",'COST REPORT'!$J$9:$J$998,"x"))</f>
        <v>0</v>
      </c>
      <c r="G213" s="302">
        <f t="shared" si="43"/>
        <v>0</v>
      </c>
      <c r="H213" s="302">
        <f>SUMIF('COST REPORT'!$A$9:$A$998,'Contractor''s Budget Detail'!B213,'COST REPORT'!$G$9:$G$998)</f>
        <v>0</v>
      </c>
      <c r="I213" s="302">
        <f t="shared" si="44"/>
        <v>0</v>
      </c>
      <c r="J213" s="324">
        <f t="shared" si="45"/>
        <v>0</v>
      </c>
    </row>
    <row r="214" spans="1:10">
      <c r="A214" s="321">
        <v>8000</v>
      </c>
      <c r="B214" s="322">
        <f t="shared" si="46"/>
        <v>8004</v>
      </c>
      <c r="C214" s="317" t="s">
        <v>2052</v>
      </c>
      <c r="D214" s="323">
        <v>0</v>
      </c>
      <c r="E214" s="302">
        <f>(SUMIF('COST REPORT'!$A$9:$A$998,'Contractor''s Budget Detail'!B214,'COST REPORT'!$F$9:$F$998))-(SUMIFS('COST REPORT'!$F$9:$F$998,'COST REPORT'!$A$9:$A$998,'Contractor''s Budget Detail'!B214,'COST REPORT'!$I$9:$I$998,"Close"))</f>
        <v>0</v>
      </c>
      <c r="F214" s="302">
        <f>(SUMIF(INPUT!$I$231:$I$522,'Contractor''s Budget Detail'!B214,INPUT!$H$231:$H$522)+SUMIFS('COST REPORT'!$F$9:$F$998,'COST REPORT'!$A$9:$A$998,'Contractor''s Budget Detail'!B214,'COST REPORT'!$I$9:$I$998,"close"))-(SUMIFS('COST REPORT'!$F$9:$F$998,'COST REPORT'!$A$9:$A$998,'Contractor''s Budget Detail'!B214,'COST REPORT'!$I$9:$I$998,"close",'COST REPORT'!$J$9:$J$998,"x"))</f>
        <v>0</v>
      </c>
      <c r="G214" s="302">
        <f t="shared" si="43"/>
        <v>0</v>
      </c>
      <c r="H214" s="302">
        <f>SUMIF('COST REPORT'!$A$9:$A$998,'Contractor''s Budget Detail'!B214,'COST REPORT'!$G$9:$G$998)</f>
        <v>0</v>
      </c>
      <c r="I214" s="302">
        <f t="shared" si="44"/>
        <v>0</v>
      </c>
      <c r="J214" s="324">
        <f t="shared" si="45"/>
        <v>0</v>
      </c>
    </row>
    <row r="215" spans="1:10">
      <c r="A215" s="321">
        <v>8000</v>
      </c>
      <c r="B215" s="322">
        <f t="shared" si="46"/>
        <v>8005</v>
      </c>
      <c r="C215" s="317" t="s">
        <v>2053</v>
      </c>
      <c r="D215" s="323">
        <v>0</v>
      </c>
      <c r="E215" s="302">
        <f>(SUMIF('COST REPORT'!$A$9:$A$998,'Contractor''s Budget Detail'!B215,'COST REPORT'!$F$9:$F$998))-(SUMIFS('COST REPORT'!$F$9:$F$998,'COST REPORT'!$A$9:$A$998,'Contractor''s Budget Detail'!B215,'COST REPORT'!$I$9:$I$998,"Close"))</f>
        <v>0</v>
      </c>
      <c r="F215" s="302">
        <f>(SUMIF(INPUT!$I$231:$I$522,'Contractor''s Budget Detail'!B215,INPUT!$H$231:$H$522)+SUMIFS('COST REPORT'!$F$9:$F$998,'COST REPORT'!$A$9:$A$998,'Contractor''s Budget Detail'!B215,'COST REPORT'!$I$9:$I$998,"close"))-(SUMIFS('COST REPORT'!$F$9:$F$998,'COST REPORT'!$A$9:$A$998,'Contractor''s Budget Detail'!B215,'COST REPORT'!$I$9:$I$998,"close",'COST REPORT'!$J$9:$J$998,"x"))</f>
        <v>0</v>
      </c>
      <c r="G215" s="302">
        <f>E215+F215</f>
        <v>0</v>
      </c>
      <c r="H215" s="302">
        <f>SUMIF('COST REPORT'!$A$9:$A$998,'Contractor''s Budget Detail'!B215,'COST REPORT'!$G$9:$G$998)</f>
        <v>0</v>
      </c>
      <c r="I215" s="302">
        <f>G215-H215</f>
        <v>0</v>
      </c>
      <c r="J215" s="324">
        <f>D215-G215</f>
        <v>0</v>
      </c>
    </row>
    <row r="216" spans="1:10">
      <c r="A216" s="321">
        <v>8000</v>
      </c>
      <c r="B216" s="322">
        <f t="shared" si="46"/>
        <v>8006</v>
      </c>
      <c r="C216" s="317" t="s">
        <v>2054</v>
      </c>
      <c r="D216" s="323">
        <v>0</v>
      </c>
      <c r="E216" s="302">
        <f>(SUMIF('COST REPORT'!$A$9:$A$998,'Contractor''s Budget Detail'!B216,'COST REPORT'!$F$9:$F$998))-(SUMIFS('COST REPORT'!$F$9:$F$998,'COST REPORT'!$A$9:$A$998,'Contractor''s Budget Detail'!B216,'COST REPORT'!$I$9:$I$998,"Close"))</f>
        <v>0</v>
      </c>
      <c r="F216" s="302">
        <f>(SUMIF(INPUT!$I$231:$I$522,'Contractor''s Budget Detail'!B216,INPUT!$H$231:$H$522)+SUMIFS('COST REPORT'!$F$9:$F$998,'COST REPORT'!$A$9:$A$998,'Contractor''s Budget Detail'!B216,'COST REPORT'!$I$9:$I$998,"close"))-(SUMIFS('COST REPORT'!$F$9:$F$998,'COST REPORT'!$A$9:$A$998,'Contractor''s Budget Detail'!B216,'COST REPORT'!$I$9:$I$998,"close",'COST REPORT'!$J$9:$J$998,"x"))</f>
        <v>0</v>
      </c>
      <c r="G216" s="302">
        <f t="shared" si="43"/>
        <v>0</v>
      </c>
      <c r="H216" s="302">
        <f>SUMIF('COST REPORT'!$A$9:$A$998,'Contractor''s Budget Detail'!B216,'COST REPORT'!$G$9:$G$998)</f>
        <v>0</v>
      </c>
      <c r="I216" s="302">
        <f t="shared" si="44"/>
        <v>0</v>
      </c>
      <c r="J216" s="324">
        <f t="shared" si="45"/>
        <v>0</v>
      </c>
    </row>
    <row r="217" spans="1:10">
      <c r="A217" s="321">
        <v>8000</v>
      </c>
      <c r="B217" s="322">
        <f t="shared" si="46"/>
        <v>8007</v>
      </c>
      <c r="C217" s="317" t="s">
        <v>2055</v>
      </c>
      <c r="D217" s="323">
        <v>0</v>
      </c>
      <c r="E217" s="302">
        <f>(SUMIF('COST REPORT'!$A$9:$A$998,'Contractor''s Budget Detail'!B217,'COST REPORT'!$F$9:$F$998))-(SUMIFS('COST REPORT'!$F$9:$F$998,'COST REPORT'!$A$9:$A$998,'Contractor''s Budget Detail'!B217,'COST REPORT'!$I$9:$I$998,"Close"))</f>
        <v>0</v>
      </c>
      <c r="F217" s="302">
        <f>(SUMIF(INPUT!$I$231:$I$522,'Contractor''s Budget Detail'!B217,INPUT!$H$231:$H$522)+SUMIFS('COST REPORT'!$F$9:$F$998,'COST REPORT'!$A$9:$A$998,'Contractor''s Budget Detail'!B217,'COST REPORT'!$I$9:$I$998,"close"))-(SUMIFS('COST REPORT'!$F$9:$F$998,'COST REPORT'!$A$9:$A$998,'Contractor''s Budget Detail'!B217,'COST REPORT'!$I$9:$I$998,"close",'COST REPORT'!$J$9:$J$998,"x"))</f>
        <v>0</v>
      </c>
      <c r="G217" s="302">
        <f t="shared" si="43"/>
        <v>0</v>
      </c>
      <c r="H217" s="302">
        <f>SUMIF('COST REPORT'!$A$9:$A$998,'Contractor''s Budget Detail'!B217,'COST REPORT'!$G$9:$G$998)</f>
        <v>0</v>
      </c>
      <c r="I217" s="302">
        <f t="shared" si="44"/>
        <v>0</v>
      </c>
      <c r="J217" s="324">
        <f t="shared" si="45"/>
        <v>0</v>
      </c>
    </row>
    <row r="218" spans="1:10">
      <c r="A218" s="321">
        <v>8000</v>
      </c>
      <c r="B218" s="322">
        <f t="shared" si="46"/>
        <v>8008</v>
      </c>
      <c r="C218" s="317" t="s">
        <v>2056</v>
      </c>
      <c r="D218" s="323">
        <v>0</v>
      </c>
      <c r="E218" s="302">
        <f>(SUMIF('COST REPORT'!$A$9:$A$998,'Contractor''s Budget Detail'!B218,'COST REPORT'!$F$9:$F$998))-(SUMIFS('COST REPORT'!$F$9:$F$998,'COST REPORT'!$A$9:$A$998,'Contractor''s Budget Detail'!B218,'COST REPORT'!$I$9:$I$998,"Close"))</f>
        <v>0</v>
      </c>
      <c r="F218" s="302">
        <f>(SUMIF(INPUT!$I$231:$I$522,'Contractor''s Budget Detail'!B218,INPUT!$H$231:$H$522)+SUMIFS('COST REPORT'!$F$9:$F$998,'COST REPORT'!$A$9:$A$998,'Contractor''s Budget Detail'!B218,'COST REPORT'!$I$9:$I$998,"close"))-(SUMIFS('COST REPORT'!$F$9:$F$998,'COST REPORT'!$A$9:$A$998,'Contractor''s Budget Detail'!B218,'COST REPORT'!$I$9:$I$998,"close",'COST REPORT'!$J$9:$J$998,"x"))</f>
        <v>0</v>
      </c>
      <c r="G218" s="302">
        <f t="shared" si="43"/>
        <v>0</v>
      </c>
      <c r="H218" s="302">
        <f>SUMIF('COST REPORT'!$A$9:$A$998,'Contractor''s Budget Detail'!B218,'COST REPORT'!$G$9:$G$998)</f>
        <v>0</v>
      </c>
      <c r="I218" s="302">
        <f t="shared" si="44"/>
        <v>0</v>
      </c>
      <c r="J218" s="324">
        <f t="shared" si="45"/>
        <v>0</v>
      </c>
    </row>
    <row r="219" spans="1:10">
      <c r="A219" s="321">
        <v>8000</v>
      </c>
      <c r="B219" s="322">
        <f t="shared" si="46"/>
        <v>8009</v>
      </c>
      <c r="C219" s="317" t="s">
        <v>2057</v>
      </c>
      <c r="D219" s="323">
        <v>0</v>
      </c>
      <c r="E219" s="302">
        <f>(SUMIF('COST REPORT'!$A$9:$A$998,'Contractor''s Budget Detail'!B219,'COST REPORT'!$F$9:$F$998))-(SUMIFS('COST REPORT'!$F$9:$F$998,'COST REPORT'!$A$9:$A$998,'Contractor''s Budget Detail'!B219,'COST REPORT'!$I$9:$I$998,"Close"))</f>
        <v>0</v>
      </c>
      <c r="F219" s="302">
        <f>(SUMIF(INPUT!$I$231:$I$522,'Contractor''s Budget Detail'!B219,INPUT!$H$231:$H$522)+SUMIFS('COST REPORT'!$F$9:$F$998,'COST REPORT'!$A$9:$A$998,'Contractor''s Budget Detail'!B219,'COST REPORT'!$I$9:$I$998,"close"))-(SUMIFS('COST REPORT'!$F$9:$F$998,'COST REPORT'!$A$9:$A$998,'Contractor''s Budget Detail'!B219,'COST REPORT'!$I$9:$I$998,"close",'COST REPORT'!$J$9:$J$998,"x"))</f>
        <v>0</v>
      </c>
      <c r="G219" s="302">
        <f>E219+F219</f>
        <v>0</v>
      </c>
      <c r="H219" s="302">
        <f>SUMIF('COST REPORT'!$A$9:$A$998,'Contractor''s Budget Detail'!B219,'COST REPORT'!$G$9:$G$998)</f>
        <v>0</v>
      </c>
      <c r="I219" s="302">
        <f>G219-H219</f>
        <v>0</v>
      </c>
      <c r="J219" s="324">
        <f>D219-G219</f>
        <v>0</v>
      </c>
    </row>
    <row r="220" spans="1:10">
      <c r="A220" s="321">
        <v>8000</v>
      </c>
      <c r="B220" s="322">
        <f t="shared" si="46"/>
        <v>8010</v>
      </c>
      <c r="C220" s="317" t="s">
        <v>2058</v>
      </c>
      <c r="D220" s="323">
        <v>0</v>
      </c>
      <c r="E220" s="302">
        <f>(SUMIF('COST REPORT'!$A$9:$A$998,'Contractor''s Budget Detail'!B220,'COST REPORT'!$F$9:$F$998))-(SUMIFS('COST REPORT'!$F$9:$F$998,'COST REPORT'!$A$9:$A$998,'Contractor''s Budget Detail'!B220,'COST REPORT'!$I$9:$I$998,"Close"))</f>
        <v>0</v>
      </c>
      <c r="F220" s="302">
        <f>(SUMIF(INPUT!$I$231:$I$522,'Contractor''s Budget Detail'!B220,INPUT!$H$231:$H$522)+SUMIFS('COST REPORT'!$F$9:$F$998,'COST REPORT'!$A$9:$A$998,'Contractor''s Budget Detail'!B220,'COST REPORT'!$I$9:$I$998,"close"))-(SUMIFS('COST REPORT'!$F$9:$F$998,'COST REPORT'!$A$9:$A$998,'Contractor''s Budget Detail'!B220,'COST REPORT'!$I$9:$I$998,"close",'COST REPORT'!$J$9:$J$998,"x"))</f>
        <v>0</v>
      </c>
      <c r="G220" s="302">
        <f t="shared" si="43"/>
        <v>0</v>
      </c>
      <c r="H220" s="302">
        <f>SUMIF('COST REPORT'!$A$9:$A$998,'Contractor''s Budget Detail'!B220,'COST REPORT'!$G$9:$G$998)</f>
        <v>0</v>
      </c>
      <c r="I220" s="302">
        <f t="shared" si="44"/>
        <v>0</v>
      </c>
      <c r="J220" s="324">
        <f t="shared" si="45"/>
        <v>0</v>
      </c>
    </row>
    <row r="221" spans="1:10">
      <c r="A221" s="321">
        <v>8000</v>
      </c>
      <c r="B221" s="322">
        <f t="shared" si="46"/>
        <v>8011</v>
      </c>
      <c r="C221" s="317" t="s">
        <v>2059</v>
      </c>
      <c r="D221" s="323">
        <v>0</v>
      </c>
      <c r="E221" s="302">
        <f>(SUMIF('COST REPORT'!$A$9:$A$998,'Contractor''s Budget Detail'!B221,'COST REPORT'!$F$9:$F$998))-(SUMIFS('COST REPORT'!$F$9:$F$998,'COST REPORT'!$A$9:$A$998,'Contractor''s Budget Detail'!B221,'COST REPORT'!$I$9:$I$998,"Close"))</f>
        <v>0</v>
      </c>
      <c r="F221" s="302">
        <f>(SUMIF(INPUT!$I$231:$I$522,'Contractor''s Budget Detail'!B221,INPUT!$H$231:$H$522)+SUMIFS('COST REPORT'!$F$9:$F$998,'COST REPORT'!$A$9:$A$998,'Contractor''s Budget Detail'!B221,'COST REPORT'!$I$9:$I$998,"close"))-(SUMIFS('COST REPORT'!$F$9:$F$998,'COST REPORT'!$A$9:$A$998,'Contractor''s Budget Detail'!B221,'COST REPORT'!$I$9:$I$998,"close",'COST REPORT'!$J$9:$J$998,"x"))</f>
        <v>0</v>
      </c>
      <c r="G221" s="302">
        <f t="shared" si="43"/>
        <v>0</v>
      </c>
      <c r="H221" s="302">
        <f>SUMIF('COST REPORT'!$A$9:$A$998,'Contractor''s Budget Detail'!B221,'COST REPORT'!$G$9:$G$998)</f>
        <v>0</v>
      </c>
      <c r="I221" s="302">
        <f t="shared" si="44"/>
        <v>0</v>
      </c>
      <c r="J221" s="324">
        <f t="shared" si="45"/>
        <v>0</v>
      </c>
    </row>
    <row r="222" spans="1:10">
      <c r="A222" s="321">
        <v>8000</v>
      </c>
      <c r="B222" s="322">
        <f t="shared" si="46"/>
        <v>8012</v>
      </c>
      <c r="C222" s="317" t="s">
        <v>2060</v>
      </c>
      <c r="D222" s="323">
        <v>0</v>
      </c>
      <c r="E222" s="302">
        <f>(SUMIF('COST REPORT'!$A$9:$A$998,'Contractor''s Budget Detail'!B222,'COST REPORT'!$F$9:$F$998))-(SUMIFS('COST REPORT'!$F$9:$F$998,'COST REPORT'!$A$9:$A$998,'Contractor''s Budget Detail'!B222,'COST REPORT'!$I$9:$I$998,"Close"))</f>
        <v>0</v>
      </c>
      <c r="F222" s="302">
        <f>(SUMIF(INPUT!$I$231:$I$522,'Contractor''s Budget Detail'!B222,INPUT!$H$231:$H$522)+SUMIFS('COST REPORT'!$F$9:$F$998,'COST REPORT'!$A$9:$A$998,'Contractor''s Budget Detail'!B222,'COST REPORT'!$I$9:$I$998,"close"))-(SUMIFS('COST REPORT'!$F$9:$F$998,'COST REPORT'!$A$9:$A$998,'Contractor''s Budget Detail'!B222,'COST REPORT'!$I$9:$I$998,"close",'COST REPORT'!$J$9:$J$998,"x"))</f>
        <v>0</v>
      </c>
      <c r="G222" s="302">
        <f t="shared" si="43"/>
        <v>0</v>
      </c>
      <c r="H222" s="302">
        <f>SUMIF('COST REPORT'!$A$9:$A$998,'Contractor''s Budget Detail'!B222,'COST REPORT'!$G$9:$G$998)</f>
        <v>0</v>
      </c>
      <c r="I222" s="302">
        <f t="shared" si="44"/>
        <v>0</v>
      </c>
      <c r="J222" s="324">
        <f t="shared" si="45"/>
        <v>0</v>
      </c>
    </row>
    <row r="223" spans="1:10">
      <c r="A223" s="321">
        <v>8000</v>
      </c>
      <c r="B223" s="322">
        <f t="shared" si="46"/>
        <v>8013</v>
      </c>
      <c r="C223" s="317" t="s">
        <v>2061</v>
      </c>
      <c r="D223" s="323">
        <v>0</v>
      </c>
      <c r="E223" s="302">
        <f>(SUMIF('COST REPORT'!$A$9:$A$998,'Contractor''s Budget Detail'!B223,'COST REPORT'!$F$9:$F$998))-(SUMIFS('COST REPORT'!$F$9:$F$998,'COST REPORT'!$A$9:$A$998,'Contractor''s Budget Detail'!B223,'COST REPORT'!$I$9:$I$998,"Close"))</f>
        <v>0</v>
      </c>
      <c r="F223" s="302">
        <f>(SUMIF(INPUT!$I$231:$I$522,'Contractor''s Budget Detail'!B223,INPUT!$H$231:$H$522)+SUMIFS('COST REPORT'!$F$9:$F$998,'COST REPORT'!$A$9:$A$998,'Contractor''s Budget Detail'!B223,'COST REPORT'!$I$9:$I$998,"close"))-(SUMIFS('COST REPORT'!$F$9:$F$998,'COST REPORT'!$A$9:$A$998,'Contractor''s Budget Detail'!B223,'COST REPORT'!$I$9:$I$998,"close",'COST REPORT'!$J$9:$J$998,"x"))</f>
        <v>0</v>
      </c>
      <c r="G223" s="302">
        <f t="shared" si="43"/>
        <v>0</v>
      </c>
      <c r="H223" s="302">
        <f>SUMIF('COST REPORT'!$A$9:$A$998,'Contractor''s Budget Detail'!B223,'COST REPORT'!$G$9:$G$998)</f>
        <v>0</v>
      </c>
      <c r="I223" s="302">
        <f t="shared" si="44"/>
        <v>0</v>
      </c>
      <c r="J223" s="324">
        <f t="shared" si="45"/>
        <v>0</v>
      </c>
    </row>
    <row r="224" spans="1:10">
      <c r="A224" s="321">
        <v>8000</v>
      </c>
      <c r="B224" s="322">
        <f t="shared" si="46"/>
        <v>8014</v>
      </c>
      <c r="C224" s="317" t="s">
        <v>2062</v>
      </c>
      <c r="D224" s="323">
        <v>0</v>
      </c>
      <c r="E224" s="302">
        <f>(SUMIF('COST REPORT'!$A$9:$A$998,'Contractor''s Budget Detail'!B224,'COST REPORT'!$F$9:$F$998))-(SUMIFS('COST REPORT'!$F$9:$F$998,'COST REPORT'!$A$9:$A$998,'Contractor''s Budget Detail'!B224,'COST REPORT'!$I$9:$I$998,"Close"))</f>
        <v>0</v>
      </c>
      <c r="F224" s="302">
        <f>(SUMIF(INPUT!$I$231:$I$522,'Contractor''s Budget Detail'!B224,INPUT!$H$231:$H$522)+SUMIFS('COST REPORT'!$F$9:$F$998,'COST REPORT'!$A$9:$A$998,'Contractor''s Budget Detail'!B224,'COST REPORT'!$I$9:$I$998,"close"))-(SUMIFS('COST REPORT'!$F$9:$F$998,'COST REPORT'!$A$9:$A$998,'Contractor''s Budget Detail'!B224,'COST REPORT'!$I$9:$I$998,"close",'COST REPORT'!$J$9:$J$998,"x"))</f>
        <v>0</v>
      </c>
      <c r="G224" s="302">
        <f>E224+F224</f>
        <v>0</v>
      </c>
      <c r="H224" s="302">
        <f>SUMIF('COST REPORT'!$A$9:$A$998,'Contractor''s Budget Detail'!B224,'COST REPORT'!$G$9:$G$998)</f>
        <v>0</v>
      </c>
      <c r="I224" s="302">
        <f>G224-H224</f>
        <v>0</v>
      </c>
      <c r="J224" s="324">
        <f>D224-G224</f>
        <v>0</v>
      </c>
    </row>
    <row r="225" spans="1:10">
      <c r="A225" s="321">
        <v>8000</v>
      </c>
      <c r="B225" s="322">
        <f t="shared" si="46"/>
        <v>8015</v>
      </c>
      <c r="C225" s="317" t="s">
        <v>2063</v>
      </c>
      <c r="D225" s="323">
        <v>0</v>
      </c>
      <c r="E225" s="302">
        <f>(SUMIF('COST REPORT'!$A$9:$A$998,'Contractor''s Budget Detail'!B225,'COST REPORT'!$F$9:$F$998))-(SUMIFS('COST REPORT'!$F$9:$F$998,'COST REPORT'!$A$9:$A$998,'Contractor''s Budget Detail'!B225,'COST REPORT'!$I$9:$I$998,"Close"))</f>
        <v>0</v>
      </c>
      <c r="F225" s="302">
        <f>(SUMIF(INPUT!$I$231:$I$522,'Contractor''s Budget Detail'!B225,INPUT!$H$231:$H$522)+SUMIFS('COST REPORT'!$F$9:$F$998,'COST REPORT'!$A$9:$A$998,'Contractor''s Budget Detail'!B225,'COST REPORT'!$I$9:$I$998,"close"))-(SUMIFS('COST REPORT'!$F$9:$F$998,'COST REPORT'!$A$9:$A$998,'Contractor''s Budget Detail'!B225,'COST REPORT'!$I$9:$I$998,"close",'COST REPORT'!$J$9:$J$998,"x"))</f>
        <v>0</v>
      </c>
      <c r="G225" s="302">
        <f t="shared" si="43"/>
        <v>0</v>
      </c>
      <c r="H225" s="302">
        <f>SUMIF('COST REPORT'!$A$9:$A$998,'Contractor''s Budget Detail'!B225,'COST REPORT'!$G$9:$G$998)</f>
        <v>0</v>
      </c>
      <c r="I225" s="302">
        <f t="shared" si="44"/>
        <v>0</v>
      </c>
      <c r="J225" s="324">
        <f t="shared" si="45"/>
        <v>0</v>
      </c>
    </row>
    <row r="226" spans="1:10">
      <c r="A226" s="321">
        <v>8000</v>
      </c>
      <c r="B226" s="322">
        <f t="shared" si="46"/>
        <v>8016</v>
      </c>
      <c r="C226" s="317" t="s">
        <v>2064</v>
      </c>
      <c r="D226" s="323">
        <v>0</v>
      </c>
      <c r="E226" s="302">
        <f>(SUMIF('COST REPORT'!$A$9:$A$998,'Contractor''s Budget Detail'!B226,'COST REPORT'!$F$9:$F$998))-(SUMIFS('COST REPORT'!$F$9:$F$998,'COST REPORT'!$A$9:$A$998,'Contractor''s Budget Detail'!B226,'COST REPORT'!$I$9:$I$998,"Close"))</f>
        <v>0</v>
      </c>
      <c r="F226" s="302">
        <f>(SUMIF(INPUT!$I$231:$I$522,'Contractor''s Budget Detail'!B226,INPUT!$H$231:$H$522)+SUMIFS('COST REPORT'!$F$9:$F$998,'COST REPORT'!$A$9:$A$998,'Contractor''s Budget Detail'!B226,'COST REPORT'!$I$9:$I$998,"close"))-(SUMIFS('COST REPORT'!$F$9:$F$998,'COST REPORT'!$A$9:$A$998,'Contractor''s Budget Detail'!B226,'COST REPORT'!$I$9:$I$998,"close",'COST REPORT'!$J$9:$J$998,"x"))</f>
        <v>0</v>
      </c>
      <c r="G226" s="302">
        <f t="shared" ref="G226:G234" si="47">E226+F226</f>
        <v>0</v>
      </c>
      <c r="H226" s="302">
        <f>SUMIF('COST REPORT'!$A$9:$A$998,'Contractor''s Budget Detail'!B226,'COST REPORT'!$G$9:$G$998)</f>
        <v>0</v>
      </c>
      <c r="I226" s="302">
        <f t="shared" ref="I226:I234" si="48">G226-H226</f>
        <v>0</v>
      </c>
      <c r="J226" s="324">
        <f t="shared" ref="J226:J234" si="49">D226-G226</f>
        <v>0</v>
      </c>
    </row>
    <row r="227" spans="1:10">
      <c r="A227" s="321">
        <v>8000</v>
      </c>
      <c r="B227" s="322">
        <f t="shared" si="46"/>
        <v>8017</v>
      </c>
      <c r="C227" s="317" t="s">
        <v>2065</v>
      </c>
      <c r="D227" s="323">
        <v>0</v>
      </c>
      <c r="E227" s="302">
        <f>(SUMIF('COST REPORT'!$A$9:$A$998,'Contractor''s Budget Detail'!B227,'COST REPORT'!$F$9:$F$998))-(SUMIFS('COST REPORT'!$F$9:$F$998,'COST REPORT'!$A$9:$A$998,'Contractor''s Budget Detail'!B227,'COST REPORT'!$I$9:$I$998,"Close"))</f>
        <v>0</v>
      </c>
      <c r="F227" s="302">
        <f>(SUMIF(INPUT!$I$231:$I$522,'Contractor''s Budget Detail'!B227,INPUT!$H$231:$H$522)+SUMIFS('COST REPORT'!$F$9:$F$998,'COST REPORT'!$A$9:$A$998,'Contractor''s Budget Detail'!B227,'COST REPORT'!$I$9:$I$998,"close"))-(SUMIFS('COST REPORT'!$F$9:$F$998,'COST REPORT'!$A$9:$A$998,'Contractor''s Budget Detail'!B227,'COST REPORT'!$I$9:$I$998,"close",'COST REPORT'!$J$9:$J$998,"x"))</f>
        <v>0</v>
      </c>
      <c r="G227" s="302">
        <f t="shared" si="47"/>
        <v>0</v>
      </c>
      <c r="H227" s="302">
        <f>SUMIF('COST REPORT'!$A$9:$A$998,'Contractor''s Budget Detail'!B227,'COST REPORT'!$G$9:$G$998)</f>
        <v>0</v>
      </c>
      <c r="I227" s="302">
        <f t="shared" si="48"/>
        <v>0</v>
      </c>
      <c r="J227" s="324">
        <f t="shared" si="49"/>
        <v>0</v>
      </c>
    </row>
    <row r="228" spans="1:10">
      <c r="A228" s="321">
        <v>8000</v>
      </c>
      <c r="B228" s="322">
        <f t="shared" si="46"/>
        <v>8018</v>
      </c>
      <c r="C228" s="317" t="s">
        <v>2066</v>
      </c>
      <c r="D228" s="323">
        <v>0</v>
      </c>
      <c r="E228" s="302">
        <f>(SUMIF('COST REPORT'!$A$9:$A$998,'Contractor''s Budget Detail'!B228,'COST REPORT'!$F$9:$F$998))-(SUMIFS('COST REPORT'!$F$9:$F$998,'COST REPORT'!$A$9:$A$998,'Contractor''s Budget Detail'!B228,'COST REPORT'!$I$9:$I$998,"Close"))</f>
        <v>0</v>
      </c>
      <c r="F228" s="302">
        <f>(SUMIF(INPUT!$I$231:$I$522,'Contractor''s Budget Detail'!B228,INPUT!$H$231:$H$522)+SUMIFS('COST REPORT'!$F$9:$F$998,'COST REPORT'!$A$9:$A$998,'Contractor''s Budget Detail'!B228,'COST REPORT'!$I$9:$I$998,"close"))-(SUMIFS('COST REPORT'!$F$9:$F$998,'COST REPORT'!$A$9:$A$998,'Contractor''s Budget Detail'!B228,'COST REPORT'!$I$9:$I$998,"close",'COST REPORT'!$J$9:$J$998,"x"))</f>
        <v>0</v>
      </c>
      <c r="G228" s="302">
        <f t="shared" si="47"/>
        <v>0</v>
      </c>
      <c r="H228" s="302">
        <f>SUMIF('COST REPORT'!$A$9:$A$998,'Contractor''s Budget Detail'!B228,'COST REPORT'!$G$9:$G$998)</f>
        <v>0</v>
      </c>
      <c r="I228" s="302">
        <f t="shared" si="48"/>
        <v>0</v>
      </c>
      <c r="J228" s="324">
        <f t="shared" si="49"/>
        <v>0</v>
      </c>
    </row>
    <row r="229" spans="1:10">
      <c r="A229" s="321">
        <v>8000</v>
      </c>
      <c r="B229" s="322">
        <f t="shared" si="46"/>
        <v>8019</v>
      </c>
      <c r="C229" s="317" t="s">
        <v>2067</v>
      </c>
      <c r="D229" s="323">
        <v>0</v>
      </c>
      <c r="E229" s="302">
        <f>(SUMIF('COST REPORT'!$A$9:$A$998,'Contractor''s Budget Detail'!B229,'COST REPORT'!$F$9:$F$998))-(SUMIFS('COST REPORT'!$F$9:$F$998,'COST REPORT'!$A$9:$A$998,'Contractor''s Budget Detail'!B229,'COST REPORT'!$I$9:$I$998,"Close"))</f>
        <v>0</v>
      </c>
      <c r="F229" s="302">
        <f>(SUMIF(INPUT!$I$231:$I$522,'Contractor''s Budget Detail'!B229,INPUT!$H$231:$H$522)+SUMIFS('COST REPORT'!$F$9:$F$998,'COST REPORT'!$A$9:$A$998,'Contractor''s Budget Detail'!B229,'COST REPORT'!$I$9:$I$998,"close"))-(SUMIFS('COST REPORT'!$F$9:$F$998,'COST REPORT'!$A$9:$A$998,'Contractor''s Budget Detail'!B229,'COST REPORT'!$I$9:$I$998,"close",'COST REPORT'!$J$9:$J$998,"x"))</f>
        <v>0</v>
      </c>
      <c r="G229" s="302">
        <f t="shared" si="47"/>
        <v>0</v>
      </c>
      <c r="H229" s="302">
        <f>SUMIF('COST REPORT'!$A$9:$A$998,'Contractor''s Budget Detail'!B229,'COST REPORT'!$G$9:$G$998)</f>
        <v>0</v>
      </c>
      <c r="I229" s="302">
        <f t="shared" si="48"/>
        <v>0</v>
      </c>
      <c r="J229" s="324">
        <f t="shared" si="49"/>
        <v>0</v>
      </c>
    </row>
    <row r="230" spans="1:10">
      <c r="A230" s="321">
        <v>8000</v>
      </c>
      <c r="B230" s="322">
        <f t="shared" si="46"/>
        <v>8020</v>
      </c>
      <c r="C230" s="325" t="s">
        <v>1939</v>
      </c>
      <c r="D230" s="323">
        <v>0</v>
      </c>
      <c r="E230" s="302">
        <f>(SUMIF('COST REPORT'!$A$9:$A$998,'Contractor''s Budget Detail'!B230,'COST REPORT'!$F$9:$F$998))-(SUMIFS('COST REPORT'!$F$9:$F$998,'COST REPORT'!$A$9:$A$998,'Contractor''s Budget Detail'!B230,'COST REPORT'!$I$9:$I$998,"Close"))</f>
        <v>0</v>
      </c>
      <c r="F230" s="302">
        <f>(SUMIF(INPUT!$I$231:$I$522,'Contractor''s Budget Detail'!B230,INPUT!$H$231:$H$522)+SUMIFS('COST REPORT'!$F$9:$F$998,'COST REPORT'!$A$9:$A$998,'Contractor''s Budget Detail'!B230,'COST REPORT'!$I$9:$I$998,"close"))-(SUMIFS('COST REPORT'!$F$9:$F$998,'COST REPORT'!$A$9:$A$998,'Contractor''s Budget Detail'!B230,'COST REPORT'!$I$9:$I$998,"close",'COST REPORT'!$J$9:$J$998,"x"))</f>
        <v>0</v>
      </c>
      <c r="G230" s="302">
        <f t="shared" si="47"/>
        <v>0</v>
      </c>
      <c r="H230" s="302">
        <f>SUMIF('COST REPORT'!$A$9:$A$998,'Contractor''s Budget Detail'!B230,'COST REPORT'!$G$9:$G$998)</f>
        <v>0</v>
      </c>
      <c r="I230" s="302">
        <f t="shared" si="48"/>
        <v>0</v>
      </c>
      <c r="J230" s="324">
        <f t="shared" si="49"/>
        <v>0</v>
      </c>
    </row>
    <row r="231" spans="1:10">
      <c r="A231" s="321">
        <v>8000</v>
      </c>
      <c r="B231" s="322">
        <f t="shared" si="46"/>
        <v>8021</v>
      </c>
      <c r="C231" s="325" t="s">
        <v>1939</v>
      </c>
      <c r="D231" s="323">
        <v>0</v>
      </c>
      <c r="E231" s="302">
        <f>(SUMIF('COST REPORT'!$A$9:$A$998,'Contractor''s Budget Detail'!B231,'COST REPORT'!$F$9:$F$998))-(SUMIFS('COST REPORT'!$F$9:$F$998,'COST REPORT'!$A$9:$A$998,'Contractor''s Budget Detail'!B231,'COST REPORT'!$I$9:$I$998,"Close"))</f>
        <v>0</v>
      </c>
      <c r="F231" s="302">
        <f>(SUMIF(INPUT!$I$231:$I$522,'Contractor''s Budget Detail'!B231,INPUT!$H$231:$H$522)+SUMIFS('COST REPORT'!$F$9:$F$998,'COST REPORT'!$A$9:$A$998,'Contractor''s Budget Detail'!B231,'COST REPORT'!$I$9:$I$998,"close"))-(SUMIFS('COST REPORT'!$F$9:$F$998,'COST REPORT'!$A$9:$A$998,'Contractor''s Budget Detail'!B231,'COST REPORT'!$I$9:$I$998,"close",'COST REPORT'!$J$9:$J$998,"x"))</f>
        <v>0</v>
      </c>
      <c r="G231" s="302">
        <f t="shared" si="47"/>
        <v>0</v>
      </c>
      <c r="H231" s="302">
        <f>SUMIF('COST REPORT'!$A$9:$A$998,'Contractor''s Budget Detail'!B231,'COST REPORT'!$G$9:$G$998)</f>
        <v>0</v>
      </c>
      <c r="I231" s="302">
        <f t="shared" si="48"/>
        <v>0</v>
      </c>
      <c r="J231" s="324">
        <f t="shared" si="49"/>
        <v>0</v>
      </c>
    </row>
    <row r="232" spans="1:10">
      <c r="A232" s="321">
        <v>8000</v>
      </c>
      <c r="B232" s="322">
        <f t="shared" si="46"/>
        <v>8022</v>
      </c>
      <c r="C232" s="325" t="s">
        <v>1939</v>
      </c>
      <c r="D232" s="323">
        <v>0</v>
      </c>
      <c r="E232" s="302">
        <f>(SUMIF('COST REPORT'!$A$9:$A$998,'Contractor''s Budget Detail'!B232,'COST REPORT'!$F$9:$F$998))-(SUMIFS('COST REPORT'!$F$9:$F$998,'COST REPORT'!$A$9:$A$998,'Contractor''s Budget Detail'!B232,'COST REPORT'!$I$9:$I$998,"Close"))</f>
        <v>0</v>
      </c>
      <c r="F232" s="302">
        <f>(SUMIF(INPUT!$I$231:$I$522,'Contractor''s Budget Detail'!B232,INPUT!$H$231:$H$522)+SUMIFS('COST REPORT'!$F$9:$F$998,'COST REPORT'!$A$9:$A$998,'Contractor''s Budget Detail'!B232,'COST REPORT'!$I$9:$I$998,"close"))-(SUMIFS('COST REPORT'!$F$9:$F$998,'COST REPORT'!$A$9:$A$998,'Contractor''s Budget Detail'!B232,'COST REPORT'!$I$9:$I$998,"close",'COST REPORT'!$J$9:$J$998,"x"))</f>
        <v>0</v>
      </c>
      <c r="G232" s="302">
        <f t="shared" si="47"/>
        <v>0</v>
      </c>
      <c r="H232" s="302">
        <f>SUMIF('COST REPORT'!$A$9:$A$998,'Contractor''s Budget Detail'!B232,'COST REPORT'!$G$9:$G$998)</f>
        <v>0</v>
      </c>
      <c r="I232" s="302">
        <f t="shared" si="48"/>
        <v>0</v>
      </c>
      <c r="J232" s="324">
        <f t="shared" si="49"/>
        <v>0</v>
      </c>
    </row>
    <row r="233" spans="1:10">
      <c r="A233" s="321">
        <v>8000</v>
      </c>
      <c r="B233" s="322">
        <f t="shared" si="46"/>
        <v>8023</v>
      </c>
      <c r="C233" s="325" t="s">
        <v>1939</v>
      </c>
      <c r="D233" s="323">
        <v>0</v>
      </c>
      <c r="E233" s="302">
        <f>(SUMIF('COST REPORT'!$A$9:$A$998,'Contractor''s Budget Detail'!B233,'COST REPORT'!$F$9:$F$998))-(SUMIFS('COST REPORT'!$F$9:$F$998,'COST REPORT'!$A$9:$A$998,'Contractor''s Budget Detail'!B233,'COST REPORT'!$I$9:$I$998,"Close"))</f>
        <v>0</v>
      </c>
      <c r="F233" s="302">
        <f>(SUMIF(INPUT!$I$231:$I$522,'Contractor''s Budget Detail'!B233,INPUT!$H$231:$H$522)+SUMIFS('COST REPORT'!$F$9:$F$998,'COST REPORT'!$A$9:$A$998,'Contractor''s Budget Detail'!B233,'COST REPORT'!$I$9:$I$998,"close"))-(SUMIFS('COST REPORT'!$F$9:$F$998,'COST REPORT'!$A$9:$A$998,'Contractor''s Budget Detail'!B233,'COST REPORT'!$I$9:$I$998,"close",'COST REPORT'!$J$9:$J$998,"x"))</f>
        <v>0</v>
      </c>
      <c r="G233" s="302">
        <f t="shared" si="47"/>
        <v>0</v>
      </c>
      <c r="H233" s="302">
        <f>SUMIF('COST REPORT'!$A$9:$A$998,'Contractor''s Budget Detail'!B233,'COST REPORT'!$G$9:$G$998)</f>
        <v>0</v>
      </c>
      <c r="I233" s="302">
        <f t="shared" si="48"/>
        <v>0</v>
      </c>
      <c r="J233" s="324">
        <f t="shared" si="49"/>
        <v>0</v>
      </c>
    </row>
    <row r="234" spans="1:10">
      <c r="A234" s="321">
        <v>8000</v>
      </c>
      <c r="B234" s="322">
        <f t="shared" si="46"/>
        <v>8024</v>
      </c>
      <c r="C234" s="325" t="s">
        <v>1939</v>
      </c>
      <c r="D234" s="323">
        <v>0</v>
      </c>
      <c r="E234" s="302">
        <f>(SUMIF('COST REPORT'!$A$9:$A$998,'Contractor''s Budget Detail'!B234,'COST REPORT'!$F$9:$F$998))-(SUMIFS('COST REPORT'!$F$9:$F$998,'COST REPORT'!$A$9:$A$998,'Contractor''s Budget Detail'!B234,'COST REPORT'!$I$9:$I$998,"Close"))</f>
        <v>0</v>
      </c>
      <c r="F234" s="302">
        <f>(SUMIF(INPUT!$I$231:$I$522,'Contractor''s Budget Detail'!B234,INPUT!$H$231:$H$522)+SUMIFS('COST REPORT'!$F$9:$F$998,'COST REPORT'!$A$9:$A$998,'Contractor''s Budget Detail'!B234,'COST REPORT'!$I$9:$I$998,"close"))-(SUMIFS('COST REPORT'!$F$9:$F$998,'COST REPORT'!$A$9:$A$998,'Contractor''s Budget Detail'!B234,'COST REPORT'!$I$9:$I$998,"close",'COST REPORT'!$J$9:$J$998,"x"))</f>
        <v>0</v>
      </c>
      <c r="G234" s="302">
        <f t="shared" si="47"/>
        <v>0</v>
      </c>
      <c r="H234" s="302">
        <f>SUMIF('COST REPORT'!$A$9:$A$998,'Contractor''s Budget Detail'!B234,'COST REPORT'!$G$9:$G$998)</f>
        <v>0</v>
      </c>
      <c r="I234" s="302">
        <f t="shared" si="48"/>
        <v>0</v>
      </c>
      <c r="J234" s="324">
        <f t="shared" si="49"/>
        <v>0</v>
      </c>
    </row>
    <row r="235" spans="1:10">
      <c r="A235" s="321">
        <v>8000</v>
      </c>
      <c r="B235" s="322">
        <f t="shared" si="46"/>
        <v>8025</v>
      </c>
      <c r="C235" s="325" t="s">
        <v>1939</v>
      </c>
      <c r="D235" s="323">
        <v>0</v>
      </c>
      <c r="E235" s="302">
        <f>(SUMIF('COST REPORT'!$A$9:$A$998,'Contractor''s Budget Detail'!B235,'COST REPORT'!$F$9:$F$998))-(SUMIFS('COST REPORT'!$F$9:$F$998,'COST REPORT'!$A$9:$A$998,'Contractor''s Budget Detail'!B235,'COST REPORT'!$I$9:$I$998,"Close"))</f>
        <v>0</v>
      </c>
      <c r="F235" s="302">
        <f>(SUMIF(INPUT!$I$231:$I$522,'Contractor''s Budget Detail'!B235,INPUT!$H$231:$H$522)+SUMIFS('COST REPORT'!$F$9:$F$998,'COST REPORT'!$A$9:$A$998,'Contractor''s Budget Detail'!B235,'COST REPORT'!$I$9:$I$998,"close"))-(SUMIFS('COST REPORT'!$F$9:$F$998,'COST REPORT'!$A$9:$A$998,'Contractor''s Budget Detail'!B235,'COST REPORT'!$I$9:$I$998,"close",'COST REPORT'!$J$9:$J$998,"x"))</f>
        <v>0</v>
      </c>
      <c r="G235" s="302">
        <f t="shared" si="43"/>
        <v>0</v>
      </c>
      <c r="H235" s="302">
        <f>SUMIF('COST REPORT'!$A$9:$A$998,'Contractor''s Budget Detail'!B235,'COST REPORT'!$G$9:$G$998)</f>
        <v>0</v>
      </c>
      <c r="I235" s="302">
        <f t="shared" si="44"/>
        <v>0</v>
      </c>
      <c r="J235" s="324">
        <f t="shared" si="45"/>
        <v>0</v>
      </c>
    </row>
    <row r="236" spans="1:10">
      <c r="A236" s="321">
        <v>8000</v>
      </c>
      <c r="B236" s="322">
        <f t="shared" si="46"/>
        <v>8026</v>
      </c>
      <c r="C236" s="325" t="s">
        <v>1939</v>
      </c>
      <c r="D236" s="323">
        <v>0</v>
      </c>
      <c r="E236" s="302">
        <f>(SUMIF('COST REPORT'!$A$9:$A$998,'Contractor''s Budget Detail'!B236,'COST REPORT'!$F$9:$F$998))-(SUMIFS('COST REPORT'!$F$9:$F$998,'COST REPORT'!$A$9:$A$998,'Contractor''s Budget Detail'!B236,'COST REPORT'!$I$9:$I$998,"Close"))</f>
        <v>0</v>
      </c>
      <c r="F236" s="302">
        <f>(SUMIF(INPUT!$I$231:$I$522,'Contractor''s Budget Detail'!B236,INPUT!$H$231:$H$522)+SUMIFS('COST REPORT'!$F$9:$F$998,'COST REPORT'!$A$9:$A$998,'Contractor''s Budget Detail'!B236,'COST REPORT'!$I$9:$I$998,"close"))-(SUMIFS('COST REPORT'!$F$9:$F$998,'COST REPORT'!$A$9:$A$998,'Contractor''s Budget Detail'!B236,'COST REPORT'!$I$9:$I$998,"close",'COST REPORT'!$J$9:$J$998,"x"))</f>
        <v>0</v>
      </c>
      <c r="G236" s="302">
        <f t="shared" si="43"/>
        <v>0</v>
      </c>
      <c r="H236" s="302">
        <f>SUMIF('COST REPORT'!$A$9:$A$998,'Contractor''s Budget Detail'!B236,'COST REPORT'!$G$9:$G$998)</f>
        <v>0</v>
      </c>
      <c r="I236" s="302">
        <f t="shared" si="44"/>
        <v>0</v>
      </c>
      <c r="J236" s="324">
        <f t="shared" si="45"/>
        <v>0</v>
      </c>
    </row>
    <row r="237" spans="1:10">
      <c r="A237" s="321">
        <v>8000</v>
      </c>
      <c r="B237" s="322">
        <f t="shared" si="46"/>
        <v>8027</v>
      </c>
      <c r="C237" s="325" t="s">
        <v>1939</v>
      </c>
      <c r="D237" s="323">
        <v>0</v>
      </c>
      <c r="E237" s="302">
        <f>(SUMIF('COST REPORT'!$A$9:$A$998,'Contractor''s Budget Detail'!B237,'COST REPORT'!$F$9:$F$998))-(SUMIFS('COST REPORT'!$F$9:$F$998,'COST REPORT'!$A$9:$A$998,'Contractor''s Budget Detail'!B237,'COST REPORT'!$I$9:$I$998,"Close"))</f>
        <v>0</v>
      </c>
      <c r="F237" s="302">
        <f>(SUMIF(INPUT!$I$231:$I$522,'Contractor''s Budget Detail'!B237,INPUT!$H$231:$H$522)+SUMIFS('COST REPORT'!$F$9:$F$998,'COST REPORT'!$A$9:$A$998,'Contractor''s Budget Detail'!B237,'COST REPORT'!$I$9:$I$998,"close"))-(SUMIFS('COST REPORT'!$F$9:$F$998,'COST REPORT'!$A$9:$A$998,'Contractor''s Budget Detail'!B237,'COST REPORT'!$I$9:$I$998,"close",'COST REPORT'!$J$9:$J$998,"x"))</f>
        <v>0</v>
      </c>
      <c r="G237" s="302">
        <f t="shared" si="43"/>
        <v>0</v>
      </c>
      <c r="H237" s="302">
        <f>SUMIF('COST REPORT'!$A$9:$A$998,'Contractor''s Budget Detail'!B237,'COST REPORT'!$G$9:$G$998)</f>
        <v>0</v>
      </c>
      <c r="I237" s="302">
        <f t="shared" si="44"/>
        <v>0</v>
      </c>
      <c r="J237" s="324">
        <f t="shared" si="45"/>
        <v>0</v>
      </c>
    </row>
    <row r="238" spans="1:10" ht="13.5" thickBot="1">
      <c r="A238" s="340" t="s">
        <v>2068</v>
      </c>
      <c r="B238" s="309"/>
      <c r="C238" s="310"/>
      <c r="D238" s="311">
        <f t="shared" ref="D238:J238" si="50">SUM(D211:D237)</f>
        <v>0</v>
      </c>
      <c r="E238" s="311">
        <f t="shared" si="50"/>
        <v>0</v>
      </c>
      <c r="F238" s="311">
        <f t="shared" si="50"/>
        <v>0</v>
      </c>
      <c r="G238" s="311">
        <f t="shared" si="50"/>
        <v>0</v>
      </c>
      <c r="H238" s="311">
        <f t="shared" si="50"/>
        <v>0</v>
      </c>
      <c r="I238" s="311">
        <f t="shared" si="50"/>
        <v>0</v>
      </c>
      <c r="J238" s="341">
        <f t="shared" si="50"/>
        <v>0</v>
      </c>
    </row>
    <row r="239" spans="1:10">
      <c r="A239" s="328"/>
      <c r="B239" s="71"/>
      <c r="C239" s="90"/>
      <c r="D239" s="306"/>
      <c r="E239" s="306"/>
      <c r="H239" s="306"/>
      <c r="I239" s="306"/>
      <c r="J239" s="329"/>
    </row>
    <row r="240" spans="1:10">
      <c r="A240" s="330" t="s">
        <v>1366</v>
      </c>
      <c r="B240" s="205"/>
      <c r="C240" s="88"/>
      <c r="D240" s="331"/>
      <c r="E240" s="331"/>
      <c r="F240" s="338"/>
      <c r="G240" s="338"/>
      <c r="H240" s="331"/>
      <c r="I240" s="331"/>
      <c r="J240" s="339"/>
    </row>
    <row r="241" spans="1:10">
      <c r="A241" s="321">
        <v>9000</v>
      </c>
      <c r="B241" s="322">
        <f>9001</f>
        <v>9001</v>
      </c>
      <c r="C241" s="317" t="s">
        <v>2069</v>
      </c>
      <c r="D241" s="323">
        <v>0</v>
      </c>
      <c r="E241" s="302">
        <f>(SUMIF('COST REPORT'!$A$9:$A$998,'Contractor''s Budget Detail'!B241,'COST REPORT'!$F$9:$F$998))-(SUMIFS('COST REPORT'!$F$9:$F$998,'COST REPORT'!$A$9:$A$998,'Contractor''s Budget Detail'!B241,'COST REPORT'!$I$9:$I$998,"Close"))</f>
        <v>0</v>
      </c>
      <c r="F241" s="302">
        <f>(SUMIF(INPUT!$I$231:$I$522,'Contractor''s Budget Detail'!B241,INPUT!$H$231:$H$522)+SUMIFS('COST REPORT'!$F$9:$F$998,'COST REPORT'!$A$9:$A$998,'Contractor''s Budget Detail'!B241,'COST REPORT'!$I$9:$I$998,"close"))-(SUMIFS('COST REPORT'!$F$9:$F$998,'COST REPORT'!$A$9:$A$998,'Contractor''s Budget Detail'!B241,'COST REPORT'!$I$9:$I$998,"close",'COST REPORT'!$J$9:$J$998,"x"))</f>
        <v>0</v>
      </c>
      <c r="G241" s="302">
        <f>E241+F241</f>
        <v>0</v>
      </c>
      <c r="H241" s="302">
        <f>SUMIF('COST REPORT'!$A$9:$A$998,'Contractor''s Budget Detail'!B241,'COST REPORT'!$G$9:$G$998)</f>
        <v>0</v>
      </c>
      <c r="I241" s="302">
        <f>G241-H241</f>
        <v>0</v>
      </c>
      <c r="J241" s="324">
        <f>D241-G241</f>
        <v>0</v>
      </c>
    </row>
    <row r="242" spans="1:10">
      <c r="A242" s="321">
        <v>9000</v>
      </c>
      <c r="B242" s="322">
        <f>B241+1</f>
        <v>9002</v>
      </c>
      <c r="C242" s="317" t="s">
        <v>2070</v>
      </c>
      <c r="D242" s="323">
        <v>0</v>
      </c>
      <c r="E242" s="302">
        <f>(SUMIF('COST REPORT'!$A$9:$A$998,'Contractor''s Budget Detail'!B242,'COST REPORT'!$F$9:$F$998))-(SUMIFS('COST REPORT'!$F$9:$F$998,'COST REPORT'!$A$9:$A$998,'Contractor''s Budget Detail'!B242,'COST REPORT'!$I$9:$I$998,"Close"))</f>
        <v>0</v>
      </c>
      <c r="F242" s="302">
        <f>(SUMIF(INPUT!$I$231:$I$522,'Contractor''s Budget Detail'!B242,INPUT!$H$231:$H$522)+SUMIFS('COST REPORT'!$F$9:$F$998,'COST REPORT'!$A$9:$A$998,'Contractor''s Budget Detail'!B242,'COST REPORT'!$I$9:$I$998,"close"))-(SUMIFS('COST REPORT'!$F$9:$F$998,'COST REPORT'!$A$9:$A$998,'Contractor''s Budget Detail'!B242,'COST REPORT'!$I$9:$I$998,"close",'COST REPORT'!$J$9:$J$998,"x"))</f>
        <v>0</v>
      </c>
      <c r="G242" s="302">
        <f>E242+F242</f>
        <v>0</v>
      </c>
      <c r="H242" s="302">
        <f>SUMIF('COST REPORT'!$A$9:$A$998,'Contractor''s Budget Detail'!B242,'COST REPORT'!$G$9:$G$998)</f>
        <v>0</v>
      </c>
      <c r="I242" s="302">
        <f>G242-H242</f>
        <v>0</v>
      </c>
      <c r="J242" s="324">
        <f>D242-G242</f>
        <v>0</v>
      </c>
    </row>
    <row r="243" spans="1:10">
      <c r="A243" s="321">
        <v>9000</v>
      </c>
      <c r="B243" s="322">
        <f t="shared" ref="B243:B266" si="51">B242+1</f>
        <v>9003</v>
      </c>
      <c r="C243" s="317" t="s">
        <v>2071</v>
      </c>
      <c r="D243" s="323">
        <v>0</v>
      </c>
      <c r="E243" s="302">
        <f>(SUMIF('COST REPORT'!$A$9:$A$998,'Contractor''s Budget Detail'!B243,'COST REPORT'!$F$9:$F$998))-(SUMIFS('COST REPORT'!$F$9:$F$998,'COST REPORT'!$A$9:$A$998,'Contractor''s Budget Detail'!B243,'COST REPORT'!$I$9:$I$998,"Close"))</f>
        <v>0</v>
      </c>
      <c r="F243" s="302">
        <f>(SUMIF(INPUT!$I$231:$I$522,'Contractor''s Budget Detail'!B243,INPUT!$H$231:$H$522)+SUMIFS('COST REPORT'!$F$9:$F$998,'COST REPORT'!$A$9:$A$998,'Contractor''s Budget Detail'!B243,'COST REPORT'!$I$9:$I$998,"close"))-(SUMIFS('COST REPORT'!$F$9:$F$998,'COST REPORT'!$A$9:$A$998,'Contractor''s Budget Detail'!B243,'COST REPORT'!$I$9:$I$998,"close",'COST REPORT'!$J$9:$J$998,"x"))</f>
        <v>0</v>
      </c>
      <c r="G243" s="302">
        <f>E243+F243</f>
        <v>0</v>
      </c>
      <c r="H243" s="302">
        <f>SUMIF('COST REPORT'!$A$9:$A$998,'Contractor''s Budget Detail'!B243,'COST REPORT'!$G$9:$G$998)</f>
        <v>0</v>
      </c>
      <c r="I243" s="302">
        <f>G243-H243</f>
        <v>0</v>
      </c>
      <c r="J243" s="324">
        <f>D243-G243</f>
        <v>0</v>
      </c>
    </row>
    <row r="244" spans="1:10">
      <c r="A244" s="321">
        <v>9000</v>
      </c>
      <c r="B244" s="322">
        <f t="shared" si="51"/>
        <v>9004</v>
      </c>
      <c r="C244" s="317" t="s">
        <v>2072</v>
      </c>
      <c r="D244" s="323">
        <v>0</v>
      </c>
      <c r="E244" s="302">
        <f>(SUMIF('COST REPORT'!$A$9:$A$998,'Contractor''s Budget Detail'!B244,'COST REPORT'!$F$9:$F$998))-(SUMIFS('COST REPORT'!$F$9:$F$998,'COST REPORT'!$A$9:$A$998,'Contractor''s Budget Detail'!B244,'COST REPORT'!$I$9:$I$998,"Close"))</f>
        <v>0</v>
      </c>
      <c r="F244" s="302">
        <f>(SUMIF(INPUT!$I$231:$I$522,'Contractor''s Budget Detail'!B244,INPUT!$H$231:$H$522)+SUMIFS('COST REPORT'!$F$9:$F$998,'COST REPORT'!$A$9:$A$998,'Contractor''s Budget Detail'!B244,'COST REPORT'!$I$9:$I$998,"close"))-(SUMIFS('COST REPORT'!$F$9:$F$998,'COST REPORT'!$A$9:$A$998,'Contractor''s Budget Detail'!B244,'COST REPORT'!$I$9:$I$998,"close",'COST REPORT'!$J$9:$J$998,"x"))</f>
        <v>0</v>
      </c>
      <c r="G244" s="302">
        <f>E244+F244</f>
        <v>0</v>
      </c>
      <c r="H244" s="302">
        <f>SUMIF('COST REPORT'!$A$9:$A$998,'Contractor''s Budget Detail'!B244,'COST REPORT'!$G$9:$G$998)</f>
        <v>0</v>
      </c>
      <c r="I244" s="302">
        <f>G244-H244</f>
        <v>0</v>
      </c>
      <c r="J244" s="324">
        <f>D244-G244</f>
        <v>0</v>
      </c>
    </row>
    <row r="245" spans="1:10">
      <c r="A245" s="321">
        <v>9000</v>
      </c>
      <c r="B245" s="322">
        <f t="shared" si="51"/>
        <v>9005</v>
      </c>
      <c r="C245" s="317" t="s">
        <v>2073</v>
      </c>
      <c r="D245" s="323">
        <v>0</v>
      </c>
      <c r="E245" s="302">
        <f>(SUMIF('COST REPORT'!$A$9:$A$998,'Contractor''s Budget Detail'!B245,'COST REPORT'!$F$9:$F$998))-(SUMIFS('COST REPORT'!$F$9:$F$998,'COST REPORT'!$A$9:$A$998,'Contractor''s Budget Detail'!B245,'COST REPORT'!$I$9:$I$998,"Close"))</f>
        <v>0</v>
      </c>
      <c r="F245" s="302">
        <f>(SUMIF(INPUT!$I$231:$I$522,'Contractor''s Budget Detail'!B245,INPUT!$H$231:$H$522)+SUMIFS('COST REPORT'!$F$9:$F$998,'COST REPORT'!$A$9:$A$998,'Contractor''s Budget Detail'!B245,'COST REPORT'!$I$9:$I$998,"close"))-(SUMIFS('COST REPORT'!$F$9:$F$998,'COST REPORT'!$A$9:$A$998,'Contractor''s Budget Detail'!B245,'COST REPORT'!$I$9:$I$998,"close",'COST REPORT'!$J$9:$J$998,"x"))</f>
        <v>0</v>
      </c>
      <c r="G245" s="302">
        <f t="shared" ref="G245:G266" si="52">E245+F245</f>
        <v>0</v>
      </c>
      <c r="H245" s="302">
        <f>SUMIF('COST REPORT'!$A$9:$A$998,'Contractor''s Budget Detail'!B245,'COST REPORT'!$G$9:$G$998)</f>
        <v>0</v>
      </c>
      <c r="I245" s="302">
        <f t="shared" ref="I245:I266" si="53">G245-H245</f>
        <v>0</v>
      </c>
      <c r="J245" s="324">
        <f t="shared" ref="J245:J266" si="54">D245-G245</f>
        <v>0</v>
      </c>
    </row>
    <row r="246" spans="1:10">
      <c r="A246" s="321">
        <v>9000</v>
      </c>
      <c r="B246" s="322">
        <f t="shared" si="51"/>
        <v>9006</v>
      </c>
      <c r="C246" s="317" t="s">
        <v>2074</v>
      </c>
      <c r="D246" s="323">
        <v>0</v>
      </c>
      <c r="E246" s="302">
        <f>(SUMIF('COST REPORT'!$A$9:$A$998,'Contractor''s Budget Detail'!B246,'COST REPORT'!$F$9:$F$998))-(SUMIFS('COST REPORT'!$F$9:$F$998,'COST REPORT'!$A$9:$A$998,'Contractor''s Budget Detail'!B246,'COST REPORT'!$I$9:$I$998,"Close"))</f>
        <v>0</v>
      </c>
      <c r="F246" s="302">
        <f>(SUMIF(INPUT!$I$231:$I$522,'Contractor''s Budget Detail'!B246,INPUT!$H$231:$H$522)+SUMIFS('COST REPORT'!$F$9:$F$998,'COST REPORT'!$A$9:$A$998,'Contractor''s Budget Detail'!B246,'COST REPORT'!$I$9:$I$998,"close"))-(SUMIFS('COST REPORT'!$F$9:$F$998,'COST REPORT'!$A$9:$A$998,'Contractor''s Budget Detail'!B246,'COST REPORT'!$I$9:$I$998,"close",'COST REPORT'!$J$9:$J$998,"x"))</f>
        <v>0</v>
      </c>
      <c r="G246" s="302">
        <f t="shared" si="52"/>
        <v>0</v>
      </c>
      <c r="H246" s="302">
        <f>SUMIF('COST REPORT'!$A$9:$A$998,'Contractor''s Budget Detail'!B246,'COST REPORT'!$G$9:$G$998)</f>
        <v>0</v>
      </c>
      <c r="I246" s="302">
        <f t="shared" si="53"/>
        <v>0</v>
      </c>
      <c r="J246" s="324">
        <f t="shared" si="54"/>
        <v>0</v>
      </c>
    </row>
    <row r="247" spans="1:10">
      <c r="A247" s="321">
        <v>9000</v>
      </c>
      <c r="B247" s="322">
        <f t="shared" si="51"/>
        <v>9007</v>
      </c>
      <c r="C247" s="317" t="s">
        <v>2075</v>
      </c>
      <c r="D247" s="323">
        <v>0</v>
      </c>
      <c r="E247" s="302">
        <f>(SUMIF('COST REPORT'!$A$9:$A$998,'Contractor''s Budget Detail'!B247,'COST REPORT'!$F$9:$F$998))-(SUMIFS('COST REPORT'!$F$9:$F$998,'COST REPORT'!$A$9:$A$998,'Contractor''s Budget Detail'!B247,'COST REPORT'!$I$9:$I$998,"Close"))</f>
        <v>0</v>
      </c>
      <c r="F247" s="302">
        <f>(SUMIF(INPUT!$I$231:$I$522,'Contractor''s Budget Detail'!B247,INPUT!$H$231:$H$522)+SUMIFS('COST REPORT'!$F$9:$F$998,'COST REPORT'!$A$9:$A$998,'Contractor''s Budget Detail'!B247,'COST REPORT'!$I$9:$I$998,"close"))-(SUMIFS('COST REPORT'!$F$9:$F$998,'COST REPORT'!$A$9:$A$998,'Contractor''s Budget Detail'!B247,'COST REPORT'!$I$9:$I$998,"close",'COST REPORT'!$J$9:$J$998,"x"))</f>
        <v>0</v>
      </c>
      <c r="G247" s="302">
        <f t="shared" si="52"/>
        <v>0</v>
      </c>
      <c r="H247" s="302">
        <f>SUMIF('COST REPORT'!$A$9:$A$998,'Contractor''s Budget Detail'!B247,'COST REPORT'!$G$9:$G$998)</f>
        <v>0</v>
      </c>
      <c r="I247" s="302">
        <f t="shared" si="53"/>
        <v>0</v>
      </c>
      <c r="J247" s="324">
        <f t="shared" si="54"/>
        <v>0</v>
      </c>
    </row>
    <row r="248" spans="1:10">
      <c r="A248" s="321">
        <v>9000</v>
      </c>
      <c r="B248" s="322">
        <f t="shared" si="51"/>
        <v>9008</v>
      </c>
      <c r="C248" s="317" t="s">
        <v>2076</v>
      </c>
      <c r="D248" s="323">
        <v>0</v>
      </c>
      <c r="E248" s="302">
        <f>(SUMIF('COST REPORT'!$A$9:$A$998,'Contractor''s Budget Detail'!B248,'COST REPORT'!$F$9:$F$998))-(SUMIFS('COST REPORT'!$F$9:$F$998,'COST REPORT'!$A$9:$A$998,'Contractor''s Budget Detail'!B248,'COST REPORT'!$I$9:$I$998,"Close"))</f>
        <v>0</v>
      </c>
      <c r="F248" s="302">
        <f>(SUMIF(INPUT!$I$231:$I$522,'Contractor''s Budget Detail'!B248,INPUT!$H$231:$H$522)+SUMIFS('COST REPORT'!$F$9:$F$998,'COST REPORT'!$A$9:$A$998,'Contractor''s Budget Detail'!B248,'COST REPORT'!$I$9:$I$998,"close"))-(SUMIFS('COST REPORT'!$F$9:$F$998,'COST REPORT'!$A$9:$A$998,'Contractor''s Budget Detail'!B248,'COST REPORT'!$I$9:$I$998,"close",'COST REPORT'!$J$9:$J$998,"x"))</f>
        <v>0</v>
      </c>
      <c r="G248" s="302">
        <f>E248+F248</f>
        <v>0</v>
      </c>
      <c r="H248" s="302">
        <f>SUMIF('COST REPORT'!$A$9:$A$998,'Contractor''s Budget Detail'!B248,'COST REPORT'!$G$9:$G$998)</f>
        <v>0</v>
      </c>
      <c r="I248" s="302">
        <f>G248-H248</f>
        <v>0</v>
      </c>
      <c r="J248" s="324">
        <f>D248-G248</f>
        <v>0</v>
      </c>
    </row>
    <row r="249" spans="1:10">
      <c r="A249" s="321">
        <v>9000</v>
      </c>
      <c r="B249" s="322">
        <f t="shared" si="51"/>
        <v>9009</v>
      </c>
      <c r="C249" s="317" t="s">
        <v>2077</v>
      </c>
      <c r="D249" s="323">
        <v>0</v>
      </c>
      <c r="E249" s="302">
        <f>(SUMIF('COST REPORT'!$A$9:$A$998,'Contractor''s Budget Detail'!B249,'COST REPORT'!$F$9:$F$998))-(SUMIFS('COST REPORT'!$F$9:$F$998,'COST REPORT'!$A$9:$A$998,'Contractor''s Budget Detail'!B249,'COST REPORT'!$I$9:$I$998,"Close"))</f>
        <v>0</v>
      </c>
      <c r="F249" s="302">
        <f>(SUMIF(INPUT!$I$231:$I$522,'Contractor''s Budget Detail'!B249,INPUT!$H$231:$H$522)+SUMIFS('COST REPORT'!$F$9:$F$998,'COST REPORT'!$A$9:$A$998,'Contractor''s Budget Detail'!B249,'COST REPORT'!$I$9:$I$998,"close"))-(SUMIFS('COST REPORT'!$F$9:$F$998,'COST REPORT'!$A$9:$A$998,'Contractor''s Budget Detail'!B249,'COST REPORT'!$I$9:$I$998,"close",'COST REPORT'!$J$9:$J$998,"x"))</f>
        <v>0</v>
      </c>
      <c r="G249" s="302">
        <f t="shared" si="52"/>
        <v>0</v>
      </c>
      <c r="H249" s="302">
        <f>SUMIF('COST REPORT'!$A$9:$A$998,'Contractor''s Budget Detail'!B249,'COST REPORT'!$G$9:$G$998)</f>
        <v>0</v>
      </c>
      <c r="I249" s="302">
        <f t="shared" si="53"/>
        <v>0</v>
      </c>
      <c r="J249" s="324">
        <f t="shared" si="54"/>
        <v>0</v>
      </c>
    </row>
    <row r="250" spans="1:10">
      <c r="A250" s="321">
        <v>9000</v>
      </c>
      <c r="B250" s="322">
        <f t="shared" si="51"/>
        <v>9010</v>
      </c>
      <c r="C250" s="317" t="s">
        <v>2078</v>
      </c>
      <c r="D250" s="323">
        <v>0</v>
      </c>
      <c r="E250" s="302">
        <f>(SUMIF('COST REPORT'!$A$9:$A$998,'Contractor''s Budget Detail'!B250,'COST REPORT'!$F$9:$F$998))-(SUMIFS('COST REPORT'!$F$9:$F$998,'COST REPORT'!$A$9:$A$998,'Contractor''s Budget Detail'!B250,'COST REPORT'!$I$9:$I$998,"Close"))</f>
        <v>0</v>
      </c>
      <c r="F250" s="302">
        <f>(SUMIF(INPUT!$I$231:$I$522,'Contractor''s Budget Detail'!B250,INPUT!$H$231:$H$522)+SUMIFS('COST REPORT'!$F$9:$F$998,'COST REPORT'!$A$9:$A$998,'Contractor''s Budget Detail'!B250,'COST REPORT'!$I$9:$I$998,"close"))-(SUMIFS('COST REPORT'!$F$9:$F$998,'COST REPORT'!$A$9:$A$998,'Contractor''s Budget Detail'!B250,'COST REPORT'!$I$9:$I$998,"close",'COST REPORT'!$J$9:$J$998,"x"))</f>
        <v>0</v>
      </c>
      <c r="G250" s="302">
        <f t="shared" si="52"/>
        <v>0</v>
      </c>
      <c r="H250" s="302">
        <f>SUMIF('COST REPORT'!$A$9:$A$998,'Contractor''s Budget Detail'!B250,'COST REPORT'!$G$9:$G$998)</f>
        <v>0</v>
      </c>
      <c r="I250" s="302">
        <f t="shared" si="53"/>
        <v>0</v>
      </c>
      <c r="J250" s="324">
        <f t="shared" si="54"/>
        <v>0</v>
      </c>
    </row>
    <row r="251" spans="1:10">
      <c r="A251" s="321">
        <v>9000</v>
      </c>
      <c r="B251" s="322">
        <f t="shared" si="51"/>
        <v>9011</v>
      </c>
      <c r="C251" s="317" t="s">
        <v>2079</v>
      </c>
      <c r="D251" s="323">
        <v>0</v>
      </c>
      <c r="E251" s="302">
        <f>(SUMIF('COST REPORT'!$A$9:$A$998,'Contractor''s Budget Detail'!B251,'COST REPORT'!$F$9:$F$998))-(SUMIFS('COST REPORT'!$F$9:$F$998,'COST REPORT'!$A$9:$A$998,'Contractor''s Budget Detail'!B251,'COST REPORT'!$I$9:$I$998,"Close"))</f>
        <v>0</v>
      </c>
      <c r="F251" s="302">
        <f>(SUMIF(INPUT!$I$231:$I$522,'Contractor''s Budget Detail'!B251,INPUT!$H$231:$H$522)+SUMIFS('COST REPORT'!$F$9:$F$998,'COST REPORT'!$A$9:$A$998,'Contractor''s Budget Detail'!B251,'COST REPORT'!$I$9:$I$998,"close"))-(SUMIFS('COST REPORT'!$F$9:$F$998,'COST REPORT'!$A$9:$A$998,'Contractor''s Budget Detail'!B251,'COST REPORT'!$I$9:$I$998,"close",'COST REPORT'!$J$9:$J$998,"x"))</f>
        <v>0</v>
      </c>
      <c r="G251" s="302">
        <f t="shared" si="52"/>
        <v>0</v>
      </c>
      <c r="H251" s="302">
        <f>SUMIF('COST REPORT'!$A$9:$A$998,'Contractor''s Budget Detail'!B251,'COST REPORT'!$G$9:$G$998)</f>
        <v>0</v>
      </c>
      <c r="I251" s="302">
        <f t="shared" si="53"/>
        <v>0</v>
      </c>
      <c r="J251" s="324">
        <f t="shared" si="54"/>
        <v>0</v>
      </c>
    </row>
    <row r="252" spans="1:10">
      <c r="A252" s="321">
        <v>9000</v>
      </c>
      <c r="B252" s="322">
        <f t="shared" si="51"/>
        <v>9012</v>
      </c>
      <c r="C252" s="317" t="s">
        <v>2080</v>
      </c>
      <c r="D252" s="323">
        <v>0</v>
      </c>
      <c r="E252" s="302">
        <f>(SUMIF('COST REPORT'!$A$9:$A$998,'Contractor''s Budget Detail'!B252,'COST REPORT'!$F$9:$F$998))-(SUMIFS('COST REPORT'!$F$9:$F$998,'COST REPORT'!$A$9:$A$998,'Contractor''s Budget Detail'!B252,'COST REPORT'!$I$9:$I$998,"Close"))</f>
        <v>0</v>
      </c>
      <c r="F252" s="302">
        <f>(SUMIF(INPUT!$I$231:$I$522,'Contractor''s Budget Detail'!B252,INPUT!$H$231:$H$522)+SUMIFS('COST REPORT'!$F$9:$F$998,'COST REPORT'!$A$9:$A$998,'Contractor''s Budget Detail'!B252,'COST REPORT'!$I$9:$I$998,"close"))-(SUMIFS('COST REPORT'!$F$9:$F$998,'COST REPORT'!$A$9:$A$998,'Contractor''s Budget Detail'!B252,'COST REPORT'!$I$9:$I$998,"close",'COST REPORT'!$J$9:$J$998,"x"))</f>
        <v>0</v>
      </c>
      <c r="G252" s="302">
        <f t="shared" si="52"/>
        <v>0</v>
      </c>
      <c r="H252" s="302">
        <f>SUMIF('COST REPORT'!$A$9:$A$998,'Contractor''s Budget Detail'!B252,'COST REPORT'!$G$9:$G$998)</f>
        <v>0</v>
      </c>
      <c r="I252" s="302">
        <f t="shared" si="53"/>
        <v>0</v>
      </c>
      <c r="J252" s="324">
        <f t="shared" si="54"/>
        <v>0</v>
      </c>
    </row>
    <row r="253" spans="1:10">
      <c r="A253" s="321">
        <v>9000</v>
      </c>
      <c r="B253" s="322">
        <f t="shared" si="51"/>
        <v>9013</v>
      </c>
      <c r="C253" s="317" t="s">
        <v>2081</v>
      </c>
      <c r="D253" s="323">
        <v>0</v>
      </c>
      <c r="E253" s="302">
        <f>(SUMIF('COST REPORT'!$A$9:$A$998,'Contractor''s Budget Detail'!B253,'COST REPORT'!$F$9:$F$998))-(SUMIFS('COST REPORT'!$F$9:$F$998,'COST REPORT'!$A$9:$A$998,'Contractor''s Budget Detail'!B253,'COST REPORT'!$I$9:$I$998,"Close"))</f>
        <v>0</v>
      </c>
      <c r="F253" s="302">
        <f>(SUMIF(INPUT!$I$231:$I$522,'Contractor''s Budget Detail'!B253,INPUT!$H$231:$H$522)+SUMIFS('COST REPORT'!$F$9:$F$998,'COST REPORT'!$A$9:$A$998,'Contractor''s Budget Detail'!B253,'COST REPORT'!$I$9:$I$998,"close"))-(SUMIFS('COST REPORT'!$F$9:$F$998,'COST REPORT'!$A$9:$A$998,'Contractor''s Budget Detail'!B253,'COST REPORT'!$I$9:$I$998,"close",'COST REPORT'!$J$9:$J$998,"x"))</f>
        <v>0</v>
      </c>
      <c r="G253" s="302">
        <f t="shared" si="52"/>
        <v>0</v>
      </c>
      <c r="H253" s="302">
        <f>SUMIF('COST REPORT'!$A$9:$A$998,'Contractor''s Budget Detail'!B253,'COST REPORT'!$G$9:$G$998)</f>
        <v>0</v>
      </c>
      <c r="I253" s="302">
        <f t="shared" si="53"/>
        <v>0</v>
      </c>
      <c r="J253" s="324">
        <f t="shared" si="54"/>
        <v>0</v>
      </c>
    </row>
    <row r="254" spans="1:10">
      <c r="A254" s="321">
        <v>9000</v>
      </c>
      <c r="B254" s="322">
        <f t="shared" si="51"/>
        <v>9014</v>
      </c>
      <c r="C254" s="317" t="s">
        <v>2082</v>
      </c>
      <c r="D254" s="323">
        <v>0</v>
      </c>
      <c r="E254" s="302">
        <f>(SUMIF('COST REPORT'!$A$9:$A$998,'Contractor''s Budget Detail'!B254,'COST REPORT'!$F$9:$F$998))-(SUMIFS('COST REPORT'!$F$9:$F$998,'COST REPORT'!$A$9:$A$998,'Contractor''s Budget Detail'!B254,'COST REPORT'!$I$9:$I$998,"Close"))</f>
        <v>0</v>
      </c>
      <c r="F254" s="302">
        <f>(SUMIF(INPUT!$I$231:$I$522,'Contractor''s Budget Detail'!B254,INPUT!$H$231:$H$522)+SUMIFS('COST REPORT'!$F$9:$F$998,'COST REPORT'!$A$9:$A$998,'Contractor''s Budget Detail'!B254,'COST REPORT'!$I$9:$I$998,"close"))-(SUMIFS('COST REPORT'!$F$9:$F$998,'COST REPORT'!$A$9:$A$998,'Contractor''s Budget Detail'!B254,'COST REPORT'!$I$9:$I$998,"close",'COST REPORT'!$J$9:$J$998,"x"))</f>
        <v>0</v>
      </c>
      <c r="G254" s="302">
        <f t="shared" si="52"/>
        <v>0</v>
      </c>
      <c r="H254" s="302">
        <f>SUMIF('COST REPORT'!$A$9:$A$998,'Contractor''s Budget Detail'!B254,'COST REPORT'!$G$9:$G$998)</f>
        <v>0</v>
      </c>
      <c r="I254" s="302">
        <f t="shared" si="53"/>
        <v>0</v>
      </c>
      <c r="J254" s="324">
        <f t="shared" si="54"/>
        <v>0</v>
      </c>
    </row>
    <row r="255" spans="1:10">
      <c r="A255" s="321">
        <v>9000</v>
      </c>
      <c r="B255" s="322">
        <f t="shared" si="51"/>
        <v>9015</v>
      </c>
      <c r="C255" s="317" t="s">
        <v>2083</v>
      </c>
      <c r="D255" s="323">
        <v>0</v>
      </c>
      <c r="E255" s="302">
        <f>(SUMIF('COST REPORT'!$A$9:$A$998,'Contractor''s Budget Detail'!B255,'COST REPORT'!$F$9:$F$998))-(SUMIFS('COST REPORT'!$F$9:$F$998,'COST REPORT'!$A$9:$A$998,'Contractor''s Budget Detail'!B255,'COST REPORT'!$I$9:$I$998,"Close"))</f>
        <v>0</v>
      </c>
      <c r="F255" s="302">
        <f>(SUMIF(INPUT!$I$231:$I$522,'Contractor''s Budget Detail'!B255,INPUT!$H$231:$H$522)+SUMIFS('COST REPORT'!$F$9:$F$998,'COST REPORT'!$A$9:$A$998,'Contractor''s Budget Detail'!B255,'COST REPORT'!$I$9:$I$998,"close"))-(SUMIFS('COST REPORT'!$F$9:$F$998,'COST REPORT'!$A$9:$A$998,'Contractor''s Budget Detail'!B255,'COST REPORT'!$I$9:$I$998,"close",'COST REPORT'!$J$9:$J$998,"x"))</f>
        <v>0</v>
      </c>
      <c r="G255" s="302">
        <f t="shared" si="52"/>
        <v>0</v>
      </c>
      <c r="H255" s="302">
        <f>SUMIF('COST REPORT'!$A$9:$A$998,'Contractor''s Budget Detail'!B255,'COST REPORT'!$G$9:$G$998)</f>
        <v>0</v>
      </c>
      <c r="I255" s="302">
        <f t="shared" si="53"/>
        <v>0</v>
      </c>
      <c r="J255" s="324">
        <f t="shared" si="54"/>
        <v>0</v>
      </c>
    </row>
    <row r="256" spans="1:10">
      <c r="A256" s="321">
        <v>9000</v>
      </c>
      <c r="B256" s="322">
        <f t="shared" si="51"/>
        <v>9016</v>
      </c>
      <c r="C256" s="317" t="s">
        <v>2084</v>
      </c>
      <c r="D256" s="323">
        <v>0</v>
      </c>
      <c r="E256" s="302">
        <f>(SUMIF('COST REPORT'!$A$9:$A$998,'Contractor''s Budget Detail'!B256,'COST REPORT'!$F$9:$F$998))-(SUMIFS('COST REPORT'!$F$9:$F$998,'COST REPORT'!$A$9:$A$998,'Contractor''s Budget Detail'!B256,'COST REPORT'!$I$9:$I$998,"Close"))</f>
        <v>0</v>
      </c>
      <c r="F256" s="302">
        <f>(SUMIF(INPUT!$I$231:$I$522,'Contractor''s Budget Detail'!B256,INPUT!$H$231:$H$522)+SUMIFS('COST REPORT'!$F$9:$F$998,'COST REPORT'!$A$9:$A$998,'Contractor''s Budget Detail'!B256,'COST REPORT'!$I$9:$I$998,"close"))-(SUMIFS('COST REPORT'!$F$9:$F$998,'COST REPORT'!$A$9:$A$998,'Contractor''s Budget Detail'!B256,'COST REPORT'!$I$9:$I$998,"close",'COST REPORT'!$J$9:$J$998,"x"))</f>
        <v>0</v>
      </c>
      <c r="G256" s="302">
        <f>E256+F256</f>
        <v>0</v>
      </c>
      <c r="H256" s="302">
        <f>SUMIF('COST REPORT'!$A$9:$A$998,'Contractor''s Budget Detail'!B256,'COST REPORT'!$G$9:$G$998)</f>
        <v>0</v>
      </c>
      <c r="I256" s="302">
        <f>G256-H256</f>
        <v>0</v>
      </c>
      <c r="J256" s="324">
        <f>D256-G256</f>
        <v>0</v>
      </c>
    </row>
    <row r="257" spans="1:10">
      <c r="A257" s="321">
        <v>9000</v>
      </c>
      <c r="B257" s="322">
        <f t="shared" si="51"/>
        <v>9017</v>
      </c>
      <c r="C257" s="317" t="s">
        <v>2085</v>
      </c>
      <c r="D257" s="323">
        <v>0</v>
      </c>
      <c r="E257" s="302">
        <f>(SUMIF('COST REPORT'!$A$9:$A$998,'Contractor''s Budget Detail'!B257,'COST REPORT'!$F$9:$F$998))-(SUMIFS('COST REPORT'!$F$9:$F$998,'COST REPORT'!$A$9:$A$998,'Contractor''s Budget Detail'!B257,'COST REPORT'!$I$9:$I$998,"Close"))</f>
        <v>0</v>
      </c>
      <c r="F257" s="302">
        <f>(SUMIF(INPUT!$I$231:$I$522,'Contractor''s Budget Detail'!B257,INPUT!$H$231:$H$522)+SUMIFS('COST REPORT'!$F$9:$F$998,'COST REPORT'!$A$9:$A$998,'Contractor''s Budget Detail'!B257,'COST REPORT'!$I$9:$I$998,"close"))-(SUMIFS('COST REPORT'!$F$9:$F$998,'COST REPORT'!$A$9:$A$998,'Contractor''s Budget Detail'!B257,'COST REPORT'!$I$9:$I$998,"close",'COST REPORT'!$J$9:$J$998,"x"))</f>
        <v>0</v>
      </c>
      <c r="G257" s="302">
        <f>E257+F257</f>
        <v>0</v>
      </c>
      <c r="H257" s="302">
        <f>SUMIF('COST REPORT'!$A$9:$A$998,'Contractor''s Budget Detail'!B257,'COST REPORT'!$G$9:$G$998)</f>
        <v>0</v>
      </c>
      <c r="I257" s="302">
        <f>G257-H257</f>
        <v>0</v>
      </c>
      <c r="J257" s="324">
        <f>D257-G257</f>
        <v>0</v>
      </c>
    </row>
    <row r="258" spans="1:10">
      <c r="A258" s="321">
        <v>9000</v>
      </c>
      <c r="B258" s="322">
        <f t="shared" si="51"/>
        <v>9018</v>
      </c>
      <c r="C258" s="317" t="s">
        <v>2086</v>
      </c>
      <c r="D258" s="323">
        <v>0</v>
      </c>
      <c r="E258" s="302">
        <f>(SUMIF('COST REPORT'!$A$9:$A$998,'Contractor''s Budget Detail'!B258,'COST REPORT'!$F$9:$F$998))-(SUMIFS('COST REPORT'!$F$9:$F$998,'COST REPORT'!$A$9:$A$998,'Contractor''s Budget Detail'!B258,'COST REPORT'!$I$9:$I$998,"Close"))</f>
        <v>0</v>
      </c>
      <c r="F258" s="302">
        <f>(SUMIF(INPUT!$I$231:$I$522,'Contractor''s Budget Detail'!B258,INPUT!$H$231:$H$522)+SUMIFS('COST REPORT'!$F$9:$F$998,'COST REPORT'!$A$9:$A$998,'Contractor''s Budget Detail'!B258,'COST REPORT'!$I$9:$I$998,"close"))-(SUMIFS('COST REPORT'!$F$9:$F$998,'COST REPORT'!$A$9:$A$998,'Contractor''s Budget Detail'!B258,'COST REPORT'!$I$9:$I$998,"close",'COST REPORT'!$J$9:$J$998,"x"))</f>
        <v>0</v>
      </c>
      <c r="G258" s="302">
        <f t="shared" si="52"/>
        <v>0</v>
      </c>
      <c r="H258" s="302">
        <f>SUMIF('COST REPORT'!$A$9:$A$998,'Contractor''s Budget Detail'!B258,'COST REPORT'!$G$9:$G$998)</f>
        <v>0</v>
      </c>
      <c r="I258" s="302">
        <f t="shared" si="53"/>
        <v>0</v>
      </c>
      <c r="J258" s="324">
        <f t="shared" si="54"/>
        <v>0</v>
      </c>
    </row>
    <row r="259" spans="1:10">
      <c r="A259" s="321">
        <v>9000</v>
      </c>
      <c r="B259" s="322">
        <f t="shared" si="51"/>
        <v>9019</v>
      </c>
      <c r="C259" s="325" t="s">
        <v>1939</v>
      </c>
      <c r="D259" s="323">
        <v>0</v>
      </c>
      <c r="E259" s="302">
        <f>(SUMIF('COST REPORT'!$A$9:$A$998,'Contractor''s Budget Detail'!B259,'COST REPORT'!$F$9:$F$998))-(SUMIFS('COST REPORT'!$F$9:$F$998,'COST REPORT'!$A$9:$A$998,'Contractor''s Budget Detail'!B259,'COST REPORT'!$I$9:$I$998,"Close"))</f>
        <v>0</v>
      </c>
      <c r="F259" s="302">
        <f>(SUMIF(INPUT!$I$231:$I$522,'Contractor''s Budget Detail'!B259,INPUT!$H$231:$H$522)+SUMIFS('COST REPORT'!$F$9:$F$998,'COST REPORT'!$A$9:$A$998,'Contractor''s Budget Detail'!B259,'COST REPORT'!$I$9:$I$998,"close"))-(SUMIFS('COST REPORT'!$F$9:$F$998,'COST REPORT'!$A$9:$A$998,'Contractor''s Budget Detail'!B259,'COST REPORT'!$I$9:$I$998,"close",'COST REPORT'!$J$9:$J$998,"x"))</f>
        <v>0</v>
      </c>
      <c r="G259" s="302">
        <f t="shared" si="52"/>
        <v>0</v>
      </c>
      <c r="H259" s="302">
        <f>SUMIF('COST REPORT'!$A$9:$A$998,'Contractor''s Budget Detail'!B259,'COST REPORT'!$G$9:$G$998)</f>
        <v>0</v>
      </c>
      <c r="I259" s="302">
        <f t="shared" si="53"/>
        <v>0</v>
      </c>
      <c r="J259" s="324">
        <f t="shared" si="54"/>
        <v>0</v>
      </c>
    </row>
    <row r="260" spans="1:10">
      <c r="A260" s="321">
        <v>9000</v>
      </c>
      <c r="B260" s="322">
        <f t="shared" si="51"/>
        <v>9020</v>
      </c>
      <c r="C260" s="325" t="s">
        <v>1939</v>
      </c>
      <c r="D260" s="323">
        <v>0</v>
      </c>
      <c r="E260" s="302">
        <f>(SUMIF('COST REPORT'!$A$9:$A$998,'Contractor''s Budget Detail'!B260,'COST REPORT'!$F$9:$F$998))-(SUMIFS('COST REPORT'!$F$9:$F$998,'COST REPORT'!$A$9:$A$998,'Contractor''s Budget Detail'!B260,'COST REPORT'!$I$9:$I$998,"Close"))</f>
        <v>0</v>
      </c>
      <c r="F260" s="302">
        <f>(SUMIF(INPUT!$I$231:$I$522,'Contractor''s Budget Detail'!B260,INPUT!$H$231:$H$522)+SUMIFS('COST REPORT'!$F$9:$F$998,'COST REPORT'!$A$9:$A$998,'Contractor''s Budget Detail'!B260,'COST REPORT'!$I$9:$I$998,"close"))-(SUMIFS('COST REPORT'!$F$9:$F$998,'COST REPORT'!$A$9:$A$998,'Contractor''s Budget Detail'!B260,'COST REPORT'!$I$9:$I$998,"close",'COST REPORT'!$J$9:$J$998,"x"))</f>
        <v>0</v>
      </c>
      <c r="G260" s="302">
        <f t="shared" si="52"/>
        <v>0</v>
      </c>
      <c r="H260" s="302">
        <f>SUMIF('COST REPORT'!$A$9:$A$998,'Contractor''s Budget Detail'!B260,'COST REPORT'!$G$9:$G$998)</f>
        <v>0</v>
      </c>
      <c r="I260" s="302">
        <f t="shared" si="53"/>
        <v>0</v>
      </c>
      <c r="J260" s="324">
        <f t="shared" si="54"/>
        <v>0</v>
      </c>
    </row>
    <row r="261" spans="1:10">
      <c r="A261" s="321">
        <v>9000</v>
      </c>
      <c r="B261" s="322">
        <f t="shared" si="51"/>
        <v>9021</v>
      </c>
      <c r="C261" s="325" t="s">
        <v>1939</v>
      </c>
      <c r="D261" s="323">
        <v>0</v>
      </c>
      <c r="E261" s="302">
        <f>(SUMIF('COST REPORT'!$A$9:$A$998,'Contractor''s Budget Detail'!B261,'COST REPORT'!$F$9:$F$998))-(SUMIFS('COST REPORT'!$F$9:$F$998,'COST REPORT'!$A$9:$A$998,'Contractor''s Budget Detail'!B261,'COST REPORT'!$I$9:$I$998,"Close"))</f>
        <v>0</v>
      </c>
      <c r="F261" s="302">
        <f>(SUMIF(INPUT!$I$231:$I$522,'Contractor''s Budget Detail'!B261,INPUT!$H$231:$H$522)+SUMIFS('COST REPORT'!$F$9:$F$998,'COST REPORT'!$A$9:$A$998,'Contractor''s Budget Detail'!B261,'COST REPORT'!$I$9:$I$998,"close"))-(SUMIFS('COST REPORT'!$F$9:$F$998,'COST REPORT'!$A$9:$A$998,'Contractor''s Budget Detail'!B261,'COST REPORT'!$I$9:$I$998,"close",'COST REPORT'!$J$9:$J$998,"x"))</f>
        <v>0</v>
      </c>
      <c r="G261" s="302">
        <f>E261+F261</f>
        <v>0</v>
      </c>
      <c r="H261" s="302">
        <f>SUMIF('COST REPORT'!$A$9:$A$998,'Contractor''s Budget Detail'!B261,'COST REPORT'!$G$9:$G$998)</f>
        <v>0</v>
      </c>
      <c r="I261" s="302">
        <f>G261-H261</f>
        <v>0</v>
      </c>
      <c r="J261" s="324">
        <f>D261-G261</f>
        <v>0</v>
      </c>
    </row>
    <row r="262" spans="1:10">
      <c r="A262" s="321">
        <v>9000</v>
      </c>
      <c r="B262" s="322">
        <f t="shared" si="51"/>
        <v>9022</v>
      </c>
      <c r="C262" s="325" t="s">
        <v>1939</v>
      </c>
      <c r="D262" s="323">
        <v>0</v>
      </c>
      <c r="E262" s="302">
        <f>(SUMIF('COST REPORT'!$A$9:$A$998,'Contractor''s Budget Detail'!B262,'COST REPORT'!$F$9:$F$998))-(SUMIFS('COST REPORT'!$F$9:$F$998,'COST REPORT'!$A$9:$A$998,'Contractor''s Budget Detail'!B262,'COST REPORT'!$I$9:$I$998,"Close"))</f>
        <v>0</v>
      </c>
      <c r="F262" s="302">
        <f>(SUMIF(INPUT!$I$231:$I$522,'Contractor''s Budget Detail'!B262,INPUT!$H$231:$H$522)+SUMIFS('COST REPORT'!$F$9:$F$998,'COST REPORT'!$A$9:$A$998,'Contractor''s Budget Detail'!B262,'COST REPORT'!$I$9:$I$998,"close"))-(SUMIFS('COST REPORT'!$F$9:$F$998,'COST REPORT'!$A$9:$A$998,'Contractor''s Budget Detail'!B262,'COST REPORT'!$I$9:$I$998,"close",'COST REPORT'!$J$9:$J$998,"x"))</f>
        <v>0</v>
      </c>
      <c r="G262" s="302">
        <f>E262+F262</f>
        <v>0</v>
      </c>
      <c r="H262" s="302">
        <f>SUMIF('COST REPORT'!$A$9:$A$998,'Contractor''s Budget Detail'!B262,'COST REPORT'!$G$9:$G$998)</f>
        <v>0</v>
      </c>
      <c r="I262" s="302">
        <f>G262-H262</f>
        <v>0</v>
      </c>
      <c r="J262" s="324">
        <f>D262-G262</f>
        <v>0</v>
      </c>
    </row>
    <row r="263" spans="1:10">
      <c r="A263" s="321">
        <v>9000</v>
      </c>
      <c r="B263" s="322">
        <f t="shared" si="51"/>
        <v>9023</v>
      </c>
      <c r="C263" s="325" t="s">
        <v>1939</v>
      </c>
      <c r="D263" s="323">
        <v>0</v>
      </c>
      <c r="E263" s="302">
        <f>(SUMIF('COST REPORT'!$A$9:$A$998,'Contractor''s Budget Detail'!B263,'COST REPORT'!$F$9:$F$998))-(SUMIFS('COST REPORT'!$F$9:$F$998,'COST REPORT'!$A$9:$A$998,'Contractor''s Budget Detail'!B263,'COST REPORT'!$I$9:$I$998,"Close"))</f>
        <v>0</v>
      </c>
      <c r="F263" s="302">
        <f>(SUMIF(INPUT!$I$231:$I$522,'Contractor''s Budget Detail'!B263,INPUT!$H$231:$H$522)+SUMIFS('COST REPORT'!$F$9:$F$998,'COST REPORT'!$A$9:$A$998,'Contractor''s Budget Detail'!B263,'COST REPORT'!$I$9:$I$998,"close"))-(SUMIFS('COST REPORT'!$F$9:$F$998,'COST REPORT'!$A$9:$A$998,'Contractor''s Budget Detail'!B263,'COST REPORT'!$I$9:$I$998,"close",'COST REPORT'!$J$9:$J$998,"x"))</f>
        <v>0</v>
      </c>
      <c r="G263" s="302">
        <f>E263+F263</f>
        <v>0</v>
      </c>
      <c r="H263" s="302">
        <f>SUMIF('COST REPORT'!$A$9:$A$998,'Contractor''s Budget Detail'!B263,'COST REPORT'!$G$9:$G$998)</f>
        <v>0</v>
      </c>
      <c r="I263" s="302">
        <f>G263-H263</f>
        <v>0</v>
      </c>
      <c r="J263" s="324">
        <f>D263-G263</f>
        <v>0</v>
      </c>
    </row>
    <row r="264" spans="1:10">
      <c r="A264" s="321">
        <v>9000</v>
      </c>
      <c r="B264" s="322">
        <f t="shared" si="51"/>
        <v>9024</v>
      </c>
      <c r="C264" s="325" t="s">
        <v>1939</v>
      </c>
      <c r="D264" s="323">
        <v>0</v>
      </c>
      <c r="E264" s="302">
        <f>(SUMIF('COST REPORT'!$A$9:$A$998,'Contractor''s Budget Detail'!B264,'COST REPORT'!$F$9:$F$998))-(SUMIFS('COST REPORT'!$F$9:$F$998,'COST REPORT'!$A$9:$A$998,'Contractor''s Budget Detail'!B264,'COST REPORT'!$I$9:$I$998,"Close"))</f>
        <v>0</v>
      </c>
      <c r="F264" s="302">
        <f>(SUMIF(INPUT!$I$231:$I$522,'Contractor''s Budget Detail'!B264,INPUT!$H$231:$H$522)+SUMIFS('COST REPORT'!$F$9:$F$998,'COST REPORT'!$A$9:$A$998,'Contractor''s Budget Detail'!B264,'COST REPORT'!$I$9:$I$998,"close"))-(SUMIFS('COST REPORT'!$F$9:$F$998,'COST REPORT'!$A$9:$A$998,'Contractor''s Budget Detail'!B264,'COST REPORT'!$I$9:$I$998,"close",'COST REPORT'!$J$9:$J$998,"x"))</f>
        <v>0</v>
      </c>
      <c r="G264" s="302">
        <f>E264+F264</f>
        <v>0</v>
      </c>
      <c r="H264" s="302">
        <f>SUMIF('COST REPORT'!$A$9:$A$998,'Contractor''s Budget Detail'!B264,'COST REPORT'!$G$9:$G$998)</f>
        <v>0</v>
      </c>
      <c r="I264" s="302">
        <f>G264-H264</f>
        <v>0</v>
      </c>
      <c r="J264" s="324">
        <f>D264-G264</f>
        <v>0</v>
      </c>
    </row>
    <row r="265" spans="1:10">
      <c r="A265" s="321">
        <v>9000</v>
      </c>
      <c r="B265" s="322">
        <f t="shared" si="51"/>
        <v>9025</v>
      </c>
      <c r="C265" s="325" t="s">
        <v>1939</v>
      </c>
      <c r="D265" s="323">
        <v>0</v>
      </c>
      <c r="E265" s="302">
        <f>(SUMIF('COST REPORT'!$A$9:$A$998,'Contractor''s Budget Detail'!B265,'COST REPORT'!$F$9:$F$998))-(SUMIFS('COST REPORT'!$F$9:$F$998,'COST REPORT'!$A$9:$A$998,'Contractor''s Budget Detail'!B265,'COST REPORT'!$I$9:$I$998,"Close"))</f>
        <v>0</v>
      </c>
      <c r="F265" s="302">
        <f>(SUMIF(INPUT!$I$231:$I$522,'Contractor''s Budget Detail'!B265,INPUT!$H$231:$H$522)+SUMIFS('COST REPORT'!$F$9:$F$998,'COST REPORT'!$A$9:$A$998,'Contractor''s Budget Detail'!B265,'COST REPORT'!$I$9:$I$998,"close"))-(SUMIFS('COST REPORT'!$F$9:$F$998,'COST REPORT'!$A$9:$A$998,'Contractor''s Budget Detail'!B265,'COST REPORT'!$I$9:$I$998,"close",'COST REPORT'!$J$9:$J$998,"x"))</f>
        <v>0</v>
      </c>
      <c r="G265" s="302">
        <f t="shared" si="52"/>
        <v>0</v>
      </c>
      <c r="H265" s="302">
        <f>SUMIF('COST REPORT'!$A$9:$A$998,'Contractor''s Budget Detail'!B265,'COST REPORT'!$G$9:$G$998)</f>
        <v>0</v>
      </c>
      <c r="I265" s="302">
        <f t="shared" si="53"/>
        <v>0</v>
      </c>
      <c r="J265" s="324">
        <f t="shared" si="54"/>
        <v>0</v>
      </c>
    </row>
    <row r="266" spans="1:10">
      <c r="A266" s="321">
        <v>9000</v>
      </c>
      <c r="B266" s="322">
        <f t="shared" si="51"/>
        <v>9026</v>
      </c>
      <c r="C266" s="325" t="s">
        <v>1939</v>
      </c>
      <c r="D266" s="323">
        <v>0</v>
      </c>
      <c r="E266" s="302">
        <f>(SUMIF('COST REPORT'!$A$9:$A$998,'Contractor''s Budget Detail'!B266,'COST REPORT'!$F$9:$F$998))-(SUMIFS('COST REPORT'!$F$9:$F$998,'COST REPORT'!$A$9:$A$998,'Contractor''s Budget Detail'!B266,'COST REPORT'!$I$9:$I$998,"Close"))</f>
        <v>0</v>
      </c>
      <c r="F266" s="302">
        <f>(SUMIF(INPUT!$I$231:$I$522,'Contractor''s Budget Detail'!B266,INPUT!$H$231:$H$522)+SUMIFS('COST REPORT'!$F$9:$F$998,'COST REPORT'!$A$9:$A$998,'Contractor''s Budget Detail'!B266,'COST REPORT'!$I$9:$I$998,"close"))-(SUMIFS('COST REPORT'!$F$9:$F$998,'COST REPORT'!$A$9:$A$998,'Contractor''s Budget Detail'!B266,'COST REPORT'!$I$9:$I$998,"close",'COST REPORT'!$J$9:$J$998,"x"))</f>
        <v>0</v>
      </c>
      <c r="G266" s="302">
        <f t="shared" si="52"/>
        <v>0</v>
      </c>
      <c r="H266" s="302">
        <f>SUMIF('COST REPORT'!$A$9:$A$998,'Contractor''s Budget Detail'!B266,'COST REPORT'!$G$9:$G$998)</f>
        <v>0</v>
      </c>
      <c r="I266" s="302">
        <f t="shared" si="53"/>
        <v>0</v>
      </c>
      <c r="J266" s="324">
        <f t="shared" si="54"/>
        <v>0</v>
      </c>
    </row>
    <row r="267" spans="1:10" ht="13.5" thickBot="1">
      <c r="A267" s="340" t="s">
        <v>2087</v>
      </c>
      <c r="B267" s="309"/>
      <c r="C267" s="310"/>
      <c r="D267" s="311">
        <f t="shared" ref="D267:J267" si="55">SUM(D241:D266)</f>
        <v>0</v>
      </c>
      <c r="E267" s="311">
        <f t="shared" si="55"/>
        <v>0</v>
      </c>
      <c r="F267" s="311">
        <f t="shared" si="55"/>
        <v>0</v>
      </c>
      <c r="G267" s="311">
        <f t="shared" si="55"/>
        <v>0</v>
      </c>
      <c r="H267" s="311">
        <f t="shared" si="55"/>
        <v>0</v>
      </c>
      <c r="I267" s="311">
        <f t="shared" si="55"/>
        <v>0</v>
      </c>
      <c r="J267" s="341">
        <f t="shared" si="55"/>
        <v>0</v>
      </c>
    </row>
    <row r="268" spans="1:10">
      <c r="A268" s="328"/>
      <c r="B268" s="71"/>
      <c r="C268" s="90"/>
      <c r="D268" s="306"/>
      <c r="E268" s="306"/>
      <c r="H268" s="306"/>
      <c r="I268" s="306"/>
      <c r="J268" s="329"/>
    </row>
    <row r="269" spans="1:10">
      <c r="A269" s="330" t="s">
        <v>1367</v>
      </c>
      <c r="B269" s="205"/>
      <c r="C269" s="88"/>
      <c r="D269" s="331"/>
      <c r="E269" s="331"/>
      <c r="F269" s="338"/>
      <c r="G269" s="338"/>
      <c r="H269" s="331"/>
      <c r="I269" s="331"/>
      <c r="J269" s="339"/>
    </row>
    <row r="270" spans="1:10">
      <c r="A270" s="321">
        <v>10000</v>
      </c>
      <c r="B270" s="322">
        <f>10001</f>
        <v>10001</v>
      </c>
      <c r="C270" s="317" t="s">
        <v>2088</v>
      </c>
      <c r="D270" s="323">
        <v>0</v>
      </c>
      <c r="E270" s="302">
        <f>(SUMIF('COST REPORT'!$A$9:$A$998,'Contractor''s Budget Detail'!B270,'COST REPORT'!$F$9:$F$998))-(SUMIFS('COST REPORT'!$F$9:$F$998,'COST REPORT'!$A$9:$A$998,'Contractor''s Budget Detail'!B270,'COST REPORT'!$I$9:$I$998,"Close"))</f>
        <v>0</v>
      </c>
      <c r="F270" s="302">
        <f>(SUMIF(INPUT!$I$231:$I$522,'Contractor''s Budget Detail'!B270,INPUT!$H$231:$H$522)+SUMIFS('COST REPORT'!$F$9:$F$998,'COST REPORT'!$A$9:$A$998,'Contractor''s Budget Detail'!B270,'COST REPORT'!$I$9:$I$998,"close"))-(SUMIFS('COST REPORT'!$F$9:$F$998,'COST REPORT'!$A$9:$A$998,'Contractor''s Budget Detail'!B270,'COST REPORT'!$I$9:$I$998,"close",'COST REPORT'!$J$9:$J$998,"x"))</f>
        <v>0</v>
      </c>
      <c r="G270" s="302">
        <f>E270+F270</f>
        <v>0</v>
      </c>
      <c r="H270" s="302">
        <f>SUMIF('COST REPORT'!$A$9:$A$998,'Contractor''s Budget Detail'!B270,'COST REPORT'!$G$9:$G$998)</f>
        <v>0</v>
      </c>
      <c r="I270" s="302">
        <f>G270-H270</f>
        <v>0</v>
      </c>
      <c r="J270" s="324">
        <f>D270-G270</f>
        <v>0</v>
      </c>
    </row>
    <row r="271" spans="1:10">
      <c r="A271" s="321">
        <v>10000</v>
      </c>
      <c r="B271" s="322">
        <f>B270+1</f>
        <v>10002</v>
      </c>
      <c r="C271" s="317" t="s">
        <v>2089</v>
      </c>
      <c r="D271" s="323">
        <v>0</v>
      </c>
      <c r="E271" s="302">
        <f>(SUMIF('COST REPORT'!$A$9:$A$998,'Contractor''s Budget Detail'!B271,'COST REPORT'!$F$9:$F$998))-(SUMIFS('COST REPORT'!$F$9:$F$998,'COST REPORT'!$A$9:$A$998,'Contractor''s Budget Detail'!B271,'COST REPORT'!$I$9:$I$998,"Close"))</f>
        <v>0</v>
      </c>
      <c r="F271" s="302">
        <f>(SUMIF(INPUT!$I$231:$I$522,'Contractor''s Budget Detail'!B271,INPUT!$H$231:$H$522)+SUMIFS('COST REPORT'!$F$9:$F$998,'COST REPORT'!$A$9:$A$998,'Contractor''s Budget Detail'!B271,'COST REPORT'!$I$9:$I$998,"close"))-(SUMIFS('COST REPORT'!$F$9:$F$998,'COST REPORT'!$A$9:$A$998,'Contractor''s Budget Detail'!B271,'COST REPORT'!$I$9:$I$998,"close",'COST REPORT'!$J$9:$J$998,"x"))</f>
        <v>0</v>
      </c>
      <c r="G271" s="302">
        <f t="shared" ref="G271:G293" si="56">E271+F271</f>
        <v>0</v>
      </c>
      <c r="H271" s="302">
        <f>SUMIF('COST REPORT'!$A$9:$A$998,'Contractor''s Budget Detail'!B271,'COST REPORT'!$G$9:$G$998)</f>
        <v>0</v>
      </c>
      <c r="I271" s="302">
        <f t="shared" ref="I271:I293" si="57">G271-H271</f>
        <v>0</v>
      </c>
      <c r="J271" s="324">
        <f t="shared" ref="J271:J293" si="58">D271-G271</f>
        <v>0</v>
      </c>
    </row>
    <row r="272" spans="1:10">
      <c r="A272" s="321">
        <v>10000</v>
      </c>
      <c r="B272" s="322">
        <f t="shared" ref="B272:B293" si="59">B271+1</f>
        <v>10003</v>
      </c>
      <c r="C272" s="317" t="s">
        <v>2011</v>
      </c>
      <c r="D272" s="323">
        <v>0</v>
      </c>
      <c r="E272" s="302">
        <f>(SUMIF('COST REPORT'!$A$9:$A$998,'Contractor''s Budget Detail'!B272,'COST REPORT'!$F$9:$F$998))-(SUMIFS('COST REPORT'!$F$9:$F$998,'COST REPORT'!$A$9:$A$998,'Contractor''s Budget Detail'!B272,'COST REPORT'!$I$9:$I$998,"Close"))</f>
        <v>0</v>
      </c>
      <c r="F272" s="302">
        <f>(SUMIF(INPUT!$I$231:$I$522,'Contractor''s Budget Detail'!B272,INPUT!$H$231:$H$522)+SUMIFS('COST REPORT'!$F$9:$F$998,'COST REPORT'!$A$9:$A$998,'Contractor''s Budget Detail'!B272,'COST REPORT'!$I$9:$I$998,"close"))-(SUMIFS('COST REPORT'!$F$9:$F$998,'COST REPORT'!$A$9:$A$998,'Contractor''s Budget Detail'!B272,'COST REPORT'!$I$9:$I$998,"close",'COST REPORT'!$J$9:$J$998,"x"))</f>
        <v>0</v>
      </c>
      <c r="G272" s="302">
        <f t="shared" si="56"/>
        <v>0</v>
      </c>
      <c r="H272" s="302">
        <f>SUMIF('COST REPORT'!$A$9:$A$998,'Contractor''s Budget Detail'!B272,'COST REPORT'!$G$9:$G$998)</f>
        <v>0</v>
      </c>
      <c r="I272" s="302">
        <f t="shared" si="57"/>
        <v>0</v>
      </c>
      <c r="J272" s="324">
        <f t="shared" si="58"/>
        <v>0</v>
      </c>
    </row>
    <row r="273" spans="1:12">
      <c r="A273" s="321">
        <v>10000</v>
      </c>
      <c r="B273" s="322">
        <f t="shared" si="59"/>
        <v>10004</v>
      </c>
      <c r="C273" s="317" t="s">
        <v>2090</v>
      </c>
      <c r="D273" s="323">
        <v>0</v>
      </c>
      <c r="E273" s="302">
        <f>(SUMIF('COST REPORT'!$A$9:$A$998,'Contractor''s Budget Detail'!B273,'COST REPORT'!$F$9:$F$998))-(SUMIFS('COST REPORT'!$F$9:$F$998,'COST REPORT'!$A$9:$A$998,'Contractor''s Budget Detail'!B273,'COST REPORT'!$I$9:$I$998,"Close"))</f>
        <v>0</v>
      </c>
      <c r="F273" s="302">
        <f>(SUMIF(INPUT!$I$231:$I$522,'Contractor''s Budget Detail'!B273,INPUT!$H$231:$H$522)+SUMIFS('COST REPORT'!$F$9:$F$998,'COST REPORT'!$A$9:$A$998,'Contractor''s Budget Detail'!B273,'COST REPORT'!$I$9:$I$998,"close"))-(SUMIFS('COST REPORT'!$F$9:$F$998,'COST REPORT'!$A$9:$A$998,'Contractor''s Budget Detail'!B273,'COST REPORT'!$I$9:$I$998,"close",'COST REPORT'!$J$9:$J$998,"x"))</f>
        <v>0</v>
      </c>
      <c r="G273" s="302">
        <f t="shared" si="56"/>
        <v>0</v>
      </c>
      <c r="H273" s="302">
        <f>SUMIF('COST REPORT'!$A$9:$A$998,'Contractor''s Budget Detail'!B273,'COST REPORT'!$G$9:$G$998)</f>
        <v>0</v>
      </c>
      <c r="I273" s="302">
        <f t="shared" si="57"/>
        <v>0</v>
      </c>
      <c r="J273" s="324">
        <f t="shared" si="58"/>
        <v>0</v>
      </c>
    </row>
    <row r="274" spans="1:12">
      <c r="A274" s="321">
        <v>10000</v>
      </c>
      <c r="B274" s="322">
        <f t="shared" si="59"/>
        <v>10005</v>
      </c>
      <c r="C274" s="317" t="s">
        <v>2012</v>
      </c>
      <c r="D274" s="323">
        <v>0</v>
      </c>
      <c r="E274" s="302">
        <f>(SUMIF('COST REPORT'!$A$9:$A$998,'Contractor''s Budget Detail'!B274,'COST REPORT'!$F$9:$F$998))-(SUMIFS('COST REPORT'!$F$9:$F$998,'COST REPORT'!$A$9:$A$998,'Contractor''s Budget Detail'!B274,'COST REPORT'!$I$9:$I$998,"Close"))</f>
        <v>0</v>
      </c>
      <c r="F274" s="302">
        <f>(SUMIF(INPUT!$I$231:$I$522,'Contractor''s Budget Detail'!B274,INPUT!$H$231:$H$522)+SUMIFS('COST REPORT'!$F$9:$F$998,'COST REPORT'!$A$9:$A$998,'Contractor''s Budget Detail'!B274,'COST REPORT'!$I$9:$I$998,"close"))-(SUMIFS('COST REPORT'!$F$9:$F$998,'COST REPORT'!$A$9:$A$998,'Contractor''s Budget Detail'!B274,'COST REPORT'!$I$9:$I$998,"close",'COST REPORT'!$J$9:$J$998,"x"))</f>
        <v>0</v>
      </c>
      <c r="G274" s="302">
        <f t="shared" si="56"/>
        <v>0</v>
      </c>
      <c r="H274" s="302">
        <f>SUMIF('COST REPORT'!$A$9:$A$998,'Contractor''s Budget Detail'!B274,'COST REPORT'!$G$9:$G$998)</f>
        <v>0</v>
      </c>
      <c r="I274" s="302">
        <f t="shared" si="57"/>
        <v>0</v>
      </c>
      <c r="J274" s="324">
        <f t="shared" si="58"/>
        <v>0</v>
      </c>
    </row>
    <row r="275" spans="1:12">
      <c r="A275" s="321">
        <v>10000</v>
      </c>
      <c r="B275" s="322">
        <f t="shared" si="59"/>
        <v>10006</v>
      </c>
      <c r="C275" s="317" t="s">
        <v>2091</v>
      </c>
      <c r="D275" s="323">
        <v>0</v>
      </c>
      <c r="E275" s="302">
        <f>(SUMIF('COST REPORT'!$A$9:$A$998,'Contractor''s Budget Detail'!B275,'COST REPORT'!$F$9:$F$998))-(SUMIFS('COST REPORT'!$F$9:$F$998,'COST REPORT'!$A$9:$A$998,'Contractor''s Budget Detail'!B275,'COST REPORT'!$I$9:$I$998,"Close"))</f>
        <v>0</v>
      </c>
      <c r="F275" s="302">
        <f>(SUMIF(INPUT!$I$231:$I$522,'Contractor''s Budget Detail'!B275,INPUT!$H$231:$H$522)+SUMIFS('COST REPORT'!$F$9:$F$998,'COST REPORT'!$A$9:$A$998,'Contractor''s Budget Detail'!B275,'COST REPORT'!$I$9:$I$998,"close"))-(SUMIFS('COST REPORT'!$F$9:$F$998,'COST REPORT'!$A$9:$A$998,'Contractor''s Budget Detail'!B275,'COST REPORT'!$I$9:$I$998,"close",'COST REPORT'!$J$9:$J$998,"x"))</f>
        <v>0</v>
      </c>
      <c r="G275" s="302">
        <f t="shared" si="56"/>
        <v>0</v>
      </c>
      <c r="H275" s="302">
        <f>SUMIF('COST REPORT'!$A$9:$A$998,'Contractor''s Budget Detail'!B275,'COST REPORT'!$G$9:$G$998)</f>
        <v>0</v>
      </c>
      <c r="I275" s="302">
        <f t="shared" si="57"/>
        <v>0</v>
      </c>
      <c r="J275" s="324">
        <f t="shared" si="58"/>
        <v>0</v>
      </c>
    </row>
    <row r="276" spans="1:12">
      <c r="A276" s="321">
        <v>10000</v>
      </c>
      <c r="B276" s="322">
        <f t="shared" si="59"/>
        <v>10007</v>
      </c>
      <c r="C276" s="317" t="s">
        <v>2092</v>
      </c>
      <c r="D276" s="323">
        <v>0</v>
      </c>
      <c r="E276" s="302">
        <f>(SUMIF('COST REPORT'!$A$9:$A$998,'Contractor''s Budget Detail'!B276,'COST REPORT'!$F$9:$F$998))-(SUMIFS('COST REPORT'!$F$9:$F$998,'COST REPORT'!$A$9:$A$998,'Contractor''s Budget Detail'!B276,'COST REPORT'!$I$9:$I$998,"Close"))</f>
        <v>0</v>
      </c>
      <c r="F276" s="302">
        <f>(SUMIF(INPUT!$I$231:$I$522,'Contractor''s Budget Detail'!B276,INPUT!$H$231:$H$522)+SUMIFS('COST REPORT'!$F$9:$F$998,'COST REPORT'!$A$9:$A$998,'Contractor''s Budget Detail'!B276,'COST REPORT'!$I$9:$I$998,"close"))-(SUMIFS('COST REPORT'!$F$9:$F$998,'COST REPORT'!$A$9:$A$998,'Contractor''s Budget Detail'!B276,'COST REPORT'!$I$9:$I$998,"close",'COST REPORT'!$J$9:$J$998,"x"))</f>
        <v>0</v>
      </c>
      <c r="G276" s="302">
        <f t="shared" si="56"/>
        <v>0</v>
      </c>
      <c r="H276" s="302">
        <f>SUMIF('COST REPORT'!$A$9:$A$998,'Contractor''s Budget Detail'!B276,'COST REPORT'!$G$9:$G$998)</f>
        <v>0</v>
      </c>
      <c r="I276" s="302">
        <f t="shared" si="57"/>
        <v>0</v>
      </c>
      <c r="J276" s="324">
        <f t="shared" si="58"/>
        <v>0</v>
      </c>
      <c r="L276" s="1034"/>
    </row>
    <row r="277" spans="1:12">
      <c r="A277" s="321">
        <v>10000</v>
      </c>
      <c r="B277" s="322">
        <f t="shared" si="59"/>
        <v>10008</v>
      </c>
      <c r="C277" s="317" t="s">
        <v>2093</v>
      </c>
      <c r="D277" s="323">
        <v>0</v>
      </c>
      <c r="E277" s="302">
        <f>(SUMIF('COST REPORT'!$A$9:$A$998,'Contractor''s Budget Detail'!B277,'COST REPORT'!$F$9:$F$998))-(SUMIFS('COST REPORT'!$F$9:$F$998,'COST REPORT'!$A$9:$A$998,'Contractor''s Budget Detail'!B277,'COST REPORT'!$I$9:$I$998,"Close"))</f>
        <v>0</v>
      </c>
      <c r="F277" s="302">
        <f>(SUMIF(INPUT!$I$231:$I$522,'Contractor''s Budget Detail'!B277,INPUT!$H$231:$H$522)+SUMIFS('COST REPORT'!$F$9:$F$998,'COST REPORT'!$A$9:$A$998,'Contractor''s Budget Detail'!B277,'COST REPORT'!$I$9:$I$998,"close"))-(SUMIFS('COST REPORT'!$F$9:$F$998,'COST REPORT'!$A$9:$A$998,'Contractor''s Budget Detail'!B277,'COST REPORT'!$I$9:$I$998,"close",'COST REPORT'!$J$9:$J$998,"x"))</f>
        <v>0</v>
      </c>
      <c r="G277" s="302">
        <f t="shared" si="56"/>
        <v>0</v>
      </c>
      <c r="H277" s="302">
        <f>SUMIF('COST REPORT'!$A$9:$A$998,'Contractor''s Budget Detail'!B277,'COST REPORT'!$G$9:$G$998)</f>
        <v>0</v>
      </c>
      <c r="I277" s="302">
        <f t="shared" si="57"/>
        <v>0</v>
      </c>
      <c r="J277" s="324">
        <f t="shared" si="58"/>
        <v>0</v>
      </c>
    </row>
    <row r="278" spans="1:12">
      <c r="A278" s="321">
        <v>10000</v>
      </c>
      <c r="B278" s="322">
        <f t="shared" si="59"/>
        <v>10009</v>
      </c>
      <c r="C278" s="317" t="s">
        <v>2094</v>
      </c>
      <c r="D278" s="323">
        <v>0</v>
      </c>
      <c r="E278" s="302">
        <f>(SUMIF('COST REPORT'!$A$9:$A$998,'Contractor''s Budget Detail'!B278,'COST REPORT'!$F$9:$F$998))-(SUMIFS('COST REPORT'!$F$9:$F$998,'COST REPORT'!$A$9:$A$998,'Contractor''s Budget Detail'!B278,'COST REPORT'!$I$9:$I$998,"Close"))</f>
        <v>0</v>
      </c>
      <c r="F278" s="302">
        <f>(SUMIF(INPUT!$I$231:$I$522,'Contractor''s Budget Detail'!B278,INPUT!$H$231:$H$522)+SUMIFS('COST REPORT'!$F$9:$F$998,'COST REPORT'!$A$9:$A$998,'Contractor''s Budget Detail'!B278,'COST REPORT'!$I$9:$I$998,"close"))-(SUMIFS('COST REPORT'!$F$9:$F$998,'COST REPORT'!$A$9:$A$998,'Contractor''s Budget Detail'!B278,'COST REPORT'!$I$9:$I$998,"close",'COST REPORT'!$J$9:$J$998,"x"))</f>
        <v>0</v>
      </c>
      <c r="G278" s="302">
        <f t="shared" si="56"/>
        <v>0</v>
      </c>
      <c r="H278" s="302">
        <f>SUMIF('COST REPORT'!$A$9:$A$998,'Contractor''s Budget Detail'!B278,'COST REPORT'!$G$9:$G$998)</f>
        <v>0</v>
      </c>
      <c r="I278" s="302">
        <f t="shared" si="57"/>
        <v>0</v>
      </c>
      <c r="J278" s="324">
        <f t="shared" si="58"/>
        <v>0</v>
      </c>
    </row>
    <row r="279" spans="1:12">
      <c r="A279" s="321">
        <v>10000</v>
      </c>
      <c r="B279" s="322">
        <f t="shared" si="59"/>
        <v>10010</v>
      </c>
      <c r="C279" s="317" t="s">
        <v>2095</v>
      </c>
      <c r="D279" s="323">
        <v>0</v>
      </c>
      <c r="E279" s="302">
        <f>(SUMIF('COST REPORT'!$A$9:$A$998,'Contractor''s Budget Detail'!B279,'COST REPORT'!$F$9:$F$998))-(SUMIFS('COST REPORT'!$F$9:$F$998,'COST REPORT'!$A$9:$A$998,'Contractor''s Budget Detail'!B279,'COST REPORT'!$I$9:$I$998,"Close"))</f>
        <v>0</v>
      </c>
      <c r="F279" s="302">
        <f>(SUMIF(INPUT!$I$231:$I$522,'Contractor''s Budget Detail'!B279,INPUT!$H$231:$H$522)+SUMIFS('COST REPORT'!$F$9:$F$998,'COST REPORT'!$A$9:$A$998,'Contractor''s Budget Detail'!B279,'COST REPORT'!$I$9:$I$998,"close"))-(SUMIFS('COST REPORT'!$F$9:$F$998,'COST REPORT'!$A$9:$A$998,'Contractor''s Budget Detail'!B279,'COST REPORT'!$I$9:$I$998,"close",'COST REPORT'!$J$9:$J$998,"x"))</f>
        <v>0</v>
      </c>
      <c r="G279" s="302">
        <f t="shared" si="56"/>
        <v>0</v>
      </c>
      <c r="H279" s="302">
        <f>SUMIF('COST REPORT'!$A$9:$A$998,'Contractor''s Budget Detail'!B279,'COST REPORT'!$G$9:$G$998)</f>
        <v>0</v>
      </c>
      <c r="I279" s="302">
        <f t="shared" si="57"/>
        <v>0</v>
      </c>
      <c r="J279" s="324">
        <f t="shared" si="58"/>
        <v>0</v>
      </c>
    </row>
    <row r="280" spans="1:12">
      <c r="A280" s="321">
        <v>10000</v>
      </c>
      <c r="B280" s="322">
        <f t="shared" si="59"/>
        <v>10011</v>
      </c>
      <c r="C280" s="317" t="s">
        <v>2096</v>
      </c>
      <c r="D280" s="323">
        <v>0</v>
      </c>
      <c r="E280" s="302">
        <f>(SUMIF('COST REPORT'!$A$9:$A$998,'Contractor''s Budget Detail'!B280,'COST REPORT'!$F$9:$F$998))-(SUMIFS('COST REPORT'!$F$9:$F$998,'COST REPORT'!$A$9:$A$998,'Contractor''s Budget Detail'!B280,'COST REPORT'!$I$9:$I$998,"Close"))</f>
        <v>0</v>
      </c>
      <c r="F280" s="302">
        <f>(SUMIF(INPUT!$I$231:$I$522,'Contractor''s Budget Detail'!B280,INPUT!$H$231:$H$522)+SUMIFS('COST REPORT'!$F$9:$F$998,'COST REPORT'!$A$9:$A$998,'Contractor''s Budget Detail'!B280,'COST REPORT'!$I$9:$I$998,"close"))-(SUMIFS('COST REPORT'!$F$9:$F$998,'COST REPORT'!$A$9:$A$998,'Contractor''s Budget Detail'!B280,'COST REPORT'!$I$9:$I$998,"close",'COST REPORT'!$J$9:$J$998,"x"))</f>
        <v>0</v>
      </c>
      <c r="G280" s="302">
        <f t="shared" si="56"/>
        <v>0</v>
      </c>
      <c r="H280" s="302">
        <f>SUMIF('COST REPORT'!$A$9:$A$998,'Contractor''s Budget Detail'!B280,'COST REPORT'!$G$9:$G$998)</f>
        <v>0</v>
      </c>
      <c r="I280" s="302">
        <f t="shared" si="57"/>
        <v>0</v>
      </c>
      <c r="J280" s="324">
        <f t="shared" si="58"/>
        <v>0</v>
      </c>
    </row>
    <row r="281" spans="1:12">
      <c r="A281" s="321">
        <v>10000</v>
      </c>
      <c r="B281" s="322">
        <f t="shared" si="59"/>
        <v>10012</v>
      </c>
      <c r="C281" s="317" t="s">
        <v>2097</v>
      </c>
      <c r="D281" s="323">
        <v>0</v>
      </c>
      <c r="E281" s="302">
        <f>(SUMIF('COST REPORT'!$A$9:$A$998,'Contractor''s Budget Detail'!B281,'COST REPORT'!$F$9:$F$998))-(SUMIFS('COST REPORT'!$F$9:$F$998,'COST REPORT'!$A$9:$A$998,'Contractor''s Budget Detail'!B281,'COST REPORT'!$I$9:$I$998,"Close"))</f>
        <v>0</v>
      </c>
      <c r="F281" s="302">
        <f>(SUMIF(INPUT!$I$231:$I$522,'Contractor''s Budget Detail'!B281,INPUT!$H$231:$H$522)+SUMIFS('COST REPORT'!$F$9:$F$998,'COST REPORT'!$A$9:$A$998,'Contractor''s Budget Detail'!B281,'COST REPORT'!$I$9:$I$998,"close"))-(SUMIFS('COST REPORT'!$F$9:$F$998,'COST REPORT'!$A$9:$A$998,'Contractor''s Budget Detail'!B281,'COST REPORT'!$I$9:$I$998,"close",'COST REPORT'!$J$9:$J$998,"x"))</f>
        <v>0</v>
      </c>
      <c r="G281" s="302">
        <f t="shared" si="56"/>
        <v>0</v>
      </c>
      <c r="H281" s="302">
        <f>SUMIF('COST REPORT'!$A$9:$A$998,'Contractor''s Budget Detail'!B281,'COST REPORT'!$G$9:$G$998)</f>
        <v>0</v>
      </c>
      <c r="I281" s="302">
        <f t="shared" si="57"/>
        <v>0</v>
      </c>
      <c r="J281" s="324">
        <f t="shared" si="58"/>
        <v>0</v>
      </c>
    </row>
    <row r="282" spans="1:12">
      <c r="A282" s="321">
        <v>10000</v>
      </c>
      <c r="B282" s="322">
        <f t="shared" si="59"/>
        <v>10013</v>
      </c>
      <c r="C282" s="317" t="s">
        <v>2098</v>
      </c>
      <c r="D282" s="323">
        <v>0</v>
      </c>
      <c r="E282" s="302">
        <f>(SUMIF('COST REPORT'!$A$9:$A$998,'Contractor''s Budget Detail'!B282,'COST REPORT'!$F$9:$F$998))-(SUMIFS('COST REPORT'!$F$9:$F$998,'COST REPORT'!$A$9:$A$998,'Contractor''s Budget Detail'!B282,'COST REPORT'!$I$9:$I$998,"Close"))</f>
        <v>0</v>
      </c>
      <c r="F282" s="302">
        <f>(SUMIF(INPUT!$I$231:$I$522,'Contractor''s Budget Detail'!B282,INPUT!$H$231:$H$522)+SUMIFS('COST REPORT'!$F$9:$F$998,'COST REPORT'!$A$9:$A$998,'Contractor''s Budget Detail'!B282,'COST REPORT'!$I$9:$I$998,"close"))-(SUMIFS('COST REPORT'!$F$9:$F$998,'COST REPORT'!$A$9:$A$998,'Contractor''s Budget Detail'!B282,'COST REPORT'!$I$9:$I$998,"close",'COST REPORT'!$J$9:$J$998,"x"))</f>
        <v>0</v>
      </c>
      <c r="G282" s="302">
        <f t="shared" si="56"/>
        <v>0</v>
      </c>
      <c r="H282" s="302">
        <f>SUMIF('COST REPORT'!$A$9:$A$998,'Contractor''s Budget Detail'!B282,'COST REPORT'!$G$9:$G$998)</f>
        <v>0</v>
      </c>
      <c r="I282" s="302">
        <f t="shared" si="57"/>
        <v>0</v>
      </c>
      <c r="J282" s="324">
        <f t="shared" si="58"/>
        <v>0</v>
      </c>
    </row>
    <row r="283" spans="1:12">
      <c r="A283" s="321">
        <v>10000</v>
      </c>
      <c r="B283" s="322">
        <f t="shared" si="59"/>
        <v>10014</v>
      </c>
      <c r="C283" s="317" t="s">
        <v>2099</v>
      </c>
      <c r="D283" s="323">
        <v>0</v>
      </c>
      <c r="E283" s="302">
        <f>(SUMIF('COST REPORT'!$A$9:$A$998,'Contractor''s Budget Detail'!B283,'COST REPORT'!$F$9:$F$998))-(SUMIFS('COST REPORT'!$F$9:$F$998,'COST REPORT'!$A$9:$A$998,'Contractor''s Budget Detail'!B283,'COST REPORT'!$I$9:$I$998,"Close"))</f>
        <v>0</v>
      </c>
      <c r="F283" s="302">
        <f>(SUMIF(INPUT!$I$231:$I$522,'Contractor''s Budget Detail'!B283,INPUT!$H$231:$H$522)+SUMIFS('COST REPORT'!$F$9:$F$998,'COST REPORT'!$A$9:$A$998,'Contractor''s Budget Detail'!B283,'COST REPORT'!$I$9:$I$998,"close"))-(SUMIFS('COST REPORT'!$F$9:$F$998,'COST REPORT'!$A$9:$A$998,'Contractor''s Budget Detail'!B283,'COST REPORT'!$I$9:$I$998,"close",'COST REPORT'!$J$9:$J$998,"x"))</f>
        <v>0</v>
      </c>
      <c r="G283" s="302">
        <f>E283+F283</f>
        <v>0</v>
      </c>
      <c r="H283" s="302">
        <f>SUMIF('COST REPORT'!$A$9:$A$998,'Contractor''s Budget Detail'!B283,'COST REPORT'!$G$9:$G$998)</f>
        <v>0</v>
      </c>
      <c r="I283" s="302">
        <f>G283-H283</f>
        <v>0</v>
      </c>
      <c r="J283" s="324">
        <f>D283-G283</f>
        <v>0</v>
      </c>
    </row>
    <row r="284" spans="1:12">
      <c r="A284" s="321">
        <v>10000</v>
      </c>
      <c r="B284" s="322">
        <f t="shared" si="59"/>
        <v>10015</v>
      </c>
      <c r="C284" s="317" t="s">
        <v>2100</v>
      </c>
      <c r="D284" s="323">
        <v>0</v>
      </c>
      <c r="E284" s="302">
        <f>(SUMIF('COST REPORT'!$A$9:$A$998,'Contractor''s Budget Detail'!B284,'COST REPORT'!$F$9:$F$998))-(SUMIFS('COST REPORT'!$F$9:$F$998,'COST REPORT'!$A$9:$A$998,'Contractor''s Budget Detail'!B284,'COST REPORT'!$I$9:$I$998,"Close"))</f>
        <v>0</v>
      </c>
      <c r="F284" s="302">
        <f>(SUMIF(INPUT!$I$231:$I$522,'Contractor''s Budget Detail'!B284,INPUT!$H$231:$H$522)+SUMIFS('COST REPORT'!$F$9:$F$998,'COST REPORT'!$A$9:$A$998,'Contractor''s Budget Detail'!B284,'COST REPORT'!$I$9:$I$998,"close"))-(SUMIFS('COST REPORT'!$F$9:$F$998,'COST REPORT'!$A$9:$A$998,'Contractor''s Budget Detail'!B284,'COST REPORT'!$I$9:$I$998,"close",'COST REPORT'!$J$9:$J$998,"x"))</f>
        <v>0</v>
      </c>
      <c r="G284" s="302">
        <f>E284+F284</f>
        <v>0</v>
      </c>
      <c r="H284" s="302">
        <f>SUMIF('COST REPORT'!$A$9:$A$998,'Contractor''s Budget Detail'!B284,'COST REPORT'!$G$9:$G$998)</f>
        <v>0</v>
      </c>
      <c r="I284" s="302">
        <f>G284-H284</f>
        <v>0</v>
      </c>
      <c r="J284" s="324">
        <f>D284-G284</f>
        <v>0</v>
      </c>
    </row>
    <row r="285" spans="1:12">
      <c r="A285" s="321">
        <v>10000</v>
      </c>
      <c r="B285" s="322">
        <f t="shared" si="59"/>
        <v>10016</v>
      </c>
      <c r="C285" s="317" t="s">
        <v>2101</v>
      </c>
      <c r="D285" s="323">
        <v>0</v>
      </c>
      <c r="E285" s="302">
        <f>(SUMIF('COST REPORT'!$A$9:$A$998,'Contractor''s Budget Detail'!B285,'COST REPORT'!$F$9:$F$998))-(SUMIFS('COST REPORT'!$F$9:$F$998,'COST REPORT'!$A$9:$A$998,'Contractor''s Budget Detail'!B285,'COST REPORT'!$I$9:$I$998,"Close"))</f>
        <v>0</v>
      </c>
      <c r="F285" s="302">
        <f>(SUMIF(INPUT!$I$231:$I$522,'Contractor''s Budget Detail'!B285,INPUT!$H$231:$H$522)+SUMIFS('COST REPORT'!$F$9:$F$998,'COST REPORT'!$A$9:$A$998,'Contractor''s Budget Detail'!B285,'COST REPORT'!$I$9:$I$998,"close"))-(SUMIFS('COST REPORT'!$F$9:$F$998,'COST REPORT'!$A$9:$A$998,'Contractor''s Budget Detail'!B285,'COST REPORT'!$I$9:$I$998,"close",'COST REPORT'!$J$9:$J$998,"x"))</f>
        <v>0</v>
      </c>
      <c r="G285" s="302">
        <f>E285+F285</f>
        <v>0</v>
      </c>
      <c r="H285" s="302">
        <f>SUMIF('COST REPORT'!$A$9:$A$998,'Contractor''s Budget Detail'!B285,'COST REPORT'!$G$9:$G$998)</f>
        <v>0</v>
      </c>
      <c r="I285" s="302">
        <f>G285-H285</f>
        <v>0</v>
      </c>
      <c r="J285" s="324">
        <f>D285-G285</f>
        <v>0</v>
      </c>
    </row>
    <row r="286" spans="1:12">
      <c r="A286" s="321">
        <v>10000</v>
      </c>
      <c r="B286" s="322">
        <f t="shared" si="59"/>
        <v>10017</v>
      </c>
      <c r="C286" s="325" t="s">
        <v>1939</v>
      </c>
      <c r="D286" s="323">
        <v>0</v>
      </c>
      <c r="E286" s="302">
        <f>(SUMIF('COST REPORT'!$A$9:$A$998,'Contractor''s Budget Detail'!B286,'COST REPORT'!$F$9:$F$998))-(SUMIFS('COST REPORT'!$F$9:$F$998,'COST REPORT'!$A$9:$A$998,'Contractor''s Budget Detail'!B286,'COST REPORT'!$I$9:$I$998,"Close"))</f>
        <v>0</v>
      </c>
      <c r="F286" s="302">
        <f>(SUMIF(INPUT!$I$231:$I$522,'Contractor''s Budget Detail'!B286,INPUT!$H$231:$H$522)+SUMIFS('COST REPORT'!$F$9:$F$998,'COST REPORT'!$A$9:$A$998,'Contractor''s Budget Detail'!B286,'COST REPORT'!$I$9:$I$998,"close"))-(SUMIFS('COST REPORT'!$F$9:$F$998,'COST REPORT'!$A$9:$A$998,'Contractor''s Budget Detail'!B286,'COST REPORT'!$I$9:$I$998,"close",'COST REPORT'!$J$9:$J$998,"x"))</f>
        <v>0</v>
      </c>
      <c r="G286" s="302">
        <f>E286+F286</f>
        <v>0</v>
      </c>
      <c r="H286" s="302">
        <f>SUMIF('COST REPORT'!$A$9:$A$998,'Contractor''s Budget Detail'!B286,'COST REPORT'!$G$9:$G$998)</f>
        <v>0</v>
      </c>
      <c r="I286" s="302">
        <f>G286-H286</f>
        <v>0</v>
      </c>
      <c r="J286" s="324">
        <f>D286-G286</f>
        <v>0</v>
      </c>
    </row>
    <row r="287" spans="1:12">
      <c r="A287" s="321">
        <v>10000</v>
      </c>
      <c r="B287" s="322">
        <f t="shared" si="59"/>
        <v>10018</v>
      </c>
      <c r="C287" s="325" t="s">
        <v>1939</v>
      </c>
      <c r="D287" s="323">
        <v>0</v>
      </c>
      <c r="E287" s="302">
        <f>(SUMIF('COST REPORT'!$A$9:$A$998,'Contractor''s Budget Detail'!B287,'COST REPORT'!$F$9:$F$998))-(SUMIFS('COST REPORT'!$F$9:$F$998,'COST REPORT'!$A$9:$A$998,'Contractor''s Budget Detail'!B287,'COST REPORT'!$I$9:$I$998,"Close"))</f>
        <v>0</v>
      </c>
      <c r="F287" s="302">
        <f>(SUMIF(INPUT!$I$231:$I$522,'Contractor''s Budget Detail'!B287,INPUT!$H$231:$H$522)+SUMIFS('COST REPORT'!$F$9:$F$998,'COST REPORT'!$A$9:$A$998,'Contractor''s Budget Detail'!B287,'COST REPORT'!$I$9:$I$998,"close"))-(SUMIFS('COST REPORT'!$F$9:$F$998,'COST REPORT'!$A$9:$A$998,'Contractor''s Budget Detail'!B287,'COST REPORT'!$I$9:$I$998,"close",'COST REPORT'!$J$9:$J$998,"x"))</f>
        <v>0</v>
      </c>
      <c r="G287" s="302">
        <f t="shared" ref="G287:G292" si="60">E287+F287</f>
        <v>0</v>
      </c>
      <c r="H287" s="302">
        <f>SUMIF('COST REPORT'!$A$9:$A$998,'Contractor''s Budget Detail'!B287,'COST REPORT'!$G$9:$G$998)</f>
        <v>0</v>
      </c>
      <c r="I287" s="302">
        <f t="shared" ref="I287:I292" si="61">G287-H287</f>
        <v>0</v>
      </c>
      <c r="J287" s="324">
        <f t="shared" ref="J287:J292" si="62">D287-G287</f>
        <v>0</v>
      </c>
    </row>
    <row r="288" spans="1:12">
      <c r="A288" s="321">
        <v>10000</v>
      </c>
      <c r="B288" s="322">
        <f t="shared" si="59"/>
        <v>10019</v>
      </c>
      <c r="C288" s="325" t="s">
        <v>1939</v>
      </c>
      <c r="D288" s="323">
        <v>0</v>
      </c>
      <c r="E288" s="302">
        <f>(SUMIF('COST REPORT'!$A$9:$A$998,'Contractor''s Budget Detail'!B288,'COST REPORT'!$F$9:$F$998))-(SUMIFS('COST REPORT'!$F$9:$F$998,'COST REPORT'!$A$9:$A$998,'Contractor''s Budget Detail'!B288,'COST REPORT'!$I$9:$I$998,"Close"))</f>
        <v>0</v>
      </c>
      <c r="F288" s="302">
        <f>(SUMIF(INPUT!$I$231:$I$522,'Contractor''s Budget Detail'!B288,INPUT!$H$231:$H$522)+SUMIFS('COST REPORT'!$F$9:$F$998,'COST REPORT'!$A$9:$A$998,'Contractor''s Budget Detail'!B288,'COST REPORT'!$I$9:$I$998,"close"))-(SUMIFS('COST REPORT'!$F$9:$F$998,'COST REPORT'!$A$9:$A$998,'Contractor''s Budget Detail'!B288,'COST REPORT'!$I$9:$I$998,"close",'COST REPORT'!$J$9:$J$998,"x"))</f>
        <v>0</v>
      </c>
      <c r="G288" s="302">
        <f t="shared" si="60"/>
        <v>0</v>
      </c>
      <c r="H288" s="302">
        <f>SUMIF('COST REPORT'!$A$9:$A$998,'Contractor''s Budget Detail'!B288,'COST REPORT'!$G$9:$G$998)</f>
        <v>0</v>
      </c>
      <c r="I288" s="302">
        <f t="shared" si="61"/>
        <v>0</v>
      </c>
      <c r="J288" s="324">
        <f t="shared" si="62"/>
        <v>0</v>
      </c>
    </row>
    <row r="289" spans="1:10">
      <c r="A289" s="321">
        <v>10000</v>
      </c>
      <c r="B289" s="322">
        <f t="shared" si="59"/>
        <v>10020</v>
      </c>
      <c r="C289" s="325" t="s">
        <v>1939</v>
      </c>
      <c r="D289" s="323">
        <v>0</v>
      </c>
      <c r="E289" s="302">
        <f>(SUMIF('COST REPORT'!$A$9:$A$998,'Contractor''s Budget Detail'!B289,'COST REPORT'!$F$9:$F$998))-(SUMIFS('COST REPORT'!$F$9:$F$998,'COST REPORT'!$A$9:$A$998,'Contractor''s Budget Detail'!B289,'COST REPORT'!$I$9:$I$998,"Close"))</f>
        <v>0</v>
      </c>
      <c r="F289" s="302">
        <f>(SUMIF(INPUT!$I$231:$I$522,'Contractor''s Budget Detail'!B289,INPUT!$H$231:$H$522)+SUMIFS('COST REPORT'!$F$9:$F$998,'COST REPORT'!$A$9:$A$998,'Contractor''s Budget Detail'!B289,'COST REPORT'!$I$9:$I$998,"close"))-(SUMIFS('COST REPORT'!$F$9:$F$998,'COST REPORT'!$A$9:$A$998,'Contractor''s Budget Detail'!B289,'COST REPORT'!$I$9:$I$998,"close",'COST REPORT'!$J$9:$J$998,"x"))</f>
        <v>0</v>
      </c>
      <c r="G289" s="302">
        <f t="shared" si="60"/>
        <v>0</v>
      </c>
      <c r="H289" s="302">
        <f>SUMIF('COST REPORT'!$A$9:$A$998,'Contractor''s Budget Detail'!B289,'COST REPORT'!$G$9:$G$998)</f>
        <v>0</v>
      </c>
      <c r="I289" s="302">
        <f t="shared" si="61"/>
        <v>0</v>
      </c>
      <c r="J289" s="324">
        <f t="shared" si="62"/>
        <v>0</v>
      </c>
    </row>
    <row r="290" spans="1:10">
      <c r="A290" s="321">
        <v>10000</v>
      </c>
      <c r="B290" s="322">
        <f t="shared" si="59"/>
        <v>10021</v>
      </c>
      <c r="C290" s="325" t="s">
        <v>1939</v>
      </c>
      <c r="D290" s="323">
        <v>0</v>
      </c>
      <c r="E290" s="302">
        <f>(SUMIF('COST REPORT'!$A$9:$A$998,'Contractor''s Budget Detail'!B290,'COST REPORT'!$F$9:$F$998))-(SUMIFS('COST REPORT'!$F$9:$F$998,'COST REPORT'!$A$9:$A$998,'Contractor''s Budget Detail'!B290,'COST REPORT'!$I$9:$I$998,"Close"))</f>
        <v>0</v>
      </c>
      <c r="F290" s="302">
        <f>(SUMIF(INPUT!$I$231:$I$522,'Contractor''s Budget Detail'!B290,INPUT!$H$231:$H$522)+SUMIFS('COST REPORT'!$F$9:$F$998,'COST REPORT'!$A$9:$A$998,'Contractor''s Budget Detail'!B290,'COST REPORT'!$I$9:$I$998,"close"))-(SUMIFS('COST REPORT'!$F$9:$F$998,'COST REPORT'!$A$9:$A$998,'Contractor''s Budget Detail'!B290,'COST REPORT'!$I$9:$I$998,"close",'COST REPORT'!$J$9:$J$998,"x"))</f>
        <v>0</v>
      </c>
      <c r="G290" s="302">
        <f t="shared" si="60"/>
        <v>0</v>
      </c>
      <c r="H290" s="302">
        <f>SUMIF('COST REPORT'!$A$9:$A$998,'Contractor''s Budget Detail'!B290,'COST REPORT'!$G$9:$G$998)</f>
        <v>0</v>
      </c>
      <c r="I290" s="302">
        <f t="shared" si="61"/>
        <v>0</v>
      </c>
      <c r="J290" s="324">
        <f t="shared" si="62"/>
        <v>0</v>
      </c>
    </row>
    <row r="291" spans="1:10">
      <c r="A291" s="321">
        <v>10000</v>
      </c>
      <c r="B291" s="322">
        <f t="shared" si="59"/>
        <v>10022</v>
      </c>
      <c r="C291" s="325" t="s">
        <v>1939</v>
      </c>
      <c r="D291" s="323">
        <v>0</v>
      </c>
      <c r="E291" s="302">
        <f>(SUMIF('COST REPORT'!$A$9:$A$998,'Contractor''s Budget Detail'!B291,'COST REPORT'!$F$9:$F$998))-(SUMIFS('COST REPORT'!$F$9:$F$998,'COST REPORT'!$A$9:$A$998,'Contractor''s Budget Detail'!B291,'COST REPORT'!$I$9:$I$998,"Close"))</f>
        <v>0</v>
      </c>
      <c r="F291" s="302">
        <f>(SUMIF(INPUT!$I$231:$I$522,'Contractor''s Budget Detail'!B291,INPUT!$H$231:$H$522)+SUMIFS('COST REPORT'!$F$9:$F$998,'COST REPORT'!$A$9:$A$998,'Contractor''s Budget Detail'!B291,'COST REPORT'!$I$9:$I$998,"close"))-(SUMIFS('COST REPORT'!$F$9:$F$998,'COST REPORT'!$A$9:$A$998,'Contractor''s Budget Detail'!B291,'COST REPORT'!$I$9:$I$998,"close",'COST REPORT'!$J$9:$J$998,"x"))</f>
        <v>0</v>
      </c>
      <c r="G291" s="302">
        <f t="shared" si="60"/>
        <v>0</v>
      </c>
      <c r="H291" s="302">
        <f>SUMIF('COST REPORT'!$A$9:$A$998,'Contractor''s Budget Detail'!B291,'COST REPORT'!$G$9:$G$998)</f>
        <v>0</v>
      </c>
      <c r="I291" s="302">
        <f t="shared" si="61"/>
        <v>0</v>
      </c>
      <c r="J291" s="324">
        <f t="shared" si="62"/>
        <v>0</v>
      </c>
    </row>
    <row r="292" spans="1:10">
      <c r="A292" s="321">
        <v>10000</v>
      </c>
      <c r="B292" s="322">
        <f t="shared" si="59"/>
        <v>10023</v>
      </c>
      <c r="C292" s="325" t="s">
        <v>1939</v>
      </c>
      <c r="D292" s="323">
        <v>0</v>
      </c>
      <c r="E292" s="302">
        <f>(SUMIF('COST REPORT'!$A$9:$A$998,'Contractor''s Budget Detail'!B292,'COST REPORT'!$F$9:$F$998))-(SUMIFS('COST REPORT'!$F$9:$F$998,'COST REPORT'!$A$9:$A$998,'Contractor''s Budget Detail'!B292,'COST REPORT'!$I$9:$I$998,"Close"))</f>
        <v>0</v>
      </c>
      <c r="F292" s="302">
        <f>(SUMIF(INPUT!$I$231:$I$522,'Contractor''s Budget Detail'!B292,INPUT!$H$231:$H$522)+SUMIFS('COST REPORT'!$F$9:$F$998,'COST REPORT'!$A$9:$A$998,'Contractor''s Budget Detail'!B292,'COST REPORT'!$I$9:$I$998,"close"))-(SUMIFS('COST REPORT'!$F$9:$F$998,'COST REPORT'!$A$9:$A$998,'Contractor''s Budget Detail'!B292,'COST REPORT'!$I$9:$I$998,"close",'COST REPORT'!$J$9:$J$998,"x"))</f>
        <v>0</v>
      </c>
      <c r="G292" s="302">
        <f t="shared" si="60"/>
        <v>0</v>
      </c>
      <c r="H292" s="302">
        <f>SUMIF('COST REPORT'!$A$9:$A$998,'Contractor''s Budget Detail'!B292,'COST REPORT'!$G$9:$G$998)</f>
        <v>0</v>
      </c>
      <c r="I292" s="302">
        <f t="shared" si="61"/>
        <v>0</v>
      </c>
      <c r="J292" s="324">
        <f t="shared" si="62"/>
        <v>0</v>
      </c>
    </row>
    <row r="293" spans="1:10">
      <c r="A293" s="321">
        <v>10000</v>
      </c>
      <c r="B293" s="322">
        <f t="shared" si="59"/>
        <v>10024</v>
      </c>
      <c r="C293" s="325" t="s">
        <v>1939</v>
      </c>
      <c r="D293" s="323">
        <v>0</v>
      </c>
      <c r="E293" s="302">
        <f>(SUMIF('COST REPORT'!$A$9:$A$998,'Contractor''s Budget Detail'!B293,'COST REPORT'!$F$9:$F$998))-(SUMIFS('COST REPORT'!$F$9:$F$998,'COST REPORT'!$A$9:$A$998,'Contractor''s Budget Detail'!B293,'COST REPORT'!$I$9:$I$998,"Close"))</f>
        <v>0</v>
      </c>
      <c r="F293" s="302">
        <f>(SUMIF(INPUT!$I$231:$I$522,'Contractor''s Budget Detail'!B293,INPUT!$H$231:$H$522)+SUMIFS('COST REPORT'!$F$9:$F$998,'COST REPORT'!$A$9:$A$998,'Contractor''s Budget Detail'!B293,'COST REPORT'!$I$9:$I$998,"close"))-(SUMIFS('COST REPORT'!$F$9:$F$998,'COST REPORT'!$A$9:$A$998,'Contractor''s Budget Detail'!B293,'COST REPORT'!$I$9:$I$998,"close",'COST REPORT'!$J$9:$J$998,"x"))</f>
        <v>0</v>
      </c>
      <c r="G293" s="302">
        <f t="shared" si="56"/>
        <v>0</v>
      </c>
      <c r="H293" s="302">
        <f>SUMIF('COST REPORT'!$A$9:$A$998,'Contractor''s Budget Detail'!B293,'COST REPORT'!$G$9:$G$998)</f>
        <v>0</v>
      </c>
      <c r="I293" s="302">
        <f t="shared" si="57"/>
        <v>0</v>
      </c>
      <c r="J293" s="324">
        <f t="shared" si="58"/>
        <v>0</v>
      </c>
    </row>
    <row r="294" spans="1:10" ht="13.5" thickBot="1">
      <c r="A294" s="326" t="s">
        <v>2102</v>
      </c>
      <c r="B294" s="307"/>
      <c r="C294" s="308"/>
      <c r="D294" s="305">
        <f t="shared" ref="D294:J294" si="63">SUM(D270:D293)</f>
        <v>0</v>
      </c>
      <c r="E294" s="305">
        <f t="shared" si="63"/>
        <v>0</v>
      </c>
      <c r="F294" s="305">
        <f t="shared" si="63"/>
        <v>0</v>
      </c>
      <c r="G294" s="305">
        <f t="shared" si="63"/>
        <v>0</v>
      </c>
      <c r="H294" s="305">
        <f t="shared" si="63"/>
        <v>0</v>
      </c>
      <c r="I294" s="305">
        <f t="shared" si="63"/>
        <v>0</v>
      </c>
      <c r="J294" s="327">
        <f t="shared" si="63"/>
        <v>0</v>
      </c>
    </row>
    <row r="295" spans="1:10">
      <c r="A295" s="328"/>
      <c r="B295" s="71"/>
      <c r="C295" s="90"/>
      <c r="D295" s="306"/>
      <c r="E295" s="306"/>
      <c r="H295" s="306"/>
      <c r="I295" s="306"/>
      <c r="J295" s="329"/>
    </row>
    <row r="296" spans="1:10">
      <c r="A296" s="330" t="s">
        <v>2103</v>
      </c>
      <c r="B296" s="205"/>
      <c r="C296" s="88"/>
      <c r="D296" s="331"/>
      <c r="E296" s="331"/>
      <c r="F296" s="338"/>
      <c r="G296" s="338"/>
      <c r="H296" s="331"/>
      <c r="I296" s="331"/>
      <c r="J296" s="339"/>
    </row>
    <row r="297" spans="1:10">
      <c r="A297" s="321">
        <v>11000</v>
      </c>
      <c r="B297" s="322">
        <v>11001</v>
      </c>
      <c r="C297" s="317" t="s">
        <v>2104</v>
      </c>
      <c r="D297" s="323">
        <v>0</v>
      </c>
      <c r="E297" s="302">
        <f>(SUMIF('COST REPORT'!$A$9:$A$998,'Contractor''s Budget Detail'!B297,'COST REPORT'!$F$9:$F$998))-(SUMIFS('COST REPORT'!$F$9:$F$998,'COST REPORT'!$A$9:$A$998,'Contractor''s Budget Detail'!B297,'COST REPORT'!$I$9:$I$998,"Close"))</f>
        <v>0</v>
      </c>
      <c r="F297" s="302">
        <f>(SUMIF(INPUT!$I$231:$I$522,'Contractor''s Budget Detail'!B297,INPUT!$H$231:$H$522)+SUMIFS('COST REPORT'!$F$9:$F$998,'COST REPORT'!$A$9:$A$998,'Contractor''s Budget Detail'!B297,'COST REPORT'!$I$9:$I$998,"close"))-(SUMIFS('COST REPORT'!$F$9:$F$998,'COST REPORT'!$A$9:$A$998,'Contractor''s Budget Detail'!B297,'COST REPORT'!$I$9:$I$998,"close",'COST REPORT'!$J$9:$J$998,"x"))</f>
        <v>0</v>
      </c>
      <c r="G297" s="302">
        <f>E297+F297</f>
        <v>0</v>
      </c>
      <c r="H297" s="302">
        <f>SUMIF('COST REPORT'!$A$9:$A$998,'Contractor''s Budget Detail'!B297,'COST REPORT'!$G$9:$G$998)</f>
        <v>0</v>
      </c>
      <c r="I297" s="302">
        <f>G297-H297</f>
        <v>0</v>
      </c>
      <c r="J297" s="324">
        <f>D297-G297</f>
        <v>0</v>
      </c>
    </row>
    <row r="298" spans="1:10">
      <c r="A298" s="321">
        <v>11000</v>
      </c>
      <c r="B298" s="322">
        <f>B297+1</f>
        <v>11002</v>
      </c>
      <c r="C298" s="317" t="s">
        <v>2105</v>
      </c>
      <c r="D298" s="323">
        <v>0</v>
      </c>
      <c r="E298" s="302">
        <f>(SUMIF('COST REPORT'!$A$9:$A$998,'Contractor''s Budget Detail'!B298,'COST REPORT'!$F$9:$F$998))-(SUMIFS('COST REPORT'!$F$9:$F$998,'COST REPORT'!$A$9:$A$998,'Contractor''s Budget Detail'!B298,'COST REPORT'!$I$9:$I$998,"Close"))</f>
        <v>0</v>
      </c>
      <c r="F298" s="302">
        <f>(SUMIF(INPUT!$I$231:$I$522,'Contractor''s Budget Detail'!B298,INPUT!$H$231:$H$522)+SUMIFS('COST REPORT'!$F$9:$F$998,'COST REPORT'!$A$9:$A$998,'Contractor''s Budget Detail'!B298,'COST REPORT'!$I$9:$I$998,"close"))-(SUMIFS('COST REPORT'!$F$9:$F$998,'COST REPORT'!$A$9:$A$998,'Contractor''s Budget Detail'!B298,'COST REPORT'!$I$9:$I$998,"close",'COST REPORT'!$J$9:$J$998,"x"))</f>
        <v>0</v>
      </c>
      <c r="G298" s="302">
        <f t="shared" ref="G298:G315" si="64">E298+F298</f>
        <v>0</v>
      </c>
      <c r="H298" s="302">
        <f>SUMIF('COST REPORT'!$A$9:$A$998,'Contractor''s Budget Detail'!B298,'COST REPORT'!$G$9:$G$998)</f>
        <v>0</v>
      </c>
      <c r="I298" s="302">
        <f t="shared" ref="I298:I315" si="65">G298-H298</f>
        <v>0</v>
      </c>
      <c r="J298" s="324">
        <f t="shared" ref="J298:J315" si="66">D298-G298</f>
        <v>0</v>
      </c>
    </row>
    <row r="299" spans="1:10">
      <c r="A299" s="321">
        <v>11000</v>
      </c>
      <c r="B299" s="322">
        <f t="shared" ref="B299:B315" si="67">B298+1</f>
        <v>11003</v>
      </c>
      <c r="C299" s="317" t="s">
        <v>2106</v>
      </c>
      <c r="D299" s="323">
        <v>0</v>
      </c>
      <c r="E299" s="302">
        <f>(SUMIF('COST REPORT'!$A$9:$A$998,'Contractor''s Budget Detail'!B299,'COST REPORT'!$F$9:$F$998))-(SUMIFS('COST REPORT'!$F$9:$F$998,'COST REPORT'!$A$9:$A$998,'Contractor''s Budget Detail'!B299,'COST REPORT'!$I$9:$I$998,"Close"))</f>
        <v>0</v>
      </c>
      <c r="F299" s="302">
        <f>(SUMIF(INPUT!$I$231:$I$522,'Contractor''s Budget Detail'!B299,INPUT!$H$231:$H$522)+SUMIFS('COST REPORT'!$F$9:$F$998,'COST REPORT'!$A$9:$A$998,'Contractor''s Budget Detail'!B299,'COST REPORT'!$I$9:$I$998,"close"))-(SUMIFS('COST REPORT'!$F$9:$F$998,'COST REPORT'!$A$9:$A$998,'Contractor''s Budget Detail'!B299,'COST REPORT'!$I$9:$I$998,"close",'COST REPORT'!$J$9:$J$998,"x"))</f>
        <v>0</v>
      </c>
      <c r="G299" s="302">
        <f t="shared" si="64"/>
        <v>0</v>
      </c>
      <c r="H299" s="302">
        <f>SUMIF('COST REPORT'!$A$9:$A$998,'Contractor''s Budget Detail'!B299,'COST REPORT'!$G$9:$G$998)</f>
        <v>0</v>
      </c>
      <c r="I299" s="302">
        <f t="shared" si="65"/>
        <v>0</v>
      </c>
      <c r="J299" s="324">
        <f t="shared" si="66"/>
        <v>0</v>
      </c>
    </row>
    <row r="300" spans="1:10">
      <c r="A300" s="321">
        <v>11000</v>
      </c>
      <c r="B300" s="322">
        <f t="shared" si="67"/>
        <v>11004</v>
      </c>
      <c r="C300" s="317" t="s">
        <v>2107</v>
      </c>
      <c r="D300" s="323">
        <v>0</v>
      </c>
      <c r="E300" s="302">
        <f>(SUMIF('COST REPORT'!$A$9:$A$998,'Contractor''s Budget Detail'!B300,'COST REPORT'!$F$9:$F$998))-(SUMIFS('COST REPORT'!$F$9:$F$998,'COST REPORT'!$A$9:$A$998,'Contractor''s Budget Detail'!B300,'COST REPORT'!$I$9:$I$998,"Close"))</f>
        <v>0</v>
      </c>
      <c r="F300" s="302">
        <f>(SUMIF(INPUT!$I$231:$I$522,'Contractor''s Budget Detail'!B300,INPUT!$H$231:$H$522)+SUMIFS('COST REPORT'!$F$9:$F$998,'COST REPORT'!$A$9:$A$998,'Contractor''s Budget Detail'!B300,'COST REPORT'!$I$9:$I$998,"close"))-(SUMIFS('COST REPORT'!$F$9:$F$998,'COST REPORT'!$A$9:$A$998,'Contractor''s Budget Detail'!B300,'COST REPORT'!$I$9:$I$998,"close",'COST REPORT'!$J$9:$J$998,"x"))</f>
        <v>0</v>
      </c>
      <c r="G300" s="302">
        <f t="shared" si="64"/>
        <v>0</v>
      </c>
      <c r="H300" s="302">
        <f>SUMIF('COST REPORT'!$A$9:$A$998,'Contractor''s Budget Detail'!B300,'COST REPORT'!$G$9:$G$998)</f>
        <v>0</v>
      </c>
      <c r="I300" s="302">
        <f t="shared" si="65"/>
        <v>0</v>
      </c>
      <c r="J300" s="324">
        <f t="shared" si="66"/>
        <v>0</v>
      </c>
    </row>
    <row r="301" spans="1:10">
      <c r="A301" s="321">
        <v>11000</v>
      </c>
      <c r="B301" s="322">
        <f t="shared" si="67"/>
        <v>11005</v>
      </c>
      <c r="C301" s="317" t="s">
        <v>2108</v>
      </c>
      <c r="D301" s="323">
        <v>0</v>
      </c>
      <c r="E301" s="302">
        <f>(SUMIF('COST REPORT'!$A$9:$A$998,'Contractor''s Budget Detail'!B301,'COST REPORT'!$F$9:$F$998))-(SUMIFS('COST REPORT'!$F$9:$F$998,'COST REPORT'!$A$9:$A$998,'Contractor''s Budget Detail'!B301,'COST REPORT'!$I$9:$I$998,"Close"))</f>
        <v>0</v>
      </c>
      <c r="F301" s="302">
        <f>(SUMIF(INPUT!$I$231:$I$522,'Contractor''s Budget Detail'!B301,INPUT!$H$231:$H$522)+SUMIFS('COST REPORT'!$F$9:$F$998,'COST REPORT'!$A$9:$A$998,'Contractor''s Budget Detail'!B301,'COST REPORT'!$I$9:$I$998,"close"))-(SUMIFS('COST REPORT'!$F$9:$F$998,'COST REPORT'!$A$9:$A$998,'Contractor''s Budget Detail'!B301,'COST REPORT'!$I$9:$I$998,"close",'COST REPORT'!$J$9:$J$998,"x"))</f>
        <v>0</v>
      </c>
      <c r="G301" s="302">
        <f t="shared" si="64"/>
        <v>0</v>
      </c>
      <c r="H301" s="302">
        <f>SUMIF('COST REPORT'!$A$9:$A$998,'Contractor''s Budget Detail'!B301,'COST REPORT'!$G$9:$G$998)</f>
        <v>0</v>
      </c>
      <c r="I301" s="302">
        <f t="shared" si="65"/>
        <v>0</v>
      </c>
      <c r="J301" s="324">
        <f t="shared" si="66"/>
        <v>0</v>
      </c>
    </row>
    <row r="302" spans="1:10">
      <c r="A302" s="321">
        <v>11000</v>
      </c>
      <c r="B302" s="322">
        <f t="shared" si="67"/>
        <v>11006</v>
      </c>
      <c r="C302" s="317" t="s">
        <v>2109</v>
      </c>
      <c r="D302" s="323">
        <v>0</v>
      </c>
      <c r="E302" s="302">
        <f>(SUMIF('COST REPORT'!$A$9:$A$998,'Contractor''s Budget Detail'!B302,'COST REPORT'!$F$9:$F$998))-(SUMIFS('COST REPORT'!$F$9:$F$998,'COST REPORT'!$A$9:$A$998,'Contractor''s Budget Detail'!B302,'COST REPORT'!$I$9:$I$998,"Close"))</f>
        <v>0</v>
      </c>
      <c r="F302" s="302">
        <f>(SUMIF(INPUT!$I$231:$I$522,'Contractor''s Budget Detail'!B302,INPUT!$H$231:$H$522)+SUMIFS('COST REPORT'!$F$9:$F$998,'COST REPORT'!$A$9:$A$998,'Contractor''s Budget Detail'!B302,'COST REPORT'!$I$9:$I$998,"close"))-(SUMIFS('COST REPORT'!$F$9:$F$998,'COST REPORT'!$A$9:$A$998,'Contractor''s Budget Detail'!B302,'COST REPORT'!$I$9:$I$998,"close",'COST REPORT'!$J$9:$J$998,"x"))</f>
        <v>0</v>
      </c>
      <c r="G302" s="302">
        <f t="shared" si="64"/>
        <v>0</v>
      </c>
      <c r="H302" s="302">
        <f>SUMIF('COST REPORT'!$A$9:$A$998,'Contractor''s Budget Detail'!B302,'COST REPORT'!$G$9:$G$998)</f>
        <v>0</v>
      </c>
      <c r="I302" s="302">
        <f t="shared" si="65"/>
        <v>0</v>
      </c>
      <c r="J302" s="324">
        <f t="shared" si="66"/>
        <v>0</v>
      </c>
    </row>
    <row r="303" spans="1:10">
      <c r="A303" s="321">
        <v>11000</v>
      </c>
      <c r="B303" s="322">
        <f t="shared" si="67"/>
        <v>11007</v>
      </c>
      <c r="C303" s="317" t="s">
        <v>2110</v>
      </c>
      <c r="D303" s="323">
        <v>0</v>
      </c>
      <c r="E303" s="302">
        <f>(SUMIF('COST REPORT'!$A$9:$A$998,'Contractor''s Budget Detail'!B303,'COST REPORT'!$F$9:$F$998))-(SUMIFS('COST REPORT'!$F$9:$F$998,'COST REPORT'!$A$9:$A$998,'Contractor''s Budget Detail'!B303,'COST REPORT'!$I$9:$I$998,"Close"))</f>
        <v>0</v>
      </c>
      <c r="F303" s="302">
        <f>(SUMIF(INPUT!$I$231:$I$522,'Contractor''s Budget Detail'!B303,INPUT!$H$231:$H$522)+SUMIFS('COST REPORT'!$F$9:$F$998,'COST REPORT'!$A$9:$A$998,'Contractor''s Budget Detail'!B303,'COST REPORT'!$I$9:$I$998,"close"))-(SUMIFS('COST REPORT'!$F$9:$F$998,'COST REPORT'!$A$9:$A$998,'Contractor''s Budget Detail'!B303,'COST REPORT'!$I$9:$I$998,"close",'COST REPORT'!$J$9:$J$998,"x"))</f>
        <v>0</v>
      </c>
      <c r="G303" s="302">
        <f t="shared" si="64"/>
        <v>0</v>
      </c>
      <c r="H303" s="302">
        <f>SUMIF('COST REPORT'!$A$9:$A$998,'Contractor''s Budget Detail'!B303,'COST REPORT'!$G$9:$G$998)</f>
        <v>0</v>
      </c>
      <c r="I303" s="302">
        <f t="shared" si="65"/>
        <v>0</v>
      </c>
      <c r="J303" s="324">
        <f t="shared" si="66"/>
        <v>0</v>
      </c>
    </row>
    <row r="304" spans="1:10">
      <c r="A304" s="321">
        <v>11000</v>
      </c>
      <c r="B304" s="322">
        <f t="shared" si="67"/>
        <v>11008</v>
      </c>
      <c r="C304" s="317" t="s">
        <v>2111</v>
      </c>
      <c r="D304" s="323">
        <v>0</v>
      </c>
      <c r="E304" s="302">
        <f>(SUMIF('COST REPORT'!$A$9:$A$998,'Contractor''s Budget Detail'!B304,'COST REPORT'!$F$9:$F$998))-(SUMIFS('COST REPORT'!$F$9:$F$998,'COST REPORT'!$A$9:$A$998,'Contractor''s Budget Detail'!B304,'COST REPORT'!$I$9:$I$998,"Close"))</f>
        <v>0</v>
      </c>
      <c r="F304" s="302">
        <f>(SUMIF(INPUT!$I$231:$I$522,'Contractor''s Budget Detail'!B304,INPUT!$H$231:$H$522)+SUMIFS('COST REPORT'!$F$9:$F$998,'COST REPORT'!$A$9:$A$998,'Contractor''s Budget Detail'!B304,'COST REPORT'!$I$9:$I$998,"close"))-(SUMIFS('COST REPORT'!$F$9:$F$998,'COST REPORT'!$A$9:$A$998,'Contractor''s Budget Detail'!B304,'COST REPORT'!$I$9:$I$998,"close",'COST REPORT'!$J$9:$J$998,"x"))</f>
        <v>0</v>
      </c>
      <c r="G304" s="302">
        <f t="shared" si="64"/>
        <v>0</v>
      </c>
      <c r="H304" s="302">
        <f>SUMIF('COST REPORT'!$A$9:$A$998,'Contractor''s Budget Detail'!B304,'COST REPORT'!$G$9:$G$998)</f>
        <v>0</v>
      </c>
      <c r="I304" s="302">
        <f t="shared" si="65"/>
        <v>0</v>
      </c>
      <c r="J304" s="324">
        <f t="shared" si="66"/>
        <v>0</v>
      </c>
    </row>
    <row r="305" spans="1:10">
      <c r="A305" s="321">
        <v>11000</v>
      </c>
      <c r="B305" s="322">
        <f t="shared" si="67"/>
        <v>11009</v>
      </c>
      <c r="C305" s="317" t="s">
        <v>2112</v>
      </c>
      <c r="D305" s="323">
        <v>0</v>
      </c>
      <c r="E305" s="302">
        <f>(SUMIF('COST REPORT'!$A$9:$A$998,'Contractor''s Budget Detail'!B305,'COST REPORT'!$F$9:$F$998))-(SUMIFS('COST REPORT'!$F$9:$F$998,'COST REPORT'!$A$9:$A$998,'Contractor''s Budget Detail'!B305,'COST REPORT'!$I$9:$I$998,"Close"))</f>
        <v>0</v>
      </c>
      <c r="F305" s="302">
        <f>(SUMIF(INPUT!$I$231:$I$522,'Contractor''s Budget Detail'!B305,INPUT!$H$231:$H$522)+SUMIFS('COST REPORT'!$F$9:$F$998,'COST REPORT'!$A$9:$A$998,'Contractor''s Budget Detail'!B305,'COST REPORT'!$I$9:$I$998,"close"))-(SUMIFS('COST REPORT'!$F$9:$F$998,'COST REPORT'!$A$9:$A$998,'Contractor''s Budget Detail'!B305,'COST REPORT'!$I$9:$I$998,"close",'COST REPORT'!$J$9:$J$998,"x"))</f>
        <v>0</v>
      </c>
      <c r="G305" s="302">
        <f t="shared" si="64"/>
        <v>0</v>
      </c>
      <c r="H305" s="302">
        <f>SUMIF('COST REPORT'!$A$9:$A$998,'Contractor''s Budget Detail'!B305,'COST REPORT'!$G$9:$G$998)</f>
        <v>0</v>
      </c>
      <c r="I305" s="302">
        <f t="shared" si="65"/>
        <v>0</v>
      </c>
      <c r="J305" s="324">
        <f t="shared" si="66"/>
        <v>0</v>
      </c>
    </row>
    <row r="306" spans="1:10">
      <c r="A306" s="321">
        <v>11000</v>
      </c>
      <c r="B306" s="322">
        <f t="shared" si="67"/>
        <v>11010</v>
      </c>
      <c r="C306" s="317" t="s">
        <v>2113</v>
      </c>
      <c r="D306" s="323">
        <v>0</v>
      </c>
      <c r="E306" s="302">
        <f>(SUMIF('COST REPORT'!$A$9:$A$998,'Contractor''s Budget Detail'!B306,'COST REPORT'!$F$9:$F$998))-(SUMIFS('COST REPORT'!$F$9:$F$998,'COST REPORT'!$A$9:$A$998,'Contractor''s Budget Detail'!B306,'COST REPORT'!$I$9:$I$998,"Close"))</f>
        <v>0</v>
      </c>
      <c r="F306" s="302">
        <f>(SUMIF(INPUT!$I$231:$I$522,'Contractor''s Budget Detail'!B306,INPUT!$H$231:$H$522)+SUMIFS('COST REPORT'!$F$9:$F$998,'COST REPORT'!$A$9:$A$998,'Contractor''s Budget Detail'!B306,'COST REPORT'!$I$9:$I$998,"close"))-(SUMIFS('COST REPORT'!$F$9:$F$998,'COST REPORT'!$A$9:$A$998,'Contractor''s Budget Detail'!B306,'COST REPORT'!$I$9:$I$998,"close",'COST REPORT'!$J$9:$J$998,"x"))</f>
        <v>0</v>
      </c>
      <c r="G306" s="302">
        <f>E306+F306</f>
        <v>0</v>
      </c>
      <c r="H306" s="302">
        <f>SUMIF('COST REPORT'!$A$9:$A$998,'Contractor''s Budget Detail'!B306,'COST REPORT'!$G$9:$G$998)</f>
        <v>0</v>
      </c>
      <c r="I306" s="302">
        <f>G306-H306</f>
        <v>0</v>
      </c>
      <c r="J306" s="324">
        <f>D306-G306</f>
        <v>0</v>
      </c>
    </row>
    <row r="307" spans="1:10">
      <c r="A307" s="321">
        <v>11000</v>
      </c>
      <c r="B307" s="322">
        <f t="shared" si="67"/>
        <v>11011</v>
      </c>
      <c r="C307" s="317" t="s">
        <v>2114</v>
      </c>
      <c r="D307" s="323">
        <v>0</v>
      </c>
      <c r="E307" s="302">
        <f>(SUMIF('COST REPORT'!$A$9:$A$998,'Contractor''s Budget Detail'!B307,'COST REPORT'!$F$9:$F$998))-(SUMIFS('COST REPORT'!$F$9:$F$998,'COST REPORT'!$A$9:$A$998,'Contractor''s Budget Detail'!B307,'COST REPORT'!$I$9:$I$998,"Close"))</f>
        <v>0</v>
      </c>
      <c r="F307" s="302">
        <f>(SUMIF(INPUT!$I$231:$I$522,'Contractor''s Budget Detail'!B307,INPUT!$H$231:$H$522)+SUMIFS('COST REPORT'!$F$9:$F$998,'COST REPORT'!$A$9:$A$998,'Contractor''s Budget Detail'!B307,'COST REPORT'!$I$9:$I$998,"close"))-(SUMIFS('COST REPORT'!$F$9:$F$998,'COST REPORT'!$A$9:$A$998,'Contractor''s Budget Detail'!B307,'COST REPORT'!$I$9:$I$998,"close",'COST REPORT'!$J$9:$J$998,"x"))</f>
        <v>0</v>
      </c>
      <c r="G307" s="302">
        <f t="shared" si="64"/>
        <v>0</v>
      </c>
      <c r="H307" s="302">
        <f>SUMIF('COST REPORT'!$A$9:$A$998,'Contractor''s Budget Detail'!B307,'COST REPORT'!$G$9:$G$998)</f>
        <v>0</v>
      </c>
      <c r="I307" s="302">
        <f t="shared" si="65"/>
        <v>0</v>
      </c>
      <c r="J307" s="324">
        <f t="shared" si="66"/>
        <v>0</v>
      </c>
    </row>
    <row r="308" spans="1:10">
      <c r="A308" s="321">
        <v>11000</v>
      </c>
      <c r="B308" s="322">
        <f t="shared" si="67"/>
        <v>11012</v>
      </c>
      <c r="C308" s="325" t="s">
        <v>2115</v>
      </c>
      <c r="D308" s="323">
        <v>0</v>
      </c>
      <c r="E308" s="302">
        <f>(SUMIF('COST REPORT'!$A$9:$A$998,'Contractor''s Budget Detail'!B308,'COST REPORT'!$F$9:$F$998))-(SUMIFS('COST REPORT'!$F$9:$F$998,'COST REPORT'!$A$9:$A$998,'Contractor''s Budget Detail'!B308,'COST REPORT'!$I$9:$I$998,"Close"))</f>
        <v>0</v>
      </c>
      <c r="F308" s="302">
        <f>(SUMIF(INPUT!$I$231:$I$522,'Contractor''s Budget Detail'!B308,INPUT!$H$231:$H$522)+SUMIFS('COST REPORT'!$F$9:$F$998,'COST REPORT'!$A$9:$A$998,'Contractor''s Budget Detail'!B308,'COST REPORT'!$I$9:$I$998,"close"))-(SUMIFS('COST REPORT'!$F$9:$F$998,'COST REPORT'!$A$9:$A$998,'Contractor''s Budget Detail'!B308,'COST REPORT'!$I$9:$I$998,"close",'COST REPORT'!$J$9:$J$998,"x"))</f>
        <v>0</v>
      </c>
      <c r="G308" s="302">
        <f t="shared" si="64"/>
        <v>0</v>
      </c>
      <c r="H308" s="302">
        <f>SUMIF('COST REPORT'!$A$9:$A$998,'Contractor''s Budget Detail'!B308,'COST REPORT'!$G$9:$G$998)</f>
        <v>0</v>
      </c>
      <c r="I308" s="302">
        <f t="shared" si="65"/>
        <v>0</v>
      </c>
      <c r="J308" s="324">
        <f t="shared" si="66"/>
        <v>0</v>
      </c>
    </row>
    <row r="309" spans="1:10">
      <c r="A309" s="321">
        <v>11000</v>
      </c>
      <c r="B309" s="322">
        <f t="shared" si="67"/>
        <v>11013</v>
      </c>
      <c r="C309" s="325" t="s">
        <v>2116</v>
      </c>
      <c r="D309" s="323">
        <v>0</v>
      </c>
      <c r="E309" s="302">
        <f>(SUMIF('COST REPORT'!$A$9:$A$998,'Contractor''s Budget Detail'!B309,'COST REPORT'!$F$9:$F$998))-(SUMIFS('COST REPORT'!$F$9:$F$998,'COST REPORT'!$A$9:$A$998,'Contractor''s Budget Detail'!B309,'COST REPORT'!$I$9:$I$998,"Close"))</f>
        <v>0</v>
      </c>
      <c r="F309" s="302">
        <f>(SUMIF(INPUT!$I$231:$I$522,'Contractor''s Budget Detail'!B309,INPUT!$H$231:$H$522)+SUMIFS('COST REPORT'!$F$9:$F$998,'COST REPORT'!$A$9:$A$998,'Contractor''s Budget Detail'!B309,'COST REPORT'!$I$9:$I$998,"close"))-(SUMIFS('COST REPORT'!$F$9:$F$998,'COST REPORT'!$A$9:$A$998,'Contractor''s Budget Detail'!B309,'COST REPORT'!$I$9:$I$998,"close",'COST REPORT'!$J$9:$J$998,"x"))</f>
        <v>0</v>
      </c>
      <c r="G309" s="302">
        <f t="shared" si="64"/>
        <v>0</v>
      </c>
      <c r="H309" s="302">
        <f>SUMIF('COST REPORT'!$A$9:$A$998,'Contractor''s Budget Detail'!B309,'COST REPORT'!$G$9:$G$998)</f>
        <v>0</v>
      </c>
      <c r="I309" s="302">
        <f t="shared" si="65"/>
        <v>0</v>
      </c>
      <c r="J309" s="324">
        <f t="shared" si="66"/>
        <v>0</v>
      </c>
    </row>
    <row r="310" spans="1:10">
      <c r="A310" s="321">
        <v>11000</v>
      </c>
      <c r="B310" s="322">
        <f t="shared" si="67"/>
        <v>11014</v>
      </c>
      <c r="C310" s="325" t="s">
        <v>1939</v>
      </c>
      <c r="D310" s="323">
        <v>0</v>
      </c>
      <c r="E310" s="302">
        <f>(SUMIF('COST REPORT'!$A$9:$A$998,'Contractor''s Budget Detail'!B310,'COST REPORT'!$F$9:$F$998))-(SUMIFS('COST REPORT'!$F$9:$F$998,'COST REPORT'!$A$9:$A$998,'Contractor''s Budget Detail'!B310,'COST REPORT'!$I$9:$I$998,"Close"))</f>
        <v>0</v>
      </c>
      <c r="F310" s="302">
        <f>(SUMIF(INPUT!$I$231:$I$522,'Contractor''s Budget Detail'!B310,INPUT!$H$231:$H$522)+SUMIFS('COST REPORT'!$F$9:$F$998,'COST REPORT'!$A$9:$A$998,'Contractor''s Budget Detail'!B310,'COST REPORT'!$I$9:$I$998,"close"))-(SUMIFS('COST REPORT'!$F$9:$F$998,'COST REPORT'!$A$9:$A$998,'Contractor''s Budget Detail'!B310,'COST REPORT'!$I$9:$I$998,"close",'COST REPORT'!$J$9:$J$998,"x"))</f>
        <v>0</v>
      </c>
      <c r="G310" s="302">
        <f>E310+F310</f>
        <v>0</v>
      </c>
      <c r="H310" s="302">
        <f>SUMIF('COST REPORT'!$A$9:$A$998,'Contractor''s Budget Detail'!B310,'COST REPORT'!$G$9:$G$998)</f>
        <v>0</v>
      </c>
      <c r="I310" s="302">
        <f>G310-H310</f>
        <v>0</v>
      </c>
      <c r="J310" s="324">
        <f>D310-G310</f>
        <v>0</v>
      </c>
    </row>
    <row r="311" spans="1:10">
      <c r="A311" s="321">
        <v>11000</v>
      </c>
      <c r="B311" s="322">
        <f t="shared" si="67"/>
        <v>11015</v>
      </c>
      <c r="C311" s="325" t="s">
        <v>1939</v>
      </c>
      <c r="D311" s="323">
        <v>0</v>
      </c>
      <c r="E311" s="302">
        <f>(SUMIF('COST REPORT'!$A$9:$A$998,'Contractor''s Budget Detail'!B311,'COST REPORT'!$F$9:$F$998))-(SUMIFS('COST REPORT'!$F$9:$F$998,'COST REPORT'!$A$9:$A$998,'Contractor''s Budget Detail'!B311,'COST REPORT'!$I$9:$I$998,"Close"))</f>
        <v>0</v>
      </c>
      <c r="F311" s="302">
        <f>(SUMIF(INPUT!$I$231:$I$522,'Contractor''s Budget Detail'!B311,INPUT!$H$231:$H$522)+SUMIFS('COST REPORT'!$F$9:$F$998,'COST REPORT'!$A$9:$A$998,'Contractor''s Budget Detail'!B311,'COST REPORT'!$I$9:$I$998,"close"))-(SUMIFS('COST REPORT'!$F$9:$F$998,'COST REPORT'!$A$9:$A$998,'Contractor''s Budget Detail'!B311,'COST REPORT'!$I$9:$I$998,"close",'COST REPORT'!$J$9:$J$998,"x"))</f>
        <v>0</v>
      </c>
      <c r="G311" s="302">
        <f>E311+F311</f>
        <v>0</v>
      </c>
      <c r="H311" s="302">
        <f>SUMIF('COST REPORT'!$A$9:$A$998,'Contractor''s Budget Detail'!B311,'COST REPORT'!$G$9:$G$998)</f>
        <v>0</v>
      </c>
      <c r="I311" s="302">
        <f>G311-H311</f>
        <v>0</v>
      </c>
      <c r="J311" s="324">
        <f>D311-G311</f>
        <v>0</v>
      </c>
    </row>
    <row r="312" spans="1:10">
      <c r="A312" s="321">
        <v>11000</v>
      </c>
      <c r="B312" s="322">
        <f t="shared" si="67"/>
        <v>11016</v>
      </c>
      <c r="C312" s="325" t="s">
        <v>1939</v>
      </c>
      <c r="D312" s="323">
        <v>0</v>
      </c>
      <c r="E312" s="302">
        <f>(SUMIF('COST REPORT'!$A$9:$A$998,'Contractor''s Budget Detail'!B312,'COST REPORT'!$F$9:$F$998))-(SUMIFS('COST REPORT'!$F$9:$F$998,'COST REPORT'!$A$9:$A$998,'Contractor''s Budget Detail'!B312,'COST REPORT'!$I$9:$I$998,"Close"))</f>
        <v>0</v>
      </c>
      <c r="F312" s="302">
        <f>(SUMIF(INPUT!$I$231:$I$522,'Contractor''s Budget Detail'!B312,INPUT!$H$231:$H$522)+SUMIFS('COST REPORT'!$F$9:$F$998,'COST REPORT'!$A$9:$A$998,'Contractor''s Budget Detail'!B312,'COST REPORT'!$I$9:$I$998,"close"))-(SUMIFS('COST REPORT'!$F$9:$F$998,'COST REPORT'!$A$9:$A$998,'Contractor''s Budget Detail'!B312,'COST REPORT'!$I$9:$I$998,"close",'COST REPORT'!$J$9:$J$998,"x"))</f>
        <v>0</v>
      </c>
      <c r="G312" s="302">
        <f>E312+F312</f>
        <v>0</v>
      </c>
      <c r="H312" s="302">
        <f>SUMIF('COST REPORT'!$A$9:$A$998,'Contractor''s Budget Detail'!B312,'COST REPORT'!$G$9:$G$998)</f>
        <v>0</v>
      </c>
      <c r="I312" s="302">
        <f>G312-H312</f>
        <v>0</v>
      </c>
      <c r="J312" s="324">
        <f>D312-G312</f>
        <v>0</v>
      </c>
    </row>
    <row r="313" spans="1:10">
      <c r="A313" s="321">
        <v>11000</v>
      </c>
      <c r="B313" s="322">
        <f t="shared" si="67"/>
        <v>11017</v>
      </c>
      <c r="C313" s="325" t="s">
        <v>1939</v>
      </c>
      <c r="D313" s="323">
        <v>0</v>
      </c>
      <c r="E313" s="302">
        <f>(SUMIF('COST REPORT'!$A$9:$A$998,'Contractor''s Budget Detail'!B313,'COST REPORT'!$F$9:$F$998))-(SUMIFS('COST REPORT'!$F$9:$F$998,'COST REPORT'!$A$9:$A$998,'Contractor''s Budget Detail'!B313,'COST REPORT'!$I$9:$I$998,"Close"))</f>
        <v>0</v>
      </c>
      <c r="F313" s="302">
        <f>(SUMIF(INPUT!$I$231:$I$522,'Contractor''s Budget Detail'!B313,INPUT!$H$231:$H$522)+SUMIFS('COST REPORT'!$F$9:$F$998,'COST REPORT'!$A$9:$A$998,'Contractor''s Budget Detail'!B313,'COST REPORT'!$I$9:$I$998,"close"))-(SUMIFS('COST REPORT'!$F$9:$F$998,'COST REPORT'!$A$9:$A$998,'Contractor''s Budget Detail'!B313,'COST REPORT'!$I$9:$I$998,"close",'COST REPORT'!$J$9:$J$998,"x"))</f>
        <v>0</v>
      </c>
      <c r="G313" s="302">
        <f t="shared" si="64"/>
        <v>0</v>
      </c>
      <c r="H313" s="302">
        <f>SUMIF('COST REPORT'!$A$9:$A$998,'Contractor''s Budget Detail'!B313,'COST REPORT'!$G$9:$G$998)</f>
        <v>0</v>
      </c>
      <c r="I313" s="302">
        <f t="shared" si="65"/>
        <v>0</v>
      </c>
      <c r="J313" s="324">
        <f t="shared" si="66"/>
        <v>0</v>
      </c>
    </row>
    <row r="314" spans="1:10">
      <c r="A314" s="321">
        <v>11000</v>
      </c>
      <c r="B314" s="322">
        <f t="shared" si="67"/>
        <v>11018</v>
      </c>
      <c r="C314" s="325" t="s">
        <v>1939</v>
      </c>
      <c r="D314" s="323">
        <v>0</v>
      </c>
      <c r="E314" s="302">
        <f>(SUMIF('COST REPORT'!$A$9:$A$998,'Contractor''s Budget Detail'!B314,'COST REPORT'!$F$9:$F$998))-(SUMIFS('COST REPORT'!$F$9:$F$998,'COST REPORT'!$A$9:$A$998,'Contractor''s Budget Detail'!B314,'COST REPORT'!$I$9:$I$998,"Close"))</f>
        <v>0</v>
      </c>
      <c r="F314" s="302">
        <f>(SUMIF(INPUT!$I$231:$I$522,'Contractor''s Budget Detail'!B314,INPUT!$H$231:$H$522)+SUMIFS('COST REPORT'!$F$9:$F$998,'COST REPORT'!$A$9:$A$998,'Contractor''s Budget Detail'!B314,'COST REPORT'!$I$9:$I$998,"close"))-(SUMIFS('COST REPORT'!$F$9:$F$998,'COST REPORT'!$A$9:$A$998,'Contractor''s Budget Detail'!B314,'COST REPORT'!$I$9:$I$998,"close",'COST REPORT'!$J$9:$J$998,"x"))</f>
        <v>0</v>
      </c>
      <c r="G314" s="302">
        <f t="shared" si="64"/>
        <v>0</v>
      </c>
      <c r="H314" s="302">
        <f>SUMIF('COST REPORT'!$A$9:$A$998,'Contractor''s Budget Detail'!B314,'COST REPORT'!$G$9:$G$998)</f>
        <v>0</v>
      </c>
      <c r="I314" s="302">
        <f t="shared" si="65"/>
        <v>0</v>
      </c>
      <c r="J314" s="324">
        <f t="shared" si="66"/>
        <v>0</v>
      </c>
    </row>
    <row r="315" spans="1:10">
      <c r="A315" s="321">
        <v>11000</v>
      </c>
      <c r="B315" s="322">
        <f t="shared" si="67"/>
        <v>11019</v>
      </c>
      <c r="C315" s="325" t="s">
        <v>1939</v>
      </c>
      <c r="D315" s="323">
        <v>0</v>
      </c>
      <c r="E315" s="302">
        <f>(SUMIF('COST REPORT'!$A$9:$A$998,'Contractor''s Budget Detail'!B315,'COST REPORT'!$F$9:$F$998))-(SUMIFS('COST REPORT'!$F$9:$F$998,'COST REPORT'!$A$9:$A$998,'Contractor''s Budget Detail'!B315,'COST REPORT'!$I$9:$I$998,"Close"))</f>
        <v>0</v>
      </c>
      <c r="F315" s="302">
        <f>(SUMIF(INPUT!$I$231:$I$522,'Contractor''s Budget Detail'!B315,INPUT!$H$231:$H$522)+SUMIFS('COST REPORT'!$F$9:$F$998,'COST REPORT'!$A$9:$A$998,'Contractor''s Budget Detail'!B315,'COST REPORT'!$I$9:$I$998,"close"))-(SUMIFS('COST REPORT'!$F$9:$F$998,'COST REPORT'!$A$9:$A$998,'Contractor''s Budget Detail'!B315,'COST REPORT'!$I$9:$I$998,"close",'COST REPORT'!$J$9:$J$998,"x"))</f>
        <v>0</v>
      </c>
      <c r="G315" s="302">
        <f t="shared" si="64"/>
        <v>0</v>
      </c>
      <c r="H315" s="302">
        <f>SUMIF('COST REPORT'!$A$9:$A$998,'Contractor''s Budget Detail'!B315,'COST REPORT'!$G$9:$G$998)</f>
        <v>0</v>
      </c>
      <c r="I315" s="302">
        <f t="shared" si="65"/>
        <v>0</v>
      </c>
      <c r="J315" s="324">
        <f t="shared" si="66"/>
        <v>0</v>
      </c>
    </row>
    <row r="316" spans="1:10" ht="13.5" thickBot="1">
      <c r="A316" s="326" t="s">
        <v>2117</v>
      </c>
      <c r="B316" s="307"/>
      <c r="C316" s="308"/>
      <c r="D316" s="305">
        <f t="shared" ref="D316:J316" si="68">SUM(D297:D315)</f>
        <v>0</v>
      </c>
      <c r="E316" s="305">
        <f t="shared" si="68"/>
        <v>0</v>
      </c>
      <c r="F316" s="305">
        <f t="shared" si="68"/>
        <v>0</v>
      </c>
      <c r="G316" s="305">
        <f t="shared" si="68"/>
        <v>0</v>
      </c>
      <c r="H316" s="305">
        <f t="shared" si="68"/>
        <v>0</v>
      </c>
      <c r="I316" s="305">
        <f t="shared" si="68"/>
        <v>0</v>
      </c>
      <c r="J316" s="327">
        <f t="shared" si="68"/>
        <v>0</v>
      </c>
    </row>
    <row r="317" spans="1:10">
      <c r="A317" s="328"/>
      <c r="B317" s="71"/>
      <c r="C317" s="90"/>
      <c r="D317" s="306"/>
      <c r="E317" s="306"/>
      <c r="H317" s="306"/>
      <c r="I317" s="306"/>
      <c r="J317" s="329"/>
    </row>
    <row r="318" spans="1:10">
      <c r="A318" s="330" t="s">
        <v>1369</v>
      </c>
      <c r="B318" s="337"/>
      <c r="C318" s="89"/>
      <c r="D318" s="338"/>
      <c r="E318" s="338"/>
      <c r="F318" s="338"/>
      <c r="G318" s="338"/>
      <c r="H318" s="338"/>
      <c r="I318" s="338"/>
      <c r="J318" s="339"/>
    </row>
    <row r="319" spans="1:10">
      <c r="A319" s="321">
        <v>12000</v>
      </c>
      <c r="B319" s="322">
        <f>12001</f>
        <v>12001</v>
      </c>
      <c r="C319" s="317" t="s">
        <v>2118</v>
      </c>
      <c r="D319" s="323">
        <v>0</v>
      </c>
      <c r="E319" s="302">
        <f>(SUMIF('COST REPORT'!$A$9:$A$998,'Contractor''s Budget Detail'!B319,'COST REPORT'!$F$9:$F$998))-(SUMIFS('COST REPORT'!$F$9:$F$998,'COST REPORT'!$A$9:$A$998,'Contractor''s Budget Detail'!B319,'COST REPORT'!$I$9:$I$998,"Close"))</f>
        <v>0</v>
      </c>
      <c r="F319" s="302">
        <f>(SUMIF(INPUT!$I$231:$I$522,'Contractor''s Budget Detail'!B319,INPUT!$H$231:$H$522)+SUMIFS('COST REPORT'!$F$9:$F$998,'COST REPORT'!$A$9:$A$998,'Contractor''s Budget Detail'!B319,'COST REPORT'!$I$9:$I$998,"close"))-(SUMIFS('COST REPORT'!$F$9:$F$998,'COST REPORT'!$A$9:$A$998,'Contractor''s Budget Detail'!B319,'COST REPORT'!$I$9:$I$998,"close",'COST REPORT'!$J$9:$J$998,"x"))</f>
        <v>0</v>
      </c>
      <c r="G319" s="302">
        <f>E319+F319</f>
        <v>0</v>
      </c>
      <c r="H319" s="302">
        <f>SUMIF('COST REPORT'!$A$9:$A$998,'Contractor''s Budget Detail'!B319,'COST REPORT'!$G$9:$G$998)</f>
        <v>0</v>
      </c>
      <c r="I319" s="302">
        <f>G319-H319</f>
        <v>0</v>
      </c>
      <c r="J319" s="324">
        <f>D319-G319</f>
        <v>0</v>
      </c>
    </row>
    <row r="320" spans="1:10">
      <c r="A320" s="321">
        <v>12000</v>
      </c>
      <c r="B320" s="322">
        <f>B319+1</f>
        <v>12002</v>
      </c>
      <c r="C320" s="317" t="s">
        <v>2119</v>
      </c>
      <c r="D320" s="323">
        <v>0</v>
      </c>
      <c r="E320" s="302">
        <f>(SUMIF('COST REPORT'!$A$9:$A$998,'Contractor''s Budget Detail'!B320,'COST REPORT'!$F$9:$F$998))-(SUMIFS('COST REPORT'!$F$9:$F$998,'COST REPORT'!$A$9:$A$998,'Contractor''s Budget Detail'!B320,'COST REPORT'!$I$9:$I$998,"Close"))</f>
        <v>0</v>
      </c>
      <c r="F320" s="302">
        <f>(SUMIF(INPUT!$I$231:$I$522,'Contractor''s Budget Detail'!B320,INPUT!$H$231:$H$522)+SUMIFS('COST REPORT'!$F$9:$F$998,'COST REPORT'!$A$9:$A$998,'Contractor''s Budget Detail'!B320,'COST REPORT'!$I$9:$I$998,"close"))-(SUMIFS('COST REPORT'!$F$9:$F$998,'COST REPORT'!$A$9:$A$998,'Contractor''s Budget Detail'!B320,'COST REPORT'!$I$9:$I$998,"close",'COST REPORT'!$J$9:$J$998,"x"))</f>
        <v>0</v>
      </c>
      <c r="G320" s="302">
        <f t="shared" ref="G320:G331" si="69">E320+F320</f>
        <v>0</v>
      </c>
      <c r="H320" s="302">
        <f>SUMIF('COST REPORT'!$A$9:$A$998,'Contractor''s Budget Detail'!B320,'COST REPORT'!$G$9:$G$998)</f>
        <v>0</v>
      </c>
      <c r="I320" s="302">
        <f t="shared" ref="I320:I331" si="70">G320-H320</f>
        <v>0</v>
      </c>
      <c r="J320" s="324">
        <f t="shared" ref="J320:J331" si="71">D320-G320</f>
        <v>0</v>
      </c>
    </row>
    <row r="321" spans="1:10">
      <c r="A321" s="321">
        <v>12000</v>
      </c>
      <c r="B321" s="322">
        <f t="shared" ref="B321:B331" si="72">B320+1</f>
        <v>12003</v>
      </c>
      <c r="C321" s="317" t="s">
        <v>2120</v>
      </c>
      <c r="D321" s="323">
        <v>0</v>
      </c>
      <c r="E321" s="302">
        <f>(SUMIF('COST REPORT'!$A$9:$A$998,'Contractor''s Budget Detail'!B321,'COST REPORT'!$F$9:$F$998))-(SUMIFS('COST REPORT'!$F$9:$F$998,'COST REPORT'!$A$9:$A$998,'Contractor''s Budget Detail'!B321,'COST REPORT'!$I$9:$I$998,"Close"))</f>
        <v>0</v>
      </c>
      <c r="F321" s="302">
        <f>(SUMIF(INPUT!$I$231:$I$522,'Contractor''s Budget Detail'!B321,INPUT!$H$231:$H$522)+SUMIFS('COST REPORT'!$F$9:$F$998,'COST REPORT'!$A$9:$A$998,'Contractor''s Budget Detail'!B321,'COST REPORT'!$I$9:$I$998,"close"))-(SUMIFS('COST REPORT'!$F$9:$F$998,'COST REPORT'!$A$9:$A$998,'Contractor''s Budget Detail'!B321,'COST REPORT'!$I$9:$I$998,"close",'COST REPORT'!$J$9:$J$998,"x"))</f>
        <v>0</v>
      </c>
      <c r="G321" s="302">
        <f t="shared" si="69"/>
        <v>0</v>
      </c>
      <c r="H321" s="302">
        <f>SUMIF('COST REPORT'!$A$9:$A$998,'Contractor''s Budget Detail'!B321,'COST REPORT'!$G$9:$G$998)</f>
        <v>0</v>
      </c>
      <c r="I321" s="302">
        <f t="shared" si="70"/>
        <v>0</v>
      </c>
      <c r="J321" s="324">
        <f t="shared" si="71"/>
        <v>0</v>
      </c>
    </row>
    <row r="322" spans="1:10">
      <c r="A322" s="321">
        <v>12000</v>
      </c>
      <c r="B322" s="322">
        <f t="shared" si="72"/>
        <v>12004</v>
      </c>
      <c r="C322" s="317" t="s">
        <v>2121</v>
      </c>
      <c r="D322" s="323">
        <v>0</v>
      </c>
      <c r="E322" s="302">
        <f>(SUMIF('COST REPORT'!$A$9:$A$998,'Contractor''s Budget Detail'!B322,'COST REPORT'!$F$9:$F$998))-(SUMIFS('COST REPORT'!$F$9:$F$998,'COST REPORT'!$A$9:$A$998,'Contractor''s Budget Detail'!B322,'COST REPORT'!$I$9:$I$998,"Close"))</f>
        <v>0</v>
      </c>
      <c r="F322" s="302">
        <f>(SUMIF(INPUT!$I$231:$I$522,'Contractor''s Budget Detail'!B322,INPUT!$H$231:$H$522)+SUMIFS('COST REPORT'!$F$9:$F$998,'COST REPORT'!$A$9:$A$998,'Contractor''s Budget Detail'!B322,'COST REPORT'!$I$9:$I$998,"close"))-(SUMIFS('COST REPORT'!$F$9:$F$998,'COST REPORT'!$A$9:$A$998,'Contractor''s Budget Detail'!B322,'COST REPORT'!$I$9:$I$998,"close",'COST REPORT'!$J$9:$J$998,"x"))</f>
        <v>0</v>
      </c>
      <c r="G322" s="302">
        <f t="shared" si="69"/>
        <v>0</v>
      </c>
      <c r="H322" s="302">
        <f>SUMIF('COST REPORT'!$A$9:$A$998,'Contractor''s Budget Detail'!B322,'COST REPORT'!$G$9:$G$998)</f>
        <v>0</v>
      </c>
      <c r="I322" s="302">
        <f t="shared" si="70"/>
        <v>0</v>
      </c>
      <c r="J322" s="324">
        <f t="shared" si="71"/>
        <v>0</v>
      </c>
    </row>
    <row r="323" spans="1:10">
      <c r="A323" s="321">
        <v>12000</v>
      </c>
      <c r="B323" s="322">
        <f t="shared" si="72"/>
        <v>12005</v>
      </c>
      <c r="C323" s="317" t="s">
        <v>2122</v>
      </c>
      <c r="D323" s="323">
        <v>0</v>
      </c>
      <c r="E323" s="302">
        <f>(SUMIF('COST REPORT'!$A$9:$A$998,'Contractor''s Budget Detail'!B323,'COST REPORT'!$F$9:$F$998))-(SUMIFS('COST REPORT'!$F$9:$F$998,'COST REPORT'!$A$9:$A$998,'Contractor''s Budget Detail'!B323,'COST REPORT'!$I$9:$I$998,"Close"))</f>
        <v>0</v>
      </c>
      <c r="F323" s="302">
        <f>(SUMIF(INPUT!$I$231:$I$522,'Contractor''s Budget Detail'!B323,INPUT!$H$231:$H$522)+SUMIFS('COST REPORT'!$F$9:$F$998,'COST REPORT'!$A$9:$A$998,'Contractor''s Budget Detail'!B323,'COST REPORT'!$I$9:$I$998,"close"))-(SUMIFS('COST REPORT'!$F$9:$F$998,'COST REPORT'!$A$9:$A$998,'Contractor''s Budget Detail'!B323,'COST REPORT'!$I$9:$I$998,"close",'COST REPORT'!$J$9:$J$998,"x"))</f>
        <v>0</v>
      </c>
      <c r="G323" s="302">
        <f t="shared" si="69"/>
        <v>0</v>
      </c>
      <c r="H323" s="302">
        <f>SUMIF('COST REPORT'!$A$9:$A$998,'Contractor''s Budget Detail'!B323,'COST REPORT'!$G$9:$G$998)</f>
        <v>0</v>
      </c>
      <c r="I323" s="302">
        <f t="shared" si="70"/>
        <v>0</v>
      </c>
      <c r="J323" s="324">
        <f t="shared" si="71"/>
        <v>0</v>
      </c>
    </row>
    <row r="324" spans="1:10">
      <c r="A324" s="321">
        <v>12000</v>
      </c>
      <c r="B324" s="322">
        <f t="shared" si="72"/>
        <v>12006</v>
      </c>
      <c r="C324" s="325" t="s">
        <v>1939</v>
      </c>
      <c r="D324" s="323">
        <v>0</v>
      </c>
      <c r="E324" s="302">
        <f>(SUMIF('COST REPORT'!$A$9:$A$998,'Contractor''s Budget Detail'!B324,'COST REPORT'!$F$9:$F$998))-(SUMIFS('COST REPORT'!$F$9:$F$998,'COST REPORT'!$A$9:$A$998,'Contractor''s Budget Detail'!B324,'COST REPORT'!$I$9:$I$998,"Close"))</f>
        <v>0</v>
      </c>
      <c r="F324" s="302">
        <f>(SUMIF(INPUT!$I$231:$I$522,'Contractor''s Budget Detail'!B324,INPUT!$H$231:$H$522)+SUMIFS('COST REPORT'!$F$9:$F$998,'COST REPORT'!$A$9:$A$998,'Contractor''s Budget Detail'!B324,'COST REPORT'!$I$9:$I$998,"close"))-(SUMIFS('COST REPORT'!$F$9:$F$998,'COST REPORT'!$A$9:$A$998,'Contractor''s Budget Detail'!B324,'COST REPORT'!$I$9:$I$998,"close",'COST REPORT'!$J$9:$J$998,"x"))</f>
        <v>0</v>
      </c>
      <c r="G324" s="302">
        <f t="shared" si="69"/>
        <v>0</v>
      </c>
      <c r="H324" s="302">
        <f>SUMIF('COST REPORT'!$A$9:$A$998,'Contractor''s Budget Detail'!B324,'COST REPORT'!$G$9:$G$998)</f>
        <v>0</v>
      </c>
      <c r="I324" s="302">
        <f t="shared" si="70"/>
        <v>0</v>
      </c>
      <c r="J324" s="324">
        <f t="shared" si="71"/>
        <v>0</v>
      </c>
    </row>
    <row r="325" spans="1:10">
      <c r="A325" s="321">
        <v>12000</v>
      </c>
      <c r="B325" s="322">
        <f t="shared" si="72"/>
        <v>12007</v>
      </c>
      <c r="C325" s="325" t="s">
        <v>1939</v>
      </c>
      <c r="D325" s="323">
        <v>0</v>
      </c>
      <c r="E325" s="302">
        <f>(SUMIF('COST REPORT'!$A$9:$A$998,'Contractor''s Budget Detail'!B325,'COST REPORT'!$F$9:$F$998))-(SUMIFS('COST REPORT'!$F$9:$F$998,'COST REPORT'!$A$9:$A$998,'Contractor''s Budget Detail'!B325,'COST REPORT'!$I$9:$I$998,"Close"))</f>
        <v>0</v>
      </c>
      <c r="F325" s="302">
        <f>(SUMIF(INPUT!$I$231:$I$522,'Contractor''s Budget Detail'!B325,INPUT!$H$231:$H$522)+SUMIFS('COST REPORT'!$F$9:$F$998,'COST REPORT'!$A$9:$A$998,'Contractor''s Budget Detail'!B325,'COST REPORT'!$I$9:$I$998,"close"))-(SUMIFS('COST REPORT'!$F$9:$F$998,'COST REPORT'!$A$9:$A$998,'Contractor''s Budget Detail'!B325,'COST REPORT'!$I$9:$I$998,"close",'COST REPORT'!$J$9:$J$998,"x"))</f>
        <v>0</v>
      </c>
      <c r="G325" s="302">
        <f t="shared" si="69"/>
        <v>0</v>
      </c>
      <c r="H325" s="302">
        <f>SUMIF('COST REPORT'!$A$9:$A$998,'Contractor''s Budget Detail'!B325,'COST REPORT'!$G$9:$G$998)</f>
        <v>0</v>
      </c>
      <c r="I325" s="302">
        <f t="shared" si="70"/>
        <v>0</v>
      </c>
      <c r="J325" s="324">
        <f t="shared" si="71"/>
        <v>0</v>
      </c>
    </row>
    <row r="326" spans="1:10">
      <c r="A326" s="321">
        <v>12000</v>
      </c>
      <c r="B326" s="322">
        <f t="shared" si="72"/>
        <v>12008</v>
      </c>
      <c r="C326" s="325" t="s">
        <v>1939</v>
      </c>
      <c r="D326" s="323">
        <v>0</v>
      </c>
      <c r="E326" s="302">
        <f>(SUMIF('COST REPORT'!$A$9:$A$998,'Contractor''s Budget Detail'!B326,'COST REPORT'!$F$9:$F$998))-(SUMIFS('COST REPORT'!$F$9:$F$998,'COST REPORT'!$A$9:$A$998,'Contractor''s Budget Detail'!B326,'COST REPORT'!$I$9:$I$998,"Close"))</f>
        <v>0</v>
      </c>
      <c r="F326" s="302">
        <f>(SUMIF(INPUT!$I$231:$I$522,'Contractor''s Budget Detail'!B326,INPUT!$H$231:$H$522)+SUMIFS('COST REPORT'!$F$9:$F$998,'COST REPORT'!$A$9:$A$998,'Contractor''s Budget Detail'!B326,'COST REPORT'!$I$9:$I$998,"close"))-(SUMIFS('COST REPORT'!$F$9:$F$998,'COST REPORT'!$A$9:$A$998,'Contractor''s Budget Detail'!B326,'COST REPORT'!$I$9:$I$998,"close",'COST REPORT'!$J$9:$J$998,"x"))</f>
        <v>0</v>
      </c>
      <c r="G326" s="302">
        <f>E326+F326</f>
        <v>0</v>
      </c>
      <c r="H326" s="302">
        <f>SUMIF('COST REPORT'!$A$9:$A$998,'Contractor''s Budget Detail'!B326,'COST REPORT'!$G$9:$G$998)</f>
        <v>0</v>
      </c>
      <c r="I326" s="302">
        <f>G326-H326</f>
        <v>0</v>
      </c>
      <c r="J326" s="324">
        <f>D326-G326</f>
        <v>0</v>
      </c>
    </row>
    <row r="327" spans="1:10">
      <c r="A327" s="321">
        <v>12000</v>
      </c>
      <c r="B327" s="322">
        <f t="shared" si="72"/>
        <v>12009</v>
      </c>
      <c r="C327" s="325" t="s">
        <v>1939</v>
      </c>
      <c r="D327" s="323">
        <v>0</v>
      </c>
      <c r="E327" s="302">
        <f>(SUMIF('COST REPORT'!$A$9:$A$998,'Contractor''s Budget Detail'!B327,'COST REPORT'!$F$9:$F$998))-(SUMIFS('COST REPORT'!$F$9:$F$998,'COST REPORT'!$A$9:$A$998,'Contractor''s Budget Detail'!B327,'COST REPORT'!$I$9:$I$998,"Close"))</f>
        <v>0</v>
      </c>
      <c r="F327" s="302">
        <f>(SUMIF(INPUT!$I$231:$I$522,'Contractor''s Budget Detail'!B327,INPUT!$H$231:$H$522)+SUMIFS('COST REPORT'!$F$9:$F$998,'COST REPORT'!$A$9:$A$998,'Contractor''s Budget Detail'!B327,'COST REPORT'!$I$9:$I$998,"close"))-(SUMIFS('COST REPORT'!$F$9:$F$998,'COST REPORT'!$A$9:$A$998,'Contractor''s Budget Detail'!B327,'COST REPORT'!$I$9:$I$998,"close",'COST REPORT'!$J$9:$J$998,"x"))</f>
        <v>0</v>
      </c>
      <c r="G327" s="302">
        <f>E327+F327</f>
        <v>0</v>
      </c>
      <c r="H327" s="302">
        <f>SUMIF('COST REPORT'!$A$9:$A$998,'Contractor''s Budget Detail'!B327,'COST REPORT'!$G$9:$G$998)</f>
        <v>0</v>
      </c>
      <c r="I327" s="302">
        <f>G327-H327</f>
        <v>0</v>
      </c>
      <c r="J327" s="324">
        <f>D327-G327</f>
        <v>0</v>
      </c>
    </row>
    <row r="328" spans="1:10">
      <c r="A328" s="321">
        <v>12000</v>
      </c>
      <c r="B328" s="322">
        <f t="shared" si="72"/>
        <v>12010</v>
      </c>
      <c r="C328" s="325" t="s">
        <v>1939</v>
      </c>
      <c r="D328" s="323">
        <v>0</v>
      </c>
      <c r="E328" s="302">
        <f>(SUMIF('COST REPORT'!$A$9:$A$998,'Contractor''s Budget Detail'!B328,'COST REPORT'!$F$9:$F$998))-(SUMIFS('COST REPORT'!$F$9:$F$998,'COST REPORT'!$A$9:$A$998,'Contractor''s Budget Detail'!B328,'COST REPORT'!$I$9:$I$998,"Close"))</f>
        <v>0</v>
      </c>
      <c r="F328" s="302">
        <f>(SUMIF(INPUT!$I$231:$I$522,'Contractor''s Budget Detail'!B328,INPUT!$H$231:$H$522)+SUMIFS('COST REPORT'!$F$9:$F$998,'COST REPORT'!$A$9:$A$998,'Contractor''s Budget Detail'!B328,'COST REPORT'!$I$9:$I$998,"close"))-(SUMIFS('COST REPORT'!$F$9:$F$998,'COST REPORT'!$A$9:$A$998,'Contractor''s Budget Detail'!B328,'COST REPORT'!$I$9:$I$998,"close",'COST REPORT'!$J$9:$J$998,"x"))</f>
        <v>0</v>
      </c>
      <c r="G328" s="302">
        <f>E328+F328</f>
        <v>0</v>
      </c>
      <c r="H328" s="302">
        <f>SUMIF('COST REPORT'!$A$9:$A$998,'Contractor''s Budget Detail'!B328,'COST REPORT'!$G$9:$G$998)</f>
        <v>0</v>
      </c>
      <c r="I328" s="302">
        <f>G328-H328</f>
        <v>0</v>
      </c>
      <c r="J328" s="324">
        <f>D328-G328</f>
        <v>0</v>
      </c>
    </row>
    <row r="329" spans="1:10">
      <c r="A329" s="321">
        <v>12000</v>
      </c>
      <c r="B329" s="322">
        <f t="shared" si="72"/>
        <v>12011</v>
      </c>
      <c r="C329" s="325" t="s">
        <v>1939</v>
      </c>
      <c r="D329" s="323">
        <v>0</v>
      </c>
      <c r="E329" s="302">
        <f>(SUMIF('COST REPORT'!$A$9:$A$998,'Contractor''s Budget Detail'!B329,'COST REPORT'!$F$9:$F$998))-(SUMIFS('COST REPORT'!$F$9:$F$998,'COST REPORT'!$A$9:$A$998,'Contractor''s Budget Detail'!B329,'COST REPORT'!$I$9:$I$998,"Close"))</f>
        <v>0</v>
      </c>
      <c r="F329" s="302">
        <f>(SUMIF(INPUT!$I$231:$I$522,'Contractor''s Budget Detail'!B329,INPUT!$H$231:$H$522)+SUMIFS('COST REPORT'!$F$9:$F$998,'COST REPORT'!$A$9:$A$998,'Contractor''s Budget Detail'!B329,'COST REPORT'!$I$9:$I$998,"close"))-(SUMIFS('COST REPORT'!$F$9:$F$998,'COST REPORT'!$A$9:$A$998,'Contractor''s Budget Detail'!B329,'COST REPORT'!$I$9:$I$998,"close",'COST REPORT'!$J$9:$J$998,"x"))</f>
        <v>0</v>
      </c>
      <c r="G329" s="302">
        <f t="shared" si="69"/>
        <v>0</v>
      </c>
      <c r="H329" s="302">
        <f>SUMIF('COST REPORT'!$A$9:$A$998,'Contractor''s Budget Detail'!B329,'COST REPORT'!$G$9:$G$998)</f>
        <v>0</v>
      </c>
      <c r="I329" s="302">
        <f t="shared" si="70"/>
        <v>0</v>
      </c>
      <c r="J329" s="324">
        <f t="shared" si="71"/>
        <v>0</v>
      </c>
    </row>
    <row r="330" spans="1:10">
      <c r="A330" s="321">
        <v>12000</v>
      </c>
      <c r="B330" s="322">
        <f t="shared" si="72"/>
        <v>12012</v>
      </c>
      <c r="C330" s="325" t="s">
        <v>1939</v>
      </c>
      <c r="D330" s="323">
        <v>0</v>
      </c>
      <c r="E330" s="302">
        <f>(SUMIF('COST REPORT'!$A$9:$A$998,'Contractor''s Budget Detail'!B330,'COST REPORT'!$F$9:$F$998))-(SUMIFS('COST REPORT'!$F$9:$F$998,'COST REPORT'!$A$9:$A$998,'Contractor''s Budget Detail'!B330,'COST REPORT'!$I$9:$I$998,"Close"))</f>
        <v>0</v>
      </c>
      <c r="F330" s="302">
        <f>(SUMIF(INPUT!$I$231:$I$522,'Contractor''s Budget Detail'!B330,INPUT!$H$231:$H$522)+SUMIFS('COST REPORT'!$F$9:$F$998,'COST REPORT'!$A$9:$A$998,'Contractor''s Budget Detail'!B330,'COST REPORT'!$I$9:$I$998,"close"))-(SUMIFS('COST REPORT'!$F$9:$F$998,'COST REPORT'!$A$9:$A$998,'Contractor''s Budget Detail'!B330,'COST REPORT'!$I$9:$I$998,"close",'COST REPORT'!$J$9:$J$998,"x"))</f>
        <v>0</v>
      </c>
      <c r="G330" s="302">
        <f t="shared" si="69"/>
        <v>0</v>
      </c>
      <c r="H330" s="302">
        <f>SUMIF('COST REPORT'!$A$9:$A$998,'Contractor''s Budget Detail'!B330,'COST REPORT'!$G$9:$G$998)</f>
        <v>0</v>
      </c>
      <c r="I330" s="302">
        <f t="shared" si="70"/>
        <v>0</v>
      </c>
      <c r="J330" s="324">
        <f t="shared" si="71"/>
        <v>0</v>
      </c>
    </row>
    <row r="331" spans="1:10">
      <c r="A331" s="321">
        <v>12000</v>
      </c>
      <c r="B331" s="322">
        <f t="shared" si="72"/>
        <v>12013</v>
      </c>
      <c r="C331" s="325" t="s">
        <v>1939</v>
      </c>
      <c r="D331" s="323">
        <v>0</v>
      </c>
      <c r="E331" s="302">
        <f>(SUMIF('COST REPORT'!$A$9:$A$998,'Contractor''s Budget Detail'!B331,'COST REPORT'!$F$9:$F$998))-(SUMIFS('COST REPORT'!$F$9:$F$998,'COST REPORT'!$A$9:$A$998,'Contractor''s Budget Detail'!B331,'COST REPORT'!$I$9:$I$998,"Close"))</f>
        <v>0</v>
      </c>
      <c r="F331" s="302">
        <f>(SUMIF(INPUT!$I$231:$I$522,'Contractor''s Budget Detail'!B331,INPUT!$H$231:$H$522)+SUMIFS('COST REPORT'!$F$9:$F$998,'COST REPORT'!$A$9:$A$998,'Contractor''s Budget Detail'!B331,'COST REPORT'!$I$9:$I$998,"close"))-(SUMIFS('COST REPORT'!$F$9:$F$998,'COST REPORT'!$A$9:$A$998,'Contractor''s Budget Detail'!B331,'COST REPORT'!$I$9:$I$998,"close",'COST REPORT'!$J$9:$J$998,"x"))</f>
        <v>0</v>
      </c>
      <c r="G331" s="302">
        <f t="shared" si="69"/>
        <v>0</v>
      </c>
      <c r="H331" s="302">
        <f>SUMIF('COST REPORT'!$A$9:$A$998,'Contractor''s Budget Detail'!B331,'COST REPORT'!$G$9:$G$998)</f>
        <v>0</v>
      </c>
      <c r="I331" s="302">
        <f t="shared" si="70"/>
        <v>0</v>
      </c>
      <c r="J331" s="324">
        <f t="shared" si="71"/>
        <v>0</v>
      </c>
    </row>
    <row r="332" spans="1:10" ht="13.5" thickBot="1">
      <c r="A332" s="326" t="s">
        <v>2123</v>
      </c>
      <c r="B332" s="307"/>
      <c r="C332" s="308"/>
      <c r="D332" s="305">
        <f t="shared" ref="D332:J332" si="73">SUM(D319:D331)</f>
        <v>0</v>
      </c>
      <c r="E332" s="305">
        <f t="shared" si="73"/>
        <v>0</v>
      </c>
      <c r="F332" s="305">
        <f t="shared" si="73"/>
        <v>0</v>
      </c>
      <c r="G332" s="305">
        <f t="shared" si="73"/>
        <v>0</v>
      </c>
      <c r="H332" s="305">
        <f t="shared" si="73"/>
        <v>0</v>
      </c>
      <c r="I332" s="305">
        <f t="shared" si="73"/>
        <v>0</v>
      </c>
      <c r="J332" s="327">
        <f t="shared" si="73"/>
        <v>0</v>
      </c>
    </row>
    <row r="333" spans="1:10">
      <c r="A333" s="328"/>
      <c r="B333" s="71"/>
      <c r="C333" s="90"/>
      <c r="D333" s="306"/>
      <c r="E333" s="306"/>
      <c r="H333" s="306"/>
      <c r="I333" s="306"/>
      <c r="J333" s="329"/>
    </row>
    <row r="334" spans="1:10">
      <c r="A334" s="330" t="s">
        <v>1370</v>
      </c>
      <c r="B334" s="205"/>
      <c r="C334" s="88"/>
      <c r="D334" s="331"/>
      <c r="E334" s="331"/>
      <c r="F334" s="338"/>
      <c r="G334" s="338"/>
      <c r="H334" s="331"/>
      <c r="I334" s="331"/>
      <c r="J334" s="339"/>
    </row>
    <row r="335" spans="1:10">
      <c r="A335" s="321">
        <v>13000</v>
      </c>
      <c r="B335" s="322">
        <f>13001</f>
        <v>13001</v>
      </c>
      <c r="C335" s="317" t="s">
        <v>2124</v>
      </c>
      <c r="D335" s="323">
        <v>0</v>
      </c>
      <c r="E335" s="302">
        <f>(SUMIF('COST REPORT'!$A$9:$A$998,'Contractor''s Budget Detail'!B335,'COST REPORT'!$F$9:$F$998))-(SUMIFS('COST REPORT'!$F$9:$F$998,'COST REPORT'!$A$9:$A$998,'Contractor''s Budget Detail'!B335,'COST REPORT'!$I$9:$I$998,"Close"))</f>
        <v>0</v>
      </c>
      <c r="F335" s="302">
        <f>(SUMIF(INPUT!$I$231:$I$522,'Contractor''s Budget Detail'!B335,INPUT!$H$231:$H$522)+SUMIFS('COST REPORT'!$F$9:$F$998,'COST REPORT'!$A$9:$A$998,'Contractor''s Budget Detail'!B335,'COST REPORT'!$I$9:$I$998,"close"))-(SUMIFS('COST REPORT'!$F$9:$F$998,'COST REPORT'!$A$9:$A$998,'Contractor''s Budget Detail'!B335,'COST REPORT'!$I$9:$I$998,"close",'COST REPORT'!$J$9:$J$998,"x"))</f>
        <v>0</v>
      </c>
      <c r="G335" s="302">
        <f>E335+F335</f>
        <v>0</v>
      </c>
      <c r="H335" s="302">
        <f>SUMIF('COST REPORT'!$A$9:$A$998,'Contractor''s Budget Detail'!B335,'COST REPORT'!$G$9:$G$998)</f>
        <v>0</v>
      </c>
      <c r="I335" s="302">
        <f>G335-H335</f>
        <v>0</v>
      </c>
      <c r="J335" s="324">
        <f>D335-G335</f>
        <v>0</v>
      </c>
    </row>
    <row r="336" spans="1:10">
      <c r="A336" s="321">
        <v>13000</v>
      </c>
      <c r="B336" s="322">
        <f>B335+1</f>
        <v>13002</v>
      </c>
      <c r="C336" s="317" t="s">
        <v>2125</v>
      </c>
      <c r="D336" s="323">
        <v>0</v>
      </c>
      <c r="E336" s="302">
        <f>(SUMIF('COST REPORT'!$A$9:$A$998,'Contractor''s Budget Detail'!B336,'COST REPORT'!$F$9:$F$998))-(SUMIFS('COST REPORT'!$F$9:$F$998,'COST REPORT'!$A$9:$A$998,'Contractor''s Budget Detail'!B336,'COST REPORT'!$I$9:$I$998,"Close"))</f>
        <v>0</v>
      </c>
      <c r="F336" s="302">
        <f>(SUMIF(INPUT!$I$231:$I$522,'Contractor''s Budget Detail'!B336,INPUT!$H$231:$H$522)+SUMIFS('COST REPORT'!$F$9:$F$998,'COST REPORT'!$A$9:$A$998,'Contractor''s Budget Detail'!B336,'COST REPORT'!$I$9:$I$998,"close"))-(SUMIFS('COST REPORT'!$F$9:$F$998,'COST REPORT'!$A$9:$A$998,'Contractor''s Budget Detail'!B336,'COST REPORT'!$I$9:$I$998,"close",'COST REPORT'!$J$9:$J$998,"x"))</f>
        <v>0</v>
      </c>
      <c r="G336" s="302">
        <f t="shared" ref="G336:G351" si="74">E336+F336</f>
        <v>0</v>
      </c>
      <c r="H336" s="302">
        <f>SUMIF('COST REPORT'!$A$9:$A$998,'Contractor''s Budget Detail'!B336,'COST REPORT'!$G$9:$G$998)</f>
        <v>0</v>
      </c>
      <c r="I336" s="302">
        <f t="shared" ref="I336:I351" si="75">G336-H336</f>
        <v>0</v>
      </c>
      <c r="J336" s="324">
        <f t="shared" ref="J336:J351" si="76">D336-G336</f>
        <v>0</v>
      </c>
    </row>
    <row r="337" spans="1:10">
      <c r="A337" s="321">
        <v>13000</v>
      </c>
      <c r="B337" s="322">
        <f t="shared" ref="B337:B351" si="77">B336+1</f>
        <v>13003</v>
      </c>
      <c r="C337" s="317" t="s">
        <v>2126</v>
      </c>
      <c r="D337" s="323">
        <v>0</v>
      </c>
      <c r="E337" s="302">
        <f>(SUMIF('COST REPORT'!$A$9:$A$998,'Contractor''s Budget Detail'!B337,'COST REPORT'!$F$9:$F$998))-(SUMIFS('COST REPORT'!$F$9:$F$998,'COST REPORT'!$A$9:$A$998,'Contractor''s Budget Detail'!B337,'COST REPORT'!$I$9:$I$998,"Close"))</f>
        <v>0</v>
      </c>
      <c r="F337" s="302">
        <f>(SUMIF(INPUT!$I$231:$I$522,'Contractor''s Budget Detail'!B337,INPUT!$H$231:$H$522)+SUMIFS('COST REPORT'!$F$9:$F$998,'COST REPORT'!$A$9:$A$998,'Contractor''s Budget Detail'!B337,'COST REPORT'!$I$9:$I$998,"close"))-(SUMIFS('COST REPORT'!$F$9:$F$998,'COST REPORT'!$A$9:$A$998,'Contractor''s Budget Detail'!B337,'COST REPORT'!$I$9:$I$998,"close",'COST REPORT'!$J$9:$J$998,"x"))</f>
        <v>0</v>
      </c>
      <c r="G337" s="302">
        <f t="shared" si="74"/>
        <v>0</v>
      </c>
      <c r="H337" s="302">
        <f>SUMIF('COST REPORT'!$A$9:$A$998,'Contractor''s Budget Detail'!B337,'COST REPORT'!$G$9:$G$998)</f>
        <v>0</v>
      </c>
      <c r="I337" s="302">
        <f t="shared" si="75"/>
        <v>0</v>
      </c>
      <c r="J337" s="324">
        <f t="shared" si="76"/>
        <v>0</v>
      </c>
    </row>
    <row r="338" spans="1:10">
      <c r="A338" s="321">
        <v>13000</v>
      </c>
      <c r="B338" s="322">
        <f t="shared" si="77"/>
        <v>13004</v>
      </c>
      <c r="C338" s="317" t="s">
        <v>2127</v>
      </c>
      <c r="D338" s="323">
        <v>0</v>
      </c>
      <c r="E338" s="302">
        <f>(SUMIF('COST REPORT'!$A$9:$A$998,'Contractor''s Budget Detail'!B338,'COST REPORT'!$F$9:$F$998))-(SUMIFS('COST REPORT'!$F$9:$F$998,'COST REPORT'!$A$9:$A$998,'Contractor''s Budget Detail'!B338,'COST REPORT'!$I$9:$I$998,"Close"))</f>
        <v>0</v>
      </c>
      <c r="F338" s="302">
        <f>(SUMIF(INPUT!$I$231:$I$522,'Contractor''s Budget Detail'!B338,INPUT!$H$231:$H$522)+SUMIFS('COST REPORT'!$F$9:$F$998,'COST REPORT'!$A$9:$A$998,'Contractor''s Budget Detail'!B338,'COST REPORT'!$I$9:$I$998,"close"))-(SUMIFS('COST REPORT'!$F$9:$F$998,'COST REPORT'!$A$9:$A$998,'Contractor''s Budget Detail'!B338,'COST REPORT'!$I$9:$I$998,"close",'COST REPORT'!$J$9:$J$998,"x"))</f>
        <v>0</v>
      </c>
      <c r="G338" s="302">
        <f t="shared" si="74"/>
        <v>0</v>
      </c>
      <c r="H338" s="302">
        <f>SUMIF('COST REPORT'!$A$9:$A$998,'Contractor''s Budget Detail'!B338,'COST REPORT'!$G$9:$G$998)</f>
        <v>0</v>
      </c>
      <c r="I338" s="302">
        <f t="shared" si="75"/>
        <v>0</v>
      </c>
      <c r="J338" s="324">
        <f t="shared" si="76"/>
        <v>0</v>
      </c>
    </row>
    <row r="339" spans="1:10">
      <c r="A339" s="321">
        <v>13000</v>
      </c>
      <c r="B339" s="322">
        <f t="shared" si="77"/>
        <v>13005</v>
      </c>
      <c r="C339" s="317" t="s">
        <v>2128</v>
      </c>
      <c r="D339" s="323">
        <v>0</v>
      </c>
      <c r="E339" s="302">
        <f>(SUMIF('COST REPORT'!$A$9:$A$998,'Contractor''s Budget Detail'!B339,'COST REPORT'!$F$9:$F$998))-(SUMIFS('COST REPORT'!$F$9:$F$998,'COST REPORT'!$A$9:$A$998,'Contractor''s Budget Detail'!B339,'COST REPORT'!$I$9:$I$998,"Close"))</f>
        <v>0</v>
      </c>
      <c r="F339" s="302">
        <f>(SUMIF(INPUT!$I$231:$I$522,'Contractor''s Budget Detail'!B339,INPUT!$H$231:$H$522)+SUMIFS('COST REPORT'!$F$9:$F$998,'COST REPORT'!$A$9:$A$998,'Contractor''s Budget Detail'!B339,'COST REPORT'!$I$9:$I$998,"close"))-(SUMIFS('COST REPORT'!$F$9:$F$998,'COST REPORT'!$A$9:$A$998,'Contractor''s Budget Detail'!B339,'COST REPORT'!$I$9:$I$998,"close",'COST REPORT'!$J$9:$J$998,"x"))</f>
        <v>0</v>
      </c>
      <c r="G339" s="302">
        <f t="shared" si="74"/>
        <v>0</v>
      </c>
      <c r="H339" s="302">
        <f>SUMIF('COST REPORT'!$A$9:$A$998,'Contractor''s Budget Detail'!B339,'COST REPORT'!$G$9:$G$998)</f>
        <v>0</v>
      </c>
      <c r="I339" s="302">
        <f t="shared" si="75"/>
        <v>0</v>
      </c>
      <c r="J339" s="324">
        <f t="shared" si="76"/>
        <v>0</v>
      </c>
    </row>
    <row r="340" spans="1:10">
      <c r="A340" s="321">
        <v>13000</v>
      </c>
      <c r="B340" s="322">
        <f t="shared" si="77"/>
        <v>13006</v>
      </c>
      <c r="C340" s="317" t="s">
        <v>2129</v>
      </c>
      <c r="D340" s="323">
        <v>0</v>
      </c>
      <c r="E340" s="302">
        <f>(SUMIF('COST REPORT'!$A$9:$A$998,'Contractor''s Budget Detail'!B340,'COST REPORT'!$F$9:$F$998))-(SUMIFS('COST REPORT'!$F$9:$F$998,'COST REPORT'!$A$9:$A$998,'Contractor''s Budget Detail'!B340,'COST REPORT'!$I$9:$I$998,"Close"))</f>
        <v>0</v>
      </c>
      <c r="F340" s="302">
        <f>(SUMIF(INPUT!$I$231:$I$522,'Contractor''s Budget Detail'!B340,INPUT!$H$231:$H$522)+SUMIFS('COST REPORT'!$F$9:$F$998,'COST REPORT'!$A$9:$A$998,'Contractor''s Budget Detail'!B340,'COST REPORT'!$I$9:$I$998,"close"))-(SUMIFS('COST REPORT'!$F$9:$F$998,'COST REPORT'!$A$9:$A$998,'Contractor''s Budget Detail'!B340,'COST REPORT'!$I$9:$I$998,"close",'COST REPORT'!$J$9:$J$998,"x"))</f>
        <v>0</v>
      </c>
      <c r="G340" s="302">
        <f t="shared" si="74"/>
        <v>0</v>
      </c>
      <c r="H340" s="302">
        <f>SUMIF('COST REPORT'!$A$9:$A$998,'Contractor''s Budget Detail'!B340,'COST REPORT'!$G$9:$G$998)</f>
        <v>0</v>
      </c>
      <c r="I340" s="302">
        <f t="shared" si="75"/>
        <v>0</v>
      </c>
      <c r="J340" s="324">
        <f t="shared" si="76"/>
        <v>0</v>
      </c>
    </row>
    <row r="341" spans="1:10">
      <c r="A341" s="321">
        <v>13000</v>
      </c>
      <c r="B341" s="322">
        <f t="shared" si="77"/>
        <v>13007</v>
      </c>
      <c r="C341" s="317" t="s">
        <v>2130</v>
      </c>
      <c r="D341" s="323">
        <v>0</v>
      </c>
      <c r="E341" s="302">
        <f>(SUMIF('COST REPORT'!$A$9:$A$998,'Contractor''s Budget Detail'!B341,'COST REPORT'!$F$9:$F$998))-(SUMIFS('COST REPORT'!$F$9:$F$998,'COST REPORT'!$A$9:$A$998,'Contractor''s Budget Detail'!B341,'COST REPORT'!$I$9:$I$998,"Close"))</f>
        <v>0</v>
      </c>
      <c r="F341" s="302">
        <f>(SUMIF(INPUT!$I$231:$I$522,'Contractor''s Budget Detail'!B341,INPUT!$H$231:$H$522)+SUMIFS('COST REPORT'!$F$9:$F$998,'COST REPORT'!$A$9:$A$998,'Contractor''s Budget Detail'!B341,'COST REPORT'!$I$9:$I$998,"close"))-(SUMIFS('COST REPORT'!$F$9:$F$998,'COST REPORT'!$A$9:$A$998,'Contractor''s Budget Detail'!B341,'COST REPORT'!$I$9:$I$998,"close",'COST REPORT'!$J$9:$J$998,"x"))</f>
        <v>0</v>
      </c>
      <c r="G341" s="302">
        <f t="shared" si="74"/>
        <v>0</v>
      </c>
      <c r="H341" s="302">
        <f>SUMIF('COST REPORT'!$A$9:$A$998,'Contractor''s Budget Detail'!B341,'COST REPORT'!$G$9:$G$998)</f>
        <v>0</v>
      </c>
      <c r="I341" s="302">
        <f t="shared" si="75"/>
        <v>0</v>
      </c>
      <c r="J341" s="324">
        <f t="shared" si="76"/>
        <v>0</v>
      </c>
    </row>
    <row r="342" spans="1:10">
      <c r="A342" s="321">
        <v>13000</v>
      </c>
      <c r="B342" s="322">
        <f t="shared" si="77"/>
        <v>13008</v>
      </c>
      <c r="C342" s="317" t="s">
        <v>2131</v>
      </c>
      <c r="D342" s="323">
        <v>0</v>
      </c>
      <c r="E342" s="302">
        <f>(SUMIF('COST REPORT'!$A$9:$A$998,'Contractor''s Budget Detail'!B342,'COST REPORT'!$F$9:$F$998))-(SUMIFS('COST REPORT'!$F$9:$F$998,'COST REPORT'!$A$9:$A$998,'Contractor''s Budget Detail'!B342,'COST REPORT'!$I$9:$I$998,"Close"))</f>
        <v>0</v>
      </c>
      <c r="F342" s="302">
        <f>(SUMIF(INPUT!$I$231:$I$522,'Contractor''s Budget Detail'!B342,INPUT!$H$231:$H$522)+SUMIFS('COST REPORT'!$F$9:$F$998,'COST REPORT'!$A$9:$A$998,'Contractor''s Budget Detail'!B342,'COST REPORT'!$I$9:$I$998,"close"))-(SUMIFS('COST REPORT'!$F$9:$F$998,'COST REPORT'!$A$9:$A$998,'Contractor''s Budget Detail'!B342,'COST REPORT'!$I$9:$I$998,"close",'COST REPORT'!$J$9:$J$998,"x"))</f>
        <v>0</v>
      </c>
      <c r="G342" s="302">
        <f t="shared" si="74"/>
        <v>0</v>
      </c>
      <c r="H342" s="302">
        <f>SUMIF('COST REPORT'!$A$9:$A$998,'Contractor''s Budget Detail'!B342,'COST REPORT'!$G$9:$G$998)</f>
        <v>0</v>
      </c>
      <c r="I342" s="302">
        <f t="shared" si="75"/>
        <v>0</v>
      </c>
      <c r="J342" s="324">
        <f t="shared" si="76"/>
        <v>0</v>
      </c>
    </row>
    <row r="343" spans="1:10">
      <c r="A343" s="321">
        <v>13000</v>
      </c>
      <c r="B343" s="322">
        <f t="shared" si="77"/>
        <v>13009</v>
      </c>
      <c r="C343" s="317" t="s">
        <v>2132</v>
      </c>
      <c r="D343" s="323">
        <v>0</v>
      </c>
      <c r="E343" s="302">
        <f>(SUMIF('COST REPORT'!$A$9:$A$998,'Contractor''s Budget Detail'!B343,'COST REPORT'!$F$9:$F$998))-(SUMIFS('COST REPORT'!$F$9:$F$998,'COST REPORT'!$A$9:$A$998,'Contractor''s Budget Detail'!B343,'COST REPORT'!$I$9:$I$998,"Close"))</f>
        <v>0</v>
      </c>
      <c r="F343" s="302">
        <f>(SUMIF(INPUT!$I$231:$I$522,'Contractor''s Budget Detail'!B343,INPUT!$H$231:$H$522)+SUMIFS('COST REPORT'!$F$9:$F$998,'COST REPORT'!$A$9:$A$998,'Contractor''s Budget Detail'!B343,'COST REPORT'!$I$9:$I$998,"close"))-(SUMIFS('COST REPORT'!$F$9:$F$998,'COST REPORT'!$A$9:$A$998,'Contractor''s Budget Detail'!B343,'COST REPORT'!$I$9:$I$998,"close",'COST REPORT'!$J$9:$J$998,"x"))</f>
        <v>0</v>
      </c>
      <c r="G343" s="302">
        <f t="shared" si="74"/>
        <v>0</v>
      </c>
      <c r="H343" s="302">
        <f>SUMIF('COST REPORT'!$A$9:$A$998,'Contractor''s Budget Detail'!B343,'COST REPORT'!$G$9:$G$998)</f>
        <v>0</v>
      </c>
      <c r="I343" s="302">
        <f t="shared" si="75"/>
        <v>0</v>
      </c>
      <c r="J343" s="324">
        <f t="shared" si="76"/>
        <v>0</v>
      </c>
    </row>
    <row r="344" spans="1:10">
      <c r="A344" s="321">
        <v>13000</v>
      </c>
      <c r="B344" s="322">
        <f t="shared" si="77"/>
        <v>13010</v>
      </c>
      <c r="C344" s="325" t="s">
        <v>1939</v>
      </c>
      <c r="D344" s="323">
        <v>0</v>
      </c>
      <c r="E344" s="302">
        <f>(SUMIF('COST REPORT'!$A$9:$A$998,'Contractor''s Budget Detail'!B344,'COST REPORT'!$F$9:$F$998))-(SUMIFS('COST REPORT'!$F$9:$F$998,'COST REPORT'!$A$9:$A$998,'Contractor''s Budget Detail'!B344,'COST REPORT'!$I$9:$I$998,"Close"))</f>
        <v>0</v>
      </c>
      <c r="F344" s="302">
        <f>(SUMIF(INPUT!$I$231:$I$522,'Contractor''s Budget Detail'!B344,INPUT!$H$231:$H$522)+SUMIFS('COST REPORT'!$F$9:$F$998,'COST REPORT'!$A$9:$A$998,'Contractor''s Budget Detail'!B344,'COST REPORT'!$I$9:$I$998,"close"))-(SUMIFS('COST REPORT'!$F$9:$F$998,'COST REPORT'!$A$9:$A$998,'Contractor''s Budget Detail'!B344,'COST REPORT'!$I$9:$I$998,"close",'COST REPORT'!$J$9:$J$998,"x"))</f>
        <v>0</v>
      </c>
      <c r="G344" s="302">
        <f t="shared" si="74"/>
        <v>0</v>
      </c>
      <c r="H344" s="302">
        <f>SUMIF('COST REPORT'!$A$9:$A$998,'Contractor''s Budget Detail'!B344,'COST REPORT'!$G$9:$G$998)</f>
        <v>0</v>
      </c>
      <c r="I344" s="302">
        <f t="shared" si="75"/>
        <v>0</v>
      </c>
      <c r="J344" s="324">
        <f t="shared" si="76"/>
        <v>0</v>
      </c>
    </row>
    <row r="345" spans="1:10">
      <c r="A345" s="321">
        <v>13000</v>
      </c>
      <c r="B345" s="322">
        <f t="shared" si="77"/>
        <v>13011</v>
      </c>
      <c r="C345" s="325" t="s">
        <v>1939</v>
      </c>
      <c r="D345" s="323">
        <v>0</v>
      </c>
      <c r="E345" s="302">
        <f>(SUMIF('COST REPORT'!$A$9:$A$998,'Contractor''s Budget Detail'!B345,'COST REPORT'!$F$9:$F$998))-(SUMIFS('COST REPORT'!$F$9:$F$998,'COST REPORT'!$A$9:$A$998,'Contractor''s Budget Detail'!B345,'COST REPORT'!$I$9:$I$998,"Close"))</f>
        <v>0</v>
      </c>
      <c r="F345" s="302">
        <f>(SUMIF(INPUT!$I$231:$I$522,'Contractor''s Budget Detail'!B345,INPUT!$H$231:$H$522)+SUMIFS('COST REPORT'!$F$9:$F$998,'COST REPORT'!$A$9:$A$998,'Contractor''s Budget Detail'!B345,'COST REPORT'!$I$9:$I$998,"close"))-(SUMIFS('COST REPORT'!$F$9:$F$998,'COST REPORT'!$A$9:$A$998,'Contractor''s Budget Detail'!B345,'COST REPORT'!$I$9:$I$998,"close",'COST REPORT'!$J$9:$J$998,"x"))</f>
        <v>0</v>
      </c>
      <c r="G345" s="302">
        <f t="shared" si="74"/>
        <v>0</v>
      </c>
      <c r="H345" s="302">
        <f>SUMIF('COST REPORT'!$A$9:$A$998,'Contractor''s Budget Detail'!B345,'COST REPORT'!$G$9:$G$998)</f>
        <v>0</v>
      </c>
      <c r="I345" s="302">
        <f t="shared" si="75"/>
        <v>0</v>
      </c>
      <c r="J345" s="324">
        <f t="shared" si="76"/>
        <v>0</v>
      </c>
    </row>
    <row r="346" spans="1:10">
      <c r="A346" s="321">
        <v>13000</v>
      </c>
      <c r="B346" s="322">
        <f t="shared" si="77"/>
        <v>13012</v>
      </c>
      <c r="C346" s="325" t="s">
        <v>1939</v>
      </c>
      <c r="D346" s="323">
        <v>0</v>
      </c>
      <c r="E346" s="302">
        <f>(SUMIF('COST REPORT'!$A$9:$A$998,'Contractor''s Budget Detail'!B346,'COST REPORT'!$F$9:$F$998))-(SUMIFS('COST REPORT'!$F$9:$F$998,'COST REPORT'!$A$9:$A$998,'Contractor''s Budget Detail'!B346,'COST REPORT'!$I$9:$I$998,"Close"))</f>
        <v>0</v>
      </c>
      <c r="F346" s="302">
        <f>(SUMIF(INPUT!$I$231:$I$522,'Contractor''s Budget Detail'!B346,INPUT!$H$231:$H$522)+SUMIFS('COST REPORT'!$F$9:$F$998,'COST REPORT'!$A$9:$A$998,'Contractor''s Budget Detail'!B346,'COST REPORT'!$I$9:$I$998,"close"))-(SUMIFS('COST REPORT'!$F$9:$F$998,'COST REPORT'!$A$9:$A$998,'Contractor''s Budget Detail'!B346,'COST REPORT'!$I$9:$I$998,"close",'COST REPORT'!$J$9:$J$998,"x"))</f>
        <v>0</v>
      </c>
      <c r="G346" s="302">
        <f>E346+F346</f>
        <v>0</v>
      </c>
      <c r="H346" s="302">
        <f>SUMIF('COST REPORT'!$A$9:$A$998,'Contractor''s Budget Detail'!B346,'COST REPORT'!$G$9:$G$998)</f>
        <v>0</v>
      </c>
      <c r="I346" s="302">
        <f>G346-H346</f>
        <v>0</v>
      </c>
      <c r="J346" s="324">
        <f>D346-G346</f>
        <v>0</v>
      </c>
    </row>
    <row r="347" spans="1:10">
      <c r="A347" s="321">
        <v>13000</v>
      </c>
      <c r="B347" s="322">
        <f t="shared" si="77"/>
        <v>13013</v>
      </c>
      <c r="C347" s="325" t="s">
        <v>1939</v>
      </c>
      <c r="D347" s="323">
        <v>0</v>
      </c>
      <c r="E347" s="302">
        <f>(SUMIF('COST REPORT'!$A$9:$A$998,'Contractor''s Budget Detail'!B347,'COST REPORT'!$F$9:$F$998))-(SUMIFS('COST REPORT'!$F$9:$F$998,'COST REPORT'!$A$9:$A$998,'Contractor''s Budget Detail'!B347,'COST REPORT'!$I$9:$I$998,"Close"))</f>
        <v>0</v>
      </c>
      <c r="F347" s="302">
        <f>(SUMIF(INPUT!$I$231:$I$522,'Contractor''s Budget Detail'!B347,INPUT!$H$231:$H$522)+SUMIFS('COST REPORT'!$F$9:$F$998,'COST REPORT'!$A$9:$A$998,'Contractor''s Budget Detail'!B347,'COST REPORT'!$I$9:$I$998,"close"))-(SUMIFS('COST REPORT'!$F$9:$F$998,'COST REPORT'!$A$9:$A$998,'Contractor''s Budget Detail'!B347,'COST REPORT'!$I$9:$I$998,"close",'COST REPORT'!$J$9:$J$998,"x"))</f>
        <v>0</v>
      </c>
      <c r="G347" s="302">
        <f>E347+F347</f>
        <v>0</v>
      </c>
      <c r="H347" s="302">
        <f>SUMIF('COST REPORT'!$A$9:$A$998,'Contractor''s Budget Detail'!B347,'COST REPORT'!$G$9:$G$998)</f>
        <v>0</v>
      </c>
      <c r="I347" s="302">
        <f>G347-H347</f>
        <v>0</v>
      </c>
      <c r="J347" s="324">
        <f>D347-G347</f>
        <v>0</v>
      </c>
    </row>
    <row r="348" spans="1:10">
      <c r="A348" s="321">
        <v>13000</v>
      </c>
      <c r="B348" s="322">
        <f t="shared" si="77"/>
        <v>13014</v>
      </c>
      <c r="C348" s="325" t="s">
        <v>1939</v>
      </c>
      <c r="D348" s="323">
        <v>0</v>
      </c>
      <c r="E348" s="302">
        <f>(SUMIF('COST REPORT'!$A$9:$A$998,'Contractor''s Budget Detail'!B348,'COST REPORT'!$F$9:$F$998))-(SUMIFS('COST REPORT'!$F$9:$F$998,'COST REPORT'!$A$9:$A$998,'Contractor''s Budget Detail'!B348,'COST REPORT'!$I$9:$I$998,"Close"))</f>
        <v>0</v>
      </c>
      <c r="F348" s="302">
        <f>(SUMIF(INPUT!$I$231:$I$522,'Contractor''s Budget Detail'!B348,INPUT!$H$231:$H$522)+SUMIFS('COST REPORT'!$F$9:$F$998,'COST REPORT'!$A$9:$A$998,'Contractor''s Budget Detail'!B348,'COST REPORT'!$I$9:$I$998,"close"))-(SUMIFS('COST REPORT'!$F$9:$F$998,'COST REPORT'!$A$9:$A$998,'Contractor''s Budget Detail'!B348,'COST REPORT'!$I$9:$I$998,"close",'COST REPORT'!$J$9:$J$998,"x"))</f>
        <v>0</v>
      </c>
      <c r="G348" s="302">
        <f t="shared" si="74"/>
        <v>0</v>
      </c>
      <c r="H348" s="302">
        <f>SUMIF('COST REPORT'!$A$9:$A$998,'Contractor''s Budget Detail'!B348,'COST REPORT'!$G$9:$G$998)</f>
        <v>0</v>
      </c>
      <c r="I348" s="302">
        <f t="shared" si="75"/>
        <v>0</v>
      </c>
      <c r="J348" s="324">
        <f t="shared" si="76"/>
        <v>0</v>
      </c>
    </row>
    <row r="349" spans="1:10">
      <c r="A349" s="321">
        <v>13000</v>
      </c>
      <c r="B349" s="322">
        <f t="shared" si="77"/>
        <v>13015</v>
      </c>
      <c r="C349" s="325" t="s">
        <v>1939</v>
      </c>
      <c r="D349" s="323">
        <v>0</v>
      </c>
      <c r="E349" s="302">
        <f>(SUMIF('COST REPORT'!$A$9:$A$998,'Contractor''s Budget Detail'!B349,'COST REPORT'!$F$9:$F$998))-(SUMIFS('COST REPORT'!$F$9:$F$998,'COST REPORT'!$A$9:$A$998,'Contractor''s Budget Detail'!B349,'COST REPORT'!$I$9:$I$998,"Close"))</f>
        <v>0</v>
      </c>
      <c r="F349" s="302">
        <f>(SUMIF(INPUT!$I$231:$I$522,'Contractor''s Budget Detail'!B349,INPUT!$H$231:$H$522)+SUMIFS('COST REPORT'!$F$9:$F$998,'COST REPORT'!$A$9:$A$998,'Contractor''s Budget Detail'!B349,'COST REPORT'!$I$9:$I$998,"close"))-(SUMIFS('COST REPORT'!$F$9:$F$998,'COST REPORT'!$A$9:$A$998,'Contractor''s Budget Detail'!B349,'COST REPORT'!$I$9:$I$998,"close",'COST REPORT'!$J$9:$J$998,"x"))</f>
        <v>0</v>
      </c>
      <c r="G349" s="302">
        <f t="shared" si="74"/>
        <v>0</v>
      </c>
      <c r="H349" s="302">
        <f>SUMIF('COST REPORT'!$A$9:$A$998,'Contractor''s Budget Detail'!B349,'COST REPORT'!$G$9:$G$998)</f>
        <v>0</v>
      </c>
      <c r="I349" s="302">
        <f t="shared" si="75"/>
        <v>0</v>
      </c>
      <c r="J349" s="324">
        <f t="shared" si="76"/>
        <v>0</v>
      </c>
    </row>
    <row r="350" spans="1:10">
      <c r="A350" s="321">
        <v>13000</v>
      </c>
      <c r="B350" s="322">
        <f t="shared" si="77"/>
        <v>13016</v>
      </c>
      <c r="C350" s="325" t="s">
        <v>1939</v>
      </c>
      <c r="D350" s="323">
        <v>0</v>
      </c>
      <c r="E350" s="302">
        <f>(SUMIF('COST REPORT'!$A$9:$A$998,'Contractor''s Budget Detail'!B350,'COST REPORT'!$F$9:$F$998))-(SUMIFS('COST REPORT'!$F$9:$F$998,'COST REPORT'!$A$9:$A$998,'Contractor''s Budget Detail'!B350,'COST REPORT'!$I$9:$I$998,"Close"))</f>
        <v>0</v>
      </c>
      <c r="F350" s="302">
        <f>(SUMIF(INPUT!$I$231:$I$522,'Contractor''s Budget Detail'!B350,INPUT!$H$231:$H$522)+SUMIFS('COST REPORT'!$F$9:$F$998,'COST REPORT'!$A$9:$A$998,'Contractor''s Budget Detail'!B350,'COST REPORT'!$I$9:$I$998,"close"))-(SUMIFS('COST REPORT'!$F$9:$F$998,'COST REPORT'!$A$9:$A$998,'Contractor''s Budget Detail'!B350,'COST REPORT'!$I$9:$I$998,"close",'COST REPORT'!$J$9:$J$998,"x"))</f>
        <v>0</v>
      </c>
      <c r="G350" s="302">
        <f t="shared" si="74"/>
        <v>0</v>
      </c>
      <c r="H350" s="302">
        <f>SUMIF('COST REPORT'!$A$9:$A$998,'Contractor''s Budget Detail'!B350,'COST REPORT'!$G$9:$G$998)</f>
        <v>0</v>
      </c>
      <c r="I350" s="302">
        <f t="shared" si="75"/>
        <v>0</v>
      </c>
      <c r="J350" s="324">
        <f t="shared" si="76"/>
        <v>0</v>
      </c>
    </row>
    <row r="351" spans="1:10">
      <c r="A351" s="321">
        <v>13000</v>
      </c>
      <c r="B351" s="322">
        <f t="shared" si="77"/>
        <v>13017</v>
      </c>
      <c r="C351" s="325" t="s">
        <v>1939</v>
      </c>
      <c r="D351" s="323">
        <v>0</v>
      </c>
      <c r="E351" s="302">
        <f>(SUMIF('COST REPORT'!$A$9:$A$998,'Contractor''s Budget Detail'!B351,'COST REPORT'!$F$9:$F$998))-(SUMIFS('COST REPORT'!$F$9:$F$998,'COST REPORT'!$A$9:$A$998,'Contractor''s Budget Detail'!B351,'COST REPORT'!$I$9:$I$998,"Close"))</f>
        <v>0</v>
      </c>
      <c r="F351" s="302">
        <f>(SUMIF(INPUT!$I$231:$I$522,'Contractor''s Budget Detail'!B351,INPUT!$H$231:$H$522)+SUMIFS('COST REPORT'!$F$9:$F$998,'COST REPORT'!$A$9:$A$998,'Contractor''s Budget Detail'!B351,'COST REPORT'!$I$9:$I$998,"close"))-(SUMIFS('COST REPORT'!$F$9:$F$998,'COST REPORT'!$A$9:$A$998,'Contractor''s Budget Detail'!B351,'COST REPORT'!$I$9:$I$998,"close",'COST REPORT'!$J$9:$J$998,"x"))</f>
        <v>0</v>
      </c>
      <c r="G351" s="302">
        <f t="shared" si="74"/>
        <v>0</v>
      </c>
      <c r="H351" s="302">
        <f>SUMIF('COST REPORT'!$A$9:$A$998,'Contractor''s Budget Detail'!B351,'COST REPORT'!$G$9:$G$998)</f>
        <v>0</v>
      </c>
      <c r="I351" s="302">
        <f t="shared" si="75"/>
        <v>0</v>
      </c>
      <c r="J351" s="324">
        <f t="shared" si="76"/>
        <v>0</v>
      </c>
    </row>
    <row r="352" spans="1:10" ht="13.5" thickBot="1">
      <c r="A352" s="326" t="s">
        <v>2133</v>
      </c>
      <c r="B352" s="307"/>
      <c r="C352" s="308"/>
      <c r="D352" s="305">
        <f t="shared" ref="D352:J352" si="78">SUM(D335:D351)</f>
        <v>0</v>
      </c>
      <c r="E352" s="305">
        <f t="shared" si="78"/>
        <v>0</v>
      </c>
      <c r="F352" s="305">
        <f t="shared" si="78"/>
        <v>0</v>
      </c>
      <c r="G352" s="305">
        <f t="shared" si="78"/>
        <v>0</v>
      </c>
      <c r="H352" s="305">
        <f t="shared" si="78"/>
        <v>0</v>
      </c>
      <c r="I352" s="305">
        <f t="shared" si="78"/>
        <v>0</v>
      </c>
      <c r="J352" s="327">
        <f t="shared" si="78"/>
        <v>0</v>
      </c>
    </row>
    <row r="353" spans="1:14">
      <c r="A353" s="328"/>
      <c r="B353" s="71"/>
      <c r="C353" s="90"/>
      <c r="D353" s="306"/>
      <c r="E353" s="306"/>
      <c r="H353" s="306"/>
      <c r="I353" s="306"/>
      <c r="J353" s="329"/>
    </row>
    <row r="354" spans="1:14">
      <c r="A354" s="330" t="s">
        <v>1371</v>
      </c>
      <c r="B354" s="205"/>
      <c r="C354" s="88"/>
      <c r="D354" s="331"/>
      <c r="E354" s="331"/>
      <c r="F354" s="338"/>
      <c r="G354" s="338"/>
      <c r="H354" s="331"/>
      <c r="I354" s="331"/>
      <c r="J354" s="339"/>
    </row>
    <row r="355" spans="1:14">
      <c r="A355" s="321">
        <v>14000</v>
      </c>
      <c r="B355" s="322">
        <f>14001</f>
        <v>14001</v>
      </c>
      <c r="C355" s="317" t="s">
        <v>2134</v>
      </c>
      <c r="D355" s="323">
        <v>0</v>
      </c>
      <c r="E355" s="302">
        <f>(SUMIF('COST REPORT'!$A$9:$A$998,'Contractor''s Budget Detail'!B355,'COST REPORT'!$F$9:$F$998))-(SUMIFS('COST REPORT'!$F$9:$F$998,'COST REPORT'!$A$9:$A$998,'Contractor''s Budget Detail'!B355,'COST REPORT'!$I$9:$I$998,"Close"))</f>
        <v>0</v>
      </c>
      <c r="F355" s="302">
        <f>(SUMIF(INPUT!$I$231:$I$522,'Contractor''s Budget Detail'!B355,INPUT!$H$231:$H$522)+SUMIFS('COST REPORT'!$F$9:$F$998,'COST REPORT'!$A$9:$A$998,'Contractor''s Budget Detail'!B355,'COST REPORT'!$I$9:$I$998,"close"))-(SUMIFS('COST REPORT'!$F$9:$F$998,'COST REPORT'!$A$9:$A$998,'Contractor''s Budget Detail'!B355,'COST REPORT'!$I$9:$I$998,"close",'COST REPORT'!$J$9:$J$998,"x"))</f>
        <v>0</v>
      </c>
      <c r="G355" s="302">
        <f>E355+F355</f>
        <v>0</v>
      </c>
      <c r="H355" s="302">
        <f>SUMIF('COST REPORT'!$A$9:$A$998,'Contractor''s Budget Detail'!B355,'COST REPORT'!$G$9:$G$998)</f>
        <v>0</v>
      </c>
      <c r="I355" s="302">
        <f>G355-H355</f>
        <v>0</v>
      </c>
      <c r="J355" s="324">
        <f>D355-G355</f>
        <v>0</v>
      </c>
    </row>
    <row r="356" spans="1:14">
      <c r="A356" s="321">
        <v>14000</v>
      </c>
      <c r="B356" s="322">
        <f>B355+1</f>
        <v>14002</v>
      </c>
      <c r="C356" s="317" t="s">
        <v>2135</v>
      </c>
      <c r="D356" s="323">
        <v>0</v>
      </c>
      <c r="E356" s="302">
        <f>(SUMIF('COST REPORT'!$A$9:$A$998,'Contractor''s Budget Detail'!B356,'COST REPORT'!$F$9:$F$998))-(SUMIFS('COST REPORT'!$F$9:$F$998,'COST REPORT'!$A$9:$A$998,'Contractor''s Budget Detail'!B356,'COST REPORT'!$I$9:$I$998,"Close"))</f>
        <v>0</v>
      </c>
      <c r="F356" s="302">
        <f>(SUMIF(INPUT!$I$231:$I$522,'Contractor''s Budget Detail'!B356,INPUT!$H$231:$H$522)+SUMIFS('COST REPORT'!$F$9:$F$998,'COST REPORT'!$A$9:$A$998,'Contractor''s Budget Detail'!B356,'COST REPORT'!$I$9:$I$998,"close"))-(SUMIFS('COST REPORT'!$F$9:$F$998,'COST REPORT'!$A$9:$A$998,'Contractor''s Budget Detail'!B356,'COST REPORT'!$I$9:$I$998,"close",'COST REPORT'!$J$9:$J$998,"x"))</f>
        <v>0</v>
      </c>
      <c r="G356" s="302">
        <f t="shared" ref="G356:G365" si="79">E356+F356</f>
        <v>0</v>
      </c>
      <c r="H356" s="302">
        <f>SUMIF('COST REPORT'!$A$9:$A$998,'Contractor''s Budget Detail'!B356,'COST REPORT'!$G$9:$G$998)</f>
        <v>0</v>
      </c>
      <c r="I356" s="302">
        <f t="shared" ref="I356:I365" si="80">G356-H356</f>
        <v>0</v>
      </c>
      <c r="J356" s="324">
        <f t="shared" ref="J356:J365" si="81">D356-G356</f>
        <v>0</v>
      </c>
    </row>
    <row r="357" spans="1:14">
      <c r="A357" s="321">
        <v>14000</v>
      </c>
      <c r="B357" s="322">
        <f t="shared" ref="B357:B365" si="82">B356+1</f>
        <v>14003</v>
      </c>
      <c r="C357" s="317" t="s">
        <v>2136</v>
      </c>
      <c r="D357" s="323">
        <v>0</v>
      </c>
      <c r="E357" s="302">
        <f>(SUMIF('COST REPORT'!$A$9:$A$998,'Contractor''s Budget Detail'!B357,'COST REPORT'!$F$9:$F$998))-(SUMIFS('COST REPORT'!$F$9:$F$998,'COST REPORT'!$A$9:$A$998,'Contractor''s Budget Detail'!B357,'COST REPORT'!$I$9:$I$998,"Close"))</f>
        <v>0</v>
      </c>
      <c r="F357" s="302">
        <f>(SUMIF(INPUT!$I$231:$I$522,'Contractor''s Budget Detail'!B357,INPUT!$H$231:$H$522)+SUMIFS('COST REPORT'!$F$9:$F$998,'COST REPORT'!$A$9:$A$998,'Contractor''s Budget Detail'!B357,'COST REPORT'!$I$9:$I$998,"close"))-(SUMIFS('COST REPORT'!$F$9:$F$998,'COST REPORT'!$A$9:$A$998,'Contractor''s Budget Detail'!B357,'COST REPORT'!$I$9:$I$998,"close",'COST REPORT'!$J$9:$J$998,"x"))</f>
        <v>0</v>
      </c>
      <c r="G357" s="302">
        <f t="shared" si="79"/>
        <v>0</v>
      </c>
      <c r="H357" s="302">
        <f>SUMIF('COST REPORT'!$A$9:$A$998,'Contractor''s Budget Detail'!B357,'COST REPORT'!$G$9:$G$998)</f>
        <v>0</v>
      </c>
      <c r="I357" s="302">
        <f t="shared" si="80"/>
        <v>0</v>
      </c>
      <c r="J357" s="324">
        <f t="shared" si="81"/>
        <v>0</v>
      </c>
    </row>
    <row r="358" spans="1:14">
      <c r="A358" s="321">
        <v>14000</v>
      </c>
      <c r="B358" s="322">
        <f t="shared" si="82"/>
        <v>14004</v>
      </c>
      <c r="C358" s="317" t="s">
        <v>2137</v>
      </c>
      <c r="D358" s="323">
        <v>0</v>
      </c>
      <c r="E358" s="302">
        <f>(SUMIF('COST REPORT'!$A$9:$A$998,'Contractor''s Budget Detail'!B358,'COST REPORT'!$F$9:$F$998))-(SUMIFS('COST REPORT'!$F$9:$F$998,'COST REPORT'!$A$9:$A$998,'Contractor''s Budget Detail'!B358,'COST REPORT'!$I$9:$I$998,"Close"))</f>
        <v>0</v>
      </c>
      <c r="F358" s="302">
        <f>(SUMIF(INPUT!$I$231:$I$522,'Contractor''s Budget Detail'!B358,INPUT!$H$231:$H$522)+SUMIFS('COST REPORT'!$F$9:$F$998,'COST REPORT'!$A$9:$A$998,'Contractor''s Budget Detail'!B358,'COST REPORT'!$I$9:$I$998,"close"))-(SUMIFS('COST REPORT'!$F$9:$F$998,'COST REPORT'!$A$9:$A$998,'Contractor''s Budget Detail'!B358,'COST REPORT'!$I$9:$I$998,"close",'COST REPORT'!$J$9:$J$998,"x"))</f>
        <v>0</v>
      </c>
      <c r="G358" s="302">
        <f t="shared" si="79"/>
        <v>0</v>
      </c>
      <c r="H358" s="302">
        <f>SUMIF('COST REPORT'!$A$9:$A$998,'Contractor''s Budget Detail'!B358,'COST REPORT'!$G$9:$G$998)</f>
        <v>0</v>
      </c>
      <c r="I358" s="302">
        <f t="shared" si="80"/>
        <v>0</v>
      </c>
      <c r="J358" s="324">
        <f t="shared" si="81"/>
        <v>0</v>
      </c>
    </row>
    <row r="359" spans="1:14">
      <c r="A359" s="321">
        <v>14000</v>
      </c>
      <c r="B359" s="322">
        <f t="shared" si="82"/>
        <v>14005</v>
      </c>
      <c r="C359" s="317" t="s">
        <v>2138</v>
      </c>
      <c r="D359" s="323">
        <v>0</v>
      </c>
      <c r="E359" s="302">
        <f>(SUMIF('COST REPORT'!$A$9:$A$998,'Contractor''s Budget Detail'!B359,'COST REPORT'!$F$9:$F$998))-(SUMIFS('COST REPORT'!$F$9:$F$998,'COST REPORT'!$A$9:$A$998,'Contractor''s Budget Detail'!B359,'COST REPORT'!$I$9:$I$998,"Close"))</f>
        <v>0</v>
      </c>
      <c r="F359" s="302">
        <f>(SUMIF(INPUT!$I$231:$I$522,'Contractor''s Budget Detail'!B359,INPUT!$H$231:$H$522)+SUMIFS('COST REPORT'!$F$9:$F$998,'COST REPORT'!$A$9:$A$998,'Contractor''s Budget Detail'!B359,'COST REPORT'!$I$9:$I$998,"close"))-(SUMIFS('COST REPORT'!$F$9:$F$998,'COST REPORT'!$A$9:$A$998,'Contractor''s Budget Detail'!B359,'COST REPORT'!$I$9:$I$998,"close",'COST REPORT'!$J$9:$J$998,"x"))</f>
        <v>0</v>
      </c>
      <c r="G359" s="302">
        <f t="shared" si="79"/>
        <v>0</v>
      </c>
      <c r="H359" s="302">
        <f>SUMIF('COST REPORT'!$A$9:$A$998,'Contractor''s Budget Detail'!B359,'COST REPORT'!$G$9:$G$998)</f>
        <v>0</v>
      </c>
      <c r="I359" s="302">
        <f t="shared" si="80"/>
        <v>0</v>
      </c>
      <c r="J359" s="324">
        <f t="shared" si="81"/>
        <v>0</v>
      </c>
    </row>
    <row r="360" spans="1:14">
      <c r="A360" s="321">
        <v>14000</v>
      </c>
      <c r="B360" s="322">
        <f t="shared" si="82"/>
        <v>14006</v>
      </c>
      <c r="C360" s="325" t="s">
        <v>1939</v>
      </c>
      <c r="D360" s="323">
        <v>0</v>
      </c>
      <c r="E360" s="302">
        <f>(SUMIF('COST REPORT'!$A$9:$A$998,'Contractor''s Budget Detail'!B360,'COST REPORT'!$F$9:$F$998))-(SUMIFS('COST REPORT'!$F$9:$F$998,'COST REPORT'!$A$9:$A$998,'Contractor''s Budget Detail'!B360,'COST REPORT'!$I$9:$I$998,"Close"))</f>
        <v>0</v>
      </c>
      <c r="F360" s="302">
        <f>(SUMIF(INPUT!$I$231:$I$522,'Contractor''s Budget Detail'!B360,INPUT!$H$231:$H$522)+SUMIFS('COST REPORT'!$F$9:$F$998,'COST REPORT'!$A$9:$A$998,'Contractor''s Budget Detail'!B360,'COST REPORT'!$I$9:$I$998,"close"))-(SUMIFS('COST REPORT'!$F$9:$F$998,'COST REPORT'!$A$9:$A$998,'Contractor''s Budget Detail'!B360,'COST REPORT'!$I$9:$I$998,"close",'COST REPORT'!$J$9:$J$998,"x"))</f>
        <v>0</v>
      </c>
      <c r="G360" s="302">
        <f t="shared" si="79"/>
        <v>0</v>
      </c>
      <c r="H360" s="302">
        <f>SUMIF('COST REPORT'!$A$9:$A$998,'Contractor''s Budget Detail'!B360,'COST REPORT'!$G$9:$G$998)</f>
        <v>0</v>
      </c>
      <c r="I360" s="302">
        <f t="shared" si="80"/>
        <v>0</v>
      </c>
      <c r="J360" s="324">
        <f t="shared" si="81"/>
        <v>0</v>
      </c>
    </row>
    <row r="361" spans="1:14">
      <c r="A361" s="321">
        <v>14000</v>
      </c>
      <c r="B361" s="322">
        <f t="shared" si="82"/>
        <v>14007</v>
      </c>
      <c r="C361" s="325" t="s">
        <v>1939</v>
      </c>
      <c r="D361" s="323">
        <v>0</v>
      </c>
      <c r="E361" s="302">
        <f>(SUMIF('COST REPORT'!$A$9:$A$998,'Contractor''s Budget Detail'!B361,'COST REPORT'!$F$9:$F$998))-(SUMIFS('COST REPORT'!$F$9:$F$998,'COST REPORT'!$A$9:$A$998,'Contractor''s Budget Detail'!B361,'COST REPORT'!$I$9:$I$998,"Close"))</f>
        <v>0</v>
      </c>
      <c r="F361" s="302">
        <f>(SUMIF(INPUT!$I$231:$I$522,'Contractor''s Budget Detail'!B361,INPUT!$H$231:$H$522)+SUMIFS('COST REPORT'!$F$9:$F$998,'COST REPORT'!$A$9:$A$998,'Contractor''s Budget Detail'!B361,'COST REPORT'!$I$9:$I$998,"close"))-(SUMIFS('COST REPORT'!$F$9:$F$998,'COST REPORT'!$A$9:$A$998,'Contractor''s Budget Detail'!B361,'COST REPORT'!$I$9:$I$998,"close",'COST REPORT'!$J$9:$J$998,"x"))</f>
        <v>0</v>
      </c>
      <c r="G361" s="302">
        <f t="shared" si="79"/>
        <v>0</v>
      </c>
      <c r="H361" s="302">
        <f>SUMIF('COST REPORT'!$A$9:$A$998,'Contractor''s Budget Detail'!B361,'COST REPORT'!$G$9:$G$998)</f>
        <v>0</v>
      </c>
      <c r="I361" s="302">
        <f t="shared" si="80"/>
        <v>0</v>
      </c>
      <c r="J361" s="324">
        <f t="shared" si="81"/>
        <v>0</v>
      </c>
    </row>
    <row r="362" spans="1:14">
      <c r="A362" s="321">
        <v>14000</v>
      </c>
      <c r="B362" s="322">
        <f t="shared" si="82"/>
        <v>14008</v>
      </c>
      <c r="C362" s="325" t="s">
        <v>1939</v>
      </c>
      <c r="D362" s="323">
        <v>0</v>
      </c>
      <c r="E362" s="302">
        <f>(SUMIF('COST REPORT'!$A$9:$A$998,'Contractor''s Budget Detail'!B362,'COST REPORT'!$F$9:$F$998))-(SUMIFS('COST REPORT'!$F$9:$F$998,'COST REPORT'!$A$9:$A$998,'Contractor''s Budget Detail'!B362,'COST REPORT'!$I$9:$I$998,"Close"))</f>
        <v>0</v>
      </c>
      <c r="F362" s="302">
        <f>(SUMIF(INPUT!$I$231:$I$522,'Contractor''s Budget Detail'!B362,INPUT!$H$231:$H$522)+SUMIFS('COST REPORT'!$F$9:$F$998,'COST REPORT'!$A$9:$A$998,'Contractor''s Budget Detail'!B362,'COST REPORT'!$I$9:$I$998,"close"))-(SUMIFS('COST REPORT'!$F$9:$F$998,'COST REPORT'!$A$9:$A$998,'Contractor''s Budget Detail'!B362,'COST REPORT'!$I$9:$I$998,"close",'COST REPORT'!$J$9:$J$998,"x"))</f>
        <v>0</v>
      </c>
      <c r="G362" s="302">
        <f t="shared" si="79"/>
        <v>0</v>
      </c>
      <c r="H362" s="302">
        <f>SUMIF('COST REPORT'!$A$9:$A$998,'Contractor''s Budget Detail'!B362,'COST REPORT'!$G$9:$G$998)</f>
        <v>0</v>
      </c>
      <c r="I362" s="302">
        <f t="shared" si="80"/>
        <v>0</v>
      </c>
      <c r="J362" s="324">
        <f t="shared" si="81"/>
        <v>0</v>
      </c>
      <c r="K362" s="72"/>
      <c r="M362" s="72"/>
      <c r="N362" s="72"/>
    </row>
    <row r="363" spans="1:14">
      <c r="A363" s="321">
        <v>14000</v>
      </c>
      <c r="B363" s="322">
        <f t="shared" si="82"/>
        <v>14009</v>
      </c>
      <c r="C363" s="325" t="s">
        <v>1939</v>
      </c>
      <c r="D363" s="323">
        <v>0</v>
      </c>
      <c r="E363" s="302">
        <f>(SUMIF('COST REPORT'!$A$9:$A$998,'Contractor''s Budget Detail'!B363,'COST REPORT'!$F$9:$F$998))-(SUMIFS('COST REPORT'!$F$9:$F$998,'COST REPORT'!$A$9:$A$998,'Contractor''s Budget Detail'!B363,'COST REPORT'!$I$9:$I$998,"Close"))</f>
        <v>0</v>
      </c>
      <c r="F363" s="302">
        <f>(SUMIF(INPUT!$I$231:$I$522,'Contractor''s Budget Detail'!B363,INPUT!$H$231:$H$522)+SUMIFS('COST REPORT'!$F$9:$F$998,'COST REPORT'!$A$9:$A$998,'Contractor''s Budget Detail'!B363,'COST REPORT'!$I$9:$I$998,"close"))-(SUMIFS('COST REPORT'!$F$9:$F$998,'COST REPORT'!$A$9:$A$998,'Contractor''s Budget Detail'!B363,'COST REPORT'!$I$9:$I$998,"close",'COST REPORT'!$J$9:$J$998,"x"))</f>
        <v>0</v>
      </c>
      <c r="G363" s="302">
        <f t="shared" si="79"/>
        <v>0</v>
      </c>
      <c r="H363" s="302">
        <f>SUMIF('COST REPORT'!$A$9:$A$998,'Contractor''s Budget Detail'!B363,'COST REPORT'!$G$9:$G$998)</f>
        <v>0</v>
      </c>
      <c r="I363" s="302">
        <f t="shared" si="80"/>
        <v>0</v>
      </c>
      <c r="J363" s="324">
        <f t="shared" si="81"/>
        <v>0</v>
      </c>
      <c r="K363" s="72"/>
      <c r="M363" s="72"/>
      <c r="N363" s="72"/>
    </row>
    <row r="364" spans="1:14">
      <c r="A364" s="321">
        <v>14000</v>
      </c>
      <c r="B364" s="322">
        <f t="shared" si="82"/>
        <v>14010</v>
      </c>
      <c r="C364" s="325" t="s">
        <v>1939</v>
      </c>
      <c r="D364" s="323">
        <v>0</v>
      </c>
      <c r="E364" s="302">
        <f>(SUMIF('COST REPORT'!$A$9:$A$998,'Contractor''s Budget Detail'!B364,'COST REPORT'!$F$9:$F$998))-(SUMIFS('COST REPORT'!$F$9:$F$998,'COST REPORT'!$A$9:$A$998,'Contractor''s Budget Detail'!B364,'COST REPORT'!$I$9:$I$998,"Close"))</f>
        <v>0</v>
      </c>
      <c r="F364" s="302">
        <f>(SUMIF(INPUT!$I$231:$I$522,'Contractor''s Budget Detail'!B364,INPUT!$H$231:$H$522)+SUMIFS('COST REPORT'!$F$9:$F$998,'COST REPORT'!$A$9:$A$998,'Contractor''s Budget Detail'!B364,'COST REPORT'!$I$9:$I$998,"close"))-(SUMIFS('COST REPORT'!$F$9:$F$998,'COST REPORT'!$A$9:$A$998,'Contractor''s Budget Detail'!B364,'COST REPORT'!$I$9:$I$998,"close",'COST REPORT'!$J$9:$J$998,"x"))</f>
        <v>0</v>
      </c>
      <c r="G364" s="302">
        <f t="shared" si="79"/>
        <v>0</v>
      </c>
      <c r="H364" s="302">
        <f>SUMIF('COST REPORT'!$A$9:$A$998,'Contractor''s Budget Detail'!B364,'COST REPORT'!$G$9:$G$998)</f>
        <v>0</v>
      </c>
      <c r="I364" s="302">
        <f t="shared" si="80"/>
        <v>0</v>
      </c>
      <c r="J364" s="324">
        <f t="shared" si="81"/>
        <v>0</v>
      </c>
      <c r="K364" s="72"/>
      <c r="M364" s="72"/>
      <c r="N364" s="72"/>
    </row>
    <row r="365" spans="1:14">
      <c r="A365" s="321">
        <v>14000</v>
      </c>
      <c r="B365" s="322">
        <f t="shared" si="82"/>
        <v>14011</v>
      </c>
      <c r="C365" s="325" t="s">
        <v>1939</v>
      </c>
      <c r="D365" s="323">
        <v>0</v>
      </c>
      <c r="E365" s="302">
        <f>(SUMIF('COST REPORT'!$A$9:$A$998,'Contractor''s Budget Detail'!B365,'COST REPORT'!$F$9:$F$998))-(SUMIFS('COST REPORT'!$F$9:$F$998,'COST REPORT'!$A$9:$A$998,'Contractor''s Budget Detail'!B365,'COST REPORT'!$I$9:$I$998,"Close"))</f>
        <v>0</v>
      </c>
      <c r="F365" s="302">
        <f>(SUMIF(INPUT!$I$231:$I$522,'Contractor''s Budget Detail'!B365,INPUT!$H$231:$H$522)+SUMIFS('COST REPORT'!$F$9:$F$998,'COST REPORT'!$A$9:$A$998,'Contractor''s Budget Detail'!B365,'COST REPORT'!$I$9:$I$998,"close"))-(SUMIFS('COST REPORT'!$F$9:$F$998,'COST REPORT'!$A$9:$A$998,'Contractor''s Budget Detail'!B365,'COST REPORT'!$I$9:$I$998,"close",'COST REPORT'!$J$9:$J$998,"x"))</f>
        <v>0</v>
      </c>
      <c r="G365" s="302">
        <f t="shared" si="79"/>
        <v>0</v>
      </c>
      <c r="H365" s="302">
        <f>SUMIF('COST REPORT'!$A$9:$A$998,'Contractor''s Budget Detail'!B365,'COST REPORT'!$G$9:$G$998)</f>
        <v>0</v>
      </c>
      <c r="I365" s="302">
        <f t="shared" si="80"/>
        <v>0</v>
      </c>
      <c r="J365" s="324">
        <f t="shared" si="81"/>
        <v>0</v>
      </c>
      <c r="K365" s="72"/>
      <c r="M365" s="72"/>
      <c r="N365" s="72"/>
    </row>
    <row r="366" spans="1:14" ht="13.5" thickBot="1">
      <c r="A366" s="326" t="s">
        <v>2139</v>
      </c>
      <c r="B366" s="307"/>
      <c r="C366" s="308"/>
      <c r="D366" s="305">
        <f t="shared" ref="D366:J366" si="83">SUM(D355:D365)</f>
        <v>0</v>
      </c>
      <c r="E366" s="305">
        <f t="shared" si="83"/>
        <v>0</v>
      </c>
      <c r="F366" s="305">
        <f t="shared" si="83"/>
        <v>0</v>
      </c>
      <c r="G366" s="305">
        <f t="shared" si="83"/>
        <v>0</v>
      </c>
      <c r="H366" s="305">
        <f t="shared" si="83"/>
        <v>0</v>
      </c>
      <c r="I366" s="305">
        <f t="shared" si="83"/>
        <v>0</v>
      </c>
      <c r="J366" s="327">
        <f t="shared" si="83"/>
        <v>0</v>
      </c>
    </row>
    <row r="367" spans="1:14">
      <c r="A367" s="328"/>
      <c r="B367" s="71"/>
      <c r="C367" s="90"/>
      <c r="D367" s="306"/>
      <c r="E367" s="306"/>
      <c r="H367" s="306"/>
      <c r="I367" s="306"/>
      <c r="J367" s="329"/>
    </row>
    <row r="368" spans="1:14">
      <c r="A368" s="330" t="s">
        <v>1372</v>
      </c>
      <c r="B368" s="337"/>
      <c r="C368" s="89"/>
      <c r="D368" s="338"/>
      <c r="E368" s="338"/>
      <c r="F368" s="338"/>
      <c r="G368" s="338"/>
      <c r="H368" s="338"/>
      <c r="I368" s="338"/>
      <c r="J368" s="339"/>
    </row>
    <row r="369" spans="1:14">
      <c r="A369" s="321">
        <v>15000</v>
      </c>
      <c r="B369" s="322">
        <v>15001</v>
      </c>
      <c r="C369" s="317" t="s">
        <v>2140</v>
      </c>
      <c r="D369" s="323">
        <v>0</v>
      </c>
      <c r="E369" s="302">
        <f>(SUMIF('COST REPORT'!$A$9:$A$998,'Contractor''s Budget Detail'!B369,'COST REPORT'!$F$9:$F$998))-(SUMIFS('COST REPORT'!$F$9:$F$998,'COST REPORT'!$A$9:$A$998,'Contractor''s Budget Detail'!B369,'COST REPORT'!$I$9:$I$998,"Close"))</f>
        <v>0</v>
      </c>
      <c r="F369" s="302">
        <f>(SUMIF(INPUT!$I$231:$I$522,'Contractor''s Budget Detail'!B369,INPUT!$H$231:$H$522)+SUMIFS('COST REPORT'!$F$9:$F$998,'COST REPORT'!$A$9:$A$998,'Contractor''s Budget Detail'!B369,'COST REPORT'!$I$9:$I$998,"close"))-(SUMIFS('COST REPORT'!$F$9:$F$998,'COST REPORT'!$A$9:$A$998,'Contractor''s Budget Detail'!B369,'COST REPORT'!$I$9:$I$998,"close",'COST REPORT'!$J$9:$J$998,"x"))</f>
        <v>0</v>
      </c>
      <c r="G369" s="302">
        <f>E369+F369</f>
        <v>0</v>
      </c>
      <c r="H369" s="302">
        <f>SUMIF('COST REPORT'!$A$9:$A$998,'Contractor''s Budget Detail'!B369,'COST REPORT'!$G$9:$G$998)</f>
        <v>0</v>
      </c>
      <c r="I369" s="302">
        <f>G369-H369</f>
        <v>0</v>
      </c>
      <c r="J369" s="324">
        <f>D369-G369</f>
        <v>0</v>
      </c>
      <c r="K369" s="72"/>
      <c r="L369" s="1034"/>
      <c r="M369" s="72"/>
      <c r="N369" s="72"/>
    </row>
    <row r="370" spans="1:14">
      <c r="A370" s="321">
        <v>15000</v>
      </c>
      <c r="B370" s="322">
        <f>B369+1</f>
        <v>15002</v>
      </c>
      <c r="C370" s="317" t="s">
        <v>2141</v>
      </c>
      <c r="D370" s="323">
        <v>0</v>
      </c>
      <c r="E370" s="302">
        <f>(SUMIF('COST REPORT'!$A$9:$A$998,'Contractor''s Budget Detail'!B370,'COST REPORT'!$F$9:$F$998))-(SUMIFS('COST REPORT'!$F$9:$F$998,'COST REPORT'!$A$9:$A$998,'Contractor''s Budget Detail'!B370,'COST REPORT'!$I$9:$I$998,"Close"))</f>
        <v>0</v>
      </c>
      <c r="F370" s="302">
        <f>(SUMIF(INPUT!$I$231:$I$522,'Contractor''s Budget Detail'!B370,INPUT!$H$231:$H$522)+SUMIFS('COST REPORT'!$F$9:$F$998,'COST REPORT'!$A$9:$A$998,'Contractor''s Budget Detail'!B370,'COST REPORT'!$I$9:$I$998,"close"))-(SUMIFS('COST REPORT'!$F$9:$F$998,'COST REPORT'!$A$9:$A$998,'Contractor''s Budget Detail'!B370,'COST REPORT'!$I$9:$I$998,"close",'COST REPORT'!$J$9:$J$998,"x"))</f>
        <v>0</v>
      </c>
      <c r="G370" s="302">
        <f t="shared" ref="G370:G380" si="84">E370+F370</f>
        <v>0</v>
      </c>
      <c r="H370" s="302">
        <f>SUMIF('COST REPORT'!$A$9:$A$998,'Contractor''s Budget Detail'!B370,'COST REPORT'!$G$9:$G$998)</f>
        <v>0</v>
      </c>
      <c r="I370" s="302">
        <f t="shared" ref="I370:I380" si="85">G370-H370</f>
        <v>0</v>
      </c>
      <c r="J370" s="324">
        <f t="shared" ref="J370:J380" si="86">D370-G370</f>
        <v>0</v>
      </c>
      <c r="K370" s="72"/>
      <c r="M370" s="72"/>
      <c r="N370" s="72"/>
    </row>
    <row r="371" spans="1:14">
      <c r="A371" s="321">
        <v>15000</v>
      </c>
      <c r="B371" s="322">
        <f t="shared" ref="B371:B380" si="87">B370+1</f>
        <v>15003</v>
      </c>
      <c r="C371" s="317" t="s">
        <v>2142</v>
      </c>
      <c r="D371" s="323">
        <v>0</v>
      </c>
      <c r="E371" s="302">
        <f>(SUMIF('COST REPORT'!$A$9:$A$998,'Contractor''s Budget Detail'!B371,'COST REPORT'!$F$9:$F$998))-(SUMIFS('COST REPORT'!$F$9:$F$998,'COST REPORT'!$A$9:$A$998,'Contractor''s Budget Detail'!B371,'COST REPORT'!$I$9:$I$998,"Close"))</f>
        <v>0</v>
      </c>
      <c r="F371" s="302">
        <f>(SUMIF(INPUT!$I$231:$I$522,'Contractor''s Budget Detail'!B371,INPUT!$H$231:$H$522)+SUMIFS('COST REPORT'!$F$9:$F$998,'COST REPORT'!$A$9:$A$998,'Contractor''s Budget Detail'!B371,'COST REPORT'!$I$9:$I$998,"close"))-(SUMIFS('COST REPORT'!$F$9:$F$998,'COST REPORT'!$A$9:$A$998,'Contractor''s Budget Detail'!B371,'COST REPORT'!$I$9:$I$998,"close",'COST REPORT'!$J$9:$J$998,"x"))</f>
        <v>0</v>
      </c>
      <c r="G371" s="302">
        <f t="shared" si="84"/>
        <v>0</v>
      </c>
      <c r="H371" s="302">
        <f>SUMIF('COST REPORT'!$A$9:$A$998,'Contractor''s Budget Detail'!B371,'COST REPORT'!$G$9:$G$998)</f>
        <v>0</v>
      </c>
      <c r="I371" s="302">
        <f t="shared" si="85"/>
        <v>0</v>
      </c>
      <c r="J371" s="324">
        <f t="shared" si="86"/>
        <v>0</v>
      </c>
      <c r="K371" s="72"/>
      <c r="M371" s="72"/>
      <c r="N371" s="72"/>
    </row>
    <row r="372" spans="1:14">
      <c r="A372" s="321">
        <v>15000</v>
      </c>
      <c r="B372" s="322">
        <f t="shared" si="87"/>
        <v>15004</v>
      </c>
      <c r="C372" s="317" t="s">
        <v>2143</v>
      </c>
      <c r="D372" s="323">
        <v>0</v>
      </c>
      <c r="E372" s="302">
        <f>(SUMIF('COST REPORT'!$A$9:$A$998,'Contractor''s Budget Detail'!B372,'COST REPORT'!$F$9:$F$998))-(SUMIFS('COST REPORT'!$F$9:$F$998,'COST REPORT'!$A$9:$A$998,'Contractor''s Budget Detail'!B372,'COST REPORT'!$I$9:$I$998,"Close"))</f>
        <v>0</v>
      </c>
      <c r="F372" s="302">
        <f>(SUMIF(INPUT!$I$231:$I$522,'Contractor''s Budget Detail'!B372,INPUT!$H$231:$H$522)+SUMIFS('COST REPORT'!$F$9:$F$998,'COST REPORT'!$A$9:$A$998,'Contractor''s Budget Detail'!B372,'COST REPORT'!$I$9:$I$998,"close"))-(SUMIFS('COST REPORT'!$F$9:$F$998,'COST REPORT'!$A$9:$A$998,'Contractor''s Budget Detail'!B372,'COST REPORT'!$I$9:$I$998,"close",'COST REPORT'!$J$9:$J$998,"x"))</f>
        <v>0</v>
      </c>
      <c r="G372" s="302">
        <f t="shared" si="84"/>
        <v>0</v>
      </c>
      <c r="H372" s="302">
        <f>SUMIF('COST REPORT'!$A$9:$A$998,'Contractor''s Budget Detail'!B372,'COST REPORT'!$G$9:$G$998)</f>
        <v>0</v>
      </c>
      <c r="I372" s="302">
        <f t="shared" si="85"/>
        <v>0</v>
      </c>
      <c r="J372" s="324">
        <f t="shared" si="86"/>
        <v>0</v>
      </c>
      <c r="K372" s="72"/>
      <c r="M372" s="72"/>
      <c r="N372" s="72"/>
    </row>
    <row r="373" spans="1:14">
      <c r="A373" s="321">
        <v>15000</v>
      </c>
      <c r="B373" s="322">
        <f t="shared" si="87"/>
        <v>15005</v>
      </c>
      <c r="C373" s="325" t="s">
        <v>1939</v>
      </c>
      <c r="D373" s="323">
        <v>0</v>
      </c>
      <c r="E373" s="302">
        <f>(SUMIF('COST REPORT'!$A$9:$A$998,'Contractor''s Budget Detail'!B373,'COST REPORT'!$F$9:$F$998))-(SUMIFS('COST REPORT'!$F$9:$F$998,'COST REPORT'!$A$9:$A$998,'Contractor''s Budget Detail'!B373,'COST REPORT'!$I$9:$I$998,"Close"))</f>
        <v>0</v>
      </c>
      <c r="F373" s="302">
        <f>(SUMIF(INPUT!$I$231:$I$522,'Contractor''s Budget Detail'!B373,INPUT!$H$231:$H$522)+SUMIFS('COST REPORT'!$F$9:$F$998,'COST REPORT'!$A$9:$A$998,'Contractor''s Budget Detail'!B373,'COST REPORT'!$I$9:$I$998,"close"))-(SUMIFS('COST REPORT'!$F$9:$F$998,'COST REPORT'!$A$9:$A$998,'Contractor''s Budget Detail'!B373,'COST REPORT'!$I$9:$I$998,"close",'COST REPORT'!$J$9:$J$998,"x"))</f>
        <v>0</v>
      </c>
      <c r="G373" s="302">
        <f t="shared" si="84"/>
        <v>0</v>
      </c>
      <c r="H373" s="302">
        <f>SUMIF('COST REPORT'!$A$9:$A$998,'Contractor''s Budget Detail'!B373,'COST REPORT'!$G$9:$G$998)</f>
        <v>0</v>
      </c>
      <c r="I373" s="302">
        <f t="shared" si="85"/>
        <v>0</v>
      </c>
      <c r="J373" s="324">
        <f t="shared" si="86"/>
        <v>0</v>
      </c>
      <c r="K373" s="72"/>
      <c r="M373" s="72"/>
      <c r="N373" s="72"/>
    </row>
    <row r="374" spans="1:14">
      <c r="A374" s="321">
        <v>15000</v>
      </c>
      <c r="B374" s="322">
        <f t="shared" si="87"/>
        <v>15006</v>
      </c>
      <c r="C374" s="325" t="s">
        <v>1939</v>
      </c>
      <c r="D374" s="323">
        <v>0</v>
      </c>
      <c r="E374" s="302">
        <f>(SUMIF('COST REPORT'!$A$9:$A$998,'Contractor''s Budget Detail'!B374,'COST REPORT'!$F$9:$F$998))-(SUMIFS('COST REPORT'!$F$9:$F$998,'COST REPORT'!$A$9:$A$998,'Contractor''s Budget Detail'!B374,'COST REPORT'!$I$9:$I$998,"Close"))</f>
        <v>0</v>
      </c>
      <c r="F374" s="302">
        <f>(SUMIF(INPUT!$I$231:$I$522,'Contractor''s Budget Detail'!B374,INPUT!$H$231:$H$522)+SUMIFS('COST REPORT'!$F$9:$F$998,'COST REPORT'!$A$9:$A$998,'Contractor''s Budget Detail'!B374,'COST REPORT'!$I$9:$I$998,"close"))-(SUMIFS('COST REPORT'!$F$9:$F$998,'COST REPORT'!$A$9:$A$998,'Contractor''s Budget Detail'!B374,'COST REPORT'!$I$9:$I$998,"close",'COST REPORT'!$J$9:$J$998,"x"))</f>
        <v>0</v>
      </c>
      <c r="G374" s="302">
        <f t="shared" si="84"/>
        <v>0</v>
      </c>
      <c r="H374" s="302">
        <f>SUMIF('COST REPORT'!$A$9:$A$998,'Contractor''s Budget Detail'!B374,'COST REPORT'!$G$9:$G$998)</f>
        <v>0</v>
      </c>
      <c r="I374" s="302">
        <f t="shared" si="85"/>
        <v>0</v>
      </c>
      <c r="J374" s="324">
        <f t="shared" si="86"/>
        <v>0</v>
      </c>
      <c r="K374" s="72"/>
      <c r="M374" s="72"/>
      <c r="N374" s="72"/>
    </row>
    <row r="375" spans="1:14">
      <c r="A375" s="321">
        <v>15000</v>
      </c>
      <c r="B375" s="322">
        <f t="shared" si="87"/>
        <v>15007</v>
      </c>
      <c r="C375" s="325" t="s">
        <v>1939</v>
      </c>
      <c r="D375" s="323">
        <v>0</v>
      </c>
      <c r="E375" s="302">
        <f>(SUMIF('COST REPORT'!$A$9:$A$998,'Contractor''s Budget Detail'!B375,'COST REPORT'!$F$9:$F$998))-(SUMIFS('COST REPORT'!$F$9:$F$998,'COST REPORT'!$A$9:$A$998,'Contractor''s Budget Detail'!B375,'COST REPORT'!$I$9:$I$998,"Close"))</f>
        <v>0</v>
      </c>
      <c r="F375" s="302">
        <f>(SUMIF(INPUT!$I$231:$I$522,'Contractor''s Budget Detail'!B375,INPUT!$H$231:$H$522)+SUMIFS('COST REPORT'!$F$9:$F$998,'COST REPORT'!$A$9:$A$998,'Contractor''s Budget Detail'!B375,'COST REPORT'!$I$9:$I$998,"close"))-(SUMIFS('COST REPORT'!$F$9:$F$998,'COST REPORT'!$A$9:$A$998,'Contractor''s Budget Detail'!B375,'COST REPORT'!$I$9:$I$998,"close",'COST REPORT'!$J$9:$J$998,"x"))</f>
        <v>0</v>
      </c>
      <c r="G375" s="302">
        <f>E375+F375</f>
        <v>0</v>
      </c>
      <c r="H375" s="302">
        <f>SUMIF('COST REPORT'!$A$9:$A$998,'Contractor''s Budget Detail'!B375,'COST REPORT'!$G$9:$G$998)</f>
        <v>0</v>
      </c>
      <c r="I375" s="302">
        <f>G375-H375</f>
        <v>0</v>
      </c>
      <c r="J375" s="324">
        <f>D375-G375</f>
        <v>0</v>
      </c>
      <c r="K375" s="72"/>
      <c r="M375" s="72"/>
      <c r="N375" s="72"/>
    </row>
    <row r="376" spans="1:14">
      <c r="A376" s="321">
        <v>15000</v>
      </c>
      <c r="B376" s="322">
        <f t="shared" si="87"/>
        <v>15008</v>
      </c>
      <c r="C376" s="325" t="s">
        <v>1939</v>
      </c>
      <c r="D376" s="323">
        <v>0</v>
      </c>
      <c r="E376" s="302">
        <f>(SUMIF('COST REPORT'!$A$9:$A$998,'Contractor''s Budget Detail'!B376,'COST REPORT'!$F$9:$F$998))-(SUMIFS('COST REPORT'!$F$9:$F$998,'COST REPORT'!$A$9:$A$998,'Contractor''s Budget Detail'!B376,'COST REPORT'!$I$9:$I$998,"Close"))</f>
        <v>0</v>
      </c>
      <c r="F376" s="302">
        <f>(SUMIF(INPUT!$I$231:$I$522,'Contractor''s Budget Detail'!B376,INPUT!$H$231:$H$522)+SUMIFS('COST REPORT'!$F$9:$F$998,'COST REPORT'!$A$9:$A$998,'Contractor''s Budget Detail'!B376,'COST REPORT'!$I$9:$I$998,"close"))-(SUMIFS('COST REPORT'!$F$9:$F$998,'COST REPORT'!$A$9:$A$998,'Contractor''s Budget Detail'!B376,'COST REPORT'!$I$9:$I$998,"close",'COST REPORT'!$J$9:$J$998,"x"))</f>
        <v>0</v>
      </c>
      <c r="G376" s="302">
        <f>E376+F376</f>
        <v>0</v>
      </c>
      <c r="H376" s="302">
        <f>SUMIF('COST REPORT'!$A$9:$A$998,'Contractor''s Budget Detail'!B376,'COST REPORT'!$G$9:$G$998)</f>
        <v>0</v>
      </c>
      <c r="I376" s="302">
        <f>G376-H376</f>
        <v>0</v>
      </c>
      <c r="J376" s="324">
        <f>D376-G376</f>
        <v>0</v>
      </c>
      <c r="K376" s="72"/>
      <c r="M376" s="72"/>
      <c r="N376" s="72"/>
    </row>
    <row r="377" spans="1:14">
      <c r="A377" s="321">
        <v>15000</v>
      </c>
      <c r="B377" s="322">
        <f t="shared" si="87"/>
        <v>15009</v>
      </c>
      <c r="C377" s="325" t="s">
        <v>1939</v>
      </c>
      <c r="D377" s="323">
        <v>0</v>
      </c>
      <c r="E377" s="302">
        <f>(SUMIF('COST REPORT'!$A$9:$A$998,'Contractor''s Budget Detail'!B377,'COST REPORT'!$F$9:$F$998))-(SUMIFS('COST REPORT'!$F$9:$F$998,'COST REPORT'!$A$9:$A$998,'Contractor''s Budget Detail'!B377,'COST REPORT'!$I$9:$I$998,"Close"))</f>
        <v>0</v>
      </c>
      <c r="F377" s="302">
        <f>(SUMIF(INPUT!$I$231:$I$522,'Contractor''s Budget Detail'!B377,INPUT!$H$231:$H$522)+SUMIFS('COST REPORT'!$F$9:$F$998,'COST REPORT'!$A$9:$A$998,'Contractor''s Budget Detail'!B377,'COST REPORT'!$I$9:$I$998,"close"))-(SUMIFS('COST REPORT'!$F$9:$F$998,'COST REPORT'!$A$9:$A$998,'Contractor''s Budget Detail'!B377,'COST REPORT'!$I$9:$I$998,"close",'COST REPORT'!$J$9:$J$998,"x"))</f>
        <v>0</v>
      </c>
      <c r="G377" s="302">
        <f>E377+F377</f>
        <v>0</v>
      </c>
      <c r="H377" s="302">
        <f>SUMIF('COST REPORT'!$A$9:$A$998,'Contractor''s Budget Detail'!B377,'COST REPORT'!$G$9:$G$998)</f>
        <v>0</v>
      </c>
      <c r="I377" s="302">
        <f>G377-H377</f>
        <v>0</v>
      </c>
      <c r="J377" s="324">
        <f>D377-G377</f>
        <v>0</v>
      </c>
      <c r="K377" s="72"/>
      <c r="M377" s="72"/>
      <c r="N377" s="72"/>
    </row>
    <row r="378" spans="1:14">
      <c r="A378" s="321">
        <v>15000</v>
      </c>
      <c r="B378" s="322">
        <f t="shared" si="87"/>
        <v>15010</v>
      </c>
      <c r="C378" s="325" t="s">
        <v>1939</v>
      </c>
      <c r="D378" s="323">
        <v>0</v>
      </c>
      <c r="E378" s="302">
        <f>(SUMIF('COST REPORT'!$A$9:$A$998,'Contractor''s Budget Detail'!B378,'COST REPORT'!$F$9:$F$998))-(SUMIFS('COST REPORT'!$F$9:$F$998,'COST REPORT'!$A$9:$A$998,'Contractor''s Budget Detail'!B378,'COST REPORT'!$I$9:$I$998,"Close"))</f>
        <v>0</v>
      </c>
      <c r="F378" s="302">
        <f>(SUMIF(INPUT!$I$231:$I$522,'Contractor''s Budget Detail'!B378,INPUT!$H$231:$H$522)+SUMIFS('COST REPORT'!$F$9:$F$998,'COST REPORT'!$A$9:$A$998,'Contractor''s Budget Detail'!B378,'COST REPORT'!$I$9:$I$998,"close"))-(SUMIFS('COST REPORT'!$F$9:$F$998,'COST REPORT'!$A$9:$A$998,'Contractor''s Budget Detail'!B378,'COST REPORT'!$I$9:$I$998,"close",'COST REPORT'!$J$9:$J$998,"x"))</f>
        <v>0</v>
      </c>
      <c r="G378" s="302">
        <f>E378+F378</f>
        <v>0</v>
      </c>
      <c r="H378" s="302">
        <f>SUMIF('COST REPORT'!$A$9:$A$998,'Contractor''s Budget Detail'!B378,'COST REPORT'!$G$9:$G$998)</f>
        <v>0</v>
      </c>
      <c r="I378" s="302">
        <f>G378-H378</f>
        <v>0</v>
      </c>
      <c r="J378" s="324">
        <f>D378-G378</f>
        <v>0</v>
      </c>
      <c r="K378" s="72"/>
      <c r="M378" s="72"/>
      <c r="N378" s="72"/>
    </row>
    <row r="379" spans="1:14">
      <c r="A379" s="321">
        <v>15000</v>
      </c>
      <c r="B379" s="322">
        <f t="shared" si="87"/>
        <v>15011</v>
      </c>
      <c r="C379" s="325" t="s">
        <v>1939</v>
      </c>
      <c r="D379" s="323">
        <v>0</v>
      </c>
      <c r="E379" s="302">
        <f>(SUMIF('COST REPORT'!$A$9:$A$998,'Contractor''s Budget Detail'!B379,'COST REPORT'!$F$9:$F$998))-(SUMIFS('COST REPORT'!$F$9:$F$998,'COST REPORT'!$A$9:$A$998,'Contractor''s Budget Detail'!B379,'COST REPORT'!$I$9:$I$998,"Close"))</f>
        <v>0</v>
      </c>
      <c r="F379" s="302">
        <f>(SUMIF(INPUT!$I$231:$I$522,'Contractor''s Budget Detail'!B379,INPUT!$H$231:$H$522)+SUMIFS('COST REPORT'!$F$9:$F$998,'COST REPORT'!$A$9:$A$998,'Contractor''s Budget Detail'!B379,'COST REPORT'!$I$9:$I$998,"close"))-(SUMIFS('COST REPORT'!$F$9:$F$998,'COST REPORT'!$A$9:$A$998,'Contractor''s Budget Detail'!B379,'COST REPORT'!$I$9:$I$998,"close",'COST REPORT'!$J$9:$J$998,"x"))</f>
        <v>0</v>
      </c>
      <c r="G379" s="302">
        <f t="shared" si="84"/>
        <v>0</v>
      </c>
      <c r="H379" s="302">
        <f>SUMIF('COST REPORT'!$A$9:$A$998,'Contractor''s Budget Detail'!B379,'COST REPORT'!$G$9:$G$998)</f>
        <v>0</v>
      </c>
      <c r="I379" s="302">
        <f t="shared" si="85"/>
        <v>0</v>
      </c>
      <c r="J379" s="324">
        <f t="shared" si="86"/>
        <v>0</v>
      </c>
      <c r="K379" s="72"/>
      <c r="M379" s="72"/>
      <c r="N379" s="72"/>
    </row>
    <row r="380" spans="1:14">
      <c r="A380" s="321">
        <v>15000</v>
      </c>
      <c r="B380" s="322">
        <f t="shared" si="87"/>
        <v>15012</v>
      </c>
      <c r="C380" s="325" t="s">
        <v>1939</v>
      </c>
      <c r="D380" s="323">
        <v>0</v>
      </c>
      <c r="E380" s="302">
        <f>(SUMIF('COST REPORT'!$A$9:$A$998,'Contractor''s Budget Detail'!B380,'COST REPORT'!$F$9:$F$998))-(SUMIFS('COST REPORT'!$F$9:$F$998,'COST REPORT'!$A$9:$A$998,'Contractor''s Budget Detail'!B380,'COST REPORT'!$I$9:$I$998,"Close"))</f>
        <v>0</v>
      </c>
      <c r="F380" s="302">
        <f>(SUMIF(INPUT!$I$231:$I$522,'Contractor''s Budget Detail'!B380,INPUT!$H$231:$H$522)+SUMIFS('COST REPORT'!$F$9:$F$998,'COST REPORT'!$A$9:$A$998,'Contractor''s Budget Detail'!B380,'COST REPORT'!$I$9:$I$998,"close"))-(SUMIFS('COST REPORT'!$F$9:$F$998,'COST REPORT'!$A$9:$A$998,'Contractor''s Budget Detail'!B380,'COST REPORT'!$I$9:$I$998,"close",'COST REPORT'!$J$9:$J$998,"x"))</f>
        <v>0</v>
      </c>
      <c r="G380" s="302">
        <f t="shared" si="84"/>
        <v>0</v>
      </c>
      <c r="H380" s="302">
        <f>SUMIF('COST REPORT'!$A$9:$A$998,'Contractor''s Budget Detail'!B380,'COST REPORT'!$G$9:$G$998)</f>
        <v>0</v>
      </c>
      <c r="I380" s="302">
        <f t="shared" si="85"/>
        <v>0</v>
      </c>
      <c r="J380" s="324">
        <f t="shared" si="86"/>
        <v>0</v>
      </c>
      <c r="K380" s="72"/>
      <c r="M380" s="72"/>
      <c r="N380" s="72"/>
    </row>
    <row r="381" spans="1:14" ht="13.5" thickBot="1">
      <c r="A381" s="326" t="s">
        <v>2144</v>
      </c>
      <c r="B381" s="307"/>
      <c r="C381" s="308"/>
      <c r="D381" s="305">
        <f t="shared" ref="D381:J381" si="88">SUM(D369:D380)</f>
        <v>0</v>
      </c>
      <c r="E381" s="305">
        <f t="shared" si="88"/>
        <v>0</v>
      </c>
      <c r="F381" s="305">
        <f t="shared" si="88"/>
        <v>0</v>
      </c>
      <c r="G381" s="305">
        <f t="shared" si="88"/>
        <v>0</v>
      </c>
      <c r="H381" s="305">
        <f t="shared" si="88"/>
        <v>0</v>
      </c>
      <c r="I381" s="305">
        <f t="shared" si="88"/>
        <v>0</v>
      </c>
      <c r="J381" s="327">
        <f t="shared" si="88"/>
        <v>0</v>
      </c>
    </row>
    <row r="382" spans="1:14">
      <c r="A382" s="328"/>
      <c r="B382" s="71"/>
      <c r="C382" s="90"/>
      <c r="D382" s="306"/>
      <c r="E382" s="306"/>
      <c r="H382" s="306"/>
      <c r="I382" s="306"/>
      <c r="J382" s="329"/>
    </row>
    <row r="383" spans="1:14">
      <c r="A383" s="330" t="s">
        <v>1373</v>
      </c>
      <c r="B383" s="205"/>
      <c r="C383" s="88"/>
      <c r="D383" s="331"/>
      <c r="E383" s="331"/>
      <c r="F383" s="338"/>
      <c r="G383" s="338"/>
      <c r="H383" s="331"/>
      <c r="I383" s="331"/>
      <c r="J383" s="339"/>
    </row>
    <row r="384" spans="1:14">
      <c r="A384" s="321">
        <v>16000</v>
      </c>
      <c r="B384" s="322">
        <v>16001</v>
      </c>
      <c r="C384" s="317" t="s">
        <v>2145</v>
      </c>
      <c r="D384" s="323">
        <v>0</v>
      </c>
      <c r="E384" s="302">
        <f>(SUMIF('COST REPORT'!$A$9:$A$998,'Contractor''s Budget Detail'!B384,'COST REPORT'!$F$9:$F$998))-(SUMIFS('COST REPORT'!$F$9:$F$998,'COST REPORT'!$A$9:$A$998,'Contractor''s Budget Detail'!B384,'COST REPORT'!$I$9:$I$998,"Close"))</f>
        <v>0</v>
      </c>
      <c r="F384" s="302">
        <f>(SUMIF(INPUT!$I$231:$I$522,'Contractor''s Budget Detail'!B384,INPUT!$H$231:$H$522)+SUMIFS('COST REPORT'!$F$9:$F$998,'COST REPORT'!$A$9:$A$998,'Contractor''s Budget Detail'!B384,'COST REPORT'!$I$9:$I$998,"close"))-(SUMIFS('COST REPORT'!$F$9:$F$998,'COST REPORT'!$A$9:$A$998,'Contractor''s Budget Detail'!B384,'COST REPORT'!$I$9:$I$998,"close",'COST REPORT'!$J$9:$J$998,"x"))</f>
        <v>0</v>
      </c>
      <c r="G384" s="302">
        <f>E384+F384</f>
        <v>0</v>
      </c>
      <c r="H384" s="302">
        <f>SUMIF('COST REPORT'!$A$9:$A$998,'Contractor''s Budget Detail'!B384,'COST REPORT'!$G$9:$G$998)</f>
        <v>0</v>
      </c>
      <c r="I384" s="302">
        <f>G384-H384</f>
        <v>0</v>
      </c>
      <c r="J384" s="324">
        <f>D384-G384</f>
        <v>0</v>
      </c>
      <c r="K384" s="72"/>
      <c r="M384" s="72"/>
      <c r="N384" s="72"/>
    </row>
    <row r="385" spans="1:14">
      <c r="A385" s="321">
        <v>16000</v>
      </c>
      <c r="B385" s="322">
        <f>B384+1</f>
        <v>16002</v>
      </c>
      <c r="C385" s="317" t="s">
        <v>1373</v>
      </c>
      <c r="D385" s="323">
        <v>0</v>
      </c>
      <c r="E385" s="302">
        <f>(SUMIF('COST REPORT'!$A$9:$A$998,'Contractor''s Budget Detail'!B385,'COST REPORT'!$F$9:$F$998))-(SUMIFS('COST REPORT'!$F$9:$F$998,'COST REPORT'!$A$9:$A$998,'Contractor''s Budget Detail'!B385,'COST REPORT'!$I$9:$I$998,"Close"))</f>
        <v>0</v>
      </c>
      <c r="F385" s="302">
        <f>(SUMIF(INPUT!$I$231:$I$522,'Contractor''s Budget Detail'!B385,INPUT!$H$231:$H$522)+SUMIFS('COST REPORT'!$F$9:$F$998,'COST REPORT'!$A$9:$A$998,'Contractor''s Budget Detail'!B385,'COST REPORT'!$I$9:$I$998,"close"))-(SUMIFS('COST REPORT'!$F$9:$F$998,'COST REPORT'!$A$9:$A$998,'Contractor''s Budget Detail'!B385,'COST REPORT'!$I$9:$I$998,"close",'COST REPORT'!$J$9:$J$998,"x"))</f>
        <v>0</v>
      </c>
      <c r="G385" s="302">
        <f t="shared" ref="G385:G393" si="89">E385+F385</f>
        <v>0</v>
      </c>
      <c r="H385" s="302">
        <f>SUMIF('COST REPORT'!$A$9:$A$998,'Contractor''s Budget Detail'!B385,'COST REPORT'!$G$9:$G$998)</f>
        <v>0</v>
      </c>
      <c r="I385" s="302">
        <f t="shared" ref="I385:I393" si="90">G385-H385</f>
        <v>0</v>
      </c>
      <c r="J385" s="324">
        <f t="shared" ref="J385:J393" si="91">D385-G385</f>
        <v>0</v>
      </c>
      <c r="K385" s="72"/>
      <c r="M385" s="72"/>
      <c r="N385" s="72"/>
    </row>
    <row r="386" spans="1:14">
      <c r="A386" s="321">
        <v>16000</v>
      </c>
      <c r="B386" s="322">
        <f t="shared" ref="B386:B393" si="92">B385+1</f>
        <v>16003</v>
      </c>
      <c r="C386" s="317" t="s">
        <v>2146</v>
      </c>
      <c r="D386" s="323">
        <v>0</v>
      </c>
      <c r="E386" s="302">
        <f>(SUMIF('COST REPORT'!$A$9:$A$998,'Contractor''s Budget Detail'!B386,'COST REPORT'!$F$9:$F$998))-(SUMIFS('COST REPORT'!$F$9:$F$998,'COST REPORT'!$A$9:$A$998,'Contractor''s Budget Detail'!B386,'COST REPORT'!$I$9:$I$998,"Close"))</f>
        <v>0</v>
      </c>
      <c r="F386" s="302">
        <f>(SUMIF(INPUT!$I$231:$I$522,'Contractor''s Budget Detail'!B386,INPUT!$H$231:$H$522)+SUMIFS('COST REPORT'!$F$9:$F$998,'COST REPORT'!$A$9:$A$998,'Contractor''s Budget Detail'!B386,'COST REPORT'!$I$9:$I$998,"close"))-(SUMIFS('COST REPORT'!$F$9:$F$998,'COST REPORT'!$A$9:$A$998,'Contractor''s Budget Detail'!B386,'COST REPORT'!$I$9:$I$998,"close",'COST REPORT'!$J$9:$J$998,"x"))</f>
        <v>0</v>
      </c>
      <c r="G386" s="302">
        <f t="shared" si="89"/>
        <v>0</v>
      </c>
      <c r="H386" s="302">
        <f>SUMIF('COST REPORT'!$A$9:$A$998,'Contractor''s Budget Detail'!B386,'COST REPORT'!$G$9:$G$998)</f>
        <v>0</v>
      </c>
      <c r="I386" s="302">
        <f t="shared" si="90"/>
        <v>0</v>
      </c>
      <c r="J386" s="324">
        <f t="shared" si="91"/>
        <v>0</v>
      </c>
      <c r="K386" s="72"/>
      <c r="M386" s="72"/>
      <c r="N386" s="72"/>
    </row>
    <row r="387" spans="1:14">
      <c r="A387" s="321">
        <v>16000</v>
      </c>
      <c r="B387" s="322">
        <f t="shared" si="92"/>
        <v>16004</v>
      </c>
      <c r="C387" s="325" t="s">
        <v>1939</v>
      </c>
      <c r="D387" s="323">
        <v>0</v>
      </c>
      <c r="E387" s="302">
        <f>(SUMIF('COST REPORT'!$A$9:$A$998,'Contractor''s Budget Detail'!B387,'COST REPORT'!$F$9:$F$998))-(SUMIFS('COST REPORT'!$F$9:$F$998,'COST REPORT'!$A$9:$A$998,'Contractor''s Budget Detail'!B387,'COST REPORT'!$I$9:$I$998,"Close"))</f>
        <v>0</v>
      </c>
      <c r="F387" s="302">
        <f>(SUMIF(INPUT!$I$231:$I$522,'Contractor''s Budget Detail'!B387,INPUT!$H$231:$H$522)+SUMIFS('COST REPORT'!$F$9:$F$998,'COST REPORT'!$A$9:$A$998,'Contractor''s Budget Detail'!B387,'COST REPORT'!$I$9:$I$998,"close"))-(SUMIFS('COST REPORT'!$F$9:$F$998,'COST REPORT'!$A$9:$A$998,'Contractor''s Budget Detail'!B387,'COST REPORT'!$I$9:$I$998,"close",'COST REPORT'!$J$9:$J$998,"x"))</f>
        <v>0</v>
      </c>
      <c r="G387" s="302">
        <f t="shared" si="89"/>
        <v>0</v>
      </c>
      <c r="H387" s="302">
        <f>SUMIF('COST REPORT'!$A$9:$A$998,'Contractor''s Budget Detail'!B387,'COST REPORT'!$G$9:$G$998)</f>
        <v>0</v>
      </c>
      <c r="I387" s="302">
        <f t="shared" si="90"/>
        <v>0</v>
      </c>
      <c r="J387" s="324">
        <f t="shared" si="91"/>
        <v>0</v>
      </c>
      <c r="K387" s="72"/>
      <c r="M387" s="72"/>
      <c r="N387" s="72"/>
    </row>
    <row r="388" spans="1:14">
      <c r="A388" s="321">
        <v>16000</v>
      </c>
      <c r="B388" s="322">
        <f t="shared" si="92"/>
        <v>16005</v>
      </c>
      <c r="C388" s="325" t="s">
        <v>1939</v>
      </c>
      <c r="D388" s="323">
        <v>0</v>
      </c>
      <c r="E388" s="302">
        <f>(SUMIF('COST REPORT'!$A$9:$A$998,'Contractor''s Budget Detail'!B388,'COST REPORT'!$F$9:$F$998))-(SUMIFS('COST REPORT'!$F$9:$F$998,'COST REPORT'!$A$9:$A$998,'Contractor''s Budget Detail'!B388,'COST REPORT'!$I$9:$I$998,"Close"))</f>
        <v>0</v>
      </c>
      <c r="F388" s="302">
        <f>(SUMIF(INPUT!$I$231:$I$522,'Contractor''s Budget Detail'!B388,INPUT!$H$231:$H$522)+SUMIFS('COST REPORT'!$F$9:$F$998,'COST REPORT'!$A$9:$A$998,'Contractor''s Budget Detail'!B388,'COST REPORT'!$I$9:$I$998,"close"))-(SUMIFS('COST REPORT'!$F$9:$F$998,'COST REPORT'!$A$9:$A$998,'Contractor''s Budget Detail'!B388,'COST REPORT'!$I$9:$I$998,"close",'COST REPORT'!$J$9:$J$998,"x"))</f>
        <v>0</v>
      </c>
      <c r="G388" s="302">
        <f>E388+F388</f>
        <v>0</v>
      </c>
      <c r="H388" s="302">
        <f>SUMIF('COST REPORT'!$A$9:$A$998,'Contractor''s Budget Detail'!B388,'COST REPORT'!$G$9:$G$998)</f>
        <v>0</v>
      </c>
      <c r="I388" s="302">
        <f>G388-H388</f>
        <v>0</v>
      </c>
      <c r="J388" s="324">
        <f>D388-G388</f>
        <v>0</v>
      </c>
      <c r="K388" s="72"/>
      <c r="M388" s="72"/>
      <c r="N388" s="72"/>
    </row>
    <row r="389" spans="1:14">
      <c r="A389" s="321">
        <v>16000</v>
      </c>
      <c r="B389" s="322">
        <f t="shared" si="92"/>
        <v>16006</v>
      </c>
      <c r="C389" s="325" t="s">
        <v>1939</v>
      </c>
      <c r="D389" s="323">
        <v>0</v>
      </c>
      <c r="E389" s="302">
        <f>(SUMIF('COST REPORT'!$A$9:$A$998,'Contractor''s Budget Detail'!B389,'COST REPORT'!$F$9:$F$998))-(SUMIFS('COST REPORT'!$F$9:$F$998,'COST REPORT'!$A$9:$A$998,'Contractor''s Budget Detail'!B389,'COST REPORT'!$I$9:$I$998,"Close"))</f>
        <v>0</v>
      </c>
      <c r="F389" s="302">
        <f>(SUMIF(INPUT!$I$231:$I$522,'Contractor''s Budget Detail'!B389,INPUT!$H$231:$H$522)+SUMIFS('COST REPORT'!$F$9:$F$998,'COST REPORT'!$A$9:$A$998,'Contractor''s Budget Detail'!B389,'COST REPORT'!$I$9:$I$998,"close"))-(SUMIFS('COST REPORT'!$F$9:$F$998,'COST REPORT'!$A$9:$A$998,'Contractor''s Budget Detail'!B389,'COST REPORT'!$I$9:$I$998,"close",'COST REPORT'!$J$9:$J$998,"x"))</f>
        <v>0</v>
      </c>
      <c r="G389" s="302">
        <f>E389+F389</f>
        <v>0</v>
      </c>
      <c r="H389" s="302">
        <f>SUMIF('COST REPORT'!$A$9:$A$998,'Contractor''s Budget Detail'!B389,'COST REPORT'!$G$9:$G$998)</f>
        <v>0</v>
      </c>
      <c r="I389" s="302">
        <f>G389-H389</f>
        <v>0</v>
      </c>
      <c r="J389" s="324">
        <f>D389-G389</f>
        <v>0</v>
      </c>
      <c r="K389" s="72"/>
      <c r="M389" s="72"/>
      <c r="N389" s="72"/>
    </row>
    <row r="390" spans="1:14">
      <c r="A390" s="321">
        <v>16000</v>
      </c>
      <c r="B390" s="322">
        <f t="shared" si="92"/>
        <v>16007</v>
      </c>
      <c r="C390" s="325" t="s">
        <v>1939</v>
      </c>
      <c r="D390" s="323">
        <v>0</v>
      </c>
      <c r="E390" s="302">
        <f>(SUMIF('COST REPORT'!$A$9:$A$998,'Contractor''s Budget Detail'!B390,'COST REPORT'!$F$9:$F$998))-(SUMIFS('COST REPORT'!$F$9:$F$998,'COST REPORT'!$A$9:$A$998,'Contractor''s Budget Detail'!B390,'COST REPORT'!$I$9:$I$998,"Close"))</f>
        <v>0</v>
      </c>
      <c r="F390" s="302">
        <f>(SUMIF(INPUT!$I$231:$I$522,'Contractor''s Budget Detail'!B390,INPUT!$H$231:$H$522)+SUMIFS('COST REPORT'!$F$9:$F$998,'COST REPORT'!$A$9:$A$998,'Contractor''s Budget Detail'!B390,'COST REPORT'!$I$9:$I$998,"close"))-(SUMIFS('COST REPORT'!$F$9:$F$998,'COST REPORT'!$A$9:$A$998,'Contractor''s Budget Detail'!B390,'COST REPORT'!$I$9:$I$998,"close",'COST REPORT'!$J$9:$J$998,"x"))</f>
        <v>0</v>
      </c>
      <c r="G390" s="302">
        <f t="shared" si="89"/>
        <v>0</v>
      </c>
      <c r="H390" s="302">
        <f>SUMIF('COST REPORT'!$A$9:$A$998,'Contractor''s Budget Detail'!B390,'COST REPORT'!$G$9:$G$998)</f>
        <v>0</v>
      </c>
      <c r="I390" s="302">
        <f t="shared" si="90"/>
        <v>0</v>
      </c>
      <c r="J390" s="324">
        <f t="shared" si="91"/>
        <v>0</v>
      </c>
      <c r="K390" s="72"/>
      <c r="M390" s="72"/>
      <c r="N390" s="72"/>
    </row>
    <row r="391" spans="1:14">
      <c r="A391" s="321">
        <v>16000</v>
      </c>
      <c r="B391" s="322">
        <f t="shared" si="92"/>
        <v>16008</v>
      </c>
      <c r="C391" s="325" t="s">
        <v>1939</v>
      </c>
      <c r="D391" s="323">
        <v>0</v>
      </c>
      <c r="E391" s="302">
        <f>(SUMIF('COST REPORT'!$A$9:$A$998,'Contractor''s Budget Detail'!B391,'COST REPORT'!$F$9:$F$998))-(SUMIFS('COST REPORT'!$F$9:$F$998,'COST REPORT'!$A$9:$A$998,'Contractor''s Budget Detail'!B391,'COST REPORT'!$I$9:$I$998,"Close"))</f>
        <v>0</v>
      </c>
      <c r="F391" s="302">
        <f>(SUMIF(INPUT!$I$231:$I$522,'Contractor''s Budget Detail'!B391,INPUT!$H$231:$H$522)+SUMIFS('COST REPORT'!$F$9:$F$998,'COST REPORT'!$A$9:$A$998,'Contractor''s Budget Detail'!B391,'COST REPORT'!$I$9:$I$998,"close"))-(SUMIFS('COST REPORT'!$F$9:$F$998,'COST REPORT'!$A$9:$A$998,'Contractor''s Budget Detail'!B391,'COST REPORT'!$I$9:$I$998,"close",'COST REPORT'!$J$9:$J$998,"x"))</f>
        <v>0</v>
      </c>
      <c r="G391" s="302">
        <f t="shared" si="89"/>
        <v>0</v>
      </c>
      <c r="H391" s="302">
        <f>SUMIF('COST REPORT'!$A$9:$A$998,'Contractor''s Budget Detail'!B391,'COST REPORT'!$G$9:$G$998)</f>
        <v>0</v>
      </c>
      <c r="I391" s="302">
        <f t="shared" si="90"/>
        <v>0</v>
      </c>
      <c r="J391" s="324">
        <f t="shared" si="91"/>
        <v>0</v>
      </c>
      <c r="K391" s="72"/>
      <c r="M391" s="72"/>
      <c r="N391" s="72"/>
    </row>
    <row r="392" spans="1:14">
      <c r="A392" s="321">
        <v>16000</v>
      </c>
      <c r="B392" s="322">
        <f t="shared" si="92"/>
        <v>16009</v>
      </c>
      <c r="C392" s="325" t="s">
        <v>1939</v>
      </c>
      <c r="D392" s="323">
        <v>0</v>
      </c>
      <c r="E392" s="302">
        <f>(SUMIF('COST REPORT'!$A$9:$A$998,'Contractor''s Budget Detail'!B392,'COST REPORT'!$F$9:$F$998))-(SUMIFS('COST REPORT'!$F$9:$F$998,'COST REPORT'!$A$9:$A$998,'Contractor''s Budget Detail'!B392,'COST REPORT'!$I$9:$I$998,"Close"))</f>
        <v>0</v>
      </c>
      <c r="F392" s="302">
        <f>(SUMIF(INPUT!$I$231:$I$522,'Contractor''s Budget Detail'!B392,INPUT!$H$231:$H$522)+SUMIFS('COST REPORT'!$F$9:$F$998,'COST REPORT'!$A$9:$A$998,'Contractor''s Budget Detail'!B392,'COST REPORT'!$I$9:$I$998,"close"))-(SUMIFS('COST REPORT'!$F$9:$F$998,'COST REPORT'!$A$9:$A$998,'Contractor''s Budget Detail'!B392,'COST REPORT'!$I$9:$I$998,"close",'COST REPORT'!$J$9:$J$998,"x"))</f>
        <v>0</v>
      </c>
      <c r="G392" s="302">
        <f t="shared" si="89"/>
        <v>0</v>
      </c>
      <c r="H392" s="302">
        <f>SUMIF('COST REPORT'!$A$9:$A$998,'Contractor''s Budget Detail'!B392,'COST REPORT'!$G$9:$G$998)</f>
        <v>0</v>
      </c>
      <c r="I392" s="302">
        <f t="shared" si="90"/>
        <v>0</v>
      </c>
      <c r="J392" s="324">
        <f t="shared" si="91"/>
        <v>0</v>
      </c>
      <c r="K392" s="72"/>
      <c r="M392" s="72"/>
      <c r="N392" s="72"/>
    </row>
    <row r="393" spans="1:14">
      <c r="A393" s="321">
        <v>16000</v>
      </c>
      <c r="B393" s="322">
        <f t="shared" si="92"/>
        <v>16010</v>
      </c>
      <c r="C393" s="325" t="s">
        <v>1939</v>
      </c>
      <c r="D393" s="323">
        <v>0</v>
      </c>
      <c r="E393" s="302">
        <f>(SUMIF('COST REPORT'!$A$9:$A$998,'Contractor''s Budget Detail'!B393,'COST REPORT'!$F$9:$F$998))-(SUMIFS('COST REPORT'!$F$9:$F$998,'COST REPORT'!$A$9:$A$998,'Contractor''s Budget Detail'!B393,'COST REPORT'!$I$9:$I$998,"Close"))</f>
        <v>0</v>
      </c>
      <c r="F393" s="302">
        <f>(SUMIF(INPUT!$I$231:$I$522,'Contractor''s Budget Detail'!B393,INPUT!$H$231:$H$522)+SUMIFS('COST REPORT'!$F$9:$F$998,'COST REPORT'!$A$9:$A$998,'Contractor''s Budget Detail'!B393,'COST REPORT'!$I$9:$I$998,"close"))-(SUMIFS('COST REPORT'!$F$9:$F$998,'COST REPORT'!$A$9:$A$998,'Contractor''s Budget Detail'!B393,'COST REPORT'!$I$9:$I$998,"close",'COST REPORT'!$J$9:$J$998,"x"))</f>
        <v>0</v>
      </c>
      <c r="G393" s="302">
        <f t="shared" si="89"/>
        <v>0</v>
      </c>
      <c r="H393" s="302">
        <f>SUMIF('COST REPORT'!$A$9:$A$998,'Contractor''s Budget Detail'!B393,'COST REPORT'!$G$9:$G$998)</f>
        <v>0</v>
      </c>
      <c r="I393" s="302">
        <f t="shared" si="90"/>
        <v>0</v>
      </c>
      <c r="J393" s="324">
        <f t="shared" si="91"/>
        <v>0</v>
      </c>
      <c r="K393" s="72"/>
      <c r="M393" s="72"/>
      <c r="N393" s="72"/>
    </row>
    <row r="394" spans="1:14" ht="13.5" thickBot="1">
      <c r="A394" s="340" t="s">
        <v>2147</v>
      </c>
      <c r="B394" s="309"/>
      <c r="C394" s="310"/>
      <c r="D394" s="311">
        <f t="shared" ref="D394:J394" si="93">SUM(D384:D393)</f>
        <v>0</v>
      </c>
      <c r="E394" s="311">
        <f t="shared" si="93"/>
        <v>0</v>
      </c>
      <c r="F394" s="311">
        <f t="shared" si="93"/>
        <v>0</v>
      </c>
      <c r="G394" s="311">
        <f t="shared" si="93"/>
        <v>0</v>
      </c>
      <c r="H394" s="311">
        <f t="shared" si="93"/>
        <v>0</v>
      </c>
      <c r="I394" s="311">
        <f t="shared" si="93"/>
        <v>0</v>
      </c>
      <c r="J394" s="341">
        <f t="shared" si="93"/>
        <v>0</v>
      </c>
    </row>
    <row r="395" spans="1:14">
      <c r="A395" s="328"/>
      <c r="B395" s="71"/>
      <c r="C395" s="90"/>
      <c r="D395" s="306"/>
      <c r="E395" s="306"/>
      <c r="H395" s="306"/>
      <c r="I395" s="306"/>
      <c r="J395" s="329"/>
    </row>
    <row r="396" spans="1:14">
      <c r="A396" s="330" t="s">
        <v>1374</v>
      </c>
      <c r="B396" s="205"/>
      <c r="C396" s="88"/>
      <c r="D396" s="331"/>
      <c r="E396" s="331"/>
      <c r="F396" s="338"/>
      <c r="G396" s="338"/>
      <c r="H396" s="331"/>
      <c r="I396" s="331"/>
      <c r="J396" s="339"/>
    </row>
    <row r="397" spans="1:14">
      <c r="A397" s="321">
        <v>17000</v>
      </c>
      <c r="B397" s="322">
        <v>17001</v>
      </c>
      <c r="C397" s="317" t="s">
        <v>2148</v>
      </c>
      <c r="D397" s="323">
        <v>0</v>
      </c>
      <c r="E397" s="302">
        <f>(SUMIF('COST REPORT'!$A$9:$A$998,'Contractor''s Budget Detail'!B397,'COST REPORT'!$F$9:$F$998))-(SUMIFS('COST REPORT'!$F$9:$F$998,'COST REPORT'!$A$9:$A$998,'Contractor''s Budget Detail'!B397,'COST REPORT'!$I$9:$I$998,"Close"))</f>
        <v>0</v>
      </c>
      <c r="F397" s="302">
        <f>(SUMIF(INPUT!$I$231:$I$522,'Contractor''s Budget Detail'!B397,INPUT!$H$231:$H$522)+SUMIFS('COST REPORT'!$F$9:$F$998,'COST REPORT'!$A$9:$A$998,'Contractor''s Budget Detail'!B397,'COST REPORT'!$I$9:$I$998,"close"))-(SUMIFS('COST REPORT'!$F$9:$F$998,'COST REPORT'!$A$9:$A$998,'Contractor''s Budget Detail'!B397,'COST REPORT'!$I$9:$I$998,"close",'COST REPORT'!$J$9:$J$998,"x"))</f>
        <v>0</v>
      </c>
      <c r="G397" s="302">
        <f>E397+F397</f>
        <v>0</v>
      </c>
      <c r="H397" s="302">
        <f>SUMIF('COST REPORT'!$A$9:$A$998,'Contractor''s Budget Detail'!B397,'COST REPORT'!$G$9:$G$998)</f>
        <v>0</v>
      </c>
      <c r="I397" s="302">
        <f>G397-H397</f>
        <v>0</v>
      </c>
      <c r="J397" s="324">
        <f>D397-G397</f>
        <v>0</v>
      </c>
    </row>
    <row r="398" spans="1:14">
      <c r="A398" s="321">
        <v>17000</v>
      </c>
      <c r="B398" s="322">
        <f>B397+1</f>
        <v>17002</v>
      </c>
      <c r="C398" s="317" t="s">
        <v>2149</v>
      </c>
      <c r="D398" s="323">
        <v>0</v>
      </c>
      <c r="E398" s="302">
        <f>(SUMIF('COST REPORT'!$A$9:$A$998,'Contractor''s Budget Detail'!B398,'COST REPORT'!$F$9:$F$998))-(SUMIFS('COST REPORT'!$F$9:$F$998,'COST REPORT'!$A$9:$A$998,'Contractor''s Budget Detail'!B398,'COST REPORT'!$I$9:$I$998,"Close"))</f>
        <v>0</v>
      </c>
      <c r="F398" s="302">
        <f>(SUMIF(INPUT!$I$231:$I$522,'Contractor''s Budget Detail'!B398,INPUT!$H$231:$H$522)+SUMIFS('COST REPORT'!$F$9:$F$998,'COST REPORT'!$A$9:$A$998,'Contractor''s Budget Detail'!B398,'COST REPORT'!$I$9:$I$998,"close"))-(SUMIFS('COST REPORT'!$F$9:$F$998,'COST REPORT'!$A$9:$A$998,'Contractor''s Budget Detail'!B398,'COST REPORT'!$I$9:$I$998,"close",'COST REPORT'!$J$9:$J$998,"x"))</f>
        <v>0</v>
      </c>
      <c r="G398" s="302">
        <f t="shared" ref="G398:G413" si="94">E398+F398</f>
        <v>0</v>
      </c>
      <c r="H398" s="302">
        <f>SUMIF('COST REPORT'!$A$9:$A$998,'Contractor''s Budget Detail'!B398,'COST REPORT'!$G$9:$G$998)</f>
        <v>0</v>
      </c>
      <c r="I398" s="302">
        <f t="shared" ref="I398:I413" si="95">G398-H398</f>
        <v>0</v>
      </c>
      <c r="J398" s="324">
        <f t="shared" ref="J398:J413" si="96">D398-G398</f>
        <v>0</v>
      </c>
    </row>
    <row r="399" spans="1:14">
      <c r="A399" s="321">
        <v>17000</v>
      </c>
      <c r="B399" s="322">
        <f t="shared" ref="B399:B413" si="97">B398+1</f>
        <v>17003</v>
      </c>
      <c r="C399" s="317" t="s">
        <v>2150</v>
      </c>
      <c r="D399" s="323">
        <v>0</v>
      </c>
      <c r="E399" s="302">
        <f>(SUMIF('COST REPORT'!$A$9:$A$998,'Contractor''s Budget Detail'!B399,'COST REPORT'!$F$9:$F$998))-(SUMIFS('COST REPORT'!$F$9:$F$998,'COST REPORT'!$A$9:$A$998,'Contractor''s Budget Detail'!B399,'COST REPORT'!$I$9:$I$998,"Close"))</f>
        <v>0</v>
      </c>
      <c r="F399" s="302">
        <f>(SUMIF(INPUT!$I$231:$I$522,'Contractor''s Budget Detail'!B399,INPUT!$H$231:$H$522)+SUMIFS('COST REPORT'!$F$9:$F$998,'COST REPORT'!$A$9:$A$998,'Contractor''s Budget Detail'!B399,'COST REPORT'!$I$9:$I$998,"close"))-(SUMIFS('COST REPORT'!$F$9:$F$998,'COST REPORT'!$A$9:$A$998,'Contractor''s Budget Detail'!B399,'COST REPORT'!$I$9:$I$998,"close",'COST REPORT'!$J$9:$J$998,"x"))</f>
        <v>0</v>
      </c>
      <c r="G399" s="302">
        <f t="shared" si="94"/>
        <v>0</v>
      </c>
      <c r="H399" s="302">
        <f>SUMIF('COST REPORT'!$A$9:$A$998,'Contractor''s Budget Detail'!B399,'COST REPORT'!$G$9:$G$998)</f>
        <v>0</v>
      </c>
      <c r="I399" s="302">
        <f t="shared" si="95"/>
        <v>0</v>
      </c>
      <c r="J399" s="324">
        <f t="shared" si="96"/>
        <v>0</v>
      </c>
    </row>
    <row r="400" spans="1:14">
      <c r="A400" s="321">
        <v>17000</v>
      </c>
      <c r="B400" s="322">
        <f t="shared" si="97"/>
        <v>17004</v>
      </c>
      <c r="C400" s="317" t="s">
        <v>2151</v>
      </c>
      <c r="D400" s="323">
        <v>0</v>
      </c>
      <c r="E400" s="302">
        <f>(SUMIF('COST REPORT'!$A$9:$A$998,'Contractor''s Budget Detail'!B400,'COST REPORT'!$F$9:$F$998))-(SUMIFS('COST REPORT'!$F$9:$F$998,'COST REPORT'!$A$9:$A$998,'Contractor''s Budget Detail'!B400,'COST REPORT'!$I$9:$I$998,"Close"))</f>
        <v>0</v>
      </c>
      <c r="F400" s="302">
        <f>(SUMIF(INPUT!$I$231:$I$522,'Contractor''s Budget Detail'!B400,INPUT!$H$231:$H$522)+SUMIFS('COST REPORT'!$F$9:$F$998,'COST REPORT'!$A$9:$A$998,'Contractor''s Budget Detail'!B400,'COST REPORT'!$I$9:$I$998,"close"))-(SUMIFS('COST REPORT'!$F$9:$F$998,'COST REPORT'!$A$9:$A$998,'Contractor''s Budget Detail'!B400,'COST REPORT'!$I$9:$I$998,"close",'COST REPORT'!$J$9:$J$998,"x"))</f>
        <v>0</v>
      </c>
      <c r="G400" s="302">
        <f t="shared" si="94"/>
        <v>0</v>
      </c>
      <c r="H400" s="302">
        <f>SUMIF('COST REPORT'!$A$9:$A$998,'Contractor''s Budget Detail'!B400,'COST REPORT'!$G$9:$G$998)</f>
        <v>0</v>
      </c>
      <c r="I400" s="302">
        <f t="shared" si="95"/>
        <v>0</v>
      </c>
      <c r="J400" s="324">
        <f t="shared" si="96"/>
        <v>0</v>
      </c>
    </row>
    <row r="401" spans="1:10">
      <c r="A401" s="321">
        <v>17000</v>
      </c>
      <c r="B401" s="322">
        <f t="shared" si="97"/>
        <v>17005</v>
      </c>
      <c r="C401" s="317" t="s">
        <v>2152</v>
      </c>
      <c r="D401" s="323">
        <v>0</v>
      </c>
      <c r="E401" s="302">
        <f>(SUMIF('COST REPORT'!$A$9:$A$998,'Contractor''s Budget Detail'!B401,'COST REPORT'!$F$9:$F$998))-(SUMIFS('COST REPORT'!$F$9:$F$998,'COST REPORT'!$A$9:$A$998,'Contractor''s Budget Detail'!B401,'COST REPORT'!$I$9:$I$998,"Close"))</f>
        <v>0</v>
      </c>
      <c r="F401" s="302">
        <f>(SUMIF(INPUT!$I$231:$I$522,'Contractor''s Budget Detail'!B401,INPUT!$H$231:$H$522)+SUMIFS('COST REPORT'!$F$9:$F$998,'COST REPORT'!$A$9:$A$998,'Contractor''s Budget Detail'!B401,'COST REPORT'!$I$9:$I$998,"close"))-(SUMIFS('COST REPORT'!$F$9:$F$998,'COST REPORT'!$A$9:$A$998,'Contractor''s Budget Detail'!B401,'COST REPORT'!$I$9:$I$998,"close",'COST REPORT'!$J$9:$J$998,"x"))</f>
        <v>0</v>
      </c>
      <c r="G401" s="302">
        <f>E401+F401</f>
        <v>0</v>
      </c>
      <c r="H401" s="302">
        <f>SUMIF('COST REPORT'!$A$9:$A$998,'Contractor''s Budget Detail'!B401,'COST REPORT'!$G$9:$G$998)</f>
        <v>0</v>
      </c>
      <c r="I401" s="302">
        <f>G401-H401</f>
        <v>0</v>
      </c>
      <c r="J401" s="324">
        <f>D401-G401</f>
        <v>0</v>
      </c>
    </row>
    <row r="402" spans="1:10">
      <c r="A402" s="321">
        <v>17000</v>
      </c>
      <c r="B402" s="322">
        <f t="shared" si="97"/>
        <v>17006</v>
      </c>
      <c r="C402" s="317" t="s">
        <v>2153</v>
      </c>
      <c r="D402" s="323">
        <v>0</v>
      </c>
      <c r="E402" s="302">
        <f>(SUMIF('COST REPORT'!$A$9:$A$998,'Contractor''s Budget Detail'!B402,'COST REPORT'!$F$9:$F$998))-(SUMIFS('COST REPORT'!$F$9:$F$998,'COST REPORT'!$A$9:$A$998,'Contractor''s Budget Detail'!B402,'COST REPORT'!$I$9:$I$998,"Close"))</f>
        <v>0</v>
      </c>
      <c r="F402" s="302">
        <f>(SUMIF(INPUT!$I$231:$I$522,'Contractor''s Budget Detail'!B402,INPUT!$H$231:$H$522)+SUMIFS('COST REPORT'!$F$9:$F$998,'COST REPORT'!$A$9:$A$998,'Contractor''s Budget Detail'!B402,'COST REPORT'!$I$9:$I$998,"close"))-(SUMIFS('COST REPORT'!$F$9:$F$998,'COST REPORT'!$A$9:$A$998,'Contractor''s Budget Detail'!B402,'COST REPORT'!$I$9:$I$998,"close",'COST REPORT'!$J$9:$J$998,"x"))</f>
        <v>0</v>
      </c>
      <c r="G402" s="302">
        <f>E402+F402</f>
        <v>0</v>
      </c>
      <c r="H402" s="302">
        <f>SUMIF('COST REPORT'!$A$9:$A$998,'Contractor''s Budget Detail'!B402,'COST REPORT'!$G$9:$G$998)</f>
        <v>0</v>
      </c>
      <c r="I402" s="302">
        <f>G402-H402</f>
        <v>0</v>
      </c>
      <c r="J402" s="324">
        <f>D402-G402</f>
        <v>0</v>
      </c>
    </row>
    <row r="403" spans="1:10">
      <c r="A403" s="321">
        <v>17000</v>
      </c>
      <c r="B403" s="322">
        <f t="shared" si="97"/>
        <v>17007</v>
      </c>
      <c r="C403" s="317" t="s">
        <v>2154</v>
      </c>
      <c r="D403" s="323">
        <v>0</v>
      </c>
      <c r="E403" s="302">
        <f>(SUMIF('COST REPORT'!$A$9:$A$998,'Contractor''s Budget Detail'!B403,'COST REPORT'!$F$9:$F$998))-(SUMIFS('COST REPORT'!$F$9:$F$998,'COST REPORT'!$A$9:$A$998,'Contractor''s Budget Detail'!B403,'COST REPORT'!$I$9:$I$998,"Close"))</f>
        <v>0</v>
      </c>
      <c r="F403" s="302">
        <f>(SUMIF(INPUT!$I$231:$I$522,'Contractor''s Budget Detail'!B403,INPUT!$H$231:$H$522)+SUMIFS('COST REPORT'!$F$9:$F$998,'COST REPORT'!$A$9:$A$998,'Contractor''s Budget Detail'!B403,'COST REPORT'!$I$9:$I$998,"close"))-(SUMIFS('COST REPORT'!$F$9:$F$998,'COST REPORT'!$A$9:$A$998,'Contractor''s Budget Detail'!B403,'COST REPORT'!$I$9:$I$998,"close",'COST REPORT'!$J$9:$J$998,"x"))</f>
        <v>0</v>
      </c>
      <c r="G403" s="302">
        <f t="shared" si="94"/>
        <v>0</v>
      </c>
      <c r="H403" s="302">
        <f>SUMIF('COST REPORT'!$A$9:$A$998,'Contractor''s Budget Detail'!B403,'COST REPORT'!$G$9:$G$998)</f>
        <v>0</v>
      </c>
      <c r="I403" s="302">
        <f t="shared" si="95"/>
        <v>0</v>
      </c>
      <c r="J403" s="324">
        <f t="shared" si="96"/>
        <v>0</v>
      </c>
    </row>
    <row r="404" spans="1:10">
      <c r="A404" s="342">
        <v>17000</v>
      </c>
      <c r="B404" s="322">
        <f t="shared" si="97"/>
        <v>17008</v>
      </c>
      <c r="C404" s="312" t="s">
        <v>2155</v>
      </c>
      <c r="D404" s="323">
        <v>0</v>
      </c>
      <c r="E404" s="302">
        <f>(SUMIF('COST REPORT'!$A$9:$A$998,'Contractor''s Budget Detail'!B404,'COST REPORT'!$F$9:$F$998))-(SUMIFS('COST REPORT'!$F$9:$F$998,'COST REPORT'!$A$9:$A$998,'Contractor''s Budget Detail'!B404,'COST REPORT'!$I$9:$I$998,"Close"))</f>
        <v>0</v>
      </c>
      <c r="F404" s="302">
        <f>(SUMIF(INPUT!$I$231:$I$522,'Contractor''s Budget Detail'!B404,INPUT!$H$231:$H$522)+SUMIFS('COST REPORT'!$F$9:$F$998,'COST REPORT'!$A$9:$A$998,'Contractor''s Budget Detail'!B404,'COST REPORT'!$I$9:$I$998,"close"))-(SUMIFS('COST REPORT'!$F$9:$F$998,'COST REPORT'!$A$9:$A$998,'Contractor''s Budget Detail'!B404,'COST REPORT'!$I$9:$I$998,"close",'COST REPORT'!$J$9:$J$998,"x"))</f>
        <v>0</v>
      </c>
      <c r="G404" s="302">
        <f t="shared" si="94"/>
        <v>0</v>
      </c>
      <c r="H404" s="302">
        <f>SUMIF('COST REPORT'!$A$9:$A$998,'Contractor''s Budget Detail'!B404,'COST REPORT'!$G$9:$G$998)</f>
        <v>0</v>
      </c>
      <c r="I404" s="302">
        <f t="shared" si="95"/>
        <v>0</v>
      </c>
      <c r="J404" s="324">
        <f t="shared" si="96"/>
        <v>0</v>
      </c>
    </row>
    <row r="405" spans="1:10">
      <c r="A405" s="321">
        <v>17000</v>
      </c>
      <c r="B405" s="322">
        <f t="shared" si="97"/>
        <v>17009</v>
      </c>
      <c r="C405" s="325" t="s">
        <v>2156</v>
      </c>
      <c r="D405" s="323">
        <v>0</v>
      </c>
      <c r="E405" s="302">
        <f>(SUMIF('COST REPORT'!$A$9:$A$998,'Contractor''s Budget Detail'!B405,'COST REPORT'!$F$9:$F$998))-(SUMIFS('COST REPORT'!$F$9:$F$998,'COST REPORT'!$A$9:$A$998,'Contractor''s Budget Detail'!B405,'COST REPORT'!$I$9:$I$998,"Close"))</f>
        <v>0</v>
      </c>
      <c r="F405" s="302">
        <f>(SUMIF(INPUT!$I$231:$I$522,'Contractor''s Budget Detail'!B405,INPUT!$H$231:$H$522)+SUMIFS('COST REPORT'!$F$9:$F$998,'COST REPORT'!$A$9:$A$998,'Contractor''s Budget Detail'!B405,'COST REPORT'!$I$9:$I$998,"close"))-(SUMIFS('COST REPORT'!$F$9:$F$998,'COST REPORT'!$A$9:$A$998,'Contractor''s Budget Detail'!B405,'COST REPORT'!$I$9:$I$998,"close",'COST REPORT'!$J$9:$J$998,"x"))</f>
        <v>0</v>
      </c>
      <c r="G405" s="302">
        <f t="shared" si="94"/>
        <v>0</v>
      </c>
      <c r="H405" s="302">
        <f>SUMIF('COST REPORT'!$A$9:$A$998,'Contractor''s Budget Detail'!B405,'COST REPORT'!$G$9:$G$998)</f>
        <v>0</v>
      </c>
      <c r="I405" s="302">
        <f t="shared" si="95"/>
        <v>0</v>
      </c>
      <c r="J405" s="324">
        <f t="shared" si="96"/>
        <v>0</v>
      </c>
    </row>
    <row r="406" spans="1:10">
      <c r="A406" s="342">
        <v>17000</v>
      </c>
      <c r="B406" s="322">
        <f t="shared" si="97"/>
        <v>17010</v>
      </c>
      <c r="C406" s="325" t="s">
        <v>1939</v>
      </c>
      <c r="D406" s="323">
        <v>0</v>
      </c>
      <c r="E406" s="302">
        <f>(SUMIF('COST REPORT'!$A$9:$A$998,'Contractor''s Budget Detail'!B406,'COST REPORT'!$F$9:$F$998))-(SUMIFS('COST REPORT'!$F$9:$F$998,'COST REPORT'!$A$9:$A$998,'Contractor''s Budget Detail'!B406,'COST REPORT'!$I$9:$I$998,"Close"))</f>
        <v>0</v>
      </c>
      <c r="F406" s="302">
        <f>(SUMIF(INPUT!$I$231:$I$522,'Contractor''s Budget Detail'!B406,INPUT!$H$231:$H$522)+SUMIFS('COST REPORT'!$F$9:$F$998,'COST REPORT'!$A$9:$A$998,'Contractor''s Budget Detail'!B406,'COST REPORT'!$I$9:$I$998,"close"))-(SUMIFS('COST REPORT'!$F$9:$F$998,'COST REPORT'!$A$9:$A$998,'Contractor''s Budget Detail'!B406,'COST REPORT'!$I$9:$I$998,"close",'COST REPORT'!$J$9:$J$998,"x"))</f>
        <v>0</v>
      </c>
      <c r="G406" s="302">
        <f t="shared" si="94"/>
        <v>0</v>
      </c>
      <c r="H406" s="302">
        <f>SUMIF('COST REPORT'!$A$9:$A$998,'Contractor''s Budget Detail'!B406,'COST REPORT'!$G$9:$G$998)</f>
        <v>0</v>
      </c>
      <c r="I406" s="302">
        <f t="shared" si="95"/>
        <v>0</v>
      </c>
      <c r="J406" s="324">
        <f t="shared" si="96"/>
        <v>0</v>
      </c>
    </row>
    <row r="407" spans="1:10">
      <c r="A407" s="321">
        <v>17000</v>
      </c>
      <c r="B407" s="322">
        <f t="shared" si="97"/>
        <v>17011</v>
      </c>
      <c r="C407" s="325" t="s">
        <v>1939</v>
      </c>
      <c r="D407" s="323">
        <v>0</v>
      </c>
      <c r="E407" s="302">
        <f>(SUMIF('COST REPORT'!$A$9:$A$998,'Contractor''s Budget Detail'!B407,'COST REPORT'!$F$9:$F$998))-(SUMIFS('COST REPORT'!$F$9:$F$998,'COST REPORT'!$A$9:$A$998,'Contractor''s Budget Detail'!B407,'COST REPORT'!$I$9:$I$998,"Close"))</f>
        <v>0</v>
      </c>
      <c r="F407" s="302">
        <f>(SUMIF(INPUT!$I$231:$I$522,'Contractor''s Budget Detail'!B407,INPUT!$H$231:$H$522)+SUMIFS('COST REPORT'!$F$9:$F$998,'COST REPORT'!$A$9:$A$998,'Contractor''s Budget Detail'!B407,'COST REPORT'!$I$9:$I$998,"close"))-(SUMIFS('COST REPORT'!$F$9:$F$998,'COST REPORT'!$A$9:$A$998,'Contractor''s Budget Detail'!B407,'COST REPORT'!$I$9:$I$998,"close",'COST REPORT'!$J$9:$J$998,"x"))</f>
        <v>0</v>
      </c>
      <c r="G407" s="302">
        <f t="shared" si="94"/>
        <v>0</v>
      </c>
      <c r="H407" s="302">
        <f>SUMIF('COST REPORT'!$A$9:$A$998,'Contractor''s Budget Detail'!B407,'COST REPORT'!$G$9:$G$998)</f>
        <v>0</v>
      </c>
      <c r="I407" s="302">
        <f t="shared" si="95"/>
        <v>0</v>
      </c>
      <c r="J407" s="324">
        <f t="shared" si="96"/>
        <v>0</v>
      </c>
    </row>
    <row r="408" spans="1:10">
      <c r="A408" s="342">
        <v>17000</v>
      </c>
      <c r="B408" s="322">
        <f t="shared" si="97"/>
        <v>17012</v>
      </c>
      <c r="C408" s="325" t="s">
        <v>1939</v>
      </c>
      <c r="D408" s="323">
        <v>0</v>
      </c>
      <c r="E408" s="302">
        <f>(SUMIF('COST REPORT'!$A$9:$A$998,'Contractor''s Budget Detail'!B408,'COST REPORT'!$F$9:$F$998))-(SUMIFS('COST REPORT'!$F$9:$F$998,'COST REPORT'!$A$9:$A$998,'Contractor''s Budget Detail'!B408,'COST REPORT'!$I$9:$I$998,"Close"))</f>
        <v>0</v>
      </c>
      <c r="F408" s="302">
        <f>(SUMIF(INPUT!$I$231:$I$522,'Contractor''s Budget Detail'!B408,INPUT!$H$231:$H$522)+SUMIFS('COST REPORT'!$F$9:$F$998,'COST REPORT'!$A$9:$A$998,'Contractor''s Budget Detail'!B408,'COST REPORT'!$I$9:$I$998,"close"))-(SUMIFS('COST REPORT'!$F$9:$F$998,'COST REPORT'!$A$9:$A$998,'Contractor''s Budget Detail'!B408,'COST REPORT'!$I$9:$I$998,"close",'COST REPORT'!$J$9:$J$998,"x"))</f>
        <v>0</v>
      </c>
      <c r="G408" s="302">
        <f>E408+F408</f>
        <v>0</v>
      </c>
      <c r="H408" s="302">
        <f>SUMIF('COST REPORT'!$A$9:$A$998,'Contractor''s Budget Detail'!B408,'COST REPORT'!$G$9:$G$998)</f>
        <v>0</v>
      </c>
      <c r="I408" s="302">
        <f>G408-H408</f>
        <v>0</v>
      </c>
      <c r="J408" s="324">
        <f>D408-G408</f>
        <v>0</v>
      </c>
    </row>
    <row r="409" spans="1:10">
      <c r="A409" s="321">
        <v>17000</v>
      </c>
      <c r="B409" s="322">
        <f t="shared" si="97"/>
        <v>17013</v>
      </c>
      <c r="C409" s="325" t="s">
        <v>1939</v>
      </c>
      <c r="D409" s="323">
        <v>0</v>
      </c>
      <c r="E409" s="302">
        <f>(SUMIF('COST REPORT'!$A$9:$A$998,'Contractor''s Budget Detail'!B409,'COST REPORT'!$F$9:$F$998))-(SUMIFS('COST REPORT'!$F$9:$F$998,'COST REPORT'!$A$9:$A$998,'Contractor''s Budget Detail'!B409,'COST REPORT'!$I$9:$I$998,"Close"))</f>
        <v>0</v>
      </c>
      <c r="F409" s="302">
        <f>(SUMIF(INPUT!$I$231:$I$522,'Contractor''s Budget Detail'!B409,INPUT!$H$231:$H$522)+SUMIFS('COST REPORT'!$F$9:$F$998,'COST REPORT'!$A$9:$A$998,'Contractor''s Budget Detail'!B409,'COST REPORT'!$I$9:$I$998,"close"))-(SUMIFS('COST REPORT'!$F$9:$F$998,'COST REPORT'!$A$9:$A$998,'Contractor''s Budget Detail'!B409,'COST REPORT'!$I$9:$I$998,"close",'COST REPORT'!$J$9:$J$998,"x"))</f>
        <v>0</v>
      </c>
      <c r="G409" s="302">
        <f>E409+F409</f>
        <v>0</v>
      </c>
      <c r="H409" s="302">
        <f>SUMIF('COST REPORT'!$A$9:$A$998,'Contractor''s Budget Detail'!B409,'COST REPORT'!$G$9:$G$998)</f>
        <v>0</v>
      </c>
      <c r="I409" s="302">
        <f>G409-H409</f>
        <v>0</v>
      </c>
      <c r="J409" s="324">
        <f>D409-G409</f>
        <v>0</v>
      </c>
    </row>
    <row r="410" spans="1:10">
      <c r="A410" s="342">
        <v>17000</v>
      </c>
      <c r="B410" s="322">
        <f t="shared" si="97"/>
        <v>17014</v>
      </c>
      <c r="C410" s="325" t="s">
        <v>1939</v>
      </c>
      <c r="D410" s="323">
        <v>0</v>
      </c>
      <c r="E410" s="302">
        <f>(SUMIF('COST REPORT'!$A$9:$A$998,'Contractor''s Budget Detail'!B410,'COST REPORT'!$F$9:$F$998))-(SUMIFS('COST REPORT'!$F$9:$F$998,'COST REPORT'!$A$9:$A$998,'Contractor''s Budget Detail'!B410,'COST REPORT'!$I$9:$I$998,"Close"))</f>
        <v>0</v>
      </c>
      <c r="F410" s="302">
        <f>(SUMIF(INPUT!$I$231:$I$522,'Contractor''s Budget Detail'!B410,INPUT!$H$231:$H$522)+SUMIFS('COST REPORT'!$F$9:$F$998,'COST REPORT'!$A$9:$A$998,'Contractor''s Budget Detail'!B410,'COST REPORT'!$I$9:$I$998,"close"))-(SUMIFS('COST REPORT'!$F$9:$F$998,'COST REPORT'!$A$9:$A$998,'Contractor''s Budget Detail'!B410,'COST REPORT'!$I$9:$I$998,"close",'COST REPORT'!$J$9:$J$998,"x"))</f>
        <v>0</v>
      </c>
      <c r="G410" s="302">
        <f t="shared" si="94"/>
        <v>0</v>
      </c>
      <c r="H410" s="302">
        <f>SUMIF('COST REPORT'!$A$9:$A$998,'Contractor''s Budget Detail'!B410,'COST REPORT'!$G$9:$G$998)</f>
        <v>0</v>
      </c>
      <c r="I410" s="302">
        <f t="shared" si="95"/>
        <v>0</v>
      </c>
      <c r="J410" s="324">
        <f t="shared" si="96"/>
        <v>0</v>
      </c>
    </row>
    <row r="411" spans="1:10">
      <c r="A411" s="321">
        <v>17000</v>
      </c>
      <c r="B411" s="322">
        <f t="shared" si="97"/>
        <v>17015</v>
      </c>
      <c r="C411" s="325" t="s">
        <v>1939</v>
      </c>
      <c r="D411" s="323">
        <v>0</v>
      </c>
      <c r="E411" s="302">
        <f>(SUMIF('COST REPORT'!$A$9:$A$998,'Contractor''s Budget Detail'!B411,'COST REPORT'!$F$9:$F$998))-(SUMIFS('COST REPORT'!$F$9:$F$998,'COST REPORT'!$A$9:$A$998,'Contractor''s Budget Detail'!B411,'COST REPORT'!$I$9:$I$998,"Close"))</f>
        <v>0</v>
      </c>
      <c r="F411" s="302">
        <f>(SUMIF(INPUT!$I$231:$I$522,'Contractor''s Budget Detail'!B411,INPUT!$H$231:$H$522)+SUMIFS('COST REPORT'!$F$9:$F$998,'COST REPORT'!$A$9:$A$998,'Contractor''s Budget Detail'!B411,'COST REPORT'!$I$9:$I$998,"close"))-(SUMIFS('COST REPORT'!$F$9:$F$998,'COST REPORT'!$A$9:$A$998,'Contractor''s Budget Detail'!B411,'COST REPORT'!$I$9:$I$998,"close",'COST REPORT'!$J$9:$J$998,"x"))</f>
        <v>0</v>
      </c>
      <c r="G411" s="302">
        <f t="shared" si="94"/>
        <v>0</v>
      </c>
      <c r="H411" s="302">
        <f>SUMIF('COST REPORT'!$A$9:$A$998,'Contractor''s Budget Detail'!B411,'COST REPORT'!$G$9:$G$998)</f>
        <v>0</v>
      </c>
      <c r="I411" s="302">
        <f t="shared" si="95"/>
        <v>0</v>
      </c>
      <c r="J411" s="324">
        <f t="shared" si="96"/>
        <v>0</v>
      </c>
    </row>
    <row r="412" spans="1:10">
      <c r="A412" s="342">
        <v>17000</v>
      </c>
      <c r="B412" s="322">
        <f t="shared" si="97"/>
        <v>17016</v>
      </c>
      <c r="C412" s="325" t="s">
        <v>1939</v>
      </c>
      <c r="D412" s="323">
        <v>0</v>
      </c>
      <c r="E412" s="302">
        <f>(SUMIF('COST REPORT'!$A$9:$A$998,'Contractor''s Budget Detail'!B412,'COST REPORT'!$F$9:$F$998))-(SUMIFS('COST REPORT'!$F$9:$F$998,'COST REPORT'!$A$9:$A$998,'Contractor''s Budget Detail'!B412,'COST REPORT'!$I$9:$I$998,"Close"))</f>
        <v>0</v>
      </c>
      <c r="F412" s="302">
        <f>(SUMIF(INPUT!$I$231:$I$522,'Contractor''s Budget Detail'!B412,INPUT!$H$231:$H$522)+SUMIFS('COST REPORT'!$F$9:$F$998,'COST REPORT'!$A$9:$A$998,'Contractor''s Budget Detail'!B412,'COST REPORT'!$I$9:$I$998,"close"))-(SUMIFS('COST REPORT'!$F$9:$F$998,'COST REPORT'!$A$9:$A$998,'Contractor''s Budget Detail'!B412,'COST REPORT'!$I$9:$I$998,"close",'COST REPORT'!$J$9:$J$998,"x"))</f>
        <v>0</v>
      </c>
      <c r="G412" s="302">
        <f t="shared" si="94"/>
        <v>0</v>
      </c>
      <c r="H412" s="302">
        <f>SUMIF('COST REPORT'!$A$9:$A$998,'Contractor''s Budget Detail'!B412,'COST REPORT'!$G$9:$G$998)</f>
        <v>0</v>
      </c>
      <c r="I412" s="302">
        <f t="shared" si="95"/>
        <v>0</v>
      </c>
      <c r="J412" s="324">
        <f t="shared" si="96"/>
        <v>0</v>
      </c>
    </row>
    <row r="413" spans="1:10">
      <c r="A413" s="321">
        <v>17000</v>
      </c>
      <c r="B413" s="322">
        <f t="shared" si="97"/>
        <v>17017</v>
      </c>
      <c r="C413" s="325" t="s">
        <v>1939</v>
      </c>
      <c r="D413" s="323">
        <v>0</v>
      </c>
      <c r="E413" s="302">
        <f>(SUMIF('COST REPORT'!$A$9:$A$998,'Contractor''s Budget Detail'!B413,'COST REPORT'!$F$9:$F$998))-(SUMIFS('COST REPORT'!$F$9:$F$998,'COST REPORT'!$A$9:$A$998,'Contractor''s Budget Detail'!B413,'COST REPORT'!$I$9:$I$998,"Close"))</f>
        <v>0</v>
      </c>
      <c r="F413" s="302">
        <f>(SUMIF(INPUT!$I$231:$I$522,'Contractor''s Budget Detail'!B413,INPUT!$H$231:$H$522)+SUMIFS('COST REPORT'!$F$9:$F$998,'COST REPORT'!$A$9:$A$998,'Contractor''s Budget Detail'!B413,'COST REPORT'!$I$9:$I$998,"close"))-(SUMIFS('COST REPORT'!$F$9:$F$998,'COST REPORT'!$A$9:$A$998,'Contractor''s Budget Detail'!B413,'COST REPORT'!$I$9:$I$998,"close",'COST REPORT'!$J$9:$J$998,"x"))</f>
        <v>0</v>
      </c>
      <c r="G413" s="302">
        <f t="shared" si="94"/>
        <v>0</v>
      </c>
      <c r="H413" s="302">
        <f>SUMIF('COST REPORT'!$A$9:$A$998,'Contractor''s Budget Detail'!B413,'COST REPORT'!$G$9:$G$998)</f>
        <v>0</v>
      </c>
      <c r="I413" s="302">
        <f t="shared" si="95"/>
        <v>0</v>
      </c>
      <c r="J413" s="324">
        <f t="shared" si="96"/>
        <v>0</v>
      </c>
    </row>
    <row r="414" spans="1:10" ht="13.5" thickBot="1">
      <c r="A414" s="326" t="s">
        <v>2157</v>
      </c>
      <c r="B414" s="307"/>
      <c r="C414" s="308"/>
      <c r="D414" s="305">
        <f t="shared" ref="D414:J414" si="98">SUM(D397:D413)</f>
        <v>0</v>
      </c>
      <c r="E414" s="305">
        <f t="shared" si="98"/>
        <v>0</v>
      </c>
      <c r="F414" s="305">
        <f t="shared" si="98"/>
        <v>0</v>
      </c>
      <c r="G414" s="305">
        <f t="shared" si="98"/>
        <v>0</v>
      </c>
      <c r="H414" s="305">
        <f t="shared" si="98"/>
        <v>0</v>
      </c>
      <c r="I414" s="305">
        <f t="shared" si="98"/>
        <v>0</v>
      </c>
      <c r="J414" s="327">
        <f t="shared" si="98"/>
        <v>0</v>
      </c>
    </row>
    <row r="415" spans="1:10">
      <c r="A415" s="328"/>
      <c r="B415" s="71"/>
      <c r="C415" s="90"/>
      <c r="D415" s="306"/>
      <c r="E415" s="306"/>
      <c r="H415" s="306"/>
      <c r="I415" s="306"/>
      <c r="J415" s="329"/>
    </row>
    <row r="416" spans="1:10">
      <c r="A416" s="330" t="s">
        <v>1375</v>
      </c>
      <c r="B416" s="205"/>
      <c r="C416" s="88"/>
      <c r="D416" s="331"/>
      <c r="E416" s="331"/>
      <c r="F416" s="338"/>
      <c r="G416" s="338"/>
      <c r="H416" s="331"/>
      <c r="I416" s="331"/>
      <c r="J416" s="339"/>
    </row>
    <row r="417" spans="1:12">
      <c r="A417" s="321">
        <v>18000</v>
      </c>
      <c r="B417" s="322">
        <v>18001</v>
      </c>
      <c r="C417" s="90" t="s">
        <v>2158</v>
      </c>
      <c r="D417" s="323">
        <v>0</v>
      </c>
      <c r="E417" s="302">
        <f>(SUMIF('COST REPORT'!$A$9:$A$998,'Contractor''s Budget Detail'!B417,'COST REPORT'!$F$9:$F$998))-(SUMIFS('COST REPORT'!$F$9:$F$998,'COST REPORT'!$A$9:$A$998,'Contractor''s Budget Detail'!B417,'COST REPORT'!$I$9:$I$998,"Close"))</f>
        <v>0</v>
      </c>
      <c r="F417" s="302">
        <f>(SUMIF(INPUT!$I$231:$I$522,'Contractor''s Budget Detail'!B417,INPUT!$H$231:$H$522)+SUMIFS('COST REPORT'!$F$9:$F$998,'COST REPORT'!$A$9:$A$998,'Contractor''s Budget Detail'!B417,'COST REPORT'!$I$9:$I$998,"close"))-(SUMIFS('COST REPORT'!$F$9:$F$998,'COST REPORT'!$A$9:$A$998,'Contractor''s Budget Detail'!B417,'COST REPORT'!$I$9:$I$998,"close",'COST REPORT'!$J$9:$J$998,"x"))</f>
        <v>0</v>
      </c>
      <c r="G417" s="302">
        <f>E417+F417</f>
        <v>0</v>
      </c>
      <c r="H417" s="302">
        <f>SUMIF('COST REPORT'!$A$9:$A$998,'Contractor''s Budget Detail'!B417,'COST REPORT'!$G$9:$G$998)</f>
        <v>0</v>
      </c>
      <c r="I417" s="302">
        <f>G417-H417</f>
        <v>0</v>
      </c>
      <c r="J417" s="324">
        <f>D417-G417</f>
        <v>0</v>
      </c>
    </row>
    <row r="418" spans="1:12">
      <c r="A418" s="321">
        <v>18000</v>
      </c>
      <c r="B418" s="322">
        <f>B417+1</f>
        <v>18002</v>
      </c>
      <c r="C418" s="325" t="s">
        <v>1939</v>
      </c>
      <c r="D418" s="323">
        <v>0</v>
      </c>
      <c r="E418" s="302">
        <f>(SUMIF('COST REPORT'!$A$9:$A$998,'Contractor''s Budget Detail'!B418,'COST REPORT'!$F$9:$F$998))-(SUMIFS('COST REPORT'!$F$9:$F$998,'COST REPORT'!$A$9:$A$998,'Contractor''s Budget Detail'!B418,'COST REPORT'!$I$9:$I$998,"Close"))</f>
        <v>0</v>
      </c>
      <c r="F418" s="302">
        <f>(SUMIF(INPUT!$I$231:$I$522,'Contractor''s Budget Detail'!B418,INPUT!$H$231:$H$522)+SUMIFS('COST REPORT'!$F$9:$F$998,'COST REPORT'!$A$9:$A$998,'Contractor''s Budget Detail'!B418,'COST REPORT'!$I$9:$I$998,"close"))-(SUMIFS('COST REPORT'!$F$9:$F$998,'COST REPORT'!$A$9:$A$998,'Contractor''s Budget Detail'!B418,'COST REPORT'!$I$9:$I$998,"close",'COST REPORT'!$J$9:$J$998,"x"))</f>
        <v>0</v>
      </c>
      <c r="G418" s="302">
        <f t="shared" ref="G418:G425" si="99">E418+F418</f>
        <v>0</v>
      </c>
      <c r="H418" s="302">
        <f>SUMIF('COST REPORT'!$A$9:$A$998,'Contractor''s Budget Detail'!B418,'COST REPORT'!$G$9:$G$998)</f>
        <v>0</v>
      </c>
      <c r="I418" s="302">
        <f t="shared" ref="I418:I425" si="100">G418-H418</f>
        <v>0</v>
      </c>
      <c r="J418" s="324">
        <f t="shared" ref="J418:J425" si="101">D418-G418</f>
        <v>0</v>
      </c>
    </row>
    <row r="419" spans="1:12">
      <c r="A419" s="321">
        <v>18000</v>
      </c>
      <c r="B419" s="322">
        <f t="shared" ref="B419:B425" si="102">B418+1</f>
        <v>18003</v>
      </c>
      <c r="C419" s="325" t="s">
        <v>1939</v>
      </c>
      <c r="D419" s="323">
        <v>0</v>
      </c>
      <c r="E419" s="302">
        <f>(SUMIF('COST REPORT'!$A$9:$A$998,'Contractor''s Budget Detail'!B419,'COST REPORT'!$F$9:$F$998))-(SUMIFS('COST REPORT'!$F$9:$F$998,'COST REPORT'!$A$9:$A$998,'Contractor''s Budget Detail'!B419,'COST REPORT'!$I$9:$I$998,"Close"))</f>
        <v>0</v>
      </c>
      <c r="F419" s="302">
        <f>(SUMIF(INPUT!$I$231:$I$522,'Contractor''s Budget Detail'!B419,INPUT!$H$231:$H$522)+SUMIFS('COST REPORT'!$F$9:$F$998,'COST REPORT'!$A$9:$A$998,'Contractor''s Budget Detail'!B419,'COST REPORT'!$I$9:$I$998,"close"))-(SUMIFS('COST REPORT'!$F$9:$F$998,'COST REPORT'!$A$9:$A$998,'Contractor''s Budget Detail'!B419,'COST REPORT'!$I$9:$I$998,"close",'COST REPORT'!$J$9:$J$998,"x"))</f>
        <v>0</v>
      </c>
      <c r="G419" s="302">
        <f t="shared" si="99"/>
        <v>0</v>
      </c>
      <c r="H419" s="302">
        <f>SUMIF('COST REPORT'!$A$9:$A$998,'Contractor''s Budget Detail'!B419,'COST REPORT'!$G$9:$G$998)</f>
        <v>0</v>
      </c>
      <c r="I419" s="302">
        <f t="shared" si="100"/>
        <v>0</v>
      </c>
      <c r="J419" s="324">
        <f t="shared" si="101"/>
        <v>0</v>
      </c>
    </row>
    <row r="420" spans="1:12">
      <c r="A420" s="321">
        <v>18000</v>
      </c>
      <c r="B420" s="322">
        <f t="shared" si="102"/>
        <v>18004</v>
      </c>
      <c r="C420" s="325" t="s">
        <v>1939</v>
      </c>
      <c r="D420" s="323">
        <v>0</v>
      </c>
      <c r="E420" s="302">
        <f>(SUMIF('COST REPORT'!$A$9:$A$998,'Contractor''s Budget Detail'!B420,'COST REPORT'!$F$9:$F$998))-(SUMIFS('COST REPORT'!$F$9:$F$998,'COST REPORT'!$A$9:$A$998,'Contractor''s Budget Detail'!B420,'COST REPORT'!$I$9:$I$998,"Close"))</f>
        <v>0</v>
      </c>
      <c r="F420" s="302">
        <f>(SUMIF(INPUT!$I$231:$I$522,'Contractor''s Budget Detail'!B420,INPUT!$H$231:$H$522)+SUMIFS('COST REPORT'!$F$9:$F$998,'COST REPORT'!$A$9:$A$998,'Contractor''s Budget Detail'!B420,'COST REPORT'!$I$9:$I$998,"close"))-(SUMIFS('COST REPORT'!$F$9:$F$998,'COST REPORT'!$A$9:$A$998,'Contractor''s Budget Detail'!B420,'COST REPORT'!$I$9:$I$998,"close",'COST REPORT'!$J$9:$J$998,"x"))</f>
        <v>0</v>
      </c>
      <c r="G420" s="302">
        <f t="shared" si="99"/>
        <v>0</v>
      </c>
      <c r="H420" s="302">
        <f>SUMIF('COST REPORT'!$A$9:$A$998,'Contractor''s Budget Detail'!B420,'COST REPORT'!$G$9:$G$998)</f>
        <v>0</v>
      </c>
      <c r="I420" s="302">
        <f t="shared" si="100"/>
        <v>0</v>
      </c>
      <c r="J420" s="324">
        <f t="shared" si="101"/>
        <v>0</v>
      </c>
    </row>
    <row r="421" spans="1:12">
      <c r="A421" s="321">
        <v>18000</v>
      </c>
      <c r="B421" s="322">
        <f t="shared" si="102"/>
        <v>18005</v>
      </c>
      <c r="C421" s="325" t="s">
        <v>1939</v>
      </c>
      <c r="D421" s="323">
        <v>0</v>
      </c>
      <c r="E421" s="302">
        <f>(SUMIF('COST REPORT'!$A$9:$A$998,'Contractor''s Budget Detail'!B421,'COST REPORT'!$F$9:$F$998))-(SUMIFS('COST REPORT'!$F$9:$F$998,'COST REPORT'!$A$9:$A$998,'Contractor''s Budget Detail'!B421,'COST REPORT'!$I$9:$I$998,"Close"))</f>
        <v>0</v>
      </c>
      <c r="F421" s="302">
        <f>(SUMIF(INPUT!$I$231:$I$522,'Contractor''s Budget Detail'!B421,INPUT!$H$231:$H$522)+SUMIFS('COST REPORT'!$F$9:$F$998,'COST REPORT'!$A$9:$A$998,'Contractor''s Budget Detail'!B421,'COST REPORT'!$I$9:$I$998,"close"))-(SUMIFS('COST REPORT'!$F$9:$F$998,'COST REPORT'!$A$9:$A$998,'Contractor''s Budget Detail'!B421,'COST REPORT'!$I$9:$I$998,"close",'COST REPORT'!$J$9:$J$998,"x"))</f>
        <v>0</v>
      </c>
      <c r="G421" s="302">
        <f t="shared" si="99"/>
        <v>0</v>
      </c>
      <c r="H421" s="302">
        <f>SUMIF('COST REPORT'!$A$9:$A$998,'Contractor''s Budget Detail'!B421,'COST REPORT'!$G$9:$G$998)</f>
        <v>0</v>
      </c>
      <c r="I421" s="302">
        <f t="shared" si="100"/>
        <v>0</v>
      </c>
      <c r="J421" s="324">
        <f t="shared" si="101"/>
        <v>0</v>
      </c>
    </row>
    <row r="422" spans="1:12">
      <c r="A422" s="321">
        <v>18000</v>
      </c>
      <c r="B422" s="322">
        <f t="shared" si="102"/>
        <v>18006</v>
      </c>
      <c r="C422" s="325" t="s">
        <v>1939</v>
      </c>
      <c r="D422" s="323">
        <v>0</v>
      </c>
      <c r="E422" s="302">
        <f>(SUMIF('COST REPORT'!$A$9:$A$998,'Contractor''s Budget Detail'!B422,'COST REPORT'!$F$9:$F$998))-(SUMIFS('COST REPORT'!$F$9:$F$998,'COST REPORT'!$A$9:$A$998,'Contractor''s Budget Detail'!B422,'COST REPORT'!$I$9:$I$998,"Close"))</f>
        <v>0</v>
      </c>
      <c r="F422" s="302">
        <f>(SUMIF(INPUT!$I$231:$I$522,'Contractor''s Budget Detail'!B422,INPUT!$H$231:$H$522)+SUMIFS('COST REPORT'!$F$9:$F$998,'COST REPORT'!$A$9:$A$998,'Contractor''s Budget Detail'!B422,'COST REPORT'!$I$9:$I$998,"close"))-(SUMIFS('COST REPORT'!$F$9:$F$998,'COST REPORT'!$A$9:$A$998,'Contractor''s Budget Detail'!B422,'COST REPORT'!$I$9:$I$998,"close",'COST REPORT'!$J$9:$J$998,"x"))</f>
        <v>0</v>
      </c>
      <c r="G422" s="302">
        <f t="shared" si="99"/>
        <v>0</v>
      </c>
      <c r="H422" s="302">
        <f>SUMIF('COST REPORT'!$A$9:$A$998,'Contractor''s Budget Detail'!B422,'COST REPORT'!$G$9:$G$998)</f>
        <v>0</v>
      </c>
      <c r="I422" s="302">
        <f t="shared" si="100"/>
        <v>0</v>
      </c>
      <c r="J422" s="324">
        <f t="shared" si="101"/>
        <v>0</v>
      </c>
    </row>
    <row r="423" spans="1:12">
      <c r="A423" s="321">
        <v>18000</v>
      </c>
      <c r="B423" s="322">
        <f t="shared" si="102"/>
        <v>18007</v>
      </c>
      <c r="C423" s="325" t="s">
        <v>1939</v>
      </c>
      <c r="D423" s="323">
        <v>0</v>
      </c>
      <c r="E423" s="302">
        <f>(SUMIF('COST REPORT'!$A$9:$A$998,'Contractor''s Budget Detail'!B423,'COST REPORT'!$F$9:$F$998))-(SUMIFS('COST REPORT'!$F$9:$F$998,'COST REPORT'!$A$9:$A$998,'Contractor''s Budget Detail'!B423,'COST REPORT'!$I$9:$I$998,"Close"))</f>
        <v>0</v>
      </c>
      <c r="F423" s="302">
        <f>(SUMIF(INPUT!$I$231:$I$522,'Contractor''s Budget Detail'!B423,INPUT!$H$231:$H$522)+SUMIFS('COST REPORT'!$F$9:$F$998,'COST REPORT'!$A$9:$A$998,'Contractor''s Budget Detail'!B423,'COST REPORT'!$I$9:$I$998,"close"))-(SUMIFS('COST REPORT'!$F$9:$F$998,'COST REPORT'!$A$9:$A$998,'Contractor''s Budget Detail'!B423,'COST REPORT'!$I$9:$I$998,"close",'COST REPORT'!$J$9:$J$998,"x"))</f>
        <v>0</v>
      </c>
      <c r="G423" s="302">
        <f t="shared" si="99"/>
        <v>0</v>
      </c>
      <c r="H423" s="302">
        <f>SUMIF('COST REPORT'!$A$9:$A$998,'Contractor''s Budget Detail'!B423,'COST REPORT'!$G$9:$G$998)</f>
        <v>0</v>
      </c>
      <c r="I423" s="302">
        <f t="shared" si="100"/>
        <v>0</v>
      </c>
      <c r="J423" s="324">
        <f t="shared" si="101"/>
        <v>0</v>
      </c>
    </row>
    <row r="424" spans="1:12">
      <c r="A424" s="321">
        <v>18000</v>
      </c>
      <c r="B424" s="322">
        <f t="shared" si="102"/>
        <v>18008</v>
      </c>
      <c r="C424" s="325" t="s">
        <v>1939</v>
      </c>
      <c r="D424" s="323">
        <v>0</v>
      </c>
      <c r="E424" s="302">
        <f>(SUMIF('COST REPORT'!$A$9:$A$998,'Contractor''s Budget Detail'!B424,'COST REPORT'!$F$9:$F$998))-(SUMIFS('COST REPORT'!$F$9:$F$998,'COST REPORT'!$A$9:$A$998,'Contractor''s Budget Detail'!B424,'COST REPORT'!$I$9:$I$998,"Close"))</f>
        <v>0</v>
      </c>
      <c r="F424" s="302">
        <f>(SUMIF(INPUT!$I$231:$I$522,'Contractor''s Budget Detail'!B424,INPUT!$H$231:$H$522)+SUMIFS('COST REPORT'!$F$9:$F$998,'COST REPORT'!$A$9:$A$998,'Contractor''s Budget Detail'!B424,'COST REPORT'!$I$9:$I$998,"close"))-(SUMIFS('COST REPORT'!$F$9:$F$998,'COST REPORT'!$A$9:$A$998,'Contractor''s Budget Detail'!B424,'COST REPORT'!$I$9:$I$998,"close",'COST REPORT'!$J$9:$J$998,"x"))</f>
        <v>0</v>
      </c>
      <c r="G424" s="302">
        <f t="shared" si="99"/>
        <v>0</v>
      </c>
      <c r="H424" s="302">
        <f>SUMIF('COST REPORT'!$A$9:$A$998,'Contractor''s Budget Detail'!B424,'COST REPORT'!$G$9:$G$998)</f>
        <v>0</v>
      </c>
      <c r="I424" s="302">
        <f t="shared" si="100"/>
        <v>0</v>
      </c>
      <c r="J424" s="324">
        <f t="shared" si="101"/>
        <v>0</v>
      </c>
    </row>
    <row r="425" spans="1:12">
      <c r="A425" s="321">
        <v>18000</v>
      </c>
      <c r="B425" s="322">
        <f t="shared" si="102"/>
        <v>18009</v>
      </c>
      <c r="C425" s="325" t="s">
        <v>1939</v>
      </c>
      <c r="D425" s="323">
        <v>0</v>
      </c>
      <c r="E425" s="302">
        <f>(SUMIF('COST REPORT'!$A$9:$A$998,'Contractor''s Budget Detail'!B425,'COST REPORT'!$F$9:$F$998))-(SUMIFS('COST REPORT'!$F$9:$F$998,'COST REPORT'!$A$9:$A$998,'Contractor''s Budget Detail'!B425,'COST REPORT'!$I$9:$I$998,"Close"))</f>
        <v>0</v>
      </c>
      <c r="F425" s="302">
        <f>(SUMIF(INPUT!$I$231:$I$522,'Contractor''s Budget Detail'!B425,INPUT!$H$231:$H$522)+SUMIFS('COST REPORT'!$F$9:$F$998,'COST REPORT'!$A$9:$A$998,'Contractor''s Budget Detail'!B425,'COST REPORT'!$I$9:$I$998,"close"))-(SUMIFS('COST REPORT'!$F$9:$F$998,'COST REPORT'!$A$9:$A$998,'Contractor''s Budget Detail'!B425,'COST REPORT'!$I$9:$I$998,"close",'COST REPORT'!$J$9:$J$998,"x"))</f>
        <v>0</v>
      </c>
      <c r="G425" s="302">
        <f t="shared" si="99"/>
        <v>0</v>
      </c>
      <c r="H425" s="302">
        <f>SUMIF('COST REPORT'!$A$9:$A$998,'Contractor''s Budget Detail'!B425,'COST REPORT'!$G$9:$G$998)</f>
        <v>0</v>
      </c>
      <c r="I425" s="302">
        <f t="shared" si="100"/>
        <v>0</v>
      </c>
      <c r="J425" s="324">
        <f t="shared" si="101"/>
        <v>0</v>
      </c>
    </row>
    <row r="426" spans="1:12" ht="13.5" thickBot="1">
      <c r="A426" s="326" t="s">
        <v>2159</v>
      </c>
      <c r="B426" s="307"/>
      <c r="C426" s="308"/>
      <c r="D426" s="305">
        <f t="shared" ref="D426:J426" si="103">SUM(D417:D425)</f>
        <v>0</v>
      </c>
      <c r="E426" s="305">
        <f t="shared" si="103"/>
        <v>0</v>
      </c>
      <c r="F426" s="305">
        <f t="shared" si="103"/>
        <v>0</v>
      </c>
      <c r="G426" s="305">
        <f t="shared" si="103"/>
        <v>0</v>
      </c>
      <c r="H426" s="305">
        <f t="shared" si="103"/>
        <v>0</v>
      </c>
      <c r="I426" s="305">
        <f t="shared" si="103"/>
        <v>0</v>
      </c>
      <c r="J426" s="327">
        <f t="shared" si="103"/>
        <v>0</v>
      </c>
    </row>
    <row r="427" spans="1:12">
      <c r="A427" s="343"/>
      <c r="B427" s="344"/>
      <c r="C427" s="345"/>
      <c r="D427" s="346"/>
      <c r="E427" s="346"/>
      <c r="H427" s="346"/>
      <c r="I427" s="346"/>
      <c r="J427" s="329"/>
    </row>
    <row r="428" spans="1:12" ht="13.5" thickBot="1">
      <c r="A428" s="347" t="s">
        <v>2160</v>
      </c>
      <c r="B428" s="313"/>
      <c r="C428" s="314"/>
      <c r="D428" s="315">
        <f t="shared" ref="D428:J428" si="104">D40+D92+D113+D132+D153+D179+D208+D238+D267+D294+D316+D332+D352+D366+D381+D394+D414+D426</f>
        <v>0</v>
      </c>
      <c r="E428" s="315">
        <f t="shared" si="104"/>
        <v>0</v>
      </c>
      <c r="F428" s="315">
        <f t="shared" si="104"/>
        <v>0</v>
      </c>
      <c r="G428" s="315">
        <f t="shared" si="104"/>
        <v>0</v>
      </c>
      <c r="H428" s="315">
        <f t="shared" si="104"/>
        <v>0</v>
      </c>
      <c r="I428" s="315">
        <f t="shared" si="104"/>
        <v>0</v>
      </c>
      <c r="J428" s="348">
        <f t="shared" si="104"/>
        <v>0</v>
      </c>
    </row>
    <row r="429" spans="1:12" ht="13.5" thickTop="1">
      <c r="A429" s="328"/>
      <c r="B429" s="71"/>
      <c r="C429" s="90"/>
      <c r="D429" s="306"/>
      <c r="E429" s="306"/>
      <c r="H429" s="306"/>
      <c r="I429" s="306"/>
      <c r="J429" s="329"/>
      <c r="L429" s="1034"/>
    </row>
    <row r="430" spans="1:12">
      <c r="A430" s="330" t="s">
        <v>2161</v>
      </c>
      <c r="B430" s="205"/>
      <c r="C430" s="88"/>
      <c r="D430" s="331"/>
      <c r="E430" s="331"/>
      <c r="F430" s="338"/>
      <c r="G430" s="338"/>
      <c r="H430" s="331"/>
      <c r="I430" s="331"/>
      <c r="J430" s="339"/>
    </row>
    <row r="431" spans="1:12">
      <c r="A431" s="321">
        <v>19000</v>
      </c>
      <c r="B431" s="322">
        <v>19001</v>
      </c>
      <c r="C431" s="317" t="s">
        <v>2162</v>
      </c>
      <c r="D431" s="323">
        <v>0</v>
      </c>
      <c r="E431" s="302">
        <f>(SUMIF('COST REPORT'!$A$9:$A$998,'Contractor''s Budget Detail'!B431,'COST REPORT'!$F$9:$F$998))-(SUMIFS('COST REPORT'!$F$9:$F$998,'COST REPORT'!$A$9:$A$998,'Contractor''s Budget Detail'!B431,'COST REPORT'!$I$9:$I$998,"Close"))</f>
        <v>0</v>
      </c>
      <c r="F431" s="302">
        <f>(SUMIF(INPUT!$I$231:$I$522,'Contractor''s Budget Detail'!B431,INPUT!$H$231:$H$522)+SUMIFS('COST REPORT'!$F$9:$F$998,'COST REPORT'!$A$9:$A$998,'Contractor''s Budget Detail'!B431,'COST REPORT'!$I$9:$I$998,"close"))-(SUMIFS('COST REPORT'!$F$9:$F$998,'COST REPORT'!$A$9:$A$998,'Contractor''s Budget Detail'!B431,'COST REPORT'!$I$9:$I$998,"close",'COST REPORT'!$J$9:$J$998,"x"))</f>
        <v>0</v>
      </c>
      <c r="G431" s="302">
        <f>E431+F431</f>
        <v>0</v>
      </c>
      <c r="H431" s="302">
        <f>SUMIF('COST REPORT'!$A$9:$A$998,'Contractor''s Budget Detail'!B431,'COST REPORT'!$G$9:$G$998)</f>
        <v>0</v>
      </c>
      <c r="I431" s="302">
        <f>G431-H431</f>
        <v>0</v>
      </c>
      <c r="J431" s="324">
        <f>D431-G431</f>
        <v>0</v>
      </c>
    </row>
    <row r="432" spans="1:12">
      <c r="A432" s="321">
        <v>19000</v>
      </c>
      <c r="B432" s="322">
        <f>B431+1</f>
        <v>19002</v>
      </c>
      <c r="C432" s="317" t="s">
        <v>2163</v>
      </c>
      <c r="D432" s="323">
        <v>0</v>
      </c>
      <c r="E432" s="302">
        <f>(SUMIF('COST REPORT'!$A$9:$A$998,'Contractor''s Budget Detail'!B432,'COST REPORT'!$F$9:$F$998))-(SUMIFS('COST REPORT'!$F$9:$F$998,'COST REPORT'!$A$9:$A$998,'Contractor''s Budget Detail'!B432,'COST REPORT'!$I$9:$I$998,"Close"))</f>
        <v>0</v>
      </c>
      <c r="F432" s="302">
        <f>(SUMIF(INPUT!$I$231:$I$522,'Contractor''s Budget Detail'!B432,INPUT!$H$231:$H$522)+SUMIFS('COST REPORT'!$F$9:$F$998,'COST REPORT'!$A$9:$A$998,'Contractor''s Budget Detail'!B432,'COST REPORT'!$I$9:$I$998,"close"))-(SUMIFS('COST REPORT'!$F$9:$F$998,'COST REPORT'!$A$9:$A$998,'Contractor''s Budget Detail'!B432,'COST REPORT'!$I$9:$I$998,"close",'COST REPORT'!$J$9:$J$998,"x"))</f>
        <v>0</v>
      </c>
      <c r="G432" s="302">
        <f t="shared" ref="G432:G444" si="105">E432+F432</f>
        <v>0</v>
      </c>
      <c r="H432" s="302">
        <f>SUMIF('COST REPORT'!$A$9:$A$998,'Contractor''s Budget Detail'!B432,'COST REPORT'!$G$9:$G$998)</f>
        <v>0</v>
      </c>
      <c r="I432" s="302">
        <f t="shared" ref="I432:I444" si="106">G432-H432</f>
        <v>0</v>
      </c>
      <c r="J432" s="324">
        <f t="shared" ref="J432:J444" si="107">D432-G432</f>
        <v>0</v>
      </c>
    </row>
    <row r="433" spans="1:10">
      <c r="A433" s="321">
        <v>19000</v>
      </c>
      <c r="B433" s="322">
        <f t="shared" ref="B433:B444" si="108">B432+1</f>
        <v>19003</v>
      </c>
      <c r="C433" s="317" t="s">
        <v>2164</v>
      </c>
      <c r="D433" s="323">
        <v>0</v>
      </c>
      <c r="E433" s="302">
        <f>(SUMIF('COST REPORT'!$A$9:$A$998,'Contractor''s Budget Detail'!B433,'COST REPORT'!$F$9:$F$998))-(SUMIFS('COST REPORT'!$F$9:$F$998,'COST REPORT'!$A$9:$A$998,'Contractor''s Budget Detail'!B433,'COST REPORT'!$I$9:$I$998,"Close"))</f>
        <v>0</v>
      </c>
      <c r="F433" s="302">
        <f>(SUMIF(INPUT!$I$231:$I$522,'Contractor''s Budget Detail'!B433,INPUT!$H$231:$H$522)+SUMIFS('COST REPORT'!$F$9:$F$998,'COST REPORT'!$A$9:$A$998,'Contractor''s Budget Detail'!B433,'COST REPORT'!$I$9:$I$998,"close"))-(SUMIFS('COST REPORT'!$F$9:$F$998,'COST REPORT'!$A$9:$A$998,'Contractor''s Budget Detail'!B433,'COST REPORT'!$I$9:$I$998,"close",'COST REPORT'!$J$9:$J$998,"x"))</f>
        <v>0</v>
      </c>
      <c r="G433" s="302">
        <f t="shared" si="105"/>
        <v>0</v>
      </c>
      <c r="H433" s="302">
        <f>SUMIF('COST REPORT'!$A$9:$A$998,'Contractor''s Budget Detail'!B433,'COST REPORT'!$G$9:$G$998)</f>
        <v>0</v>
      </c>
      <c r="I433" s="302">
        <f t="shared" si="106"/>
        <v>0</v>
      </c>
      <c r="J433" s="324">
        <f t="shared" si="107"/>
        <v>0</v>
      </c>
    </row>
    <row r="434" spans="1:10">
      <c r="A434" s="321">
        <v>19000</v>
      </c>
      <c r="B434" s="322">
        <f t="shared" si="108"/>
        <v>19004</v>
      </c>
      <c r="C434" s="317" t="s">
        <v>2165</v>
      </c>
      <c r="D434" s="323">
        <v>0</v>
      </c>
      <c r="E434" s="302">
        <f>(SUMIF('COST REPORT'!$A$9:$A$998,'Contractor''s Budget Detail'!B434,'COST REPORT'!$F$9:$F$998))-(SUMIFS('COST REPORT'!$F$9:$F$998,'COST REPORT'!$A$9:$A$998,'Contractor''s Budget Detail'!B434,'COST REPORT'!$I$9:$I$998,"Close"))</f>
        <v>0</v>
      </c>
      <c r="F434" s="302">
        <f>(SUMIF(INPUT!$I$231:$I$522,'Contractor''s Budget Detail'!B434,INPUT!$H$231:$H$522)+SUMIFS('COST REPORT'!$F$9:$F$998,'COST REPORT'!$A$9:$A$998,'Contractor''s Budget Detail'!B434,'COST REPORT'!$I$9:$I$998,"close"))-(SUMIFS('COST REPORT'!$F$9:$F$998,'COST REPORT'!$A$9:$A$998,'Contractor''s Budget Detail'!B434,'COST REPORT'!$I$9:$I$998,"close",'COST REPORT'!$J$9:$J$998,"x"))</f>
        <v>0</v>
      </c>
      <c r="G434" s="302">
        <f t="shared" si="105"/>
        <v>0</v>
      </c>
      <c r="H434" s="302">
        <f>SUMIF('COST REPORT'!$A$9:$A$998,'Contractor''s Budget Detail'!B434,'COST REPORT'!$G$9:$G$998)</f>
        <v>0</v>
      </c>
      <c r="I434" s="302">
        <f t="shared" si="106"/>
        <v>0</v>
      </c>
      <c r="J434" s="324">
        <f t="shared" si="107"/>
        <v>0</v>
      </c>
    </row>
    <row r="435" spans="1:10">
      <c r="A435" s="321">
        <v>19000</v>
      </c>
      <c r="B435" s="322">
        <f t="shared" si="108"/>
        <v>19005</v>
      </c>
      <c r="C435" s="317" t="s">
        <v>2166</v>
      </c>
      <c r="D435" s="323">
        <v>0</v>
      </c>
      <c r="E435" s="302">
        <f>(SUMIF('COST REPORT'!$A$9:$A$998,'Contractor''s Budget Detail'!B435,'COST REPORT'!$F$9:$F$998))-(SUMIFS('COST REPORT'!$F$9:$F$998,'COST REPORT'!$A$9:$A$998,'Contractor''s Budget Detail'!B435,'COST REPORT'!$I$9:$I$998,"Close"))</f>
        <v>0</v>
      </c>
      <c r="F435" s="302">
        <f>(SUMIF(INPUT!$I$231:$I$522,'Contractor''s Budget Detail'!B435,INPUT!$H$231:$H$522)+SUMIFS('COST REPORT'!$F$9:$F$998,'COST REPORT'!$A$9:$A$998,'Contractor''s Budget Detail'!B435,'COST REPORT'!$I$9:$I$998,"close"))-(SUMIFS('COST REPORT'!$F$9:$F$998,'COST REPORT'!$A$9:$A$998,'Contractor''s Budget Detail'!B435,'COST REPORT'!$I$9:$I$998,"close",'COST REPORT'!$J$9:$J$998,"x"))</f>
        <v>0</v>
      </c>
      <c r="G435" s="302">
        <f t="shared" si="105"/>
        <v>0</v>
      </c>
      <c r="H435" s="302">
        <f>SUMIF('COST REPORT'!$A$9:$A$998,'Contractor''s Budget Detail'!B435,'COST REPORT'!$G$9:$G$998)</f>
        <v>0</v>
      </c>
      <c r="I435" s="302">
        <f t="shared" si="106"/>
        <v>0</v>
      </c>
      <c r="J435" s="324">
        <f t="shared" si="107"/>
        <v>0</v>
      </c>
    </row>
    <row r="436" spans="1:10">
      <c r="A436" s="321">
        <v>19000</v>
      </c>
      <c r="B436" s="322">
        <f t="shared" si="108"/>
        <v>19006</v>
      </c>
      <c r="C436" s="317" t="s">
        <v>2167</v>
      </c>
      <c r="D436" s="323">
        <v>0</v>
      </c>
      <c r="E436" s="302">
        <f>(SUMIF('COST REPORT'!$A$9:$A$998,'Contractor''s Budget Detail'!B436,'COST REPORT'!$F$9:$F$998))-(SUMIFS('COST REPORT'!$F$9:$F$998,'COST REPORT'!$A$9:$A$998,'Contractor''s Budget Detail'!B436,'COST REPORT'!$I$9:$I$998,"Close"))</f>
        <v>0</v>
      </c>
      <c r="F436" s="302">
        <f>(SUMIF(INPUT!$I$231:$I$522,'Contractor''s Budget Detail'!B436,INPUT!$H$231:$H$522)+SUMIFS('COST REPORT'!$F$9:$F$998,'COST REPORT'!$A$9:$A$998,'Contractor''s Budget Detail'!B436,'COST REPORT'!$I$9:$I$998,"close"))-(SUMIFS('COST REPORT'!$F$9:$F$998,'COST REPORT'!$A$9:$A$998,'Contractor''s Budget Detail'!B436,'COST REPORT'!$I$9:$I$998,"close",'COST REPORT'!$J$9:$J$998,"x"))</f>
        <v>0</v>
      </c>
      <c r="G436" s="302">
        <f t="shared" si="105"/>
        <v>0</v>
      </c>
      <c r="H436" s="302">
        <f>SUMIF('COST REPORT'!$A$9:$A$998,'Contractor''s Budget Detail'!B436,'COST REPORT'!$G$9:$G$998)</f>
        <v>0</v>
      </c>
      <c r="I436" s="302">
        <f t="shared" si="106"/>
        <v>0</v>
      </c>
      <c r="J436" s="324">
        <f t="shared" si="107"/>
        <v>0</v>
      </c>
    </row>
    <row r="437" spans="1:10">
      <c r="A437" s="321">
        <v>19000</v>
      </c>
      <c r="B437" s="322">
        <f t="shared" si="108"/>
        <v>19007</v>
      </c>
      <c r="C437" s="325" t="s">
        <v>2168</v>
      </c>
      <c r="D437" s="323">
        <v>0</v>
      </c>
      <c r="E437" s="302">
        <f>(SUMIF('COST REPORT'!$A$9:$A$998,'Contractor''s Budget Detail'!B437,'COST REPORT'!$F$9:$F$998))-(SUMIFS('COST REPORT'!$F$9:$F$998,'COST REPORT'!$A$9:$A$998,'Contractor''s Budget Detail'!B437,'COST REPORT'!$I$9:$I$998,"Close"))</f>
        <v>0</v>
      </c>
      <c r="F437" s="302">
        <f>(SUMIF(INPUT!$I$231:$I$522,'Contractor''s Budget Detail'!B437,INPUT!$H$231:$H$522)+SUMIFS('COST REPORT'!$F$9:$F$998,'COST REPORT'!$A$9:$A$998,'Contractor''s Budget Detail'!B437,'COST REPORT'!$I$9:$I$998,"close"))-(SUMIFS('COST REPORT'!$F$9:$F$998,'COST REPORT'!$A$9:$A$998,'Contractor''s Budget Detail'!B437,'COST REPORT'!$I$9:$I$998,"close",'COST REPORT'!$J$9:$J$998,"x"))</f>
        <v>0</v>
      </c>
      <c r="G437" s="302">
        <f t="shared" si="105"/>
        <v>0</v>
      </c>
      <c r="H437" s="302">
        <f>SUMIF('COST REPORT'!$A$9:$A$998,'Contractor''s Budget Detail'!B437,'COST REPORT'!$G$9:$G$998)</f>
        <v>0</v>
      </c>
      <c r="I437" s="302">
        <f t="shared" si="106"/>
        <v>0</v>
      </c>
      <c r="J437" s="324">
        <f t="shared" si="107"/>
        <v>0</v>
      </c>
    </row>
    <row r="438" spans="1:10">
      <c r="A438" s="321">
        <v>19000</v>
      </c>
      <c r="B438" s="322">
        <f t="shared" si="108"/>
        <v>19008</v>
      </c>
      <c r="C438" s="325" t="s">
        <v>2169</v>
      </c>
      <c r="D438" s="323">
        <v>0</v>
      </c>
      <c r="E438" s="302">
        <f>(SUMIF('COST REPORT'!$A$9:$A$998,'Contractor''s Budget Detail'!B438,'COST REPORT'!$F$9:$F$998))-(SUMIFS('COST REPORT'!$F$9:$F$998,'COST REPORT'!$A$9:$A$998,'Contractor''s Budget Detail'!B438,'COST REPORT'!$I$9:$I$998,"Close"))</f>
        <v>0</v>
      </c>
      <c r="F438" s="302">
        <f>(SUMIF(INPUT!$I$231:$I$522,'Contractor''s Budget Detail'!B438,INPUT!$H$231:$H$522)+SUMIFS('COST REPORT'!$F$9:$F$998,'COST REPORT'!$A$9:$A$998,'Contractor''s Budget Detail'!B438,'COST REPORT'!$I$9:$I$998,"close"))-(SUMIFS('COST REPORT'!$F$9:$F$998,'COST REPORT'!$A$9:$A$998,'Contractor''s Budget Detail'!B438,'COST REPORT'!$I$9:$I$998,"close",'COST REPORT'!$J$9:$J$998,"x"))</f>
        <v>0</v>
      </c>
      <c r="G438" s="302">
        <f>E438+F438</f>
        <v>0</v>
      </c>
      <c r="H438" s="302">
        <f>SUMIF('COST REPORT'!$A$9:$A$998,'Contractor''s Budget Detail'!B438,'COST REPORT'!$G$9:$G$998)</f>
        <v>0</v>
      </c>
      <c r="I438" s="302">
        <f>G438-H438</f>
        <v>0</v>
      </c>
      <c r="J438" s="324">
        <f>D438-G438</f>
        <v>0</v>
      </c>
    </row>
    <row r="439" spans="1:10">
      <c r="A439" s="321">
        <v>19000</v>
      </c>
      <c r="B439" s="322">
        <f t="shared" si="108"/>
        <v>19009</v>
      </c>
      <c r="C439" s="325" t="s">
        <v>2169</v>
      </c>
      <c r="D439" s="323">
        <v>0</v>
      </c>
      <c r="E439" s="302">
        <f>(SUMIF('COST REPORT'!$A$9:$A$998,'Contractor''s Budget Detail'!B439,'COST REPORT'!$F$9:$F$998))-(SUMIFS('COST REPORT'!$F$9:$F$998,'COST REPORT'!$A$9:$A$998,'Contractor''s Budget Detail'!B439,'COST REPORT'!$I$9:$I$998,"Close"))</f>
        <v>0</v>
      </c>
      <c r="F439" s="302">
        <f>(SUMIF(INPUT!$I$231:$I$522,'Contractor''s Budget Detail'!B439,INPUT!$H$231:$H$522)+SUMIFS('COST REPORT'!$F$9:$F$998,'COST REPORT'!$A$9:$A$998,'Contractor''s Budget Detail'!B439,'COST REPORT'!$I$9:$I$998,"close"))-(SUMIFS('COST REPORT'!$F$9:$F$998,'COST REPORT'!$A$9:$A$998,'Contractor''s Budget Detail'!B439,'COST REPORT'!$I$9:$I$998,"close",'COST REPORT'!$J$9:$J$998,"x"))</f>
        <v>0</v>
      </c>
      <c r="G439" s="302">
        <f>E439+F439</f>
        <v>0</v>
      </c>
      <c r="H439" s="302">
        <f>SUMIF('COST REPORT'!$A$9:$A$998,'Contractor''s Budget Detail'!B439,'COST REPORT'!$G$9:$G$998)</f>
        <v>0</v>
      </c>
      <c r="I439" s="302">
        <f>G439-H439</f>
        <v>0</v>
      </c>
      <c r="J439" s="324">
        <f>D439-G439</f>
        <v>0</v>
      </c>
    </row>
    <row r="440" spans="1:10">
      <c r="A440" s="321">
        <v>19000</v>
      </c>
      <c r="B440" s="322">
        <f t="shared" si="108"/>
        <v>19010</v>
      </c>
      <c r="C440" s="325" t="s">
        <v>2169</v>
      </c>
      <c r="D440" s="323">
        <v>0</v>
      </c>
      <c r="E440" s="302">
        <f>(SUMIF('COST REPORT'!$A$9:$A$998,'Contractor''s Budget Detail'!B440,'COST REPORT'!$F$9:$F$998))-(SUMIFS('COST REPORT'!$F$9:$F$998,'COST REPORT'!$A$9:$A$998,'Contractor''s Budget Detail'!B440,'COST REPORT'!$I$9:$I$998,"Close"))</f>
        <v>0</v>
      </c>
      <c r="F440" s="302">
        <f>(SUMIF(INPUT!$I$231:$I$522,'Contractor''s Budget Detail'!B440,INPUT!$H$231:$H$522)+SUMIFS('COST REPORT'!$F$9:$F$998,'COST REPORT'!$A$9:$A$998,'Contractor''s Budget Detail'!B440,'COST REPORT'!$I$9:$I$998,"close"))-(SUMIFS('COST REPORT'!$F$9:$F$998,'COST REPORT'!$A$9:$A$998,'Contractor''s Budget Detail'!B440,'COST REPORT'!$I$9:$I$998,"close",'COST REPORT'!$J$9:$J$998,"x"))</f>
        <v>0</v>
      </c>
      <c r="G440" s="302">
        <f>E440+F440</f>
        <v>0</v>
      </c>
      <c r="H440" s="302">
        <f>SUMIF('COST REPORT'!$A$9:$A$998,'Contractor''s Budget Detail'!B440,'COST REPORT'!$G$9:$G$998)</f>
        <v>0</v>
      </c>
      <c r="I440" s="302">
        <f>G440-H440</f>
        <v>0</v>
      </c>
      <c r="J440" s="324">
        <f>D440-G440</f>
        <v>0</v>
      </c>
    </row>
    <row r="441" spans="1:10">
      <c r="A441" s="321">
        <v>19000</v>
      </c>
      <c r="B441" s="322">
        <f t="shared" si="108"/>
        <v>19011</v>
      </c>
      <c r="C441" s="325" t="s">
        <v>2169</v>
      </c>
      <c r="D441" s="323">
        <v>0</v>
      </c>
      <c r="E441" s="302">
        <f>(SUMIF('COST REPORT'!$A$9:$A$998,'Contractor''s Budget Detail'!B441,'COST REPORT'!$F$9:$F$998))-(SUMIFS('COST REPORT'!$F$9:$F$998,'COST REPORT'!$A$9:$A$998,'Contractor''s Budget Detail'!B441,'COST REPORT'!$I$9:$I$998,"Close"))</f>
        <v>0</v>
      </c>
      <c r="F441" s="302">
        <f>(SUMIF(INPUT!$I$231:$I$522,'Contractor''s Budget Detail'!B441,INPUT!$H$231:$H$522)+SUMIFS('COST REPORT'!$F$9:$F$998,'COST REPORT'!$A$9:$A$998,'Contractor''s Budget Detail'!B441,'COST REPORT'!$I$9:$I$998,"close"))-(SUMIFS('COST REPORT'!$F$9:$F$998,'COST REPORT'!$A$9:$A$998,'Contractor''s Budget Detail'!B441,'COST REPORT'!$I$9:$I$998,"close",'COST REPORT'!$J$9:$J$998,"x"))</f>
        <v>0</v>
      </c>
      <c r="G441" s="302">
        <f>E441+F441</f>
        <v>0</v>
      </c>
      <c r="H441" s="302">
        <f>SUMIF('COST REPORT'!$A$9:$A$998,'Contractor''s Budget Detail'!B441,'COST REPORT'!$G$9:$G$998)</f>
        <v>0</v>
      </c>
      <c r="I441" s="302">
        <f>G441-H441</f>
        <v>0</v>
      </c>
      <c r="J441" s="324">
        <f>D441-G441</f>
        <v>0</v>
      </c>
    </row>
    <row r="442" spans="1:10">
      <c r="A442" s="321">
        <v>19000</v>
      </c>
      <c r="B442" s="322">
        <f t="shared" si="108"/>
        <v>19012</v>
      </c>
      <c r="C442" s="325" t="s">
        <v>2169</v>
      </c>
      <c r="D442" s="323">
        <v>0</v>
      </c>
      <c r="E442" s="302">
        <f>(SUMIF('COST REPORT'!$A$9:$A$998,'Contractor''s Budget Detail'!B442,'COST REPORT'!$F$9:$F$998))-(SUMIFS('COST REPORT'!$F$9:$F$998,'COST REPORT'!$A$9:$A$998,'Contractor''s Budget Detail'!B442,'COST REPORT'!$I$9:$I$998,"Close"))</f>
        <v>0</v>
      </c>
      <c r="F442" s="302">
        <f>(SUMIF(INPUT!$I$231:$I$522,'Contractor''s Budget Detail'!B442,INPUT!$H$231:$H$522)+SUMIFS('COST REPORT'!$F$9:$F$998,'COST REPORT'!$A$9:$A$998,'Contractor''s Budget Detail'!B442,'COST REPORT'!$I$9:$I$998,"close"))-(SUMIFS('COST REPORT'!$F$9:$F$998,'COST REPORT'!$A$9:$A$998,'Contractor''s Budget Detail'!B442,'COST REPORT'!$I$9:$I$998,"close",'COST REPORT'!$J$9:$J$998,"x"))</f>
        <v>0</v>
      </c>
      <c r="G442" s="302">
        <f t="shared" si="105"/>
        <v>0</v>
      </c>
      <c r="H442" s="302">
        <f>SUMIF('COST REPORT'!$A$9:$A$998,'Contractor''s Budget Detail'!B442,'COST REPORT'!$G$9:$G$998)</f>
        <v>0</v>
      </c>
      <c r="I442" s="302">
        <f t="shared" si="106"/>
        <v>0</v>
      </c>
      <c r="J442" s="324">
        <f t="shared" si="107"/>
        <v>0</v>
      </c>
    </row>
    <row r="443" spans="1:10">
      <c r="A443" s="321">
        <v>19000</v>
      </c>
      <c r="B443" s="322">
        <f t="shared" si="108"/>
        <v>19013</v>
      </c>
      <c r="C443" s="325" t="s">
        <v>2169</v>
      </c>
      <c r="D443" s="323">
        <v>0</v>
      </c>
      <c r="E443" s="302">
        <f>(SUMIF('COST REPORT'!$A$9:$A$998,'Contractor''s Budget Detail'!B443,'COST REPORT'!$F$9:$F$998))-(SUMIFS('COST REPORT'!$F$9:$F$998,'COST REPORT'!$A$9:$A$998,'Contractor''s Budget Detail'!B443,'COST REPORT'!$I$9:$I$998,"Close"))</f>
        <v>0</v>
      </c>
      <c r="F443" s="302">
        <f>(SUMIF(INPUT!$I$231:$I$522,'Contractor''s Budget Detail'!B443,INPUT!$H$231:$H$522)+SUMIFS('COST REPORT'!$F$9:$F$998,'COST REPORT'!$A$9:$A$998,'Contractor''s Budget Detail'!B443,'COST REPORT'!$I$9:$I$998,"close"))-(SUMIFS('COST REPORT'!$F$9:$F$998,'COST REPORT'!$A$9:$A$998,'Contractor''s Budget Detail'!B443,'COST REPORT'!$I$9:$I$998,"close",'COST REPORT'!$J$9:$J$998,"x"))</f>
        <v>0</v>
      </c>
      <c r="G443" s="302">
        <f t="shared" si="105"/>
        <v>0</v>
      </c>
      <c r="H443" s="302">
        <f>SUMIF('COST REPORT'!$A$9:$A$998,'Contractor''s Budget Detail'!B443,'COST REPORT'!$G$9:$G$998)</f>
        <v>0</v>
      </c>
      <c r="I443" s="302">
        <f t="shared" si="106"/>
        <v>0</v>
      </c>
      <c r="J443" s="324">
        <f t="shared" si="107"/>
        <v>0</v>
      </c>
    </row>
    <row r="444" spans="1:10">
      <c r="A444" s="321">
        <v>19000</v>
      </c>
      <c r="B444" s="322">
        <f t="shared" si="108"/>
        <v>19014</v>
      </c>
      <c r="C444" s="325" t="s">
        <v>2169</v>
      </c>
      <c r="D444" s="323">
        <v>0</v>
      </c>
      <c r="E444" s="302">
        <f>(SUMIF('COST REPORT'!$A$9:$A$998,'Contractor''s Budget Detail'!B444,'COST REPORT'!$F$9:$F$998))-(SUMIFS('COST REPORT'!$F$9:$F$998,'COST REPORT'!$A$9:$A$998,'Contractor''s Budget Detail'!B444,'COST REPORT'!$I$9:$I$998,"Close"))</f>
        <v>0</v>
      </c>
      <c r="F444" s="302">
        <f>(SUMIF(INPUT!$I$231:$I$522,'Contractor''s Budget Detail'!B444,INPUT!$H$231:$H$522)+SUMIFS('COST REPORT'!$F$9:$F$998,'COST REPORT'!$A$9:$A$998,'Contractor''s Budget Detail'!B444,'COST REPORT'!$I$9:$I$998,"close"))-(SUMIFS('COST REPORT'!$F$9:$F$998,'COST REPORT'!$A$9:$A$998,'Contractor''s Budget Detail'!B444,'COST REPORT'!$I$9:$I$998,"close",'COST REPORT'!$J$9:$J$998,"x"))</f>
        <v>0</v>
      </c>
      <c r="G444" s="302">
        <f t="shared" si="105"/>
        <v>0</v>
      </c>
      <c r="H444" s="302">
        <f>SUMIF('COST REPORT'!$A$9:$A$998,'Contractor''s Budget Detail'!B444,'COST REPORT'!$G$9:$G$998)</f>
        <v>0</v>
      </c>
      <c r="I444" s="302">
        <f t="shared" si="106"/>
        <v>0</v>
      </c>
      <c r="J444" s="324">
        <f t="shared" si="107"/>
        <v>0</v>
      </c>
    </row>
    <row r="445" spans="1:10" ht="13.5" thickBot="1">
      <c r="A445" s="326" t="s">
        <v>2170</v>
      </c>
      <c r="B445" s="307"/>
      <c r="C445" s="308"/>
      <c r="D445" s="305">
        <f t="shared" ref="D445:J445" si="109">SUM(D431:D444)</f>
        <v>0</v>
      </c>
      <c r="E445" s="305">
        <f t="shared" si="109"/>
        <v>0</v>
      </c>
      <c r="F445" s="305">
        <f t="shared" si="109"/>
        <v>0</v>
      </c>
      <c r="G445" s="305">
        <f t="shared" si="109"/>
        <v>0</v>
      </c>
      <c r="H445" s="305">
        <f t="shared" si="109"/>
        <v>0</v>
      </c>
      <c r="I445" s="305">
        <f t="shared" si="109"/>
        <v>0</v>
      </c>
      <c r="J445" s="327">
        <f t="shared" si="109"/>
        <v>0</v>
      </c>
    </row>
    <row r="446" spans="1:10">
      <c r="A446" s="328"/>
      <c r="B446" s="71"/>
      <c r="C446" s="90"/>
      <c r="D446" s="306"/>
      <c r="E446" s="306"/>
      <c r="H446" s="306"/>
      <c r="I446" s="306"/>
      <c r="J446" s="329"/>
    </row>
    <row r="447" spans="1:10">
      <c r="A447" s="330" t="s">
        <v>1377</v>
      </c>
      <c r="B447" s="337"/>
      <c r="C447" s="89"/>
      <c r="D447" s="338"/>
      <c r="E447" s="338"/>
      <c r="F447" s="338"/>
      <c r="G447" s="338"/>
      <c r="H447" s="338"/>
      <c r="I447" s="338"/>
      <c r="J447" s="339"/>
    </row>
    <row r="448" spans="1:10">
      <c r="A448" s="321">
        <v>20000</v>
      </c>
      <c r="B448" s="322">
        <v>20001</v>
      </c>
      <c r="C448" s="317" t="s">
        <v>2171</v>
      </c>
      <c r="D448" s="323">
        <v>0</v>
      </c>
      <c r="E448" s="302">
        <f>(SUMIF('COST REPORT'!$A$9:$A$998,'Contractor''s Budget Detail'!B448,'COST REPORT'!$F$9:$F$998))-(SUMIFS('COST REPORT'!$F$9:$F$998,'COST REPORT'!$A$9:$A$998,'Contractor''s Budget Detail'!B448,'COST REPORT'!$I$9:$I$998,"Close"))</f>
        <v>0</v>
      </c>
      <c r="F448" s="302">
        <f>(SUMIF(INPUT!$I$231:$I$522,'Contractor''s Budget Detail'!B448,INPUT!$H$231:$H$522)+SUMIFS('COST REPORT'!$F$9:$F$998,'COST REPORT'!$A$9:$A$998,'Contractor''s Budget Detail'!B448,'COST REPORT'!$I$9:$I$998,"close"))-(SUMIFS('COST REPORT'!$F$9:$F$998,'COST REPORT'!$A$9:$A$998,'Contractor''s Budget Detail'!B448,'COST REPORT'!$I$9:$I$998,"close",'COST REPORT'!$J$9:$J$998,"x"))</f>
        <v>0</v>
      </c>
      <c r="G448" s="302">
        <f>E448+F448</f>
        <v>0</v>
      </c>
      <c r="H448" s="302">
        <f>SUMIF('COST REPORT'!$A$9:$A$998,'Contractor''s Budget Detail'!B448,'COST REPORT'!$G$9:$G$998)</f>
        <v>0</v>
      </c>
      <c r="I448" s="302">
        <f>G448-H448</f>
        <v>0</v>
      </c>
      <c r="J448" s="324">
        <f>D448-G448</f>
        <v>0</v>
      </c>
    </row>
    <row r="449" spans="1:14">
      <c r="A449" s="321">
        <v>20000</v>
      </c>
      <c r="B449" s="322">
        <f>B448+1</f>
        <v>20002</v>
      </c>
      <c r="C449" s="317" t="s">
        <v>2172</v>
      </c>
      <c r="D449" s="323">
        <v>0</v>
      </c>
      <c r="E449" s="302">
        <f>(SUMIF('COST REPORT'!$A$9:$A$998,'Contractor''s Budget Detail'!B449,'COST REPORT'!$F$9:$F$998))-(SUMIFS('COST REPORT'!$F$9:$F$998,'COST REPORT'!$A$9:$A$998,'Contractor''s Budget Detail'!B449,'COST REPORT'!$I$9:$I$998,"Close"))</f>
        <v>0</v>
      </c>
      <c r="F449" s="302">
        <f>(SUMIF(INPUT!$I$231:$I$522,'Contractor''s Budget Detail'!B449,INPUT!$H$231:$H$522)+SUMIFS('COST REPORT'!$F$9:$F$998,'COST REPORT'!$A$9:$A$998,'Contractor''s Budget Detail'!B449,'COST REPORT'!$I$9:$I$998,"close"))-(SUMIFS('COST REPORT'!$F$9:$F$998,'COST REPORT'!$A$9:$A$998,'Contractor''s Budget Detail'!B449,'COST REPORT'!$I$9:$I$998,"close",'COST REPORT'!$J$9:$J$998,"x"))</f>
        <v>0</v>
      </c>
      <c r="G449" s="302">
        <f t="shared" ref="G449:G457" si="110">E449+F449</f>
        <v>0</v>
      </c>
      <c r="H449" s="302">
        <f>SUMIF('COST REPORT'!$A$9:$A$998,'Contractor''s Budget Detail'!B449,'COST REPORT'!$G$9:$G$998)</f>
        <v>0</v>
      </c>
      <c r="I449" s="302">
        <f t="shared" ref="I449:I457" si="111">G449-H449</f>
        <v>0</v>
      </c>
      <c r="J449" s="324">
        <f t="shared" ref="J449:J457" si="112">D449-G449</f>
        <v>0</v>
      </c>
    </row>
    <row r="450" spans="1:14">
      <c r="A450" s="321">
        <v>20000</v>
      </c>
      <c r="B450" s="322">
        <f t="shared" ref="B450:B457" si="113">B449+1</f>
        <v>20003</v>
      </c>
      <c r="C450" s="325" t="s">
        <v>2169</v>
      </c>
      <c r="D450" s="323">
        <v>0</v>
      </c>
      <c r="E450" s="302">
        <f>(SUMIF('COST REPORT'!$A$9:$A$998,'Contractor''s Budget Detail'!B450,'COST REPORT'!$F$9:$F$998))-(SUMIFS('COST REPORT'!$F$9:$F$998,'COST REPORT'!$A$9:$A$998,'Contractor''s Budget Detail'!B450,'COST REPORT'!$I$9:$I$998,"Close"))</f>
        <v>0</v>
      </c>
      <c r="F450" s="302">
        <f>(SUMIF(INPUT!$I$231:$I$522,'Contractor''s Budget Detail'!B450,INPUT!$H$231:$H$522)+SUMIFS('COST REPORT'!$F$9:$F$998,'COST REPORT'!$A$9:$A$998,'Contractor''s Budget Detail'!B450,'COST REPORT'!$I$9:$I$998,"close"))-(SUMIFS('COST REPORT'!$F$9:$F$998,'COST REPORT'!$A$9:$A$998,'Contractor''s Budget Detail'!B450,'COST REPORT'!$I$9:$I$998,"close",'COST REPORT'!$J$9:$J$998,"x"))</f>
        <v>0</v>
      </c>
      <c r="G450" s="302">
        <f t="shared" si="110"/>
        <v>0</v>
      </c>
      <c r="H450" s="302">
        <f>SUMIF('COST REPORT'!$A$9:$A$998,'Contractor''s Budget Detail'!B450,'COST REPORT'!$G$9:$G$998)</f>
        <v>0</v>
      </c>
      <c r="I450" s="302">
        <f t="shared" si="111"/>
        <v>0</v>
      </c>
      <c r="J450" s="324">
        <f t="shared" si="112"/>
        <v>0</v>
      </c>
    </row>
    <row r="451" spans="1:14">
      <c r="A451" s="321">
        <v>20000</v>
      </c>
      <c r="B451" s="322">
        <f t="shared" si="113"/>
        <v>20004</v>
      </c>
      <c r="C451" s="325" t="s">
        <v>2169</v>
      </c>
      <c r="D451" s="323">
        <v>0</v>
      </c>
      <c r="E451" s="302">
        <f>(SUMIF('COST REPORT'!$A$9:$A$998,'Contractor''s Budget Detail'!B451,'COST REPORT'!$F$9:$F$998))-(SUMIFS('COST REPORT'!$F$9:$F$998,'COST REPORT'!$A$9:$A$998,'Contractor''s Budget Detail'!B451,'COST REPORT'!$I$9:$I$998,"Close"))</f>
        <v>0</v>
      </c>
      <c r="F451" s="302">
        <f>(SUMIF(INPUT!$I$231:$I$522,'Contractor''s Budget Detail'!B451,INPUT!$H$231:$H$522)+SUMIFS('COST REPORT'!$F$9:$F$998,'COST REPORT'!$A$9:$A$998,'Contractor''s Budget Detail'!B451,'COST REPORT'!$I$9:$I$998,"close"))-(SUMIFS('COST REPORT'!$F$9:$F$998,'COST REPORT'!$A$9:$A$998,'Contractor''s Budget Detail'!B451,'COST REPORT'!$I$9:$I$998,"close",'COST REPORT'!$J$9:$J$998,"x"))</f>
        <v>0</v>
      </c>
      <c r="G451" s="302">
        <f t="shared" si="110"/>
        <v>0</v>
      </c>
      <c r="H451" s="302">
        <f>SUMIF('COST REPORT'!$A$9:$A$998,'Contractor''s Budget Detail'!B451,'COST REPORT'!$G$9:$G$998)</f>
        <v>0</v>
      </c>
      <c r="I451" s="302">
        <f t="shared" si="111"/>
        <v>0</v>
      </c>
      <c r="J451" s="324">
        <f t="shared" si="112"/>
        <v>0</v>
      </c>
    </row>
    <row r="452" spans="1:14">
      <c r="A452" s="321">
        <v>20000</v>
      </c>
      <c r="B452" s="322">
        <f t="shared" si="113"/>
        <v>20005</v>
      </c>
      <c r="C452" s="325" t="s">
        <v>2169</v>
      </c>
      <c r="D452" s="323">
        <v>0</v>
      </c>
      <c r="E452" s="302">
        <f>(SUMIF('COST REPORT'!$A$9:$A$998,'Contractor''s Budget Detail'!B452,'COST REPORT'!$F$9:$F$998))-(SUMIFS('COST REPORT'!$F$9:$F$998,'COST REPORT'!$A$9:$A$998,'Contractor''s Budget Detail'!B452,'COST REPORT'!$I$9:$I$998,"Close"))</f>
        <v>0</v>
      </c>
      <c r="F452" s="302">
        <f>(SUMIF(INPUT!$I$231:$I$522,'Contractor''s Budget Detail'!B452,INPUT!$H$231:$H$522)+SUMIFS('COST REPORT'!$F$9:$F$998,'COST REPORT'!$A$9:$A$998,'Contractor''s Budget Detail'!B452,'COST REPORT'!$I$9:$I$998,"close"))-(SUMIFS('COST REPORT'!$F$9:$F$998,'COST REPORT'!$A$9:$A$998,'Contractor''s Budget Detail'!B452,'COST REPORT'!$I$9:$I$998,"close",'COST REPORT'!$J$9:$J$998,"x"))</f>
        <v>0</v>
      </c>
      <c r="G452" s="302">
        <f>E452+F452</f>
        <v>0</v>
      </c>
      <c r="H452" s="302">
        <f>SUMIF('COST REPORT'!$A$9:$A$998,'Contractor''s Budget Detail'!B452,'COST REPORT'!$G$9:$G$998)</f>
        <v>0</v>
      </c>
      <c r="I452" s="302">
        <f>G452-H452</f>
        <v>0</v>
      </c>
      <c r="J452" s="324">
        <f>D452-G452</f>
        <v>0</v>
      </c>
    </row>
    <row r="453" spans="1:14">
      <c r="A453" s="321">
        <v>20000</v>
      </c>
      <c r="B453" s="322">
        <f t="shared" si="113"/>
        <v>20006</v>
      </c>
      <c r="C453" s="325" t="s">
        <v>2169</v>
      </c>
      <c r="D453" s="323">
        <v>0</v>
      </c>
      <c r="E453" s="302">
        <f>(SUMIF('COST REPORT'!$A$9:$A$998,'Contractor''s Budget Detail'!B453,'COST REPORT'!$F$9:$F$998))-(SUMIFS('COST REPORT'!$F$9:$F$998,'COST REPORT'!$A$9:$A$998,'Contractor''s Budget Detail'!B453,'COST REPORT'!$I$9:$I$998,"Close"))</f>
        <v>0</v>
      </c>
      <c r="F453" s="302">
        <f>(SUMIF(INPUT!$I$231:$I$522,'Contractor''s Budget Detail'!B453,INPUT!$H$231:$H$522)+SUMIFS('COST REPORT'!$F$9:$F$998,'COST REPORT'!$A$9:$A$998,'Contractor''s Budget Detail'!B453,'COST REPORT'!$I$9:$I$998,"close"))-(SUMIFS('COST REPORT'!$F$9:$F$998,'COST REPORT'!$A$9:$A$998,'Contractor''s Budget Detail'!B453,'COST REPORT'!$I$9:$I$998,"close",'COST REPORT'!$J$9:$J$998,"x"))</f>
        <v>0</v>
      </c>
      <c r="G453" s="302">
        <f>E453+F453</f>
        <v>0</v>
      </c>
      <c r="H453" s="302">
        <f>SUMIF('COST REPORT'!$A$9:$A$998,'Contractor''s Budget Detail'!B453,'COST REPORT'!$G$9:$G$998)</f>
        <v>0</v>
      </c>
      <c r="I453" s="302">
        <f>G453-H453</f>
        <v>0</v>
      </c>
      <c r="J453" s="324">
        <f>D453-G453</f>
        <v>0</v>
      </c>
    </row>
    <row r="454" spans="1:14">
      <c r="A454" s="321">
        <v>20000</v>
      </c>
      <c r="B454" s="322">
        <f t="shared" si="113"/>
        <v>20007</v>
      </c>
      <c r="C454" s="325" t="s">
        <v>2169</v>
      </c>
      <c r="D454" s="323">
        <v>0</v>
      </c>
      <c r="E454" s="302">
        <f>(SUMIF('COST REPORT'!$A$9:$A$998,'Contractor''s Budget Detail'!B454,'COST REPORT'!$F$9:$F$998))-(SUMIFS('COST REPORT'!$F$9:$F$998,'COST REPORT'!$A$9:$A$998,'Contractor''s Budget Detail'!B454,'COST REPORT'!$I$9:$I$998,"Close"))</f>
        <v>0</v>
      </c>
      <c r="F454" s="302">
        <f>(SUMIF(INPUT!$I$231:$I$522,'Contractor''s Budget Detail'!B454,INPUT!$H$231:$H$522)+SUMIFS('COST REPORT'!$F$9:$F$998,'COST REPORT'!$A$9:$A$998,'Contractor''s Budget Detail'!B454,'COST REPORT'!$I$9:$I$998,"close"))-(SUMIFS('COST REPORT'!$F$9:$F$998,'COST REPORT'!$A$9:$A$998,'Contractor''s Budget Detail'!B454,'COST REPORT'!$I$9:$I$998,"close",'COST REPORT'!$J$9:$J$998,"x"))</f>
        <v>0</v>
      </c>
      <c r="G454" s="302">
        <f t="shared" si="110"/>
        <v>0</v>
      </c>
      <c r="H454" s="302">
        <f>SUMIF('COST REPORT'!$A$9:$A$998,'Contractor''s Budget Detail'!B454,'COST REPORT'!$G$9:$G$998)</f>
        <v>0</v>
      </c>
      <c r="I454" s="302">
        <f t="shared" si="111"/>
        <v>0</v>
      </c>
      <c r="J454" s="324">
        <f t="shared" si="112"/>
        <v>0</v>
      </c>
    </row>
    <row r="455" spans="1:14">
      <c r="A455" s="321">
        <v>20000</v>
      </c>
      <c r="B455" s="322">
        <f t="shared" si="113"/>
        <v>20008</v>
      </c>
      <c r="C455" s="325" t="s">
        <v>2169</v>
      </c>
      <c r="D455" s="323">
        <v>0</v>
      </c>
      <c r="E455" s="302">
        <f>(SUMIF('COST REPORT'!$A$9:$A$998,'Contractor''s Budget Detail'!B455,'COST REPORT'!$F$9:$F$998))-(SUMIFS('COST REPORT'!$F$9:$F$998,'COST REPORT'!$A$9:$A$998,'Contractor''s Budget Detail'!B455,'COST REPORT'!$I$9:$I$998,"Close"))</f>
        <v>0</v>
      </c>
      <c r="F455" s="302">
        <f>(SUMIF(INPUT!$I$231:$I$522,'Contractor''s Budget Detail'!B455,INPUT!$H$231:$H$522)+SUMIFS('COST REPORT'!$F$9:$F$998,'COST REPORT'!$A$9:$A$998,'Contractor''s Budget Detail'!B455,'COST REPORT'!$I$9:$I$998,"close"))-(SUMIFS('COST REPORT'!$F$9:$F$998,'COST REPORT'!$A$9:$A$998,'Contractor''s Budget Detail'!B455,'COST REPORT'!$I$9:$I$998,"close",'COST REPORT'!$J$9:$J$998,"x"))</f>
        <v>0</v>
      </c>
      <c r="G455" s="302">
        <f t="shared" si="110"/>
        <v>0</v>
      </c>
      <c r="H455" s="302">
        <f>SUMIF('COST REPORT'!$A$9:$A$998,'Contractor''s Budget Detail'!B455,'COST REPORT'!$G$9:$G$998)</f>
        <v>0</v>
      </c>
      <c r="I455" s="302">
        <f t="shared" si="111"/>
        <v>0</v>
      </c>
      <c r="J455" s="324">
        <f t="shared" si="112"/>
        <v>0</v>
      </c>
    </row>
    <row r="456" spans="1:14">
      <c r="A456" s="321">
        <v>20000</v>
      </c>
      <c r="B456" s="322">
        <f t="shared" si="113"/>
        <v>20009</v>
      </c>
      <c r="C456" s="325" t="s">
        <v>2169</v>
      </c>
      <c r="D456" s="323">
        <v>0</v>
      </c>
      <c r="E456" s="302">
        <f>(SUMIF('COST REPORT'!$A$9:$A$998,'Contractor''s Budget Detail'!B456,'COST REPORT'!$F$9:$F$998))-(SUMIFS('COST REPORT'!$F$9:$F$998,'COST REPORT'!$A$9:$A$998,'Contractor''s Budget Detail'!B456,'COST REPORT'!$I$9:$I$998,"Close"))</f>
        <v>0</v>
      </c>
      <c r="F456" s="302">
        <f>(SUMIF(INPUT!$I$231:$I$522,'Contractor''s Budget Detail'!B456,INPUT!$H$231:$H$522)+SUMIFS('COST REPORT'!$F$9:$F$998,'COST REPORT'!$A$9:$A$998,'Contractor''s Budget Detail'!B456,'COST REPORT'!$I$9:$I$998,"close"))-(SUMIFS('COST REPORT'!$F$9:$F$998,'COST REPORT'!$A$9:$A$998,'Contractor''s Budget Detail'!B456,'COST REPORT'!$I$9:$I$998,"close",'COST REPORT'!$J$9:$J$998,"x"))</f>
        <v>0</v>
      </c>
      <c r="G456" s="302">
        <f t="shared" si="110"/>
        <v>0</v>
      </c>
      <c r="H456" s="302">
        <f>SUMIF('COST REPORT'!$A$9:$A$998,'Contractor''s Budget Detail'!B456,'COST REPORT'!$G$9:$G$998)</f>
        <v>0</v>
      </c>
      <c r="I456" s="302">
        <f t="shared" si="111"/>
        <v>0</v>
      </c>
      <c r="J456" s="324">
        <f t="shared" si="112"/>
        <v>0</v>
      </c>
    </row>
    <row r="457" spans="1:14">
      <c r="A457" s="321">
        <v>20000</v>
      </c>
      <c r="B457" s="322">
        <f t="shared" si="113"/>
        <v>20010</v>
      </c>
      <c r="C457" s="325" t="s">
        <v>2169</v>
      </c>
      <c r="D457" s="323">
        <v>0</v>
      </c>
      <c r="E457" s="302">
        <f>(SUMIF('COST REPORT'!$A$9:$A$998,'Contractor''s Budget Detail'!B457,'COST REPORT'!$F$9:$F$998))-(SUMIFS('COST REPORT'!$F$9:$F$998,'COST REPORT'!$A$9:$A$998,'Contractor''s Budget Detail'!B457,'COST REPORT'!$I$9:$I$998,"Close"))</f>
        <v>0</v>
      </c>
      <c r="F457" s="302">
        <f>(SUMIF(INPUT!$I$231:$I$522,'Contractor''s Budget Detail'!B457,INPUT!$H$231:$H$522)+SUMIFS('COST REPORT'!$F$9:$F$998,'COST REPORT'!$A$9:$A$998,'Contractor''s Budget Detail'!B457,'COST REPORT'!$I$9:$I$998,"close"))-(SUMIFS('COST REPORT'!$F$9:$F$998,'COST REPORT'!$A$9:$A$998,'Contractor''s Budget Detail'!B457,'COST REPORT'!$I$9:$I$998,"close",'COST REPORT'!$J$9:$J$998,"x"))</f>
        <v>0</v>
      </c>
      <c r="G457" s="302">
        <f t="shared" si="110"/>
        <v>0</v>
      </c>
      <c r="H457" s="302">
        <f>SUMIF('COST REPORT'!$A$9:$A$998,'Contractor''s Budget Detail'!B457,'COST REPORT'!$G$9:$G$998)</f>
        <v>0</v>
      </c>
      <c r="I457" s="302">
        <f t="shared" si="111"/>
        <v>0</v>
      </c>
      <c r="J457" s="324">
        <f t="shared" si="112"/>
        <v>0</v>
      </c>
    </row>
    <row r="458" spans="1:14" ht="13.5" thickBot="1">
      <c r="A458" s="326" t="s">
        <v>2173</v>
      </c>
      <c r="B458" s="307"/>
      <c r="C458" s="308"/>
      <c r="D458" s="305">
        <f t="shared" ref="D458:J458" si="114">SUM(D448:D457)</f>
        <v>0</v>
      </c>
      <c r="E458" s="305">
        <f t="shared" si="114"/>
        <v>0</v>
      </c>
      <c r="F458" s="305">
        <f t="shared" si="114"/>
        <v>0</v>
      </c>
      <c r="G458" s="305">
        <f t="shared" si="114"/>
        <v>0</v>
      </c>
      <c r="H458" s="305">
        <f t="shared" si="114"/>
        <v>0</v>
      </c>
      <c r="I458" s="305">
        <f t="shared" si="114"/>
        <v>0</v>
      </c>
      <c r="J458" s="327">
        <f t="shared" si="114"/>
        <v>0</v>
      </c>
    </row>
    <row r="459" spans="1:14">
      <c r="A459" s="328"/>
      <c r="B459" s="71"/>
      <c r="C459" s="90"/>
      <c r="D459" s="306"/>
      <c r="E459" s="306"/>
      <c r="H459" s="306"/>
      <c r="I459" s="306"/>
      <c r="J459" s="329"/>
    </row>
    <row r="460" spans="1:14" s="2" customFormat="1">
      <c r="A460" s="330" t="s">
        <v>1378</v>
      </c>
      <c r="B460" s="337"/>
      <c r="C460" s="89"/>
      <c r="D460" s="338"/>
      <c r="E460" s="338"/>
      <c r="F460" s="338"/>
      <c r="G460" s="338"/>
      <c r="H460" s="338"/>
      <c r="I460" s="338"/>
      <c r="J460" s="339"/>
      <c r="K460" s="73"/>
      <c r="L460" s="976"/>
      <c r="M460" s="73"/>
      <c r="N460" s="73"/>
    </row>
    <row r="461" spans="1:14">
      <c r="A461" s="321">
        <v>21000</v>
      </c>
      <c r="B461" s="322">
        <v>21000</v>
      </c>
      <c r="C461" s="317" t="s">
        <v>2174</v>
      </c>
      <c r="D461" s="323">
        <v>0</v>
      </c>
      <c r="E461" s="302">
        <f>(SUMIF('COST REPORT'!$A$9:$A$998,'Contractor''s Budget Detail'!B461,'COST REPORT'!$F$9:$F$998))-(SUMIFS('COST REPORT'!$F$9:$F$998,'COST REPORT'!$A$9:$A$998,'Contractor''s Budget Detail'!B461,'COST REPORT'!$I$9:$I$998,"Close"))</f>
        <v>0</v>
      </c>
      <c r="F461" s="302">
        <f>(SUMIF(INPUT!$I$231:$I$522,'Contractor''s Budget Detail'!B461,INPUT!$H$231:$H$522)+SUMIFS('COST REPORT'!$F$9:$F$998,'COST REPORT'!$A$9:$A$998,'Contractor''s Budget Detail'!B461,'COST REPORT'!$I$9:$I$998,"close"))-(SUMIFS('COST REPORT'!$F$9:$F$998,'COST REPORT'!$A$9:$A$998,'Contractor''s Budget Detail'!B461,'COST REPORT'!$I$9:$I$998,"close",'COST REPORT'!$J$9:$J$998,"x"))</f>
        <v>0</v>
      </c>
      <c r="G461" s="302">
        <f>E461+F461</f>
        <v>0</v>
      </c>
      <c r="H461" s="302">
        <f>SUMIF('COST REPORT'!$A$9:$A$998,'Contractor''s Budget Detail'!B461,'COST REPORT'!$G$9:$G$998)</f>
        <v>0</v>
      </c>
      <c r="I461" s="302">
        <f>G461-H461</f>
        <v>0</v>
      </c>
      <c r="J461" s="324">
        <f>D461-G461</f>
        <v>0</v>
      </c>
    </row>
    <row r="462" spans="1:14" ht="13.5" thickBot="1">
      <c r="A462" s="326" t="s">
        <v>2175</v>
      </c>
      <c r="B462" s="307"/>
      <c r="C462" s="308"/>
      <c r="D462" s="305">
        <f>SUM(D461)</f>
        <v>0</v>
      </c>
      <c r="E462" s="305">
        <f t="shared" ref="E462:J462" si="115">SUM(E461)</f>
        <v>0</v>
      </c>
      <c r="F462" s="305">
        <f t="shared" si="115"/>
        <v>0</v>
      </c>
      <c r="G462" s="305">
        <f t="shared" si="115"/>
        <v>0</v>
      </c>
      <c r="H462" s="305">
        <f t="shared" si="115"/>
        <v>0</v>
      </c>
      <c r="I462" s="305">
        <f t="shared" si="115"/>
        <v>0</v>
      </c>
      <c r="J462" s="327">
        <f t="shared" si="115"/>
        <v>0</v>
      </c>
    </row>
    <row r="463" spans="1:14">
      <c r="A463" s="328"/>
      <c r="B463" s="71"/>
      <c r="C463" s="90"/>
      <c r="D463" s="306"/>
      <c r="E463" s="306"/>
      <c r="H463" s="306"/>
      <c r="I463" s="306"/>
      <c r="J463" s="329"/>
    </row>
    <row r="464" spans="1:14" ht="13.5" thickBot="1">
      <c r="A464" s="347" t="s">
        <v>2176</v>
      </c>
      <c r="B464" s="313"/>
      <c r="C464" s="314"/>
      <c r="D464" s="315">
        <f t="shared" ref="D464:J464" si="116">D428+D445+D458+D462</f>
        <v>0</v>
      </c>
      <c r="E464" s="315">
        <f t="shared" si="116"/>
        <v>0</v>
      </c>
      <c r="F464" s="315">
        <f t="shared" si="116"/>
        <v>0</v>
      </c>
      <c r="G464" s="315">
        <f t="shared" si="116"/>
        <v>0</v>
      </c>
      <c r="H464" s="315">
        <f t="shared" si="116"/>
        <v>0</v>
      </c>
      <c r="I464" s="315">
        <f t="shared" si="116"/>
        <v>0</v>
      </c>
      <c r="J464" s="348">
        <f t="shared" si="116"/>
        <v>0</v>
      </c>
    </row>
    <row r="465" spans="1:16" ht="13.5" thickTop="1">
      <c r="A465" s="291"/>
      <c r="B465" s="71"/>
      <c r="C465" s="90"/>
      <c r="D465" s="306"/>
      <c r="E465" s="306"/>
      <c r="H465" s="306"/>
      <c r="I465" s="306"/>
    </row>
    <row r="466" spans="1:16">
      <c r="A466" s="291"/>
      <c r="B466" s="71"/>
      <c r="C466" s="90"/>
      <c r="D466" s="306"/>
      <c r="E466" s="306"/>
      <c r="H466" s="306"/>
      <c r="I466" s="306"/>
    </row>
    <row r="467" spans="1:16" s="69" customFormat="1">
      <c r="A467" s="301"/>
      <c r="B467" s="316"/>
      <c r="C467" s="317"/>
      <c r="D467" s="302"/>
      <c r="E467" s="302"/>
      <c r="F467" s="289"/>
      <c r="G467" s="289"/>
      <c r="H467" s="302"/>
      <c r="I467" s="302"/>
      <c r="J467" s="289"/>
      <c r="L467" s="183"/>
      <c r="O467" s="3"/>
      <c r="P467" s="3"/>
    </row>
    <row r="468" spans="1:16" s="69" customFormat="1">
      <c r="A468" s="301"/>
      <c r="B468" s="316"/>
      <c r="C468" s="317"/>
      <c r="D468" s="302"/>
      <c r="E468" s="302"/>
      <c r="F468" s="289"/>
      <c r="G468" s="289"/>
      <c r="H468" s="302"/>
      <c r="I468" s="302"/>
      <c r="J468" s="289"/>
      <c r="L468" s="183"/>
      <c r="O468" s="3"/>
      <c r="P468" s="3"/>
    </row>
    <row r="469" spans="1:16" s="69" customFormat="1">
      <c r="A469" s="301"/>
      <c r="B469" s="316"/>
      <c r="C469" s="317"/>
      <c r="D469" s="302"/>
      <c r="E469" s="302"/>
      <c r="F469" s="289"/>
      <c r="G469" s="289"/>
      <c r="H469" s="302"/>
      <c r="I469" s="302"/>
      <c r="J469" s="289"/>
      <c r="L469" s="183"/>
      <c r="O469" s="3"/>
      <c r="P469" s="3"/>
    </row>
    <row r="470" spans="1:16" s="69" customFormat="1">
      <c r="A470" s="301"/>
      <c r="B470" s="316"/>
      <c r="C470" s="317"/>
      <c r="D470" s="302"/>
      <c r="E470" s="302"/>
      <c r="F470" s="289"/>
      <c r="G470" s="289"/>
      <c r="H470" s="302"/>
      <c r="I470" s="302"/>
      <c r="J470" s="289"/>
      <c r="L470" s="183"/>
      <c r="O470" s="3"/>
      <c r="P470" s="3"/>
    </row>
    <row r="471" spans="1:16" s="69" customFormat="1">
      <c r="A471" s="301"/>
      <c r="B471" s="316"/>
      <c r="C471" s="317"/>
      <c r="D471" s="302"/>
      <c r="E471" s="302"/>
      <c r="F471" s="289"/>
      <c r="G471" s="289"/>
      <c r="H471" s="302"/>
      <c r="I471" s="302"/>
      <c r="J471" s="289"/>
      <c r="L471" s="183"/>
      <c r="O471" s="3"/>
      <c r="P471" s="3"/>
    </row>
    <row r="472" spans="1:16" s="69" customFormat="1">
      <c r="A472" s="301"/>
      <c r="B472" s="316"/>
      <c r="C472" s="317"/>
      <c r="D472" s="302"/>
      <c r="E472" s="302"/>
      <c r="F472" s="289"/>
      <c r="G472" s="289"/>
      <c r="H472" s="302"/>
      <c r="I472" s="302"/>
      <c r="J472" s="289"/>
      <c r="L472" s="183"/>
      <c r="O472" s="3"/>
      <c r="P472" s="3"/>
    </row>
    <row r="473" spans="1:16" s="69" customFormat="1">
      <c r="A473" s="301"/>
      <c r="B473" s="316"/>
      <c r="C473" s="317"/>
      <c r="D473" s="302"/>
      <c r="E473" s="302"/>
      <c r="F473" s="289"/>
      <c r="G473" s="289"/>
      <c r="H473" s="302"/>
      <c r="I473" s="302"/>
      <c r="J473" s="289"/>
      <c r="L473" s="183"/>
      <c r="O473" s="3"/>
      <c r="P473" s="3"/>
    </row>
    <row r="474" spans="1:16" s="69" customFormat="1">
      <c r="A474" s="301"/>
      <c r="B474" s="316"/>
      <c r="C474" s="317"/>
      <c r="D474" s="302"/>
      <c r="E474" s="302"/>
      <c r="F474" s="289"/>
      <c r="G474" s="289"/>
      <c r="H474" s="302"/>
      <c r="I474" s="302"/>
      <c r="J474" s="289"/>
      <c r="L474" s="183"/>
      <c r="O474" s="3"/>
      <c r="P474" s="3"/>
    </row>
    <row r="475" spans="1:16" s="69" customFormat="1">
      <c r="A475" s="301"/>
      <c r="B475" s="316"/>
      <c r="C475" s="317"/>
      <c r="D475" s="302"/>
      <c r="E475" s="302"/>
      <c r="F475" s="289"/>
      <c r="G475" s="289"/>
      <c r="H475" s="302"/>
      <c r="I475" s="302"/>
      <c r="J475" s="289"/>
      <c r="L475" s="183"/>
      <c r="O475" s="3"/>
      <c r="P475" s="3"/>
    </row>
    <row r="476" spans="1:16" s="69" customFormat="1">
      <c r="A476" s="301"/>
      <c r="B476" s="316"/>
      <c r="C476" s="317"/>
      <c r="D476" s="302"/>
      <c r="E476" s="302"/>
      <c r="F476" s="289"/>
      <c r="G476" s="289"/>
      <c r="H476" s="302"/>
      <c r="I476" s="302"/>
      <c r="J476" s="289"/>
      <c r="L476" s="183"/>
      <c r="O476" s="3"/>
      <c r="P476" s="3"/>
    </row>
    <row r="477" spans="1:16" s="69" customFormat="1">
      <c r="A477" s="301"/>
      <c r="B477" s="316"/>
      <c r="C477" s="317"/>
      <c r="D477" s="302"/>
      <c r="E477" s="302"/>
      <c r="F477" s="289"/>
      <c r="G477" s="289"/>
      <c r="H477" s="302"/>
      <c r="I477" s="302"/>
      <c r="J477" s="289"/>
      <c r="L477" s="183"/>
      <c r="O477" s="3"/>
      <c r="P477" s="3"/>
    </row>
    <row r="478" spans="1:16" s="69" customFormat="1">
      <c r="A478" s="301"/>
      <c r="B478" s="316"/>
      <c r="C478" s="317"/>
      <c r="D478" s="302"/>
      <c r="E478" s="302"/>
      <c r="F478" s="289"/>
      <c r="G478" s="289"/>
      <c r="H478" s="302"/>
      <c r="I478" s="302"/>
      <c r="J478" s="289"/>
      <c r="L478" s="183"/>
      <c r="O478" s="3"/>
      <c r="P478" s="3"/>
    </row>
    <row r="479" spans="1:16" s="69" customFormat="1">
      <c r="A479" s="301"/>
      <c r="B479" s="316"/>
      <c r="C479" s="317"/>
      <c r="D479" s="302"/>
      <c r="E479" s="302"/>
      <c r="F479" s="289"/>
      <c r="G479" s="289"/>
      <c r="H479" s="302"/>
      <c r="I479" s="302"/>
      <c r="J479" s="289"/>
      <c r="L479" s="183"/>
      <c r="O479" s="3"/>
      <c r="P479" s="3"/>
    </row>
    <row r="480" spans="1:16" s="69" customFormat="1">
      <c r="A480" s="301"/>
      <c r="B480" s="316"/>
      <c r="C480" s="317"/>
      <c r="D480" s="302"/>
      <c r="E480" s="302"/>
      <c r="F480" s="289"/>
      <c r="G480" s="289"/>
      <c r="H480" s="302"/>
      <c r="I480" s="302"/>
      <c r="J480" s="289"/>
      <c r="L480" s="183"/>
      <c r="O480" s="3"/>
      <c r="P480" s="3"/>
    </row>
    <row r="481" spans="1:16" s="69" customFormat="1">
      <c r="A481" s="301"/>
      <c r="B481" s="316"/>
      <c r="C481" s="317"/>
      <c r="D481" s="302"/>
      <c r="E481" s="302"/>
      <c r="F481" s="289"/>
      <c r="G481" s="289"/>
      <c r="H481" s="302"/>
      <c r="I481" s="302"/>
      <c r="J481" s="289"/>
      <c r="L481" s="183"/>
      <c r="O481" s="3"/>
      <c r="P481" s="3"/>
    </row>
    <row r="482" spans="1:16" s="69" customFormat="1">
      <c r="A482" s="301"/>
      <c r="B482" s="316"/>
      <c r="C482" s="317"/>
      <c r="D482" s="302"/>
      <c r="E482" s="302"/>
      <c r="F482" s="289"/>
      <c r="G482" s="289"/>
      <c r="H482" s="302"/>
      <c r="I482" s="302"/>
      <c r="J482" s="289"/>
      <c r="L482" s="183"/>
      <c r="O482" s="3"/>
      <c r="P482" s="3"/>
    </row>
    <row r="483" spans="1:16" s="69" customFormat="1">
      <c r="A483" s="301"/>
      <c r="B483" s="316"/>
      <c r="C483" s="317"/>
      <c r="D483" s="302"/>
      <c r="E483" s="302"/>
      <c r="F483" s="289"/>
      <c r="G483" s="289"/>
      <c r="H483" s="302"/>
      <c r="I483" s="302"/>
      <c r="J483" s="289"/>
      <c r="L483" s="183"/>
      <c r="O483" s="3"/>
      <c r="P483" s="3"/>
    </row>
    <row r="484" spans="1:16" s="69" customFormat="1">
      <c r="A484" s="301"/>
      <c r="B484" s="316"/>
      <c r="C484" s="317"/>
      <c r="D484" s="302"/>
      <c r="E484" s="302"/>
      <c r="F484" s="289"/>
      <c r="G484" s="289"/>
      <c r="H484" s="302"/>
      <c r="I484" s="302"/>
      <c r="J484" s="289"/>
      <c r="L484" s="183"/>
      <c r="O484" s="3"/>
      <c r="P484" s="3"/>
    </row>
    <row r="485" spans="1:16" s="69" customFormat="1">
      <c r="A485" s="301"/>
      <c r="B485" s="316"/>
      <c r="C485" s="317"/>
      <c r="D485" s="302"/>
      <c r="E485" s="302"/>
      <c r="F485" s="289"/>
      <c r="G485" s="289"/>
      <c r="H485" s="302"/>
      <c r="I485" s="302"/>
      <c r="J485" s="289"/>
      <c r="L485" s="183"/>
      <c r="O485" s="3"/>
      <c r="P485" s="3"/>
    </row>
    <row r="486" spans="1:16" s="69" customFormat="1">
      <c r="A486" s="301"/>
      <c r="B486" s="316"/>
      <c r="C486" s="317"/>
      <c r="D486" s="302"/>
      <c r="E486" s="302"/>
      <c r="F486" s="289"/>
      <c r="G486" s="289"/>
      <c r="H486" s="302"/>
      <c r="I486" s="302"/>
      <c r="J486" s="289"/>
      <c r="L486" s="183"/>
      <c r="O486" s="3"/>
      <c r="P486" s="3"/>
    </row>
    <row r="487" spans="1:16" s="69" customFormat="1">
      <c r="A487" s="301"/>
      <c r="B487" s="316"/>
      <c r="C487" s="317"/>
      <c r="D487" s="302"/>
      <c r="E487" s="302"/>
      <c r="F487" s="289"/>
      <c r="G487" s="289"/>
      <c r="H487" s="302"/>
      <c r="I487" s="302"/>
      <c r="J487" s="289"/>
      <c r="L487" s="183"/>
      <c r="O487" s="3"/>
      <c r="P487" s="3"/>
    </row>
    <row r="488" spans="1:16" s="69" customFormat="1">
      <c r="A488" s="301"/>
      <c r="B488" s="316"/>
      <c r="C488" s="317"/>
      <c r="D488" s="302"/>
      <c r="E488" s="302"/>
      <c r="F488" s="289"/>
      <c r="G488" s="289"/>
      <c r="H488" s="302"/>
      <c r="I488" s="302"/>
      <c r="J488" s="289"/>
      <c r="L488" s="183"/>
      <c r="O488" s="3"/>
      <c r="P488" s="3"/>
    </row>
    <row r="489" spans="1:16" s="69" customFormat="1">
      <c r="A489" s="301"/>
      <c r="B489" s="316"/>
      <c r="C489" s="317"/>
      <c r="D489" s="302"/>
      <c r="E489" s="302"/>
      <c r="F489" s="289"/>
      <c r="G489" s="289"/>
      <c r="H489" s="302"/>
      <c r="I489" s="302"/>
      <c r="J489" s="289"/>
      <c r="L489" s="183"/>
      <c r="O489" s="3"/>
      <c r="P489" s="3"/>
    </row>
    <row r="490" spans="1:16" s="69" customFormat="1">
      <c r="A490" s="301"/>
      <c r="B490" s="316"/>
      <c r="C490" s="317"/>
      <c r="D490" s="302"/>
      <c r="E490" s="302"/>
      <c r="F490" s="289"/>
      <c r="G490" s="289"/>
      <c r="H490" s="302"/>
      <c r="I490" s="302"/>
      <c r="J490" s="289"/>
      <c r="L490" s="183"/>
      <c r="O490" s="3"/>
      <c r="P490" s="3"/>
    </row>
    <row r="491" spans="1:16" s="69" customFormat="1">
      <c r="A491" s="301"/>
      <c r="B491" s="316"/>
      <c r="C491" s="317"/>
      <c r="D491" s="302"/>
      <c r="E491" s="302"/>
      <c r="F491" s="289"/>
      <c r="G491" s="289"/>
      <c r="H491" s="302"/>
      <c r="I491" s="302"/>
      <c r="J491" s="289"/>
      <c r="L491" s="183"/>
      <c r="O491" s="3"/>
      <c r="P491" s="3"/>
    </row>
    <row r="492" spans="1:16" s="69" customFormat="1">
      <c r="A492" s="301"/>
      <c r="B492" s="316"/>
      <c r="C492" s="317"/>
      <c r="D492" s="302"/>
      <c r="E492" s="302"/>
      <c r="F492" s="289"/>
      <c r="G492" s="289"/>
      <c r="H492" s="302"/>
      <c r="I492" s="302"/>
      <c r="J492" s="289"/>
      <c r="L492" s="183"/>
      <c r="O492" s="3"/>
      <c r="P492" s="3"/>
    </row>
    <row r="493" spans="1:16" s="69" customFormat="1">
      <c r="A493" s="301"/>
      <c r="B493" s="316"/>
      <c r="C493" s="317"/>
      <c r="D493" s="302"/>
      <c r="E493" s="302"/>
      <c r="F493" s="289"/>
      <c r="G493" s="289"/>
      <c r="H493" s="302"/>
      <c r="I493" s="302"/>
      <c r="J493" s="289"/>
      <c r="L493" s="183"/>
      <c r="O493" s="3"/>
      <c r="P493" s="3"/>
    </row>
    <row r="494" spans="1:16" s="69" customFormat="1">
      <c r="A494" s="301"/>
      <c r="B494" s="316"/>
      <c r="C494" s="317"/>
      <c r="D494" s="302"/>
      <c r="E494" s="302"/>
      <c r="F494" s="289"/>
      <c r="G494" s="289"/>
      <c r="H494" s="302"/>
      <c r="I494" s="302"/>
      <c r="J494" s="289"/>
      <c r="L494" s="183"/>
      <c r="O494" s="3"/>
      <c r="P494" s="3"/>
    </row>
    <row r="495" spans="1:16" s="69" customFormat="1">
      <c r="A495" s="301"/>
      <c r="B495" s="316"/>
      <c r="C495" s="317"/>
      <c r="D495" s="302"/>
      <c r="E495" s="302"/>
      <c r="F495" s="289"/>
      <c r="G495" s="289"/>
      <c r="H495" s="302"/>
      <c r="I495" s="302"/>
      <c r="J495" s="289"/>
      <c r="L495" s="183"/>
      <c r="O495" s="3"/>
      <c r="P495" s="3"/>
    </row>
    <row r="496" spans="1:16" s="69" customFormat="1">
      <c r="A496" s="301"/>
      <c r="B496" s="316"/>
      <c r="C496" s="317"/>
      <c r="D496" s="302"/>
      <c r="E496" s="302"/>
      <c r="F496" s="289"/>
      <c r="G496" s="289"/>
      <c r="H496" s="302"/>
      <c r="I496" s="302"/>
      <c r="J496" s="289"/>
      <c r="L496" s="183"/>
      <c r="O496" s="3"/>
      <c r="P496" s="3"/>
    </row>
    <row r="497" spans="1:16" s="69" customFormat="1">
      <c r="A497" s="301"/>
      <c r="B497" s="316"/>
      <c r="C497" s="317"/>
      <c r="D497" s="302"/>
      <c r="E497" s="302"/>
      <c r="F497" s="289"/>
      <c r="G497" s="289"/>
      <c r="H497" s="302"/>
      <c r="I497" s="302"/>
      <c r="J497" s="289"/>
      <c r="L497" s="183"/>
      <c r="O497" s="3"/>
      <c r="P497" s="3"/>
    </row>
    <row r="498" spans="1:16" s="69" customFormat="1">
      <c r="A498" s="301"/>
      <c r="B498" s="316"/>
      <c r="C498" s="317"/>
      <c r="D498" s="302"/>
      <c r="E498" s="302"/>
      <c r="F498" s="289"/>
      <c r="G498" s="289"/>
      <c r="H498" s="302"/>
      <c r="I498" s="302"/>
      <c r="J498" s="289"/>
      <c r="L498" s="183"/>
      <c r="O498" s="3"/>
      <c r="P498" s="3"/>
    </row>
    <row r="499" spans="1:16" s="69" customFormat="1">
      <c r="A499" s="301"/>
      <c r="B499" s="316"/>
      <c r="C499" s="317"/>
      <c r="D499" s="302"/>
      <c r="E499" s="302"/>
      <c r="F499" s="289"/>
      <c r="G499" s="289"/>
      <c r="H499" s="302"/>
      <c r="I499" s="302"/>
      <c r="J499" s="289"/>
      <c r="L499" s="183"/>
      <c r="O499" s="3"/>
      <c r="P499" s="3"/>
    </row>
    <row r="500" spans="1:16" s="69" customFormat="1">
      <c r="A500" s="301"/>
      <c r="B500" s="316"/>
      <c r="C500" s="317"/>
      <c r="D500" s="302"/>
      <c r="E500" s="302"/>
      <c r="F500" s="289"/>
      <c r="G500" s="289"/>
      <c r="H500" s="302"/>
      <c r="I500" s="302"/>
      <c r="J500" s="289"/>
      <c r="L500" s="183"/>
      <c r="O500" s="3"/>
      <c r="P500" s="3"/>
    </row>
    <row r="501" spans="1:16" s="69" customFormat="1">
      <c r="A501" s="301"/>
      <c r="B501" s="316"/>
      <c r="C501" s="317"/>
      <c r="D501" s="302"/>
      <c r="E501" s="302"/>
      <c r="F501" s="289"/>
      <c r="G501" s="289"/>
      <c r="H501" s="302"/>
      <c r="I501" s="302"/>
      <c r="J501" s="289"/>
      <c r="L501" s="183"/>
      <c r="O501" s="3"/>
      <c r="P501" s="3"/>
    </row>
    <row r="502" spans="1:16" s="69" customFormat="1">
      <c r="A502" s="301"/>
      <c r="B502" s="316"/>
      <c r="C502" s="317"/>
      <c r="D502" s="302"/>
      <c r="E502" s="302"/>
      <c r="F502" s="289"/>
      <c r="G502" s="289"/>
      <c r="H502" s="302"/>
      <c r="I502" s="302"/>
      <c r="J502" s="289"/>
      <c r="L502" s="183"/>
      <c r="O502" s="3"/>
      <c r="P502" s="3"/>
    </row>
    <row r="503" spans="1:16" s="69" customFormat="1">
      <c r="A503" s="301"/>
      <c r="B503" s="316"/>
      <c r="C503" s="317"/>
      <c r="D503" s="302"/>
      <c r="E503" s="302"/>
      <c r="F503" s="289"/>
      <c r="G503" s="289"/>
      <c r="H503" s="302"/>
      <c r="I503" s="302"/>
      <c r="J503" s="289"/>
      <c r="L503" s="183"/>
      <c r="O503" s="3"/>
      <c r="P503" s="3"/>
    </row>
    <row r="504" spans="1:16" s="69" customFormat="1">
      <c r="A504" s="301"/>
      <c r="B504" s="316"/>
      <c r="C504" s="317"/>
      <c r="D504" s="302"/>
      <c r="E504" s="302"/>
      <c r="F504" s="289"/>
      <c r="G504" s="289"/>
      <c r="H504" s="302"/>
      <c r="I504" s="302"/>
      <c r="J504" s="289"/>
      <c r="L504" s="183"/>
      <c r="O504" s="3"/>
      <c r="P504" s="3"/>
    </row>
    <row r="505" spans="1:16" s="69" customFormat="1">
      <c r="A505" s="301"/>
      <c r="B505" s="316"/>
      <c r="C505" s="317"/>
      <c r="D505" s="302"/>
      <c r="E505" s="302"/>
      <c r="F505" s="289"/>
      <c r="G505" s="289"/>
      <c r="H505" s="302"/>
      <c r="I505" s="302"/>
      <c r="J505" s="289"/>
      <c r="L505" s="183"/>
      <c r="O505" s="3"/>
      <c r="P505" s="3"/>
    </row>
    <row r="506" spans="1:16" s="69" customFormat="1">
      <c r="A506" s="301"/>
      <c r="B506" s="316"/>
      <c r="C506" s="317"/>
      <c r="D506" s="302"/>
      <c r="E506" s="302"/>
      <c r="F506" s="289"/>
      <c r="G506" s="289"/>
      <c r="H506" s="302"/>
      <c r="I506" s="302"/>
      <c r="J506" s="289"/>
      <c r="L506" s="183"/>
      <c r="O506" s="3"/>
      <c r="P506" s="3"/>
    </row>
    <row r="507" spans="1:16" s="69" customFormat="1">
      <c r="A507" s="301"/>
      <c r="B507" s="316"/>
      <c r="C507" s="317"/>
      <c r="D507" s="302"/>
      <c r="E507" s="302"/>
      <c r="F507" s="289"/>
      <c r="G507" s="289"/>
      <c r="H507" s="302"/>
      <c r="I507" s="302"/>
      <c r="J507" s="289"/>
      <c r="L507" s="183"/>
      <c r="O507" s="3"/>
      <c r="P507" s="3"/>
    </row>
    <row r="508" spans="1:16" s="69" customFormat="1">
      <c r="A508" s="301"/>
      <c r="B508" s="316"/>
      <c r="C508" s="317"/>
      <c r="D508" s="302"/>
      <c r="E508" s="302"/>
      <c r="F508" s="289"/>
      <c r="G508" s="289"/>
      <c r="H508" s="302"/>
      <c r="I508" s="302"/>
      <c r="J508" s="289"/>
      <c r="L508" s="183"/>
      <c r="O508" s="3"/>
      <c r="P508" s="3"/>
    </row>
    <row r="509" spans="1:16" s="69" customFormat="1">
      <c r="A509" s="301"/>
      <c r="B509" s="316"/>
      <c r="C509" s="317"/>
      <c r="D509" s="302"/>
      <c r="E509" s="302"/>
      <c r="F509" s="289"/>
      <c r="G509" s="289"/>
      <c r="H509" s="302"/>
      <c r="I509" s="302"/>
      <c r="J509" s="289"/>
      <c r="L509" s="183"/>
      <c r="O509" s="3"/>
      <c r="P509" s="3"/>
    </row>
    <row r="510" spans="1:16" s="69" customFormat="1">
      <c r="A510" s="301"/>
      <c r="B510" s="316"/>
      <c r="C510" s="317"/>
      <c r="D510" s="302"/>
      <c r="E510" s="302"/>
      <c r="F510" s="289"/>
      <c r="G510" s="289"/>
      <c r="H510" s="302"/>
      <c r="I510" s="302"/>
      <c r="J510" s="289"/>
      <c r="L510" s="183"/>
      <c r="O510" s="3"/>
      <c r="P510" s="3"/>
    </row>
    <row r="511" spans="1:16" s="69" customFormat="1">
      <c r="A511" s="301"/>
      <c r="B511" s="316"/>
      <c r="C511" s="317"/>
      <c r="D511" s="302"/>
      <c r="E511" s="302"/>
      <c r="F511" s="289"/>
      <c r="G511" s="289"/>
      <c r="H511" s="302"/>
      <c r="I511" s="302"/>
      <c r="J511" s="289"/>
      <c r="L511" s="183"/>
      <c r="O511" s="3"/>
      <c r="P511" s="3"/>
    </row>
    <row r="512" spans="1:16" s="69" customFormat="1">
      <c r="A512" s="301"/>
      <c r="B512" s="316"/>
      <c r="C512" s="317"/>
      <c r="D512" s="302"/>
      <c r="E512" s="302"/>
      <c r="F512" s="289"/>
      <c r="G512" s="289"/>
      <c r="H512" s="302"/>
      <c r="I512" s="302"/>
      <c r="J512" s="289"/>
      <c r="L512" s="183"/>
      <c r="O512" s="3"/>
      <c r="P512" s="3"/>
    </row>
    <row r="513" spans="1:16" s="69" customFormat="1">
      <c r="A513" s="301"/>
      <c r="B513" s="316"/>
      <c r="C513" s="317"/>
      <c r="D513" s="302"/>
      <c r="E513" s="302"/>
      <c r="F513" s="289"/>
      <c r="G513" s="289"/>
      <c r="H513" s="302"/>
      <c r="I513" s="302"/>
      <c r="J513" s="289"/>
      <c r="L513" s="183"/>
      <c r="O513" s="3"/>
      <c r="P513" s="3"/>
    </row>
    <row r="514" spans="1:16" s="69" customFormat="1">
      <c r="A514" s="301"/>
      <c r="B514" s="316"/>
      <c r="C514" s="317"/>
      <c r="D514" s="302"/>
      <c r="E514" s="302"/>
      <c r="F514" s="289"/>
      <c r="G514" s="289"/>
      <c r="H514" s="302"/>
      <c r="I514" s="302"/>
      <c r="J514" s="289"/>
      <c r="L514" s="183"/>
      <c r="O514" s="3"/>
      <c r="P514" s="3"/>
    </row>
    <row r="515" spans="1:16" s="69" customFormat="1">
      <c r="A515" s="301"/>
      <c r="B515" s="316"/>
      <c r="C515" s="317"/>
      <c r="D515" s="302"/>
      <c r="E515" s="302"/>
      <c r="F515" s="289"/>
      <c r="G515" s="289"/>
      <c r="H515" s="302"/>
      <c r="I515" s="302"/>
      <c r="J515" s="289"/>
      <c r="L515" s="183"/>
      <c r="O515" s="3"/>
      <c r="P515" s="3"/>
    </row>
    <row r="516" spans="1:16" s="69" customFormat="1">
      <c r="A516" s="301"/>
      <c r="B516" s="316"/>
      <c r="C516" s="317"/>
      <c r="D516" s="302"/>
      <c r="E516" s="302"/>
      <c r="F516" s="289"/>
      <c r="G516" s="289"/>
      <c r="H516" s="302"/>
      <c r="I516" s="302"/>
      <c r="J516" s="289"/>
      <c r="L516" s="183"/>
      <c r="O516" s="3"/>
      <c r="P516" s="3"/>
    </row>
    <row r="517" spans="1:16" s="69" customFormat="1">
      <c r="A517" s="301"/>
      <c r="B517" s="316"/>
      <c r="C517" s="317"/>
      <c r="D517" s="302"/>
      <c r="E517" s="302"/>
      <c r="F517" s="289"/>
      <c r="G517" s="289"/>
      <c r="H517" s="302"/>
      <c r="I517" s="302"/>
      <c r="J517" s="289"/>
      <c r="L517" s="183"/>
      <c r="O517" s="3"/>
      <c r="P517" s="3"/>
    </row>
    <row r="518" spans="1:16" s="69" customFormat="1">
      <c r="A518" s="301"/>
      <c r="B518" s="316"/>
      <c r="C518" s="317"/>
      <c r="D518" s="302"/>
      <c r="E518" s="302"/>
      <c r="F518" s="289"/>
      <c r="G518" s="289"/>
      <c r="H518" s="302"/>
      <c r="I518" s="302"/>
      <c r="J518" s="289"/>
      <c r="L518" s="183"/>
      <c r="O518" s="3"/>
      <c r="P518" s="3"/>
    </row>
    <row r="519" spans="1:16" s="69" customFormat="1">
      <c r="A519" s="301"/>
      <c r="B519" s="316"/>
      <c r="C519" s="317"/>
      <c r="D519" s="302"/>
      <c r="E519" s="302"/>
      <c r="F519" s="289"/>
      <c r="G519" s="289"/>
      <c r="H519" s="302"/>
      <c r="I519" s="302"/>
      <c r="J519" s="289"/>
      <c r="L519" s="183"/>
      <c r="O519" s="3"/>
      <c r="P519" s="3"/>
    </row>
    <row r="520" spans="1:16" s="69" customFormat="1">
      <c r="A520" s="301"/>
      <c r="B520" s="316"/>
      <c r="C520" s="317"/>
      <c r="D520" s="302"/>
      <c r="E520" s="302"/>
      <c r="F520" s="289"/>
      <c r="G520" s="289"/>
      <c r="H520" s="302"/>
      <c r="I520" s="302"/>
      <c r="J520" s="289"/>
      <c r="L520" s="183"/>
      <c r="O520" s="3"/>
      <c r="P520" s="3"/>
    </row>
    <row r="521" spans="1:16" s="69" customFormat="1">
      <c r="A521" s="301"/>
      <c r="B521" s="316"/>
      <c r="C521" s="317"/>
      <c r="D521" s="302"/>
      <c r="E521" s="302"/>
      <c r="F521" s="289"/>
      <c r="G521" s="289"/>
      <c r="H521" s="302"/>
      <c r="I521" s="302"/>
      <c r="J521" s="289"/>
      <c r="L521" s="183"/>
      <c r="O521" s="3"/>
      <c r="P521" s="3"/>
    </row>
    <row r="522" spans="1:16" s="69" customFormat="1">
      <c r="A522" s="301"/>
      <c r="B522" s="316"/>
      <c r="C522" s="317"/>
      <c r="D522" s="302"/>
      <c r="E522" s="302"/>
      <c r="F522" s="289"/>
      <c r="G522" s="289"/>
      <c r="H522" s="302"/>
      <c r="I522" s="302"/>
      <c r="J522" s="289"/>
      <c r="L522" s="183"/>
      <c r="O522" s="3"/>
      <c r="P522" s="3"/>
    </row>
    <row r="523" spans="1:16" s="69" customFormat="1">
      <c r="A523" s="301"/>
      <c r="B523" s="316"/>
      <c r="C523" s="317"/>
      <c r="D523" s="302"/>
      <c r="E523" s="302"/>
      <c r="F523" s="289"/>
      <c r="G523" s="289"/>
      <c r="H523" s="302"/>
      <c r="I523" s="302"/>
      <c r="J523" s="289"/>
      <c r="L523" s="183"/>
      <c r="O523" s="3"/>
      <c r="P523" s="3"/>
    </row>
    <row r="524" spans="1:16" s="69" customFormat="1">
      <c r="A524" s="301"/>
      <c r="B524" s="316"/>
      <c r="C524" s="317"/>
      <c r="D524" s="302"/>
      <c r="E524" s="302"/>
      <c r="F524" s="289"/>
      <c r="G524" s="289"/>
      <c r="H524" s="302"/>
      <c r="I524" s="302"/>
      <c r="J524" s="289"/>
      <c r="L524" s="183"/>
      <c r="O524" s="3"/>
      <c r="P524" s="3"/>
    </row>
    <row r="525" spans="1:16" s="69" customFormat="1">
      <c r="A525" s="301"/>
      <c r="B525" s="316"/>
      <c r="C525" s="317"/>
      <c r="D525" s="302"/>
      <c r="E525" s="302"/>
      <c r="F525" s="289"/>
      <c r="G525" s="289"/>
      <c r="H525" s="302"/>
      <c r="I525" s="302"/>
      <c r="J525" s="289"/>
      <c r="L525" s="183"/>
      <c r="O525" s="3"/>
      <c r="P525" s="3"/>
    </row>
    <row r="526" spans="1:16" s="69" customFormat="1">
      <c r="A526" s="301"/>
      <c r="B526" s="316"/>
      <c r="C526" s="317"/>
      <c r="D526" s="302"/>
      <c r="E526" s="302"/>
      <c r="F526" s="289"/>
      <c r="G526" s="289"/>
      <c r="H526" s="302"/>
      <c r="I526" s="302"/>
      <c r="J526" s="289"/>
      <c r="L526" s="183"/>
      <c r="O526" s="3"/>
      <c r="P526" s="3"/>
    </row>
    <row r="527" spans="1:16" s="69" customFormat="1">
      <c r="A527" s="301"/>
      <c r="B527" s="316"/>
      <c r="C527" s="317"/>
      <c r="D527" s="302"/>
      <c r="E527" s="302"/>
      <c r="F527" s="289"/>
      <c r="G527" s="289"/>
      <c r="H527" s="302"/>
      <c r="I527" s="302"/>
      <c r="J527" s="289"/>
      <c r="L527" s="183"/>
      <c r="O527" s="3"/>
      <c r="P527" s="3"/>
    </row>
    <row r="528" spans="1:16" s="69" customFormat="1">
      <c r="A528" s="301"/>
      <c r="B528" s="316"/>
      <c r="C528" s="317"/>
      <c r="D528" s="302"/>
      <c r="E528" s="302"/>
      <c r="F528" s="289"/>
      <c r="G528" s="289"/>
      <c r="H528" s="302"/>
      <c r="I528" s="302"/>
      <c r="J528" s="289"/>
      <c r="L528" s="183"/>
      <c r="O528" s="3"/>
      <c r="P528" s="3"/>
    </row>
    <row r="529" spans="1:16" s="69" customFormat="1">
      <c r="A529" s="301"/>
      <c r="B529" s="316"/>
      <c r="C529" s="317"/>
      <c r="D529" s="302"/>
      <c r="E529" s="302"/>
      <c r="F529" s="289"/>
      <c r="G529" s="289"/>
      <c r="H529" s="302"/>
      <c r="I529" s="302"/>
      <c r="J529" s="289"/>
      <c r="L529" s="183"/>
      <c r="O529" s="3"/>
      <c r="P529" s="3"/>
    </row>
    <row r="530" spans="1:16" s="69" customFormat="1">
      <c r="A530" s="301"/>
      <c r="B530" s="316"/>
      <c r="C530" s="317"/>
      <c r="D530" s="302"/>
      <c r="E530" s="302"/>
      <c r="F530" s="289"/>
      <c r="G530" s="289"/>
      <c r="H530" s="302"/>
      <c r="I530" s="302"/>
      <c r="J530" s="289"/>
      <c r="L530" s="183"/>
      <c r="O530" s="3"/>
      <c r="P530" s="3"/>
    </row>
    <row r="531" spans="1:16" s="69" customFormat="1">
      <c r="A531" s="301"/>
      <c r="B531" s="316"/>
      <c r="C531" s="317"/>
      <c r="D531" s="302"/>
      <c r="E531" s="302"/>
      <c r="F531" s="289"/>
      <c r="G531" s="289"/>
      <c r="H531" s="302"/>
      <c r="I531" s="302"/>
      <c r="J531" s="289"/>
      <c r="L531" s="183"/>
      <c r="O531" s="3"/>
      <c r="P531" s="3"/>
    </row>
    <row r="532" spans="1:16" s="69" customFormat="1">
      <c r="A532" s="301"/>
      <c r="B532" s="316"/>
      <c r="C532" s="317"/>
      <c r="D532" s="302"/>
      <c r="E532" s="302"/>
      <c r="F532" s="289"/>
      <c r="G532" s="289"/>
      <c r="H532" s="302"/>
      <c r="I532" s="302"/>
      <c r="J532" s="289"/>
      <c r="L532" s="183"/>
      <c r="O532" s="3"/>
      <c r="P532" s="3"/>
    </row>
    <row r="533" spans="1:16" s="69" customFormat="1">
      <c r="A533" s="301"/>
      <c r="B533" s="316"/>
      <c r="C533" s="317"/>
      <c r="D533" s="302"/>
      <c r="E533" s="302"/>
      <c r="F533" s="289"/>
      <c r="G533" s="289"/>
      <c r="H533" s="302"/>
      <c r="I533" s="302"/>
      <c r="J533" s="289"/>
      <c r="L533" s="183"/>
      <c r="O533" s="3"/>
      <c r="P533" s="3"/>
    </row>
    <row r="534" spans="1:16" s="69" customFormat="1">
      <c r="A534" s="301"/>
      <c r="B534" s="316"/>
      <c r="C534" s="317"/>
      <c r="D534" s="302"/>
      <c r="E534" s="302"/>
      <c r="F534" s="289"/>
      <c r="G534" s="289"/>
      <c r="H534" s="302"/>
      <c r="I534" s="302"/>
      <c r="J534" s="289"/>
      <c r="L534" s="183"/>
      <c r="O534" s="3"/>
      <c r="P534" s="3"/>
    </row>
    <row r="535" spans="1:16" s="69" customFormat="1">
      <c r="A535" s="301"/>
      <c r="B535" s="316"/>
      <c r="C535" s="317"/>
      <c r="D535" s="302"/>
      <c r="E535" s="302"/>
      <c r="F535" s="289"/>
      <c r="G535" s="289"/>
      <c r="H535" s="302"/>
      <c r="I535" s="302"/>
      <c r="J535" s="289"/>
      <c r="L535" s="183"/>
      <c r="O535" s="3"/>
      <c r="P535" s="3"/>
    </row>
    <row r="536" spans="1:16" s="69" customFormat="1">
      <c r="A536" s="301"/>
      <c r="B536" s="316"/>
      <c r="C536" s="317"/>
      <c r="D536" s="302"/>
      <c r="E536" s="302"/>
      <c r="F536" s="289"/>
      <c r="G536" s="289"/>
      <c r="H536" s="302"/>
      <c r="I536" s="302"/>
      <c r="J536" s="289"/>
      <c r="L536" s="183"/>
      <c r="O536" s="3"/>
      <c r="P536" s="3"/>
    </row>
    <row r="537" spans="1:16" s="69" customFormat="1">
      <c r="A537" s="301"/>
      <c r="B537" s="316"/>
      <c r="C537" s="317"/>
      <c r="D537" s="302"/>
      <c r="E537" s="302"/>
      <c r="F537" s="289"/>
      <c r="G537" s="289"/>
      <c r="H537" s="302"/>
      <c r="I537" s="302"/>
      <c r="J537" s="289"/>
      <c r="L537" s="183"/>
      <c r="O537" s="3"/>
      <c r="P537" s="3"/>
    </row>
    <row r="538" spans="1:16" s="69" customFormat="1">
      <c r="A538" s="301"/>
      <c r="B538" s="316"/>
      <c r="C538" s="317"/>
      <c r="D538" s="302"/>
      <c r="E538" s="302"/>
      <c r="F538" s="289"/>
      <c r="G538" s="289"/>
      <c r="H538" s="302"/>
      <c r="I538" s="302"/>
      <c r="J538" s="289"/>
      <c r="L538" s="183"/>
      <c r="O538" s="3"/>
      <c r="P538" s="3"/>
    </row>
    <row r="539" spans="1:16" s="69" customFormat="1">
      <c r="A539" s="301"/>
      <c r="B539" s="316"/>
      <c r="C539" s="317"/>
      <c r="D539" s="302"/>
      <c r="E539" s="302"/>
      <c r="F539" s="289"/>
      <c r="G539" s="289"/>
      <c r="H539" s="302"/>
      <c r="I539" s="302"/>
      <c r="J539" s="289"/>
      <c r="L539" s="183"/>
      <c r="O539" s="3"/>
      <c r="P539" s="3"/>
    </row>
    <row r="540" spans="1:16" s="69" customFormat="1">
      <c r="A540" s="301"/>
      <c r="B540" s="316"/>
      <c r="C540" s="317"/>
      <c r="D540" s="302"/>
      <c r="E540" s="302"/>
      <c r="F540" s="289"/>
      <c r="G540" s="289"/>
      <c r="H540" s="302"/>
      <c r="I540" s="302"/>
      <c r="J540" s="289"/>
      <c r="L540" s="183"/>
      <c r="O540" s="3"/>
      <c r="P540" s="3"/>
    </row>
    <row r="541" spans="1:16" s="69" customFormat="1">
      <c r="A541" s="301"/>
      <c r="B541" s="316"/>
      <c r="C541" s="317"/>
      <c r="D541" s="302"/>
      <c r="E541" s="302"/>
      <c r="F541" s="289"/>
      <c r="G541" s="289"/>
      <c r="H541" s="302"/>
      <c r="I541" s="302"/>
      <c r="J541" s="289"/>
      <c r="L541" s="183"/>
      <c r="O541" s="3"/>
      <c r="P541" s="3"/>
    </row>
    <row r="542" spans="1:16" s="69" customFormat="1">
      <c r="A542" s="301"/>
      <c r="B542" s="316"/>
      <c r="C542" s="317"/>
      <c r="D542" s="302"/>
      <c r="E542" s="302"/>
      <c r="F542" s="289"/>
      <c r="G542" s="289"/>
      <c r="H542" s="302"/>
      <c r="I542" s="302"/>
      <c r="J542" s="289"/>
      <c r="L542" s="183"/>
      <c r="O542" s="3"/>
      <c r="P542" s="3"/>
    </row>
    <row r="543" spans="1:16" s="69" customFormat="1">
      <c r="A543" s="301"/>
      <c r="B543" s="316"/>
      <c r="C543" s="317"/>
      <c r="D543" s="302"/>
      <c r="E543" s="302"/>
      <c r="F543" s="289"/>
      <c r="G543" s="289"/>
      <c r="H543" s="302"/>
      <c r="I543" s="302"/>
      <c r="J543" s="289"/>
      <c r="L543" s="183"/>
      <c r="O543" s="3"/>
      <c r="P543" s="3"/>
    </row>
    <row r="544" spans="1:16" s="69" customFormat="1">
      <c r="A544" s="301"/>
      <c r="B544" s="316"/>
      <c r="C544" s="317"/>
      <c r="D544" s="302"/>
      <c r="E544" s="302"/>
      <c r="F544" s="289"/>
      <c r="G544" s="289"/>
      <c r="H544" s="302"/>
      <c r="I544" s="302"/>
      <c r="J544" s="289"/>
      <c r="L544" s="183"/>
      <c r="O544" s="3"/>
      <c r="P544" s="3"/>
    </row>
    <row r="545" spans="1:16" s="69" customFormat="1">
      <c r="A545" s="301"/>
      <c r="B545" s="316"/>
      <c r="C545" s="317"/>
      <c r="D545" s="302"/>
      <c r="E545" s="302"/>
      <c r="F545" s="289"/>
      <c r="G545" s="289"/>
      <c r="H545" s="302"/>
      <c r="I545" s="302"/>
      <c r="J545" s="289"/>
      <c r="L545" s="183"/>
      <c r="O545" s="3"/>
      <c r="P545" s="3"/>
    </row>
    <row r="546" spans="1:16" s="69" customFormat="1">
      <c r="A546" s="301"/>
      <c r="B546" s="316"/>
      <c r="C546" s="317"/>
      <c r="D546" s="302"/>
      <c r="E546" s="302"/>
      <c r="F546" s="289"/>
      <c r="G546" s="289"/>
      <c r="H546" s="302"/>
      <c r="I546" s="302"/>
      <c r="J546" s="289"/>
      <c r="L546" s="183"/>
      <c r="O546" s="3"/>
      <c r="P546" s="3"/>
    </row>
    <row r="547" spans="1:16" s="69" customFormat="1">
      <c r="A547" s="301"/>
      <c r="B547" s="316"/>
      <c r="C547" s="317"/>
      <c r="D547" s="302"/>
      <c r="E547" s="302"/>
      <c r="F547" s="289"/>
      <c r="G547" s="289"/>
      <c r="H547" s="302"/>
      <c r="I547" s="302"/>
      <c r="J547" s="289"/>
      <c r="L547" s="183"/>
      <c r="O547" s="3"/>
      <c r="P547" s="3"/>
    </row>
    <row r="548" spans="1:16" s="69" customFormat="1">
      <c r="A548" s="301"/>
      <c r="B548" s="316"/>
      <c r="C548" s="317"/>
      <c r="D548" s="302"/>
      <c r="E548" s="302"/>
      <c r="F548" s="289"/>
      <c r="G548" s="289"/>
      <c r="H548" s="302"/>
      <c r="I548" s="302"/>
      <c r="J548" s="289"/>
      <c r="L548" s="183"/>
      <c r="O548" s="3"/>
      <c r="P548" s="3"/>
    </row>
    <row r="549" spans="1:16" s="69" customFormat="1">
      <c r="A549" s="301"/>
      <c r="B549" s="316"/>
      <c r="C549" s="317"/>
      <c r="D549" s="302"/>
      <c r="E549" s="302"/>
      <c r="F549" s="289"/>
      <c r="G549" s="289"/>
      <c r="H549" s="302"/>
      <c r="I549" s="302"/>
      <c r="J549" s="289"/>
      <c r="L549" s="183"/>
      <c r="O549" s="3"/>
      <c r="P549" s="3"/>
    </row>
    <row r="550" spans="1:16" s="69" customFormat="1">
      <c r="A550" s="301"/>
      <c r="B550" s="316"/>
      <c r="C550" s="317"/>
      <c r="D550" s="302"/>
      <c r="E550" s="302"/>
      <c r="F550" s="289"/>
      <c r="G550" s="289"/>
      <c r="H550" s="302"/>
      <c r="I550" s="302"/>
      <c r="J550" s="289"/>
      <c r="L550" s="183"/>
      <c r="O550" s="3"/>
      <c r="P550" s="3"/>
    </row>
    <row r="551" spans="1:16" s="69" customFormat="1">
      <c r="A551" s="301"/>
      <c r="B551" s="316"/>
      <c r="C551" s="317"/>
      <c r="D551" s="302"/>
      <c r="E551" s="302"/>
      <c r="F551" s="289"/>
      <c r="G551" s="289"/>
      <c r="H551" s="302"/>
      <c r="I551" s="302"/>
      <c r="J551" s="289"/>
      <c r="L551" s="183"/>
      <c r="O551" s="3"/>
      <c r="P551" s="3"/>
    </row>
    <row r="552" spans="1:16" s="69" customFormat="1">
      <c r="A552" s="301"/>
      <c r="B552" s="316"/>
      <c r="C552" s="317"/>
      <c r="D552" s="302"/>
      <c r="E552" s="302"/>
      <c r="F552" s="289"/>
      <c r="G552" s="289"/>
      <c r="H552" s="302"/>
      <c r="I552" s="302"/>
      <c r="J552" s="289"/>
      <c r="L552" s="183"/>
      <c r="O552" s="3"/>
      <c r="P552" s="3"/>
    </row>
    <row r="553" spans="1:16" s="69" customFormat="1">
      <c r="A553" s="301"/>
      <c r="B553" s="316"/>
      <c r="C553" s="317"/>
      <c r="D553" s="302"/>
      <c r="E553" s="302"/>
      <c r="F553" s="289"/>
      <c r="G553" s="289"/>
      <c r="H553" s="302"/>
      <c r="I553" s="302"/>
      <c r="J553" s="289"/>
      <c r="L553" s="183"/>
      <c r="O553" s="3"/>
      <c r="P553" s="3"/>
    </row>
    <row r="554" spans="1:16" s="69" customFormat="1">
      <c r="A554" s="301"/>
      <c r="B554" s="316"/>
      <c r="C554" s="317"/>
      <c r="D554" s="302"/>
      <c r="E554" s="302"/>
      <c r="F554" s="289"/>
      <c r="G554" s="289"/>
      <c r="H554" s="302"/>
      <c r="I554" s="302"/>
      <c r="J554" s="289"/>
      <c r="L554" s="183"/>
      <c r="O554" s="3"/>
      <c r="P554" s="3"/>
    </row>
    <row r="555" spans="1:16" s="69" customFormat="1">
      <c r="A555" s="301"/>
      <c r="B555" s="316"/>
      <c r="C555" s="317"/>
      <c r="D555" s="302"/>
      <c r="E555" s="302"/>
      <c r="F555" s="289"/>
      <c r="G555" s="289"/>
      <c r="H555" s="302"/>
      <c r="I555" s="302"/>
      <c r="J555" s="289"/>
      <c r="L555" s="183"/>
      <c r="O555" s="3"/>
      <c r="P555" s="3"/>
    </row>
    <row r="556" spans="1:16" s="69" customFormat="1">
      <c r="A556" s="301"/>
      <c r="B556" s="316"/>
      <c r="C556" s="317"/>
      <c r="D556" s="302"/>
      <c r="E556" s="302"/>
      <c r="F556" s="289"/>
      <c r="G556" s="289"/>
      <c r="H556" s="302"/>
      <c r="I556" s="302"/>
      <c r="J556" s="289"/>
      <c r="L556" s="183"/>
      <c r="O556" s="3"/>
      <c r="P556" s="3"/>
    </row>
    <row r="557" spans="1:16" s="69" customFormat="1">
      <c r="A557" s="301"/>
      <c r="B557" s="316"/>
      <c r="C557" s="317"/>
      <c r="D557" s="302"/>
      <c r="E557" s="302"/>
      <c r="F557" s="289"/>
      <c r="G557" s="289"/>
      <c r="H557" s="302"/>
      <c r="I557" s="302"/>
      <c r="J557" s="289"/>
      <c r="L557" s="183"/>
      <c r="O557" s="3"/>
      <c r="P557" s="3"/>
    </row>
    <row r="558" spans="1:16" s="69" customFormat="1">
      <c r="A558" s="301"/>
      <c r="B558" s="316"/>
      <c r="C558" s="317"/>
      <c r="D558" s="302"/>
      <c r="E558" s="302"/>
      <c r="F558" s="289"/>
      <c r="G558" s="289"/>
      <c r="H558" s="302"/>
      <c r="I558" s="302"/>
      <c r="J558" s="289"/>
      <c r="L558" s="183"/>
      <c r="O558" s="3"/>
      <c r="P558" s="3"/>
    </row>
    <row r="559" spans="1:16" s="69" customFormat="1">
      <c r="A559" s="301"/>
      <c r="B559" s="316"/>
      <c r="C559" s="317"/>
      <c r="D559" s="302"/>
      <c r="E559" s="302"/>
      <c r="F559" s="289"/>
      <c r="G559" s="289"/>
      <c r="H559" s="302"/>
      <c r="I559" s="302"/>
      <c r="J559" s="289"/>
      <c r="L559" s="183"/>
      <c r="O559" s="3"/>
      <c r="P559" s="3"/>
    </row>
    <row r="560" spans="1:16" s="69" customFormat="1">
      <c r="A560" s="301"/>
      <c r="B560" s="316"/>
      <c r="C560" s="317"/>
      <c r="D560" s="302"/>
      <c r="E560" s="302"/>
      <c r="F560" s="289"/>
      <c r="G560" s="289"/>
      <c r="H560" s="302"/>
      <c r="I560" s="302"/>
      <c r="J560" s="289"/>
      <c r="L560" s="183"/>
      <c r="O560" s="3"/>
      <c r="P560" s="3"/>
    </row>
    <row r="561" spans="1:16" s="69" customFormat="1">
      <c r="A561" s="301"/>
      <c r="B561" s="316"/>
      <c r="C561" s="317"/>
      <c r="D561" s="302"/>
      <c r="E561" s="302"/>
      <c r="F561" s="289"/>
      <c r="G561" s="289"/>
      <c r="H561" s="302"/>
      <c r="I561" s="302"/>
      <c r="J561" s="289"/>
      <c r="L561" s="183"/>
      <c r="O561" s="3"/>
      <c r="P561" s="3"/>
    </row>
    <row r="562" spans="1:16" s="69" customFormat="1">
      <c r="A562" s="301"/>
      <c r="B562" s="316"/>
      <c r="C562" s="317"/>
      <c r="D562" s="302"/>
      <c r="E562" s="302"/>
      <c r="F562" s="289"/>
      <c r="G562" s="289"/>
      <c r="H562" s="302"/>
      <c r="I562" s="302"/>
      <c r="J562" s="289"/>
      <c r="L562" s="183"/>
      <c r="O562" s="3"/>
      <c r="P562" s="3"/>
    </row>
    <row r="563" spans="1:16" s="69" customFormat="1">
      <c r="A563" s="301"/>
      <c r="B563" s="316"/>
      <c r="C563" s="317"/>
      <c r="D563" s="302"/>
      <c r="E563" s="302"/>
      <c r="F563" s="289"/>
      <c r="G563" s="289"/>
      <c r="H563" s="302"/>
      <c r="I563" s="302"/>
      <c r="J563" s="289"/>
      <c r="L563" s="183"/>
      <c r="O563" s="3"/>
      <c r="P563" s="3"/>
    </row>
    <row r="564" spans="1:16" s="69" customFormat="1">
      <c r="A564" s="301"/>
      <c r="B564" s="316"/>
      <c r="C564" s="317"/>
      <c r="D564" s="302"/>
      <c r="E564" s="302"/>
      <c r="F564" s="289"/>
      <c r="G564" s="289"/>
      <c r="H564" s="302"/>
      <c r="I564" s="302"/>
      <c r="J564" s="289"/>
      <c r="L564" s="183"/>
      <c r="O564" s="3"/>
      <c r="P564" s="3"/>
    </row>
    <row r="565" spans="1:16" s="69" customFormat="1">
      <c r="A565" s="301"/>
      <c r="B565" s="316"/>
      <c r="C565" s="317"/>
      <c r="D565" s="302"/>
      <c r="E565" s="302"/>
      <c r="F565" s="289"/>
      <c r="G565" s="289"/>
      <c r="H565" s="302"/>
      <c r="I565" s="302"/>
      <c r="J565" s="289"/>
      <c r="L565" s="183"/>
      <c r="O565" s="3"/>
      <c r="P565" s="3"/>
    </row>
    <row r="566" spans="1:16" s="69" customFormat="1">
      <c r="A566" s="301"/>
      <c r="B566" s="316"/>
      <c r="C566" s="317"/>
      <c r="D566" s="302"/>
      <c r="E566" s="302"/>
      <c r="F566" s="289"/>
      <c r="G566" s="289"/>
      <c r="H566" s="302"/>
      <c r="I566" s="302"/>
      <c r="J566" s="289"/>
      <c r="L566" s="183"/>
      <c r="O566" s="3"/>
      <c r="P566" s="3"/>
    </row>
    <row r="567" spans="1:16" s="69" customFormat="1">
      <c r="A567" s="301"/>
      <c r="B567" s="316"/>
      <c r="C567" s="317"/>
      <c r="D567" s="302"/>
      <c r="E567" s="302"/>
      <c r="F567" s="289"/>
      <c r="G567" s="289"/>
      <c r="H567" s="302"/>
      <c r="I567" s="302"/>
      <c r="J567" s="289"/>
      <c r="L567" s="183"/>
      <c r="O567" s="3"/>
      <c r="P567" s="3"/>
    </row>
    <row r="568" spans="1:16" s="69" customFormat="1">
      <c r="A568" s="301"/>
      <c r="B568" s="316"/>
      <c r="C568" s="317"/>
      <c r="D568" s="302"/>
      <c r="E568" s="302"/>
      <c r="F568" s="289"/>
      <c r="G568" s="289"/>
      <c r="H568" s="302"/>
      <c r="I568" s="302"/>
      <c r="J568" s="289"/>
      <c r="L568" s="183"/>
      <c r="O568" s="3"/>
      <c r="P568" s="3"/>
    </row>
    <row r="569" spans="1:16" s="69" customFormat="1">
      <c r="A569" s="301"/>
      <c r="B569" s="316"/>
      <c r="C569" s="317"/>
      <c r="D569" s="302"/>
      <c r="E569" s="302"/>
      <c r="F569" s="289"/>
      <c r="G569" s="289"/>
      <c r="H569" s="302"/>
      <c r="I569" s="302"/>
      <c r="J569" s="289"/>
      <c r="L569" s="183"/>
      <c r="O569" s="3"/>
      <c r="P569" s="3"/>
    </row>
    <row r="570" spans="1:16" s="69" customFormat="1">
      <c r="A570" s="301"/>
      <c r="B570" s="316"/>
      <c r="C570" s="317"/>
      <c r="D570" s="302"/>
      <c r="E570" s="302"/>
      <c r="F570" s="289"/>
      <c r="G570" s="289"/>
      <c r="H570" s="302"/>
      <c r="I570" s="302"/>
      <c r="J570" s="289"/>
      <c r="L570" s="183"/>
      <c r="O570" s="3"/>
      <c r="P570" s="3"/>
    </row>
    <row r="571" spans="1:16" s="69" customFormat="1">
      <c r="A571" s="301"/>
      <c r="B571" s="316"/>
      <c r="C571" s="317"/>
      <c r="D571" s="302"/>
      <c r="E571" s="302"/>
      <c r="F571" s="289"/>
      <c r="G571" s="289"/>
      <c r="H571" s="302"/>
      <c r="I571" s="302"/>
      <c r="J571" s="289"/>
      <c r="L571" s="183"/>
      <c r="O571" s="3"/>
      <c r="P571" s="3"/>
    </row>
    <row r="572" spans="1:16" s="69" customFormat="1">
      <c r="A572" s="301"/>
      <c r="B572" s="316"/>
      <c r="C572" s="317"/>
      <c r="D572" s="302"/>
      <c r="E572" s="302"/>
      <c r="F572" s="289"/>
      <c r="G572" s="289"/>
      <c r="H572" s="302"/>
      <c r="I572" s="302"/>
      <c r="J572" s="289"/>
      <c r="L572" s="183"/>
      <c r="O572" s="3"/>
      <c r="P572" s="3"/>
    </row>
    <row r="573" spans="1:16" s="69" customFormat="1">
      <c r="A573" s="301"/>
      <c r="B573" s="316"/>
      <c r="C573" s="317"/>
      <c r="D573" s="302"/>
      <c r="E573" s="302"/>
      <c r="F573" s="289"/>
      <c r="G573" s="289"/>
      <c r="H573" s="302"/>
      <c r="I573" s="302"/>
      <c r="J573" s="289"/>
      <c r="L573" s="183"/>
      <c r="O573" s="3"/>
      <c r="P573" s="3"/>
    </row>
    <row r="574" spans="1:16" s="69" customFormat="1">
      <c r="A574" s="301"/>
      <c r="B574" s="316"/>
      <c r="C574" s="317"/>
      <c r="D574" s="302"/>
      <c r="E574" s="302"/>
      <c r="F574" s="289"/>
      <c r="G574" s="289"/>
      <c r="H574" s="302"/>
      <c r="I574" s="302"/>
      <c r="J574" s="289"/>
      <c r="L574" s="183"/>
      <c r="O574" s="3"/>
      <c r="P574" s="3"/>
    </row>
    <row r="575" spans="1:16" s="69" customFormat="1">
      <c r="A575" s="301"/>
      <c r="B575" s="316"/>
      <c r="C575" s="317"/>
      <c r="D575" s="302"/>
      <c r="E575" s="302"/>
      <c r="F575" s="289"/>
      <c r="G575" s="289"/>
      <c r="H575" s="302"/>
      <c r="I575" s="302"/>
      <c r="J575" s="289"/>
      <c r="L575" s="183"/>
      <c r="O575" s="3"/>
      <c r="P575" s="3"/>
    </row>
    <row r="576" spans="1:16" s="69" customFormat="1">
      <c r="A576" s="301"/>
      <c r="B576" s="316"/>
      <c r="C576" s="317"/>
      <c r="D576" s="302"/>
      <c r="E576" s="302"/>
      <c r="F576" s="289"/>
      <c r="G576" s="289"/>
      <c r="H576" s="302"/>
      <c r="I576" s="302"/>
      <c r="J576" s="289"/>
      <c r="L576" s="183"/>
      <c r="O576" s="3"/>
      <c r="P576" s="3"/>
    </row>
    <row r="577" spans="1:16" s="69" customFormat="1">
      <c r="A577" s="301"/>
      <c r="B577" s="316"/>
      <c r="C577" s="317"/>
      <c r="D577" s="302"/>
      <c r="E577" s="302"/>
      <c r="F577" s="289"/>
      <c r="G577" s="289"/>
      <c r="H577" s="302"/>
      <c r="I577" s="302"/>
      <c r="J577" s="289"/>
      <c r="L577" s="183"/>
      <c r="O577" s="3"/>
      <c r="P577" s="3"/>
    </row>
    <row r="578" spans="1:16" s="69" customFormat="1">
      <c r="A578" s="301"/>
      <c r="B578" s="316"/>
      <c r="C578" s="317"/>
      <c r="D578" s="302"/>
      <c r="E578" s="302"/>
      <c r="F578" s="289"/>
      <c r="G578" s="289"/>
      <c r="H578" s="302"/>
      <c r="I578" s="302"/>
      <c r="J578" s="289"/>
      <c r="L578" s="183"/>
      <c r="O578" s="3"/>
      <c r="P578" s="3"/>
    </row>
    <row r="579" spans="1:16" s="69" customFormat="1">
      <c r="A579" s="301"/>
      <c r="B579" s="316"/>
      <c r="C579" s="317"/>
      <c r="D579" s="302"/>
      <c r="E579" s="302"/>
      <c r="F579" s="289"/>
      <c r="G579" s="289"/>
      <c r="H579" s="302"/>
      <c r="I579" s="302"/>
      <c r="J579" s="289"/>
      <c r="L579" s="183"/>
      <c r="O579" s="3"/>
      <c r="P579" s="3"/>
    </row>
    <row r="580" spans="1:16" s="69" customFormat="1">
      <c r="A580" s="301"/>
      <c r="B580" s="316"/>
      <c r="C580" s="317"/>
      <c r="D580" s="302"/>
      <c r="E580" s="302"/>
      <c r="F580" s="289"/>
      <c r="G580" s="289"/>
      <c r="H580" s="302"/>
      <c r="I580" s="302"/>
      <c r="J580" s="289"/>
      <c r="L580" s="183"/>
      <c r="O580" s="3"/>
      <c r="P580" s="3"/>
    </row>
    <row r="581" spans="1:16" s="69" customFormat="1">
      <c r="A581" s="301"/>
      <c r="B581" s="316"/>
      <c r="C581" s="317"/>
      <c r="D581" s="302"/>
      <c r="E581" s="302"/>
      <c r="F581" s="289"/>
      <c r="G581" s="289"/>
      <c r="H581" s="302"/>
      <c r="I581" s="302"/>
      <c r="J581" s="289"/>
      <c r="L581" s="183"/>
      <c r="O581" s="3"/>
      <c r="P581" s="3"/>
    </row>
    <row r="582" spans="1:16" s="69" customFormat="1">
      <c r="A582" s="301"/>
      <c r="B582" s="316"/>
      <c r="C582" s="317"/>
      <c r="D582" s="302"/>
      <c r="E582" s="302"/>
      <c r="F582" s="289"/>
      <c r="G582" s="289"/>
      <c r="H582" s="302"/>
      <c r="I582" s="302"/>
      <c r="J582" s="289"/>
      <c r="L582" s="183"/>
      <c r="O582" s="3"/>
      <c r="P582" s="3"/>
    </row>
    <row r="583" spans="1:16" s="69" customFormat="1">
      <c r="A583" s="301"/>
      <c r="B583" s="316"/>
      <c r="C583" s="317"/>
      <c r="D583" s="302"/>
      <c r="E583" s="302"/>
      <c r="F583" s="289"/>
      <c r="G583" s="289"/>
      <c r="H583" s="302"/>
      <c r="I583" s="302"/>
      <c r="J583" s="289"/>
      <c r="L583" s="183"/>
      <c r="O583" s="3"/>
      <c r="P583" s="3"/>
    </row>
    <row r="584" spans="1:16" s="69" customFormat="1">
      <c r="A584" s="301"/>
      <c r="B584" s="316"/>
      <c r="C584" s="317"/>
      <c r="D584" s="302"/>
      <c r="E584" s="302"/>
      <c r="F584" s="289"/>
      <c r="G584" s="289"/>
      <c r="H584" s="302"/>
      <c r="I584" s="302"/>
      <c r="J584" s="289"/>
      <c r="L584" s="183"/>
      <c r="O584" s="3"/>
      <c r="P584" s="3"/>
    </row>
    <row r="585" spans="1:16" s="69" customFormat="1">
      <c r="A585" s="301"/>
      <c r="B585" s="316"/>
      <c r="C585" s="317"/>
      <c r="D585" s="302"/>
      <c r="E585" s="302"/>
      <c r="F585" s="289"/>
      <c r="G585" s="289"/>
      <c r="H585" s="302"/>
      <c r="I585" s="302"/>
      <c r="J585" s="289"/>
      <c r="L585" s="183"/>
      <c r="O585" s="3"/>
      <c r="P585" s="3"/>
    </row>
    <row r="586" spans="1:16" s="69" customFormat="1">
      <c r="A586" s="301"/>
      <c r="B586" s="316"/>
      <c r="C586" s="317"/>
      <c r="D586" s="302"/>
      <c r="E586" s="302"/>
      <c r="F586" s="289"/>
      <c r="G586" s="289"/>
      <c r="H586" s="302"/>
      <c r="I586" s="302"/>
      <c r="J586" s="289"/>
      <c r="L586" s="183"/>
      <c r="O586" s="3"/>
      <c r="P586" s="3"/>
    </row>
    <row r="587" spans="1:16" s="69" customFormat="1">
      <c r="A587" s="301"/>
      <c r="B587" s="316"/>
      <c r="C587" s="317"/>
      <c r="D587" s="302"/>
      <c r="E587" s="302"/>
      <c r="F587" s="289"/>
      <c r="G587" s="289"/>
      <c r="H587" s="302"/>
      <c r="I587" s="302"/>
      <c r="J587" s="289"/>
      <c r="L587" s="183"/>
      <c r="O587" s="3"/>
      <c r="P587" s="3"/>
    </row>
    <row r="588" spans="1:16" s="69" customFormat="1">
      <c r="A588" s="301"/>
      <c r="B588" s="316"/>
      <c r="C588" s="317"/>
      <c r="D588" s="302"/>
      <c r="E588" s="302"/>
      <c r="F588" s="289"/>
      <c r="G588" s="289"/>
      <c r="H588" s="302"/>
      <c r="I588" s="302"/>
      <c r="J588" s="289"/>
      <c r="L588" s="183"/>
      <c r="O588" s="3"/>
      <c r="P588" s="3"/>
    </row>
    <row r="589" spans="1:16" s="69" customFormat="1">
      <c r="A589" s="301"/>
      <c r="B589" s="316"/>
      <c r="C589" s="317"/>
      <c r="D589" s="302"/>
      <c r="E589" s="302"/>
      <c r="F589" s="289"/>
      <c r="G589" s="289"/>
      <c r="H589" s="302"/>
      <c r="I589" s="302"/>
      <c r="J589" s="289"/>
      <c r="L589" s="183"/>
      <c r="O589" s="3"/>
      <c r="P589" s="3"/>
    </row>
    <row r="590" spans="1:16" s="69" customFormat="1">
      <c r="A590" s="301"/>
      <c r="B590" s="316"/>
      <c r="C590" s="317"/>
      <c r="D590" s="302"/>
      <c r="E590" s="302"/>
      <c r="F590" s="289"/>
      <c r="G590" s="289"/>
      <c r="H590" s="302"/>
      <c r="I590" s="302"/>
      <c r="J590" s="289"/>
      <c r="L590" s="183"/>
      <c r="O590" s="3"/>
      <c r="P590" s="3"/>
    </row>
    <row r="591" spans="1:16" s="69" customFormat="1">
      <c r="A591" s="301"/>
      <c r="B591" s="316"/>
      <c r="C591" s="317"/>
      <c r="D591" s="302"/>
      <c r="E591" s="302"/>
      <c r="F591" s="289"/>
      <c r="G591" s="289"/>
      <c r="H591" s="302"/>
      <c r="I591" s="302"/>
      <c r="J591" s="289"/>
      <c r="L591" s="183"/>
      <c r="O591" s="3"/>
      <c r="P591" s="3"/>
    </row>
    <row r="592" spans="1:16" s="69" customFormat="1">
      <c r="A592" s="301"/>
      <c r="B592" s="316"/>
      <c r="C592" s="317"/>
      <c r="D592" s="302"/>
      <c r="E592" s="302"/>
      <c r="F592" s="289"/>
      <c r="G592" s="289"/>
      <c r="H592" s="302"/>
      <c r="I592" s="302"/>
      <c r="J592" s="289"/>
      <c r="L592" s="183"/>
      <c r="O592" s="3"/>
      <c r="P592" s="3"/>
    </row>
    <row r="593" spans="1:16" s="69" customFormat="1">
      <c r="A593" s="301"/>
      <c r="B593" s="316"/>
      <c r="C593" s="317"/>
      <c r="D593" s="302"/>
      <c r="E593" s="302"/>
      <c r="F593" s="289"/>
      <c r="G593" s="289"/>
      <c r="H593" s="302"/>
      <c r="I593" s="302"/>
      <c r="J593" s="289"/>
      <c r="L593" s="183"/>
      <c r="O593" s="3"/>
      <c r="P593" s="3"/>
    </row>
    <row r="594" spans="1:16" s="69" customFormat="1">
      <c r="A594" s="301"/>
      <c r="B594" s="316"/>
      <c r="C594" s="317"/>
      <c r="D594" s="302"/>
      <c r="E594" s="302"/>
      <c r="F594" s="289"/>
      <c r="G594" s="289"/>
      <c r="H594" s="302"/>
      <c r="I594" s="302"/>
      <c r="J594" s="289"/>
      <c r="L594" s="183"/>
      <c r="O594" s="3"/>
      <c r="P594" s="3"/>
    </row>
    <row r="595" spans="1:16" s="69" customFormat="1">
      <c r="A595" s="301"/>
      <c r="B595" s="316"/>
      <c r="C595" s="317"/>
      <c r="D595" s="302"/>
      <c r="E595" s="302"/>
      <c r="F595" s="289"/>
      <c r="G595" s="289"/>
      <c r="H595" s="302"/>
      <c r="I595" s="302"/>
      <c r="J595" s="289"/>
      <c r="L595" s="183"/>
      <c r="O595" s="3"/>
      <c r="P595" s="3"/>
    </row>
    <row r="596" spans="1:16" s="69" customFormat="1">
      <c r="A596" s="301"/>
      <c r="B596" s="316"/>
      <c r="C596" s="317"/>
      <c r="D596" s="302"/>
      <c r="E596" s="302"/>
      <c r="F596" s="289"/>
      <c r="G596" s="289"/>
      <c r="H596" s="302"/>
      <c r="I596" s="302"/>
      <c r="J596" s="289"/>
      <c r="L596" s="183"/>
      <c r="O596" s="3"/>
      <c r="P596" s="3"/>
    </row>
    <row r="597" spans="1:16" s="69" customFormat="1">
      <c r="A597" s="301"/>
      <c r="B597" s="316"/>
      <c r="C597" s="317"/>
      <c r="D597" s="302"/>
      <c r="E597" s="302"/>
      <c r="F597" s="289"/>
      <c r="G597" s="289"/>
      <c r="H597" s="302"/>
      <c r="I597" s="302"/>
      <c r="J597" s="289"/>
      <c r="L597" s="183"/>
      <c r="O597" s="3"/>
      <c r="P597" s="3"/>
    </row>
    <row r="598" spans="1:16" s="69" customFormat="1">
      <c r="A598" s="301"/>
      <c r="B598" s="316"/>
      <c r="C598" s="317"/>
      <c r="D598" s="302"/>
      <c r="E598" s="302"/>
      <c r="F598" s="289"/>
      <c r="G598" s="289"/>
      <c r="H598" s="302"/>
      <c r="I598" s="302"/>
      <c r="J598" s="289"/>
      <c r="L598" s="183"/>
      <c r="O598" s="3"/>
      <c r="P598" s="3"/>
    </row>
    <row r="599" spans="1:16" s="69" customFormat="1">
      <c r="A599" s="301"/>
      <c r="B599" s="316"/>
      <c r="C599" s="317"/>
      <c r="D599" s="302"/>
      <c r="E599" s="302"/>
      <c r="F599" s="289"/>
      <c r="G599" s="289"/>
      <c r="H599" s="302"/>
      <c r="I599" s="302"/>
      <c r="J599" s="289"/>
      <c r="L599" s="183"/>
      <c r="O599" s="3"/>
      <c r="P599" s="3"/>
    </row>
    <row r="600" spans="1:16" s="69" customFormat="1">
      <c r="A600" s="301"/>
      <c r="B600" s="316"/>
      <c r="C600" s="317"/>
      <c r="D600" s="302"/>
      <c r="E600" s="302"/>
      <c r="F600" s="289"/>
      <c r="G600" s="289"/>
      <c r="H600" s="302"/>
      <c r="I600" s="302"/>
      <c r="J600" s="289"/>
      <c r="L600" s="183"/>
      <c r="O600" s="3"/>
      <c r="P600" s="3"/>
    </row>
    <row r="601" spans="1:16" s="69" customFormat="1">
      <c r="A601" s="301"/>
      <c r="B601" s="316"/>
      <c r="C601" s="317"/>
      <c r="D601" s="302"/>
      <c r="E601" s="302"/>
      <c r="F601" s="289"/>
      <c r="G601" s="289"/>
      <c r="H601" s="302"/>
      <c r="I601" s="302"/>
      <c r="J601" s="289"/>
      <c r="L601" s="183"/>
      <c r="O601" s="3"/>
      <c r="P601" s="3"/>
    </row>
    <row r="602" spans="1:16" s="69" customFormat="1">
      <c r="A602" s="301"/>
      <c r="B602" s="316"/>
      <c r="C602" s="317"/>
      <c r="D602" s="302"/>
      <c r="E602" s="302"/>
      <c r="F602" s="289"/>
      <c r="G602" s="289"/>
      <c r="H602" s="302"/>
      <c r="I602" s="302"/>
      <c r="J602" s="289"/>
      <c r="L602" s="183"/>
      <c r="O602" s="3"/>
      <c r="P602" s="3"/>
    </row>
    <row r="603" spans="1:16" s="69" customFormat="1">
      <c r="A603" s="301"/>
      <c r="B603" s="316"/>
      <c r="C603" s="317"/>
      <c r="D603" s="302"/>
      <c r="E603" s="302"/>
      <c r="F603" s="289"/>
      <c r="G603" s="289"/>
      <c r="H603" s="302"/>
      <c r="I603" s="302"/>
      <c r="J603" s="289"/>
      <c r="L603" s="183"/>
      <c r="O603" s="3"/>
      <c r="P603" s="3"/>
    </row>
    <row r="604" spans="1:16" s="69" customFormat="1">
      <c r="A604" s="301"/>
      <c r="B604" s="316"/>
      <c r="C604" s="317"/>
      <c r="D604" s="302"/>
      <c r="E604" s="302"/>
      <c r="F604" s="289"/>
      <c r="G604" s="289"/>
      <c r="H604" s="302"/>
      <c r="I604" s="302"/>
      <c r="J604" s="289"/>
      <c r="L604" s="183"/>
      <c r="O604" s="3"/>
      <c r="P604" s="3"/>
    </row>
    <row r="605" spans="1:16" s="69" customFormat="1">
      <c r="A605" s="301"/>
      <c r="B605" s="316"/>
      <c r="C605" s="317"/>
      <c r="D605" s="302"/>
      <c r="E605" s="302"/>
      <c r="F605" s="289"/>
      <c r="G605" s="289"/>
      <c r="H605" s="302"/>
      <c r="I605" s="302"/>
      <c r="J605" s="289"/>
      <c r="L605" s="183"/>
      <c r="O605" s="3"/>
      <c r="P605" s="3"/>
    </row>
    <row r="606" spans="1:16" s="69" customFormat="1">
      <c r="A606" s="301"/>
      <c r="B606" s="316"/>
      <c r="C606" s="317"/>
      <c r="D606" s="302"/>
      <c r="E606" s="302"/>
      <c r="F606" s="289"/>
      <c r="G606" s="289"/>
      <c r="H606" s="302"/>
      <c r="I606" s="302"/>
      <c r="J606" s="289"/>
      <c r="L606" s="183"/>
      <c r="O606" s="3"/>
      <c r="P606" s="3"/>
    </row>
    <row r="607" spans="1:16" s="69" customFormat="1">
      <c r="A607" s="301"/>
      <c r="B607" s="316"/>
      <c r="C607" s="317"/>
      <c r="D607" s="302"/>
      <c r="E607" s="302"/>
      <c r="F607" s="289"/>
      <c r="G607" s="289"/>
      <c r="H607" s="302"/>
      <c r="I607" s="302"/>
      <c r="J607" s="289"/>
      <c r="L607" s="183"/>
      <c r="O607" s="3"/>
      <c r="P607" s="3"/>
    </row>
    <row r="608" spans="1:16" s="69" customFormat="1">
      <c r="A608" s="301"/>
      <c r="B608" s="316"/>
      <c r="C608" s="317"/>
      <c r="D608" s="302"/>
      <c r="E608" s="302"/>
      <c r="F608" s="289"/>
      <c r="G608" s="289"/>
      <c r="H608" s="302"/>
      <c r="I608" s="302"/>
      <c r="J608" s="289"/>
      <c r="L608" s="183"/>
      <c r="O608" s="3"/>
      <c r="P608" s="3"/>
    </row>
    <row r="609" spans="1:16" s="69" customFormat="1">
      <c r="A609" s="301"/>
      <c r="B609" s="316"/>
      <c r="C609" s="317"/>
      <c r="D609" s="302"/>
      <c r="E609" s="302"/>
      <c r="F609" s="289"/>
      <c r="G609" s="289"/>
      <c r="H609" s="302"/>
      <c r="I609" s="302"/>
      <c r="J609" s="289"/>
      <c r="L609" s="183"/>
      <c r="O609" s="3"/>
      <c r="P609" s="3"/>
    </row>
    <row r="610" spans="1:16" s="69" customFormat="1">
      <c r="A610" s="301"/>
      <c r="B610" s="317"/>
      <c r="C610" s="317"/>
      <c r="D610" s="302"/>
      <c r="E610" s="302"/>
      <c r="F610" s="289"/>
      <c r="G610" s="289"/>
      <c r="H610" s="302"/>
      <c r="I610" s="302"/>
      <c r="J610" s="289"/>
      <c r="L610" s="183"/>
      <c r="O610" s="3"/>
      <c r="P610" s="3"/>
    </row>
    <row r="611" spans="1:16" s="69" customFormat="1">
      <c r="A611" s="301"/>
      <c r="B611" s="317"/>
      <c r="C611" s="317"/>
      <c r="D611" s="302"/>
      <c r="E611" s="302"/>
      <c r="F611" s="289"/>
      <c r="G611" s="289"/>
      <c r="H611" s="302"/>
      <c r="I611" s="302"/>
      <c r="J611" s="289"/>
      <c r="L611" s="183"/>
      <c r="O611" s="3"/>
      <c r="P611" s="3"/>
    </row>
    <row r="612" spans="1:16" s="69" customFormat="1">
      <c r="A612" s="301"/>
      <c r="B612" s="317"/>
      <c r="C612" s="317"/>
      <c r="D612" s="302"/>
      <c r="E612" s="302"/>
      <c r="F612" s="289"/>
      <c r="G612" s="289"/>
      <c r="H612" s="302"/>
      <c r="I612" s="302"/>
      <c r="J612" s="289"/>
      <c r="L612" s="183"/>
      <c r="O612" s="3"/>
      <c r="P612" s="3"/>
    </row>
    <row r="613" spans="1:16" s="69" customFormat="1">
      <c r="A613" s="301"/>
      <c r="B613" s="317"/>
      <c r="C613" s="317"/>
      <c r="D613" s="302"/>
      <c r="E613" s="302"/>
      <c r="F613" s="289"/>
      <c r="G613" s="289"/>
      <c r="H613" s="302"/>
      <c r="I613" s="302"/>
      <c r="J613" s="289"/>
      <c r="L613" s="183"/>
      <c r="O613" s="3"/>
      <c r="P613" s="3"/>
    </row>
    <row r="614" spans="1:16" s="69" customFormat="1">
      <c r="A614" s="301"/>
      <c r="B614" s="317"/>
      <c r="C614" s="317"/>
      <c r="D614" s="302"/>
      <c r="E614" s="302"/>
      <c r="F614" s="289"/>
      <c r="G614" s="289"/>
      <c r="H614" s="302"/>
      <c r="I614" s="302"/>
      <c r="J614" s="289"/>
      <c r="L614" s="183"/>
      <c r="O614" s="3"/>
      <c r="P614" s="3"/>
    </row>
    <row r="615" spans="1:16" s="69" customFormat="1">
      <c r="A615" s="301"/>
      <c r="B615" s="317"/>
      <c r="C615" s="317"/>
      <c r="D615" s="302"/>
      <c r="E615" s="302"/>
      <c r="F615" s="289"/>
      <c r="G615" s="289"/>
      <c r="H615" s="302"/>
      <c r="I615" s="302"/>
      <c r="J615" s="289"/>
      <c r="L615" s="183"/>
      <c r="O615" s="3"/>
      <c r="P615" s="3"/>
    </row>
    <row r="616" spans="1:16" s="69" customFormat="1">
      <c r="A616" s="301"/>
      <c r="B616" s="317"/>
      <c r="C616" s="317"/>
      <c r="D616" s="302"/>
      <c r="E616" s="302"/>
      <c r="F616" s="289"/>
      <c r="G616" s="289"/>
      <c r="H616" s="302"/>
      <c r="I616" s="302"/>
      <c r="J616" s="289"/>
      <c r="L616" s="183"/>
      <c r="O616" s="3"/>
      <c r="P616" s="3"/>
    </row>
    <row r="617" spans="1:16" s="69" customFormat="1">
      <c r="A617" s="301"/>
      <c r="B617" s="317"/>
      <c r="C617" s="317"/>
      <c r="D617" s="302"/>
      <c r="E617" s="302"/>
      <c r="F617" s="289"/>
      <c r="G617" s="289"/>
      <c r="H617" s="302"/>
      <c r="I617" s="302"/>
      <c r="J617" s="289"/>
      <c r="L617" s="183"/>
      <c r="O617" s="3"/>
      <c r="P617" s="3"/>
    </row>
    <row r="618" spans="1:16" s="69" customFormat="1">
      <c r="A618" s="301"/>
      <c r="B618" s="317"/>
      <c r="C618" s="317"/>
      <c r="D618" s="302"/>
      <c r="E618" s="302"/>
      <c r="F618" s="289"/>
      <c r="G618" s="289"/>
      <c r="H618" s="302"/>
      <c r="I618" s="302"/>
      <c r="J618" s="289"/>
      <c r="L618" s="183"/>
      <c r="O618" s="3"/>
      <c r="P618" s="3"/>
    </row>
    <row r="619" spans="1:16" s="69" customFormat="1">
      <c r="A619" s="301"/>
      <c r="B619" s="317"/>
      <c r="C619" s="317"/>
      <c r="D619" s="302"/>
      <c r="E619" s="302"/>
      <c r="F619" s="289"/>
      <c r="G619" s="289"/>
      <c r="H619" s="302"/>
      <c r="I619" s="302"/>
      <c r="J619" s="289"/>
      <c r="L619" s="183"/>
      <c r="O619" s="3"/>
      <c r="P619" s="3"/>
    </row>
    <row r="620" spans="1:16" s="69" customFormat="1">
      <c r="A620" s="301"/>
      <c r="B620" s="317"/>
      <c r="C620" s="317"/>
      <c r="D620" s="302"/>
      <c r="E620" s="302"/>
      <c r="F620" s="289"/>
      <c r="G620" s="289"/>
      <c r="H620" s="302"/>
      <c r="I620" s="302"/>
      <c r="J620" s="289"/>
      <c r="L620" s="183"/>
      <c r="O620" s="3"/>
      <c r="P620" s="3"/>
    </row>
    <row r="621" spans="1:16" s="69" customFormat="1">
      <c r="A621" s="301"/>
      <c r="B621" s="317"/>
      <c r="C621" s="317"/>
      <c r="D621" s="302"/>
      <c r="E621" s="302"/>
      <c r="F621" s="289"/>
      <c r="G621" s="289"/>
      <c r="H621" s="302"/>
      <c r="I621" s="302"/>
      <c r="J621" s="289"/>
      <c r="L621" s="183"/>
      <c r="O621" s="3"/>
      <c r="P621" s="3"/>
    </row>
    <row r="622" spans="1:16" s="69" customFormat="1">
      <c r="A622" s="301"/>
      <c r="B622" s="317"/>
      <c r="C622" s="317"/>
      <c r="D622" s="302"/>
      <c r="E622" s="302"/>
      <c r="F622" s="289"/>
      <c r="G622" s="289"/>
      <c r="H622" s="302"/>
      <c r="I622" s="302"/>
      <c r="J622" s="289"/>
      <c r="L622" s="183"/>
      <c r="O622" s="3"/>
      <c r="P622" s="3"/>
    </row>
    <row r="623" spans="1:16" s="69" customFormat="1">
      <c r="A623" s="301"/>
      <c r="B623" s="317"/>
      <c r="C623" s="317"/>
      <c r="D623" s="302"/>
      <c r="E623" s="302"/>
      <c r="F623" s="289"/>
      <c r="G623" s="289"/>
      <c r="H623" s="302"/>
      <c r="I623" s="302"/>
      <c r="J623" s="289"/>
      <c r="L623" s="183"/>
      <c r="O623" s="3"/>
      <c r="P623" s="3"/>
    </row>
    <row r="624" spans="1:16" s="69" customFormat="1">
      <c r="A624" s="301"/>
      <c r="B624" s="317"/>
      <c r="C624" s="317"/>
      <c r="D624" s="302"/>
      <c r="E624" s="302"/>
      <c r="F624" s="289"/>
      <c r="G624" s="289"/>
      <c r="H624" s="302"/>
      <c r="I624" s="302"/>
      <c r="J624" s="289"/>
      <c r="L624" s="183"/>
      <c r="O624" s="3"/>
      <c r="P624" s="3"/>
    </row>
    <row r="625" spans="1:16" s="69" customFormat="1">
      <c r="A625" s="301"/>
      <c r="B625" s="317"/>
      <c r="C625" s="317"/>
      <c r="D625" s="302"/>
      <c r="E625" s="302"/>
      <c r="F625" s="289"/>
      <c r="G625" s="289"/>
      <c r="H625" s="302"/>
      <c r="I625" s="302"/>
      <c r="J625" s="289"/>
      <c r="L625" s="183"/>
      <c r="O625" s="3"/>
      <c r="P625" s="3"/>
    </row>
    <row r="626" spans="1:16" s="69" customFormat="1">
      <c r="A626" s="301"/>
      <c r="B626" s="317"/>
      <c r="C626" s="317"/>
      <c r="D626" s="302"/>
      <c r="E626" s="302"/>
      <c r="F626" s="289"/>
      <c r="G626" s="289"/>
      <c r="H626" s="302"/>
      <c r="I626" s="302"/>
      <c r="J626" s="289"/>
      <c r="L626" s="183"/>
      <c r="O626" s="3"/>
      <c r="P626" s="3"/>
    </row>
    <row r="627" spans="1:16" s="69" customFormat="1">
      <c r="A627" s="301"/>
      <c r="B627" s="317"/>
      <c r="C627" s="317"/>
      <c r="D627" s="302"/>
      <c r="E627" s="302"/>
      <c r="F627" s="289"/>
      <c r="G627" s="289"/>
      <c r="H627" s="302"/>
      <c r="I627" s="302"/>
      <c r="J627" s="289"/>
      <c r="L627" s="183"/>
      <c r="O627" s="3"/>
      <c r="P627" s="3"/>
    </row>
    <row r="628" spans="1:16" s="69" customFormat="1">
      <c r="A628" s="301"/>
      <c r="B628" s="317"/>
      <c r="C628" s="317"/>
      <c r="D628" s="302"/>
      <c r="E628" s="302"/>
      <c r="F628" s="289"/>
      <c r="G628" s="289"/>
      <c r="H628" s="302"/>
      <c r="I628" s="302"/>
      <c r="J628" s="289"/>
      <c r="L628" s="183"/>
      <c r="O628" s="3"/>
      <c r="P628" s="3"/>
    </row>
    <row r="629" spans="1:16" s="69" customFormat="1">
      <c r="A629" s="301"/>
      <c r="B629" s="317"/>
      <c r="C629" s="317"/>
      <c r="D629" s="302"/>
      <c r="E629" s="302"/>
      <c r="F629" s="289"/>
      <c r="G629" s="289"/>
      <c r="H629" s="302"/>
      <c r="I629" s="302"/>
      <c r="J629" s="289"/>
      <c r="L629" s="183"/>
      <c r="O629" s="3"/>
      <c r="P629" s="3"/>
    </row>
    <row r="630" spans="1:16" s="69" customFormat="1">
      <c r="A630" s="301"/>
      <c r="B630" s="317"/>
      <c r="C630" s="317"/>
      <c r="D630" s="302"/>
      <c r="E630" s="302"/>
      <c r="F630" s="289"/>
      <c r="G630" s="289"/>
      <c r="H630" s="302"/>
      <c r="I630" s="302"/>
      <c r="J630" s="289"/>
      <c r="L630" s="183"/>
      <c r="O630" s="3"/>
      <c r="P630" s="3"/>
    </row>
    <row r="631" spans="1:16" s="69" customFormat="1">
      <c r="A631" s="301"/>
      <c r="B631" s="317"/>
      <c r="C631" s="317"/>
      <c r="D631" s="302"/>
      <c r="E631" s="302"/>
      <c r="F631" s="289"/>
      <c r="G631" s="289"/>
      <c r="H631" s="302"/>
      <c r="I631" s="302"/>
      <c r="J631" s="289"/>
      <c r="L631" s="183"/>
      <c r="O631" s="3"/>
      <c r="P631" s="3"/>
    </row>
    <row r="632" spans="1:16" s="69" customFormat="1">
      <c r="A632" s="301"/>
      <c r="B632" s="317"/>
      <c r="C632" s="317"/>
      <c r="D632" s="302"/>
      <c r="E632" s="302"/>
      <c r="F632" s="289"/>
      <c r="G632" s="289"/>
      <c r="H632" s="302"/>
      <c r="I632" s="302"/>
      <c r="J632" s="289"/>
      <c r="L632" s="183"/>
      <c r="O632" s="3"/>
      <c r="P632" s="3"/>
    </row>
    <row r="633" spans="1:16" s="69" customFormat="1">
      <c r="A633" s="301"/>
      <c r="B633" s="317"/>
      <c r="C633" s="317"/>
      <c r="D633" s="302"/>
      <c r="E633" s="302"/>
      <c r="F633" s="289"/>
      <c r="G633" s="289"/>
      <c r="H633" s="302"/>
      <c r="I633" s="302"/>
      <c r="J633" s="289"/>
      <c r="L633" s="183"/>
      <c r="O633" s="3"/>
      <c r="P633" s="3"/>
    </row>
    <row r="634" spans="1:16" s="69" customFormat="1">
      <c r="A634" s="301"/>
      <c r="B634" s="317"/>
      <c r="C634" s="317"/>
      <c r="D634" s="302"/>
      <c r="E634" s="302"/>
      <c r="F634" s="289"/>
      <c r="G634" s="289"/>
      <c r="H634" s="302"/>
      <c r="I634" s="302"/>
      <c r="J634" s="289"/>
      <c r="L634" s="183"/>
      <c r="O634" s="3"/>
      <c r="P634" s="3"/>
    </row>
    <row r="635" spans="1:16" s="69" customFormat="1">
      <c r="A635" s="301"/>
      <c r="B635" s="317"/>
      <c r="C635" s="317"/>
      <c r="D635" s="302"/>
      <c r="E635" s="302"/>
      <c r="F635" s="289"/>
      <c r="G635" s="289"/>
      <c r="H635" s="302"/>
      <c r="I635" s="302"/>
      <c r="J635" s="289"/>
      <c r="L635" s="183"/>
      <c r="O635" s="3"/>
      <c r="P635" s="3"/>
    </row>
    <row r="636" spans="1:16" s="69" customFormat="1">
      <c r="A636" s="301"/>
      <c r="B636" s="317"/>
      <c r="C636" s="317"/>
      <c r="D636" s="302"/>
      <c r="E636" s="302"/>
      <c r="F636" s="289"/>
      <c r="G636" s="289"/>
      <c r="H636" s="302"/>
      <c r="I636" s="302"/>
      <c r="J636" s="289"/>
      <c r="L636" s="183"/>
      <c r="O636" s="3"/>
      <c r="P636" s="3"/>
    </row>
    <row r="637" spans="1:16" s="69" customFormat="1">
      <c r="A637" s="301"/>
      <c r="B637" s="317"/>
      <c r="C637" s="317"/>
      <c r="D637" s="302"/>
      <c r="E637" s="302"/>
      <c r="F637" s="289"/>
      <c r="G637" s="289"/>
      <c r="H637" s="302"/>
      <c r="I637" s="302"/>
      <c r="J637" s="289"/>
      <c r="L637" s="183"/>
      <c r="O637" s="3"/>
      <c r="P637" s="3"/>
    </row>
    <row r="638" spans="1:16" s="69" customFormat="1">
      <c r="A638" s="301"/>
      <c r="B638" s="317"/>
      <c r="C638" s="317"/>
      <c r="D638" s="302"/>
      <c r="E638" s="302"/>
      <c r="F638" s="289"/>
      <c r="G638" s="289"/>
      <c r="H638" s="302"/>
      <c r="I638" s="302"/>
      <c r="J638" s="289"/>
      <c r="L638" s="183"/>
      <c r="O638" s="3"/>
      <c r="P638" s="3"/>
    </row>
    <row r="639" spans="1:16" s="69" customFormat="1">
      <c r="A639" s="301"/>
      <c r="B639" s="317"/>
      <c r="C639" s="317"/>
      <c r="D639" s="302"/>
      <c r="E639" s="302"/>
      <c r="F639" s="289"/>
      <c r="G639" s="289"/>
      <c r="H639" s="302"/>
      <c r="I639" s="302"/>
      <c r="J639" s="289"/>
      <c r="L639" s="183"/>
      <c r="O639" s="3"/>
      <c r="P639" s="3"/>
    </row>
    <row r="640" spans="1:16" s="69" customFormat="1">
      <c r="A640" s="301"/>
      <c r="B640" s="317"/>
      <c r="C640" s="317"/>
      <c r="D640" s="302"/>
      <c r="E640" s="302"/>
      <c r="F640" s="289"/>
      <c r="G640" s="289"/>
      <c r="H640" s="302"/>
      <c r="I640" s="302"/>
      <c r="J640" s="289"/>
      <c r="L640" s="183"/>
      <c r="O640" s="3"/>
      <c r="P640" s="3"/>
    </row>
    <row r="641" spans="1:16" s="69" customFormat="1">
      <c r="A641" s="301"/>
      <c r="B641" s="317"/>
      <c r="C641" s="317"/>
      <c r="D641" s="302"/>
      <c r="E641" s="302"/>
      <c r="F641" s="289"/>
      <c r="G641" s="289"/>
      <c r="H641" s="302"/>
      <c r="I641" s="302"/>
      <c r="J641" s="289"/>
      <c r="L641" s="183"/>
      <c r="O641" s="3"/>
      <c r="P641" s="3"/>
    </row>
    <row r="642" spans="1:16" s="69" customFormat="1">
      <c r="A642" s="301"/>
      <c r="B642" s="317"/>
      <c r="C642" s="317"/>
      <c r="D642" s="302"/>
      <c r="E642" s="302"/>
      <c r="F642" s="289"/>
      <c r="G642" s="289"/>
      <c r="H642" s="302"/>
      <c r="I642" s="302"/>
      <c r="J642" s="289"/>
      <c r="L642" s="183"/>
      <c r="O642" s="3"/>
      <c r="P642" s="3"/>
    </row>
    <row r="643" spans="1:16" s="69" customFormat="1">
      <c r="A643" s="301"/>
      <c r="B643" s="317"/>
      <c r="C643" s="317"/>
      <c r="D643" s="302"/>
      <c r="E643" s="302"/>
      <c r="F643" s="289"/>
      <c r="G643" s="289"/>
      <c r="H643" s="302"/>
      <c r="I643" s="302"/>
      <c r="J643" s="289"/>
      <c r="L643" s="183"/>
      <c r="O643" s="3"/>
      <c r="P643" s="3"/>
    </row>
    <row r="644" spans="1:16" s="69" customFormat="1">
      <c r="A644" s="301"/>
      <c r="B644" s="317"/>
      <c r="C644" s="317"/>
      <c r="D644" s="302"/>
      <c r="E644" s="302"/>
      <c r="F644" s="289"/>
      <c r="G644" s="289"/>
      <c r="H644" s="302"/>
      <c r="I644" s="302"/>
      <c r="J644" s="289"/>
      <c r="L644" s="183"/>
      <c r="O644" s="3"/>
      <c r="P644" s="3"/>
    </row>
    <row r="645" spans="1:16" s="69" customFormat="1">
      <c r="A645" s="301"/>
      <c r="B645" s="317"/>
      <c r="C645" s="317"/>
      <c r="D645" s="302"/>
      <c r="E645" s="302"/>
      <c r="F645" s="289"/>
      <c r="G645" s="289"/>
      <c r="H645" s="302"/>
      <c r="I645" s="302"/>
      <c r="J645" s="289"/>
      <c r="L645" s="183"/>
      <c r="O645" s="3"/>
      <c r="P645" s="3"/>
    </row>
    <row r="646" spans="1:16" s="69" customFormat="1">
      <c r="A646" s="301"/>
      <c r="B646" s="317"/>
      <c r="C646" s="317"/>
      <c r="D646" s="302"/>
      <c r="E646" s="302"/>
      <c r="F646" s="289"/>
      <c r="G646" s="289"/>
      <c r="H646" s="302"/>
      <c r="I646" s="302"/>
      <c r="J646" s="289"/>
      <c r="L646" s="183"/>
      <c r="O646" s="3"/>
      <c r="P646" s="3"/>
    </row>
    <row r="647" spans="1:16" s="69" customFormat="1">
      <c r="A647" s="301"/>
      <c r="B647" s="317"/>
      <c r="C647" s="317"/>
      <c r="D647" s="302"/>
      <c r="E647" s="302"/>
      <c r="F647" s="289"/>
      <c r="G647" s="289"/>
      <c r="H647" s="302"/>
      <c r="I647" s="302"/>
      <c r="J647" s="289"/>
      <c r="L647" s="183"/>
      <c r="O647" s="3"/>
      <c r="P647" s="3"/>
    </row>
    <row r="648" spans="1:16" s="69" customFormat="1">
      <c r="A648" s="301"/>
      <c r="B648" s="317"/>
      <c r="C648" s="317"/>
      <c r="D648" s="302"/>
      <c r="E648" s="302"/>
      <c r="F648" s="289"/>
      <c r="G648" s="289"/>
      <c r="H648" s="302"/>
      <c r="I648" s="302"/>
      <c r="J648" s="289"/>
      <c r="L648" s="183"/>
      <c r="O648" s="3"/>
      <c r="P648" s="3"/>
    </row>
    <row r="649" spans="1:16" s="69" customFormat="1">
      <c r="A649" s="301"/>
      <c r="B649" s="317"/>
      <c r="C649" s="317"/>
      <c r="D649" s="302"/>
      <c r="E649" s="302"/>
      <c r="F649" s="289"/>
      <c r="G649" s="289"/>
      <c r="H649" s="302"/>
      <c r="I649" s="302"/>
      <c r="J649" s="289"/>
      <c r="L649" s="183"/>
      <c r="O649" s="3"/>
      <c r="P649" s="3"/>
    </row>
    <row r="650" spans="1:16" s="69" customFormat="1">
      <c r="A650" s="301"/>
      <c r="B650" s="317"/>
      <c r="C650" s="317"/>
      <c r="D650" s="302"/>
      <c r="E650" s="302"/>
      <c r="F650" s="289"/>
      <c r="G650" s="289"/>
      <c r="H650" s="302"/>
      <c r="I650" s="302"/>
      <c r="J650" s="289"/>
      <c r="L650" s="183"/>
      <c r="O650" s="3"/>
      <c r="P650" s="3"/>
    </row>
    <row r="651" spans="1:16" s="69" customFormat="1">
      <c r="A651" s="301"/>
      <c r="B651" s="317"/>
      <c r="C651" s="317"/>
      <c r="D651" s="302"/>
      <c r="E651" s="302"/>
      <c r="F651" s="289"/>
      <c r="G651" s="289"/>
      <c r="H651" s="302"/>
      <c r="I651" s="302"/>
      <c r="J651" s="289"/>
      <c r="L651" s="183"/>
      <c r="O651" s="3"/>
      <c r="P651" s="3"/>
    </row>
    <row r="652" spans="1:16" s="69" customFormat="1">
      <c r="A652" s="301"/>
      <c r="B652" s="317"/>
      <c r="C652" s="317"/>
      <c r="D652" s="302"/>
      <c r="E652" s="302"/>
      <c r="F652" s="289"/>
      <c r="G652" s="289"/>
      <c r="H652" s="302"/>
      <c r="I652" s="302"/>
      <c r="J652" s="289"/>
      <c r="L652" s="183"/>
      <c r="O652" s="3"/>
      <c r="P652" s="3"/>
    </row>
    <row r="653" spans="1:16" s="69" customFormat="1">
      <c r="A653" s="301"/>
      <c r="B653" s="317"/>
      <c r="C653" s="317"/>
      <c r="D653" s="302"/>
      <c r="E653" s="302"/>
      <c r="F653" s="289"/>
      <c r="G653" s="289"/>
      <c r="H653" s="302"/>
      <c r="I653" s="302"/>
      <c r="J653" s="289"/>
      <c r="L653" s="183"/>
      <c r="O653" s="3"/>
      <c r="P653" s="3"/>
    </row>
    <row r="654" spans="1:16" s="69" customFormat="1">
      <c r="A654" s="301"/>
      <c r="B654" s="317"/>
      <c r="C654" s="317"/>
      <c r="D654" s="302"/>
      <c r="E654" s="302"/>
      <c r="F654" s="289"/>
      <c r="G654" s="289"/>
      <c r="H654" s="302"/>
      <c r="I654" s="302"/>
      <c r="J654" s="289"/>
      <c r="L654" s="183"/>
      <c r="O654" s="3"/>
      <c r="P654" s="3"/>
    </row>
    <row r="655" spans="1:16" s="69" customFormat="1">
      <c r="A655" s="301"/>
      <c r="B655" s="317"/>
      <c r="C655" s="317"/>
      <c r="D655" s="302"/>
      <c r="E655" s="302"/>
      <c r="F655" s="289"/>
      <c r="G655" s="289"/>
      <c r="H655" s="302"/>
      <c r="I655" s="302"/>
      <c r="J655" s="289"/>
      <c r="L655" s="183"/>
      <c r="O655" s="3"/>
      <c r="P655" s="3"/>
    </row>
    <row r="656" spans="1:16" s="69" customFormat="1">
      <c r="A656" s="301"/>
      <c r="B656" s="317"/>
      <c r="C656" s="317"/>
      <c r="D656" s="302"/>
      <c r="E656" s="302"/>
      <c r="F656" s="289"/>
      <c r="G656" s="289"/>
      <c r="H656" s="302"/>
      <c r="I656" s="302"/>
      <c r="J656" s="289"/>
      <c r="L656" s="183"/>
      <c r="O656" s="3"/>
      <c r="P656" s="3"/>
    </row>
    <row r="657" spans="1:16" s="69" customFormat="1">
      <c r="A657" s="301"/>
      <c r="B657" s="317"/>
      <c r="C657" s="317"/>
      <c r="D657" s="302"/>
      <c r="E657" s="302"/>
      <c r="F657" s="289"/>
      <c r="G657" s="289"/>
      <c r="H657" s="302"/>
      <c r="I657" s="302"/>
      <c r="J657" s="289"/>
      <c r="L657" s="183"/>
      <c r="O657" s="3"/>
      <c r="P657" s="3"/>
    </row>
    <row r="658" spans="1:16" s="69" customFormat="1">
      <c r="A658" s="301"/>
      <c r="B658" s="317"/>
      <c r="C658" s="317"/>
      <c r="D658" s="302"/>
      <c r="E658" s="302"/>
      <c r="F658" s="289"/>
      <c r="G658" s="289"/>
      <c r="H658" s="302"/>
      <c r="I658" s="302"/>
      <c r="J658" s="289"/>
      <c r="L658" s="183"/>
      <c r="O658" s="3"/>
      <c r="P658" s="3"/>
    </row>
    <row r="659" spans="1:16" s="69" customFormat="1">
      <c r="A659" s="301"/>
      <c r="B659" s="317"/>
      <c r="C659" s="317"/>
      <c r="D659" s="302"/>
      <c r="E659" s="302"/>
      <c r="F659" s="289"/>
      <c r="G659" s="289"/>
      <c r="H659" s="302"/>
      <c r="I659" s="302"/>
      <c r="J659" s="289"/>
      <c r="L659" s="183"/>
      <c r="O659" s="3"/>
      <c r="P659" s="3"/>
    </row>
    <row r="660" spans="1:16" s="69" customFormat="1">
      <c r="A660" s="301"/>
      <c r="B660" s="317"/>
      <c r="C660" s="317"/>
      <c r="D660" s="302"/>
      <c r="E660" s="302"/>
      <c r="F660" s="289"/>
      <c r="G660" s="289"/>
      <c r="H660" s="302"/>
      <c r="I660" s="302"/>
      <c r="J660" s="289"/>
      <c r="L660" s="183"/>
      <c r="O660" s="3"/>
      <c r="P660" s="3"/>
    </row>
    <row r="661" spans="1:16" s="69" customFormat="1">
      <c r="A661" s="301"/>
      <c r="B661" s="317"/>
      <c r="C661" s="317"/>
      <c r="D661" s="302"/>
      <c r="E661" s="302"/>
      <c r="F661" s="289"/>
      <c r="G661" s="289"/>
      <c r="H661" s="302"/>
      <c r="I661" s="302"/>
      <c r="J661" s="289"/>
      <c r="L661" s="183"/>
      <c r="O661" s="3"/>
      <c r="P661" s="3"/>
    </row>
    <row r="662" spans="1:16" s="69" customFormat="1">
      <c r="A662" s="301"/>
      <c r="B662" s="317"/>
      <c r="C662" s="317"/>
      <c r="D662" s="302"/>
      <c r="E662" s="302"/>
      <c r="F662" s="289"/>
      <c r="G662" s="289"/>
      <c r="H662" s="302"/>
      <c r="I662" s="302"/>
      <c r="J662" s="289"/>
      <c r="L662" s="183"/>
      <c r="O662" s="3"/>
      <c r="P662" s="3"/>
    </row>
    <row r="663" spans="1:16" s="69" customFormat="1">
      <c r="A663" s="301"/>
      <c r="B663" s="317"/>
      <c r="C663" s="317"/>
      <c r="D663" s="302"/>
      <c r="E663" s="302"/>
      <c r="F663" s="289"/>
      <c r="G663" s="289"/>
      <c r="H663" s="302"/>
      <c r="I663" s="302"/>
      <c r="J663" s="289"/>
      <c r="L663" s="183"/>
      <c r="O663" s="3"/>
      <c r="P663" s="3"/>
    </row>
    <row r="664" spans="1:16" s="69" customFormat="1">
      <c r="A664" s="301"/>
      <c r="B664" s="317"/>
      <c r="C664" s="317"/>
      <c r="D664" s="302"/>
      <c r="E664" s="302"/>
      <c r="F664" s="289"/>
      <c r="G664" s="289"/>
      <c r="H664" s="302"/>
      <c r="I664" s="302"/>
      <c r="J664" s="289"/>
      <c r="L664" s="183"/>
      <c r="O664" s="3"/>
      <c r="P664" s="3"/>
    </row>
    <row r="665" spans="1:16" s="69" customFormat="1">
      <c r="A665" s="301"/>
      <c r="B665" s="317"/>
      <c r="C665" s="317"/>
      <c r="D665" s="302"/>
      <c r="E665" s="302"/>
      <c r="F665" s="289"/>
      <c r="G665" s="289"/>
      <c r="H665" s="302"/>
      <c r="I665" s="302"/>
      <c r="J665" s="289"/>
      <c r="L665" s="183"/>
      <c r="O665" s="3"/>
      <c r="P665" s="3"/>
    </row>
    <row r="666" spans="1:16" s="69" customFormat="1">
      <c r="A666" s="301"/>
      <c r="B666" s="317"/>
      <c r="C666" s="317"/>
      <c r="D666" s="302"/>
      <c r="E666" s="302"/>
      <c r="F666" s="289"/>
      <c r="G666" s="289"/>
      <c r="H666" s="302"/>
      <c r="I666" s="302"/>
      <c r="J666" s="289"/>
      <c r="L666" s="183"/>
      <c r="O666" s="3"/>
      <c r="P666" s="3"/>
    </row>
    <row r="667" spans="1:16" s="69" customFormat="1">
      <c r="A667" s="301"/>
      <c r="B667" s="317"/>
      <c r="C667" s="317"/>
      <c r="D667" s="302"/>
      <c r="E667" s="302"/>
      <c r="F667" s="289"/>
      <c r="G667" s="289"/>
      <c r="H667" s="302"/>
      <c r="I667" s="302"/>
      <c r="J667" s="289"/>
      <c r="L667" s="183"/>
      <c r="O667" s="3"/>
      <c r="P667" s="3"/>
    </row>
    <row r="668" spans="1:16" s="69" customFormat="1">
      <c r="A668" s="301"/>
      <c r="B668" s="317"/>
      <c r="C668" s="317"/>
      <c r="D668" s="302"/>
      <c r="E668" s="302"/>
      <c r="F668" s="289"/>
      <c r="G668" s="289"/>
      <c r="H668" s="302"/>
      <c r="I668" s="302"/>
      <c r="J668" s="289"/>
      <c r="L668" s="183"/>
      <c r="O668" s="3"/>
      <c r="P668" s="3"/>
    </row>
    <row r="669" spans="1:16" s="69" customFormat="1">
      <c r="A669" s="301"/>
      <c r="B669" s="317"/>
      <c r="C669" s="317"/>
      <c r="D669" s="302"/>
      <c r="E669" s="302"/>
      <c r="F669" s="289"/>
      <c r="G669" s="289"/>
      <c r="H669" s="302"/>
      <c r="I669" s="302"/>
      <c r="J669" s="289"/>
      <c r="L669" s="183"/>
      <c r="O669" s="3"/>
      <c r="P669" s="3"/>
    </row>
    <row r="670" spans="1:16" s="69" customFormat="1">
      <c r="A670" s="301"/>
      <c r="B670" s="317"/>
      <c r="C670" s="317"/>
      <c r="D670" s="302"/>
      <c r="E670" s="302"/>
      <c r="F670" s="289"/>
      <c r="G670" s="289"/>
      <c r="H670" s="302"/>
      <c r="I670" s="302"/>
      <c r="J670" s="289"/>
      <c r="L670" s="183"/>
      <c r="O670" s="3"/>
      <c r="P670" s="3"/>
    </row>
    <row r="671" spans="1:16" s="69" customFormat="1">
      <c r="A671" s="301"/>
      <c r="B671" s="317"/>
      <c r="C671" s="317"/>
      <c r="D671" s="302"/>
      <c r="E671" s="302"/>
      <c r="F671" s="289"/>
      <c r="G671" s="289"/>
      <c r="H671" s="302"/>
      <c r="I671" s="302"/>
      <c r="J671" s="289"/>
      <c r="L671" s="183"/>
      <c r="O671" s="3"/>
      <c r="P671" s="3"/>
    </row>
    <row r="672" spans="1:16" s="69" customFormat="1">
      <c r="A672" s="301"/>
      <c r="B672" s="317"/>
      <c r="C672" s="317"/>
      <c r="D672" s="302"/>
      <c r="E672" s="302"/>
      <c r="F672" s="289"/>
      <c r="G672" s="289"/>
      <c r="H672" s="302"/>
      <c r="I672" s="302"/>
      <c r="J672" s="289"/>
      <c r="L672" s="183"/>
      <c r="O672" s="3"/>
      <c r="P672" s="3"/>
    </row>
    <row r="673" spans="1:16" s="69" customFormat="1">
      <c r="A673" s="301"/>
      <c r="B673" s="317"/>
      <c r="C673" s="317"/>
      <c r="D673" s="302"/>
      <c r="E673" s="302"/>
      <c r="F673" s="289"/>
      <c r="G673" s="289"/>
      <c r="H673" s="302"/>
      <c r="I673" s="302"/>
      <c r="J673" s="289"/>
      <c r="L673" s="183"/>
      <c r="O673" s="3"/>
      <c r="P673" s="3"/>
    </row>
    <row r="674" spans="1:16" s="69" customFormat="1">
      <c r="A674" s="301"/>
      <c r="B674" s="317"/>
      <c r="C674" s="317"/>
      <c r="D674" s="302"/>
      <c r="E674" s="302"/>
      <c r="F674" s="289"/>
      <c r="G674" s="289"/>
      <c r="H674" s="302"/>
      <c r="I674" s="302"/>
      <c r="J674" s="289"/>
      <c r="L674" s="183"/>
      <c r="O674" s="3"/>
      <c r="P674" s="3"/>
    </row>
    <row r="675" spans="1:16" s="69" customFormat="1">
      <c r="A675" s="301"/>
      <c r="B675" s="317"/>
      <c r="C675" s="317"/>
      <c r="D675" s="302"/>
      <c r="E675" s="302"/>
      <c r="F675" s="289"/>
      <c r="G675" s="289"/>
      <c r="H675" s="302"/>
      <c r="I675" s="302"/>
      <c r="J675" s="289"/>
      <c r="L675" s="183"/>
      <c r="O675" s="3"/>
      <c r="P675" s="3"/>
    </row>
    <row r="676" spans="1:16" s="69" customFormat="1">
      <c r="A676" s="301"/>
      <c r="B676" s="317"/>
      <c r="C676" s="317"/>
      <c r="D676" s="302"/>
      <c r="E676" s="302"/>
      <c r="F676" s="289"/>
      <c r="G676" s="289"/>
      <c r="H676" s="302"/>
      <c r="I676" s="302"/>
      <c r="J676" s="289"/>
      <c r="L676" s="183"/>
      <c r="O676" s="3"/>
      <c r="P676" s="3"/>
    </row>
    <row r="677" spans="1:16" s="69" customFormat="1">
      <c r="A677" s="301"/>
      <c r="B677" s="317"/>
      <c r="C677" s="317"/>
      <c r="D677" s="302"/>
      <c r="E677" s="302"/>
      <c r="F677" s="289"/>
      <c r="G677" s="289"/>
      <c r="H677" s="302"/>
      <c r="I677" s="302"/>
      <c r="J677" s="289"/>
      <c r="L677" s="183"/>
      <c r="O677" s="3"/>
      <c r="P677" s="3"/>
    </row>
    <row r="678" spans="1:16" s="69" customFormat="1">
      <c r="A678" s="301"/>
      <c r="B678" s="317"/>
      <c r="C678" s="317"/>
      <c r="D678" s="302"/>
      <c r="E678" s="302"/>
      <c r="F678" s="289"/>
      <c r="G678" s="289"/>
      <c r="H678" s="302"/>
      <c r="I678" s="302"/>
      <c r="J678" s="289"/>
      <c r="L678" s="183"/>
      <c r="O678" s="3"/>
      <c r="P678" s="3"/>
    </row>
    <row r="679" spans="1:16" s="69" customFormat="1">
      <c r="A679" s="301"/>
      <c r="B679" s="317"/>
      <c r="C679" s="317"/>
      <c r="D679" s="302"/>
      <c r="E679" s="302"/>
      <c r="F679" s="289"/>
      <c r="G679" s="289"/>
      <c r="H679" s="302"/>
      <c r="I679" s="302"/>
      <c r="J679" s="289"/>
      <c r="L679" s="183"/>
      <c r="O679" s="3"/>
      <c r="P679" s="3"/>
    </row>
    <row r="680" spans="1:16" s="69" customFormat="1">
      <c r="A680" s="301"/>
      <c r="B680" s="317"/>
      <c r="C680" s="317"/>
      <c r="D680" s="302"/>
      <c r="E680" s="302"/>
      <c r="F680" s="289"/>
      <c r="G680" s="289"/>
      <c r="H680" s="302"/>
      <c r="I680" s="302"/>
      <c r="J680" s="289"/>
      <c r="L680" s="183"/>
      <c r="O680" s="3"/>
      <c r="P680" s="3"/>
    </row>
    <row r="681" spans="1:16" s="69" customFormat="1">
      <c r="A681" s="301"/>
      <c r="B681" s="317"/>
      <c r="C681" s="317"/>
      <c r="D681" s="302"/>
      <c r="E681" s="302"/>
      <c r="F681" s="289"/>
      <c r="G681" s="289"/>
      <c r="H681" s="302"/>
      <c r="I681" s="302"/>
      <c r="J681" s="289"/>
      <c r="L681" s="183"/>
      <c r="O681" s="3"/>
      <c r="P681" s="3"/>
    </row>
    <row r="682" spans="1:16" s="69" customFormat="1">
      <c r="A682" s="301"/>
      <c r="B682" s="317"/>
      <c r="C682" s="317"/>
      <c r="D682" s="302"/>
      <c r="E682" s="302"/>
      <c r="F682" s="289"/>
      <c r="G682" s="289"/>
      <c r="H682" s="302"/>
      <c r="I682" s="302"/>
      <c r="J682" s="289"/>
      <c r="L682" s="183"/>
      <c r="O682" s="3"/>
      <c r="P682" s="3"/>
    </row>
    <row r="683" spans="1:16" s="69" customFormat="1">
      <c r="A683" s="301"/>
      <c r="B683" s="317"/>
      <c r="C683" s="317"/>
      <c r="D683" s="302"/>
      <c r="E683" s="302"/>
      <c r="F683" s="289"/>
      <c r="G683" s="289"/>
      <c r="H683" s="302"/>
      <c r="I683" s="302"/>
      <c r="J683" s="289"/>
      <c r="L683" s="183"/>
      <c r="O683" s="3"/>
      <c r="P683" s="3"/>
    </row>
    <row r="684" spans="1:16" s="69" customFormat="1">
      <c r="A684" s="301"/>
      <c r="B684" s="317"/>
      <c r="C684" s="317"/>
      <c r="D684" s="302"/>
      <c r="E684" s="302"/>
      <c r="F684" s="289"/>
      <c r="G684" s="289"/>
      <c r="H684" s="302"/>
      <c r="I684" s="302"/>
      <c r="J684" s="289"/>
      <c r="L684" s="183"/>
      <c r="O684" s="3"/>
      <c r="P684" s="3"/>
    </row>
    <row r="685" spans="1:16" s="69" customFormat="1">
      <c r="A685" s="301"/>
      <c r="B685" s="317"/>
      <c r="C685" s="317"/>
      <c r="D685" s="302"/>
      <c r="E685" s="302"/>
      <c r="F685" s="289"/>
      <c r="G685" s="289"/>
      <c r="H685" s="302"/>
      <c r="I685" s="302"/>
      <c r="J685" s="289"/>
      <c r="L685" s="183"/>
      <c r="O685" s="3"/>
      <c r="P685" s="3"/>
    </row>
    <row r="686" spans="1:16" s="69" customFormat="1">
      <c r="A686" s="301"/>
      <c r="B686" s="317"/>
      <c r="C686" s="317"/>
      <c r="D686" s="302"/>
      <c r="E686" s="302"/>
      <c r="F686" s="289"/>
      <c r="G686" s="289"/>
      <c r="H686" s="302"/>
      <c r="I686" s="302"/>
      <c r="J686" s="289"/>
      <c r="L686" s="183"/>
      <c r="O686" s="3"/>
      <c r="P686" s="3"/>
    </row>
    <row r="687" spans="1:16" s="69" customFormat="1">
      <c r="A687" s="301"/>
      <c r="B687" s="317"/>
      <c r="C687" s="317"/>
      <c r="D687" s="302"/>
      <c r="E687" s="302"/>
      <c r="F687" s="289"/>
      <c r="G687" s="289"/>
      <c r="H687" s="302"/>
      <c r="I687" s="302"/>
      <c r="J687" s="289"/>
      <c r="L687" s="183"/>
      <c r="O687" s="3"/>
      <c r="P687" s="3"/>
    </row>
    <row r="688" spans="1:16" s="69" customFormat="1">
      <c r="A688" s="301"/>
      <c r="B688" s="317"/>
      <c r="C688" s="317"/>
      <c r="D688" s="302"/>
      <c r="E688" s="302"/>
      <c r="F688" s="289"/>
      <c r="G688" s="289"/>
      <c r="H688" s="302"/>
      <c r="I688" s="302"/>
      <c r="J688" s="289"/>
      <c r="L688" s="183"/>
      <c r="O688" s="3"/>
      <c r="P688" s="3"/>
    </row>
    <row r="689" spans="1:16" s="69" customFormat="1">
      <c r="A689" s="301"/>
      <c r="B689" s="317"/>
      <c r="C689" s="317"/>
      <c r="D689" s="302"/>
      <c r="E689" s="302"/>
      <c r="F689" s="289"/>
      <c r="G689" s="289"/>
      <c r="H689" s="302"/>
      <c r="I689" s="302"/>
      <c r="J689" s="289"/>
      <c r="L689" s="183"/>
      <c r="O689" s="3"/>
      <c r="P689" s="3"/>
    </row>
    <row r="690" spans="1:16" s="69" customFormat="1">
      <c r="A690" s="301"/>
      <c r="B690" s="317"/>
      <c r="C690" s="317"/>
      <c r="D690" s="302"/>
      <c r="E690" s="302"/>
      <c r="F690" s="289"/>
      <c r="G690" s="289"/>
      <c r="H690" s="302"/>
      <c r="I690" s="302"/>
      <c r="J690" s="289"/>
      <c r="L690" s="183"/>
      <c r="O690" s="3"/>
      <c r="P690" s="3"/>
    </row>
    <row r="691" spans="1:16" s="69" customFormat="1">
      <c r="A691" s="301"/>
      <c r="B691" s="317"/>
      <c r="C691" s="317"/>
      <c r="D691" s="302"/>
      <c r="E691" s="302"/>
      <c r="F691" s="289"/>
      <c r="G691" s="289"/>
      <c r="H691" s="302"/>
      <c r="I691" s="302"/>
      <c r="J691" s="289"/>
      <c r="L691" s="183"/>
      <c r="O691" s="3"/>
      <c r="P691" s="3"/>
    </row>
    <row r="692" spans="1:16" s="69" customFormat="1">
      <c r="A692" s="301"/>
      <c r="B692" s="317"/>
      <c r="C692" s="317"/>
      <c r="D692" s="302"/>
      <c r="E692" s="302"/>
      <c r="F692" s="289"/>
      <c r="G692" s="289"/>
      <c r="H692" s="302"/>
      <c r="I692" s="302"/>
      <c r="J692" s="289"/>
      <c r="L692" s="183"/>
      <c r="O692" s="3"/>
      <c r="P692" s="3"/>
    </row>
    <row r="693" spans="1:16" s="69" customFormat="1">
      <c r="A693" s="301"/>
      <c r="B693" s="317"/>
      <c r="C693" s="317"/>
      <c r="D693" s="302"/>
      <c r="E693" s="302"/>
      <c r="F693" s="289"/>
      <c r="G693" s="289"/>
      <c r="H693" s="302"/>
      <c r="I693" s="302"/>
      <c r="J693" s="289"/>
      <c r="L693" s="183"/>
      <c r="O693" s="3"/>
      <c r="P693" s="3"/>
    </row>
    <row r="694" spans="1:16" s="69" customFormat="1">
      <c r="A694" s="301"/>
      <c r="B694" s="317"/>
      <c r="C694" s="317"/>
      <c r="D694" s="302"/>
      <c r="E694" s="302"/>
      <c r="F694" s="289"/>
      <c r="G694" s="289"/>
      <c r="H694" s="302"/>
      <c r="I694" s="302"/>
      <c r="J694" s="289"/>
      <c r="L694" s="183"/>
      <c r="O694" s="3"/>
      <c r="P694" s="3"/>
    </row>
    <row r="695" spans="1:16" s="69" customFormat="1">
      <c r="A695" s="301"/>
      <c r="B695" s="317"/>
      <c r="C695" s="317"/>
      <c r="D695" s="302"/>
      <c r="E695" s="302"/>
      <c r="F695" s="289"/>
      <c r="G695" s="289"/>
      <c r="H695" s="302"/>
      <c r="I695" s="302"/>
      <c r="J695" s="289"/>
      <c r="L695" s="183"/>
      <c r="O695" s="3"/>
      <c r="P695" s="3"/>
    </row>
    <row r="696" spans="1:16" s="69" customFormat="1">
      <c r="A696" s="301"/>
      <c r="B696" s="317"/>
      <c r="C696" s="317"/>
      <c r="D696" s="302"/>
      <c r="E696" s="302"/>
      <c r="F696" s="289"/>
      <c r="G696" s="289"/>
      <c r="H696" s="302"/>
      <c r="I696" s="302"/>
      <c r="J696" s="289"/>
      <c r="L696" s="183"/>
      <c r="O696" s="3"/>
      <c r="P696" s="3"/>
    </row>
    <row r="697" spans="1:16" s="69" customFormat="1">
      <c r="A697" s="301"/>
      <c r="B697" s="317"/>
      <c r="C697" s="317"/>
      <c r="D697" s="302"/>
      <c r="E697" s="302"/>
      <c r="F697" s="289"/>
      <c r="G697" s="289"/>
      <c r="H697" s="302"/>
      <c r="I697" s="302"/>
      <c r="J697" s="289"/>
      <c r="L697" s="183"/>
      <c r="O697" s="3"/>
      <c r="P697" s="3"/>
    </row>
    <row r="698" spans="1:16" s="69" customFormat="1">
      <c r="A698" s="301"/>
      <c r="B698" s="317"/>
      <c r="C698" s="317"/>
      <c r="D698" s="302"/>
      <c r="E698" s="302"/>
      <c r="F698" s="289"/>
      <c r="G698" s="289"/>
      <c r="H698" s="302"/>
      <c r="I698" s="302"/>
      <c r="J698" s="289"/>
      <c r="L698" s="183"/>
      <c r="O698" s="3"/>
      <c r="P698" s="3"/>
    </row>
    <row r="699" spans="1:16" s="69" customFormat="1">
      <c r="A699" s="301"/>
      <c r="B699" s="317"/>
      <c r="C699" s="317"/>
      <c r="D699" s="302"/>
      <c r="E699" s="302"/>
      <c r="F699" s="289"/>
      <c r="G699" s="289"/>
      <c r="H699" s="302"/>
      <c r="I699" s="302"/>
      <c r="J699" s="289"/>
      <c r="L699" s="183"/>
      <c r="O699" s="3"/>
      <c r="P699" s="3"/>
    </row>
    <row r="700" spans="1:16" s="69" customFormat="1">
      <c r="A700" s="301"/>
      <c r="B700" s="317"/>
      <c r="C700" s="317"/>
      <c r="D700" s="302"/>
      <c r="E700" s="302"/>
      <c r="F700" s="289"/>
      <c r="G700" s="289"/>
      <c r="H700" s="302"/>
      <c r="I700" s="302"/>
      <c r="J700" s="289"/>
      <c r="L700" s="183"/>
      <c r="O700" s="3"/>
      <c r="P700" s="3"/>
    </row>
    <row r="701" spans="1:16" s="69" customFormat="1">
      <c r="A701" s="301"/>
      <c r="B701" s="317"/>
      <c r="C701" s="317"/>
      <c r="D701" s="302"/>
      <c r="E701" s="302"/>
      <c r="F701" s="289"/>
      <c r="G701" s="289"/>
      <c r="H701" s="302"/>
      <c r="I701" s="302"/>
      <c r="J701" s="289"/>
      <c r="L701" s="183"/>
      <c r="O701" s="3"/>
      <c r="P701" s="3"/>
    </row>
    <row r="702" spans="1:16" s="69" customFormat="1">
      <c r="A702" s="301"/>
      <c r="B702" s="317"/>
      <c r="C702" s="317"/>
      <c r="D702" s="302"/>
      <c r="E702" s="302"/>
      <c r="F702" s="289"/>
      <c r="G702" s="289"/>
      <c r="H702" s="302"/>
      <c r="I702" s="302"/>
      <c r="J702" s="289"/>
      <c r="L702" s="183"/>
      <c r="O702" s="3"/>
      <c r="P702" s="3"/>
    </row>
    <row r="703" spans="1:16" s="69" customFormat="1">
      <c r="A703" s="301"/>
      <c r="B703" s="317"/>
      <c r="C703" s="317"/>
      <c r="D703" s="302"/>
      <c r="E703" s="302"/>
      <c r="F703" s="289"/>
      <c r="G703" s="289"/>
      <c r="H703" s="302"/>
      <c r="I703" s="302"/>
      <c r="J703" s="289"/>
      <c r="L703" s="183"/>
      <c r="O703" s="3"/>
      <c r="P703" s="3"/>
    </row>
    <row r="704" spans="1:16" s="69" customFormat="1">
      <c r="A704" s="301"/>
      <c r="B704" s="317"/>
      <c r="C704" s="317"/>
      <c r="D704" s="302"/>
      <c r="E704" s="302"/>
      <c r="F704" s="289"/>
      <c r="G704" s="289"/>
      <c r="H704" s="302"/>
      <c r="I704" s="302"/>
      <c r="J704" s="289"/>
      <c r="L704" s="183"/>
      <c r="O704" s="3"/>
      <c r="P704" s="3"/>
    </row>
    <row r="705" spans="1:16" s="69" customFormat="1">
      <c r="A705" s="301"/>
      <c r="B705" s="317"/>
      <c r="C705" s="317"/>
      <c r="D705" s="302"/>
      <c r="E705" s="302"/>
      <c r="F705" s="289"/>
      <c r="G705" s="289"/>
      <c r="H705" s="302"/>
      <c r="I705" s="302"/>
      <c r="J705" s="289"/>
      <c r="L705" s="183"/>
      <c r="O705" s="3"/>
      <c r="P705" s="3"/>
    </row>
    <row r="706" spans="1:16" s="69" customFormat="1">
      <c r="A706" s="301"/>
      <c r="B706" s="317"/>
      <c r="C706" s="317"/>
      <c r="D706" s="302"/>
      <c r="E706" s="302"/>
      <c r="F706" s="289"/>
      <c r="G706" s="289"/>
      <c r="H706" s="302"/>
      <c r="I706" s="302"/>
      <c r="J706" s="289"/>
      <c r="L706" s="183"/>
      <c r="O706" s="3"/>
      <c r="P706" s="3"/>
    </row>
    <row r="707" spans="1:16" s="69" customFormat="1">
      <c r="A707" s="301"/>
      <c r="B707" s="317"/>
      <c r="C707" s="317"/>
      <c r="D707" s="302"/>
      <c r="E707" s="302"/>
      <c r="F707" s="289"/>
      <c r="G707" s="289"/>
      <c r="H707" s="302"/>
      <c r="I707" s="302"/>
      <c r="J707" s="289"/>
      <c r="L707" s="183"/>
      <c r="O707" s="3"/>
      <c r="P707" s="3"/>
    </row>
    <row r="708" spans="1:16" s="69" customFormat="1">
      <c r="A708" s="301"/>
      <c r="B708" s="317"/>
      <c r="C708" s="317"/>
      <c r="D708" s="302"/>
      <c r="E708" s="302"/>
      <c r="F708" s="289"/>
      <c r="G708" s="289"/>
      <c r="H708" s="302"/>
      <c r="I708" s="302"/>
      <c r="J708" s="289"/>
      <c r="L708" s="183"/>
      <c r="O708" s="3"/>
      <c r="P708" s="3"/>
    </row>
    <row r="709" spans="1:16" s="69" customFormat="1">
      <c r="A709" s="301"/>
      <c r="B709" s="317"/>
      <c r="C709" s="317"/>
      <c r="D709" s="302"/>
      <c r="E709" s="302"/>
      <c r="F709" s="289"/>
      <c r="G709" s="289"/>
      <c r="H709" s="302"/>
      <c r="I709" s="302"/>
      <c r="J709" s="289"/>
      <c r="L709" s="183"/>
      <c r="O709" s="3"/>
      <c r="P709" s="3"/>
    </row>
    <row r="710" spans="1:16" s="69" customFormat="1">
      <c r="A710" s="301"/>
      <c r="B710" s="317"/>
      <c r="C710" s="317"/>
      <c r="D710" s="302"/>
      <c r="E710" s="302"/>
      <c r="F710" s="289"/>
      <c r="G710" s="289"/>
      <c r="H710" s="302"/>
      <c r="I710" s="302"/>
      <c r="J710" s="289"/>
      <c r="L710" s="183"/>
      <c r="O710" s="3"/>
      <c r="P710" s="3"/>
    </row>
    <row r="711" spans="1:16" s="69" customFormat="1">
      <c r="A711" s="301"/>
      <c r="B711" s="317"/>
      <c r="C711" s="317"/>
      <c r="D711" s="302"/>
      <c r="E711" s="302"/>
      <c r="F711" s="289"/>
      <c r="G711" s="289"/>
      <c r="H711" s="302"/>
      <c r="I711" s="302"/>
      <c r="J711" s="289"/>
      <c r="L711" s="183"/>
      <c r="O711" s="3"/>
      <c r="P711" s="3"/>
    </row>
    <row r="712" spans="1:16" s="69" customFormat="1">
      <c r="A712" s="301"/>
      <c r="B712" s="317"/>
      <c r="C712" s="317"/>
      <c r="D712" s="302"/>
      <c r="E712" s="302"/>
      <c r="F712" s="289"/>
      <c r="G712" s="289"/>
      <c r="H712" s="302"/>
      <c r="I712" s="302"/>
      <c r="J712" s="289"/>
      <c r="L712" s="183"/>
      <c r="O712" s="3"/>
      <c r="P712" s="3"/>
    </row>
    <row r="713" spans="1:16" s="69" customFormat="1">
      <c r="A713" s="301"/>
      <c r="B713" s="317"/>
      <c r="C713" s="317"/>
      <c r="D713" s="302"/>
      <c r="E713" s="302"/>
      <c r="F713" s="289"/>
      <c r="G713" s="289"/>
      <c r="H713" s="302"/>
      <c r="I713" s="302"/>
      <c r="J713" s="289"/>
      <c r="L713" s="183"/>
      <c r="O713" s="3"/>
      <c r="P713" s="3"/>
    </row>
    <row r="714" spans="1:16" s="69" customFormat="1">
      <c r="A714" s="301"/>
      <c r="B714" s="317"/>
      <c r="C714" s="317"/>
      <c r="D714" s="302"/>
      <c r="E714" s="302"/>
      <c r="F714" s="289"/>
      <c r="G714" s="289"/>
      <c r="H714" s="302"/>
      <c r="I714" s="302"/>
      <c r="J714" s="289"/>
      <c r="L714" s="183"/>
      <c r="O714" s="3"/>
      <c r="P714" s="3"/>
    </row>
    <row r="715" spans="1:16" s="69" customFormat="1">
      <c r="A715" s="301"/>
      <c r="B715" s="317"/>
      <c r="C715" s="317"/>
      <c r="D715" s="302"/>
      <c r="E715" s="302"/>
      <c r="F715" s="289"/>
      <c r="G715" s="289"/>
      <c r="H715" s="302"/>
      <c r="I715" s="302"/>
      <c r="J715" s="289"/>
      <c r="L715" s="183"/>
      <c r="O715" s="3"/>
      <c r="P715" s="3"/>
    </row>
    <row r="716" spans="1:16" s="69" customFormat="1">
      <c r="A716" s="301"/>
      <c r="B716" s="317"/>
      <c r="C716" s="317"/>
      <c r="D716" s="302"/>
      <c r="E716" s="302"/>
      <c r="F716" s="289"/>
      <c r="G716" s="289"/>
      <c r="H716" s="302"/>
      <c r="I716" s="302"/>
      <c r="J716" s="289"/>
      <c r="L716" s="183"/>
      <c r="O716" s="3"/>
      <c r="P716" s="3"/>
    </row>
    <row r="717" spans="1:16" s="69" customFormat="1">
      <c r="A717" s="301"/>
      <c r="B717" s="317"/>
      <c r="C717" s="317"/>
      <c r="D717" s="302"/>
      <c r="E717" s="302"/>
      <c r="F717" s="289"/>
      <c r="G717" s="289"/>
      <c r="H717" s="302"/>
      <c r="I717" s="302"/>
      <c r="J717" s="289"/>
      <c r="L717" s="183"/>
      <c r="O717" s="3"/>
      <c r="P717" s="3"/>
    </row>
    <row r="718" spans="1:16" s="69" customFormat="1">
      <c r="A718" s="301"/>
      <c r="B718" s="317"/>
      <c r="C718" s="317"/>
      <c r="D718" s="302"/>
      <c r="E718" s="302"/>
      <c r="F718" s="289"/>
      <c r="G718" s="289"/>
      <c r="H718" s="302"/>
      <c r="I718" s="302"/>
      <c r="J718" s="289"/>
      <c r="L718" s="183"/>
      <c r="O718" s="3"/>
      <c r="P718" s="3"/>
    </row>
    <row r="719" spans="1:16" s="69" customFormat="1">
      <c r="A719" s="301"/>
      <c r="B719" s="317"/>
      <c r="C719" s="317"/>
      <c r="D719" s="302"/>
      <c r="E719" s="302"/>
      <c r="F719" s="289"/>
      <c r="G719" s="289"/>
      <c r="H719" s="302"/>
      <c r="I719" s="302"/>
      <c r="J719" s="289"/>
      <c r="L719" s="183"/>
      <c r="O719" s="3"/>
      <c r="P719" s="3"/>
    </row>
    <row r="720" spans="1:16" s="69" customFormat="1">
      <c r="A720" s="301"/>
      <c r="B720" s="317"/>
      <c r="C720" s="317"/>
      <c r="D720" s="302"/>
      <c r="E720" s="302"/>
      <c r="F720" s="289"/>
      <c r="G720" s="289"/>
      <c r="H720" s="302"/>
      <c r="I720" s="302"/>
      <c r="J720" s="289"/>
      <c r="L720" s="183"/>
      <c r="O720" s="3"/>
      <c r="P720" s="3"/>
    </row>
    <row r="721" spans="1:16" s="69" customFormat="1">
      <c r="A721" s="301"/>
      <c r="B721" s="317"/>
      <c r="C721" s="317"/>
      <c r="D721" s="302"/>
      <c r="E721" s="302"/>
      <c r="F721" s="289"/>
      <c r="G721" s="289"/>
      <c r="H721" s="302"/>
      <c r="I721" s="302"/>
      <c r="J721" s="289"/>
      <c r="L721" s="183"/>
      <c r="O721" s="3"/>
      <c r="P721" s="3"/>
    </row>
    <row r="722" spans="1:16" s="69" customFormat="1">
      <c r="A722" s="301"/>
      <c r="B722" s="317"/>
      <c r="C722" s="317"/>
      <c r="D722" s="302"/>
      <c r="E722" s="302"/>
      <c r="F722" s="289"/>
      <c r="G722" s="289"/>
      <c r="H722" s="302"/>
      <c r="I722" s="302"/>
      <c r="J722" s="289"/>
      <c r="L722" s="183"/>
      <c r="O722" s="3"/>
      <c r="P722" s="3"/>
    </row>
    <row r="723" spans="1:16" s="69" customFormat="1">
      <c r="A723" s="301"/>
      <c r="B723" s="317"/>
      <c r="C723" s="317"/>
      <c r="D723" s="302"/>
      <c r="E723" s="302"/>
      <c r="F723" s="289"/>
      <c r="G723" s="289"/>
      <c r="H723" s="302"/>
      <c r="I723" s="302"/>
      <c r="J723" s="289"/>
      <c r="L723" s="183"/>
      <c r="O723" s="3"/>
      <c r="P723" s="3"/>
    </row>
    <row r="724" spans="1:16" s="69" customFormat="1">
      <c r="A724" s="301"/>
      <c r="B724" s="317"/>
      <c r="C724" s="317"/>
      <c r="D724" s="302"/>
      <c r="E724" s="302"/>
      <c r="F724" s="289"/>
      <c r="G724" s="289"/>
      <c r="H724" s="302"/>
      <c r="I724" s="302"/>
      <c r="J724" s="289"/>
      <c r="L724" s="183"/>
      <c r="O724" s="3"/>
      <c r="P724" s="3"/>
    </row>
    <row r="725" spans="1:16" s="69" customFormat="1">
      <c r="A725" s="301"/>
      <c r="B725" s="317"/>
      <c r="C725" s="317"/>
      <c r="D725" s="302"/>
      <c r="E725" s="302"/>
      <c r="F725" s="289"/>
      <c r="G725" s="289"/>
      <c r="H725" s="302"/>
      <c r="I725" s="302"/>
      <c r="J725" s="289"/>
      <c r="L725" s="183"/>
      <c r="O725" s="3"/>
      <c r="P725" s="3"/>
    </row>
    <row r="726" spans="1:16" s="69" customFormat="1">
      <c r="A726" s="301"/>
      <c r="B726" s="317"/>
      <c r="C726" s="317"/>
      <c r="D726" s="302"/>
      <c r="E726" s="302"/>
      <c r="F726" s="289"/>
      <c r="G726" s="289"/>
      <c r="H726" s="302"/>
      <c r="I726" s="302"/>
      <c r="J726" s="289"/>
      <c r="L726" s="183"/>
      <c r="O726" s="3"/>
      <c r="P726" s="3"/>
    </row>
    <row r="727" spans="1:16" s="69" customFormat="1">
      <c r="A727" s="301"/>
      <c r="B727" s="317"/>
      <c r="C727" s="317"/>
      <c r="D727" s="302"/>
      <c r="E727" s="302"/>
      <c r="F727" s="289"/>
      <c r="G727" s="289"/>
      <c r="H727" s="302"/>
      <c r="I727" s="302"/>
      <c r="J727" s="289"/>
      <c r="L727" s="183"/>
      <c r="O727" s="3"/>
      <c r="P727" s="3"/>
    </row>
    <row r="728" spans="1:16" s="69" customFormat="1">
      <c r="A728" s="301"/>
      <c r="B728" s="317"/>
      <c r="C728" s="317"/>
      <c r="D728" s="302"/>
      <c r="E728" s="302"/>
      <c r="F728" s="289"/>
      <c r="G728" s="289"/>
      <c r="H728" s="302"/>
      <c r="I728" s="302"/>
      <c r="J728" s="289"/>
      <c r="L728" s="183"/>
      <c r="O728" s="3"/>
      <c r="P728" s="3"/>
    </row>
    <row r="729" spans="1:16" s="69" customFormat="1">
      <c r="A729" s="301"/>
      <c r="B729" s="317"/>
      <c r="C729" s="317"/>
      <c r="D729" s="302"/>
      <c r="E729" s="302"/>
      <c r="F729" s="289"/>
      <c r="G729" s="289"/>
      <c r="H729" s="302"/>
      <c r="I729" s="302"/>
      <c r="J729" s="289"/>
      <c r="L729" s="183"/>
      <c r="O729" s="3"/>
      <c r="P729" s="3"/>
    </row>
    <row r="730" spans="1:16" s="69" customFormat="1">
      <c r="A730" s="301"/>
      <c r="B730" s="317"/>
      <c r="C730" s="317"/>
      <c r="D730" s="302"/>
      <c r="E730" s="302"/>
      <c r="F730" s="289"/>
      <c r="G730" s="289"/>
      <c r="H730" s="302"/>
      <c r="I730" s="302"/>
      <c r="J730" s="289"/>
      <c r="L730" s="183"/>
      <c r="O730" s="3"/>
      <c r="P730" s="3"/>
    </row>
    <row r="731" spans="1:16" s="69" customFormat="1">
      <c r="A731" s="301"/>
      <c r="B731" s="317"/>
      <c r="C731" s="317"/>
      <c r="D731" s="302"/>
      <c r="E731" s="302"/>
      <c r="F731" s="289"/>
      <c r="G731" s="289"/>
      <c r="H731" s="302"/>
      <c r="I731" s="302"/>
      <c r="J731" s="289"/>
      <c r="L731" s="183"/>
      <c r="O731" s="3"/>
      <c r="P731" s="3"/>
    </row>
    <row r="732" spans="1:16" s="69" customFormat="1">
      <c r="A732" s="301"/>
      <c r="B732" s="317"/>
      <c r="C732" s="317"/>
      <c r="D732" s="302"/>
      <c r="E732" s="302"/>
      <c r="F732" s="289"/>
      <c r="G732" s="289"/>
      <c r="H732" s="302"/>
      <c r="I732" s="302"/>
      <c r="J732" s="289"/>
      <c r="L732" s="183"/>
      <c r="O732" s="3"/>
      <c r="P732" s="3"/>
    </row>
    <row r="733" spans="1:16" s="69" customFormat="1">
      <c r="A733" s="301"/>
      <c r="B733" s="317"/>
      <c r="C733" s="317"/>
      <c r="D733" s="302"/>
      <c r="E733" s="302"/>
      <c r="F733" s="289"/>
      <c r="G733" s="289"/>
      <c r="H733" s="302"/>
      <c r="I733" s="302"/>
      <c r="J733" s="289"/>
      <c r="L733" s="183"/>
      <c r="O733" s="3"/>
      <c r="P733" s="3"/>
    </row>
    <row r="734" spans="1:16" s="69" customFormat="1">
      <c r="A734" s="301"/>
      <c r="B734" s="317"/>
      <c r="C734" s="317"/>
      <c r="D734" s="302"/>
      <c r="E734" s="302"/>
      <c r="F734" s="289"/>
      <c r="G734" s="289"/>
      <c r="H734" s="302"/>
      <c r="I734" s="302"/>
      <c r="J734" s="289"/>
      <c r="L734" s="183"/>
      <c r="O734" s="3"/>
      <c r="P734" s="3"/>
    </row>
    <row r="735" spans="1:16" s="69" customFormat="1">
      <c r="A735" s="301"/>
      <c r="B735" s="317"/>
      <c r="C735" s="317"/>
      <c r="D735" s="302"/>
      <c r="E735" s="302"/>
      <c r="F735" s="289"/>
      <c r="G735" s="289"/>
      <c r="H735" s="302"/>
      <c r="I735" s="302"/>
      <c r="J735" s="289"/>
      <c r="L735" s="183"/>
      <c r="O735" s="3"/>
      <c r="P735" s="3"/>
    </row>
    <row r="736" spans="1:16" s="69" customFormat="1">
      <c r="A736" s="301"/>
      <c r="B736" s="317"/>
      <c r="C736" s="317"/>
      <c r="D736" s="302"/>
      <c r="E736" s="302"/>
      <c r="F736" s="289"/>
      <c r="G736" s="289"/>
      <c r="H736" s="302"/>
      <c r="I736" s="302"/>
      <c r="J736" s="289"/>
      <c r="L736" s="183"/>
      <c r="O736" s="3"/>
      <c r="P736" s="3"/>
    </row>
    <row r="737" spans="1:16" s="69" customFormat="1">
      <c r="A737" s="301"/>
      <c r="B737" s="317"/>
      <c r="C737" s="317"/>
      <c r="D737" s="302"/>
      <c r="E737" s="302"/>
      <c r="F737" s="289"/>
      <c r="G737" s="289"/>
      <c r="H737" s="302"/>
      <c r="I737" s="302"/>
      <c r="J737" s="289"/>
      <c r="L737" s="183"/>
      <c r="O737" s="3"/>
      <c r="P737" s="3"/>
    </row>
    <row r="738" spans="1:16" s="69" customFormat="1">
      <c r="A738" s="301"/>
      <c r="B738" s="317"/>
      <c r="C738" s="317"/>
      <c r="D738" s="302"/>
      <c r="E738" s="302"/>
      <c r="F738" s="289"/>
      <c r="G738" s="289"/>
      <c r="H738" s="302"/>
      <c r="I738" s="302"/>
      <c r="J738" s="289"/>
      <c r="L738" s="183"/>
      <c r="O738" s="3"/>
      <c r="P738" s="3"/>
    </row>
    <row r="739" spans="1:16" s="69" customFormat="1">
      <c r="A739" s="301"/>
      <c r="B739" s="317"/>
      <c r="C739" s="317"/>
      <c r="D739" s="302"/>
      <c r="E739" s="302"/>
      <c r="F739" s="289"/>
      <c r="G739" s="289"/>
      <c r="H739" s="302"/>
      <c r="I739" s="302"/>
      <c r="J739" s="289"/>
      <c r="L739" s="183"/>
      <c r="O739" s="3"/>
      <c r="P739" s="3"/>
    </row>
    <row r="740" spans="1:16" s="69" customFormat="1">
      <c r="A740" s="301"/>
      <c r="B740" s="317"/>
      <c r="C740" s="317"/>
      <c r="D740" s="302"/>
      <c r="E740" s="302"/>
      <c r="F740" s="289"/>
      <c r="G740" s="289"/>
      <c r="H740" s="302"/>
      <c r="I740" s="302"/>
      <c r="J740" s="289"/>
      <c r="L740" s="183"/>
      <c r="O740" s="3"/>
      <c r="P740" s="3"/>
    </row>
    <row r="741" spans="1:16" s="69" customFormat="1">
      <c r="A741" s="301"/>
      <c r="B741" s="317"/>
      <c r="C741" s="317"/>
      <c r="D741" s="302"/>
      <c r="E741" s="302"/>
      <c r="F741" s="289"/>
      <c r="G741" s="289"/>
      <c r="H741" s="302"/>
      <c r="I741" s="302"/>
      <c r="J741" s="289"/>
      <c r="L741" s="183"/>
      <c r="O741" s="3"/>
      <c r="P741" s="3"/>
    </row>
    <row r="742" spans="1:16" s="69" customFormat="1">
      <c r="A742" s="301"/>
      <c r="B742" s="317"/>
      <c r="C742" s="317"/>
      <c r="D742" s="302"/>
      <c r="E742" s="302"/>
      <c r="F742" s="289"/>
      <c r="G742" s="289"/>
      <c r="H742" s="302"/>
      <c r="I742" s="302"/>
      <c r="J742" s="289"/>
      <c r="L742" s="183"/>
      <c r="O742" s="3"/>
      <c r="P742" s="3"/>
    </row>
    <row r="743" spans="1:16" s="69" customFormat="1">
      <c r="A743" s="301"/>
      <c r="B743" s="317"/>
      <c r="C743" s="317"/>
      <c r="D743" s="302"/>
      <c r="E743" s="302"/>
      <c r="F743" s="289"/>
      <c r="G743" s="289"/>
      <c r="H743" s="302"/>
      <c r="I743" s="302"/>
      <c r="J743" s="289"/>
      <c r="L743" s="183"/>
      <c r="O743" s="3"/>
      <c r="P743" s="3"/>
    </row>
    <row r="744" spans="1:16" s="69" customFormat="1">
      <c r="A744" s="301"/>
      <c r="B744" s="317"/>
      <c r="C744" s="317"/>
      <c r="D744" s="302"/>
      <c r="E744" s="302"/>
      <c r="F744" s="289"/>
      <c r="G744" s="289"/>
      <c r="H744" s="302"/>
      <c r="I744" s="302"/>
      <c r="J744" s="289"/>
      <c r="L744" s="183"/>
      <c r="O744" s="3"/>
      <c r="P744" s="3"/>
    </row>
    <row r="745" spans="1:16" s="69" customFormat="1">
      <c r="A745" s="301"/>
      <c r="B745" s="317"/>
      <c r="C745" s="317"/>
      <c r="D745" s="302"/>
      <c r="E745" s="302"/>
      <c r="F745" s="289"/>
      <c r="G745" s="289"/>
      <c r="H745" s="302"/>
      <c r="I745" s="302"/>
      <c r="J745" s="289"/>
      <c r="L745" s="183"/>
      <c r="O745" s="3"/>
      <c r="P745" s="3"/>
    </row>
    <row r="746" spans="1:16" s="69" customFormat="1">
      <c r="A746" s="301"/>
      <c r="B746" s="317"/>
      <c r="C746" s="317"/>
      <c r="D746" s="302"/>
      <c r="E746" s="302"/>
      <c r="F746" s="289"/>
      <c r="G746" s="289"/>
      <c r="H746" s="302"/>
      <c r="I746" s="302"/>
      <c r="J746" s="289"/>
      <c r="L746" s="183"/>
      <c r="O746" s="3"/>
      <c r="P746" s="3"/>
    </row>
    <row r="747" spans="1:16" s="69" customFormat="1">
      <c r="A747" s="301"/>
      <c r="B747" s="317"/>
      <c r="C747" s="317"/>
      <c r="D747" s="302"/>
      <c r="E747" s="302"/>
      <c r="F747" s="289"/>
      <c r="G747" s="289"/>
      <c r="H747" s="302"/>
      <c r="I747" s="302"/>
      <c r="J747" s="289"/>
      <c r="L747" s="183"/>
      <c r="O747" s="3"/>
      <c r="P747" s="3"/>
    </row>
    <row r="748" spans="1:16" s="69" customFormat="1">
      <c r="A748" s="301"/>
      <c r="B748" s="317"/>
      <c r="C748" s="317"/>
      <c r="D748" s="302"/>
      <c r="E748" s="302"/>
      <c r="F748" s="289"/>
      <c r="G748" s="289"/>
      <c r="H748" s="302"/>
      <c r="I748" s="302"/>
      <c r="J748" s="289"/>
      <c r="L748" s="183"/>
      <c r="O748" s="3"/>
      <c r="P748" s="3"/>
    </row>
    <row r="749" spans="1:16" s="69" customFormat="1">
      <c r="A749" s="301"/>
      <c r="B749" s="317"/>
      <c r="C749" s="317"/>
      <c r="D749" s="302"/>
      <c r="E749" s="302"/>
      <c r="F749" s="289"/>
      <c r="G749" s="289"/>
      <c r="H749" s="302"/>
      <c r="I749" s="302"/>
      <c r="J749" s="289"/>
      <c r="L749" s="183"/>
      <c r="O749" s="3"/>
      <c r="P749" s="3"/>
    </row>
    <row r="750" spans="1:16" s="69" customFormat="1">
      <c r="A750" s="301"/>
      <c r="B750" s="317"/>
      <c r="C750" s="317"/>
      <c r="D750" s="302"/>
      <c r="E750" s="302"/>
      <c r="F750" s="289"/>
      <c r="G750" s="289"/>
      <c r="H750" s="302"/>
      <c r="I750" s="302"/>
      <c r="J750" s="289"/>
      <c r="L750" s="183"/>
      <c r="O750" s="3"/>
      <c r="P750" s="3"/>
    </row>
    <row r="751" spans="1:16" s="69" customFormat="1">
      <c r="A751" s="301"/>
      <c r="B751" s="317"/>
      <c r="C751" s="317"/>
      <c r="D751" s="302"/>
      <c r="E751" s="302"/>
      <c r="F751" s="289"/>
      <c r="G751" s="289"/>
      <c r="H751" s="302"/>
      <c r="I751" s="302"/>
      <c r="J751" s="289"/>
      <c r="L751" s="183"/>
      <c r="O751" s="3"/>
      <c r="P751" s="3"/>
    </row>
    <row r="752" spans="1:16" s="69" customFormat="1">
      <c r="A752" s="301"/>
      <c r="B752" s="317"/>
      <c r="C752" s="317"/>
      <c r="D752" s="302"/>
      <c r="E752" s="302"/>
      <c r="F752" s="289"/>
      <c r="G752" s="289"/>
      <c r="H752" s="302"/>
      <c r="I752" s="302"/>
      <c r="J752" s="289"/>
      <c r="L752" s="183"/>
      <c r="O752" s="3"/>
      <c r="P752" s="3"/>
    </row>
    <row r="753" spans="1:16" s="69" customFormat="1">
      <c r="A753" s="301"/>
      <c r="B753" s="317"/>
      <c r="C753" s="317"/>
      <c r="D753" s="302"/>
      <c r="E753" s="302"/>
      <c r="F753" s="289"/>
      <c r="G753" s="289"/>
      <c r="H753" s="302"/>
      <c r="I753" s="302"/>
      <c r="J753" s="289"/>
      <c r="L753" s="183"/>
      <c r="O753" s="3"/>
      <c r="P753" s="3"/>
    </row>
    <row r="754" spans="1:16" s="69" customFormat="1">
      <c r="A754" s="301"/>
      <c r="B754" s="317"/>
      <c r="C754" s="317"/>
      <c r="D754" s="302"/>
      <c r="E754" s="302"/>
      <c r="F754" s="289"/>
      <c r="G754" s="289"/>
      <c r="H754" s="302"/>
      <c r="I754" s="302"/>
      <c r="J754" s="289"/>
      <c r="L754" s="183"/>
      <c r="O754" s="3"/>
      <c r="P754" s="3"/>
    </row>
    <row r="755" spans="1:16" s="69" customFormat="1">
      <c r="A755" s="301"/>
      <c r="B755" s="317"/>
      <c r="C755" s="317"/>
      <c r="D755" s="302"/>
      <c r="E755" s="302"/>
      <c r="F755" s="289"/>
      <c r="G755" s="289"/>
      <c r="H755" s="302"/>
      <c r="I755" s="302"/>
      <c r="J755" s="289"/>
      <c r="L755" s="183"/>
      <c r="O755" s="3"/>
      <c r="P755" s="3"/>
    </row>
    <row r="756" spans="1:16" s="69" customFormat="1">
      <c r="A756" s="301"/>
      <c r="B756" s="317"/>
      <c r="C756" s="317"/>
      <c r="D756" s="302"/>
      <c r="E756" s="302"/>
      <c r="F756" s="289"/>
      <c r="G756" s="289"/>
      <c r="H756" s="302"/>
      <c r="I756" s="302"/>
      <c r="J756" s="289"/>
      <c r="L756" s="183"/>
      <c r="O756" s="3"/>
      <c r="P756" s="3"/>
    </row>
    <row r="757" spans="1:16" s="69" customFormat="1">
      <c r="A757" s="301"/>
      <c r="B757" s="317"/>
      <c r="C757" s="317"/>
      <c r="D757" s="302"/>
      <c r="E757" s="302"/>
      <c r="F757" s="289"/>
      <c r="G757" s="289"/>
      <c r="H757" s="302"/>
      <c r="I757" s="302"/>
      <c r="J757" s="289"/>
      <c r="L757" s="183"/>
      <c r="O757" s="3"/>
      <c r="P757" s="3"/>
    </row>
    <row r="758" spans="1:16" s="69" customFormat="1">
      <c r="A758" s="301"/>
      <c r="B758" s="317"/>
      <c r="C758" s="317"/>
      <c r="D758" s="302"/>
      <c r="E758" s="302"/>
      <c r="F758" s="289"/>
      <c r="G758" s="289"/>
      <c r="H758" s="302"/>
      <c r="I758" s="302"/>
      <c r="J758" s="289"/>
      <c r="L758" s="183"/>
      <c r="O758" s="3"/>
      <c r="P758" s="3"/>
    </row>
    <row r="759" spans="1:16" s="69" customFormat="1">
      <c r="A759" s="301"/>
      <c r="B759" s="317"/>
      <c r="C759" s="317"/>
      <c r="D759" s="302"/>
      <c r="E759" s="302"/>
      <c r="F759" s="289"/>
      <c r="G759" s="289"/>
      <c r="H759" s="302"/>
      <c r="I759" s="302"/>
      <c r="J759" s="289"/>
      <c r="L759" s="183"/>
      <c r="O759" s="3"/>
      <c r="P759" s="3"/>
    </row>
    <row r="760" spans="1:16" s="69" customFormat="1">
      <c r="A760" s="301"/>
      <c r="B760" s="317"/>
      <c r="C760" s="317"/>
      <c r="D760" s="302"/>
      <c r="E760" s="302"/>
      <c r="F760" s="289"/>
      <c r="G760" s="289"/>
      <c r="H760" s="302"/>
      <c r="I760" s="302"/>
      <c r="J760" s="289"/>
      <c r="L760" s="183"/>
      <c r="O760" s="3"/>
      <c r="P760" s="3"/>
    </row>
    <row r="761" spans="1:16" s="69" customFormat="1">
      <c r="A761" s="301"/>
      <c r="B761" s="317"/>
      <c r="C761" s="317"/>
      <c r="D761" s="302"/>
      <c r="E761" s="302"/>
      <c r="F761" s="289"/>
      <c r="G761" s="289"/>
      <c r="H761" s="302"/>
      <c r="I761" s="302"/>
      <c r="J761" s="289"/>
      <c r="L761" s="183"/>
      <c r="O761" s="3"/>
      <c r="P761" s="3"/>
    </row>
    <row r="762" spans="1:16" s="69" customFormat="1">
      <c r="A762" s="301"/>
      <c r="B762" s="317"/>
      <c r="C762" s="317"/>
      <c r="D762" s="302"/>
      <c r="E762" s="302"/>
      <c r="F762" s="289"/>
      <c r="G762" s="289"/>
      <c r="H762" s="302"/>
      <c r="I762" s="302"/>
      <c r="J762" s="289"/>
      <c r="L762" s="183"/>
      <c r="O762" s="3"/>
      <c r="P762" s="3"/>
    </row>
    <row r="763" spans="1:16" s="69" customFormat="1">
      <c r="A763" s="301"/>
      <c r="B763" s="317"/>
      <c r="C763" s="317"/>
      <c r="D763" s="302"/>
      <c r="E763" s="302"/>
      <c r="F763" s="289"/>
      <c r="G763" s="289"/>
      <c r="H763" s="302"/>
      <c r="I763" s="302"/>
      <c r="J763" s="289"/>
      <c r="L763" s="183"/>
      <c r="O763" s="3"/>
      <c r="P763" s="3"/>
    </row>
    <row r="764" spans="1:16" s="69" customFormat="1">
      <c r="A764" s="301"/>
      <c r="B764" s="317"/>
      <c r="C764" s="317"/>
      <c r="D764" s="302"/>
      <c r="E764" s="302"/>
      <c r="F764" s="289"/>
      <c r="G764" s="289"/>
      <c r="H764" s="302"/>
      <c r="I764" s="302"/>
      <c r="J764" s="289"/>
      <c r="L764" s="183"/>
      <c r="O764" s="3"/>
      <c r="P764" s="3"/>
    </row>
    <row r="765" spans="1:16" s="69" customFormat="1">
      <c r="A765" s="301"/>
      <c r="B765" s="317"/>
      <c r="C765" s="317"/>
      <c r="D765" s="302"/>
      <c r="E765" s="302"/>
      <c r="F765" s="289"/>
      <c r="G765" s="289"/>
      <c r="H765" s="302"/>
      <c r="I765" s="302"/>
      <c r="J765" s="289"/>
      <c r="L765" s="183"/>
      <c r="O765" s="3"/>
      <c r="P765" s="3"/>
    </row>
    <row r="766" spans="1:16" s="69" customFormat="1">
      <c r="A766" s="301"/>
      <c r="B766" s="317"/>
      <c r="C766" s="317"/>
      <c r="D766" s="302"/>
      <c r="E766" s="302"/>
      <c r="F766" s="289"/>
      <c r="G766" s="289"/>
      <c r="H766" s="302"/>
      <c r="I766" s="302"/>
      <c r="J766" s="289"/>
      <c r="L766" s="183"/>
      <c r="O766" s="3"/>
      <c r="P766" s="3"/>
    </row>
    <row r="767" spans="1:16" s="69" customFormat="1">
      <c r="A767" s="301"/>
      <c r="B767" s="317"/>
      <c r="C767" s="317"/>
      <c r="D767" s="302"/>
      <c r="E767" s="302"/>
      <c r="F767" s="289"/>
      <c r="G767" s="289"/>
      <c r="H767" s="302"/>
      <c r="I767" s="302"/>
      <c r="J767" s="289"/>
      <c r="L767" s="183"/>
      <c r="O767" s="3"/>
      <c r="P767" s="3"/>
    </row>
    <row r="768" spans="1:16" s="69" customFormat="1">
      <c r="A768" s="301"/>
      <c r="B768" s="317"/>
      <c r="C768" s="317"/>
      <c r="D768" s="302"/>
      <c r="E768" s="302"/>
      <c r="F768" s="289"/>
      <c r="G768" s="289"/>
      <c r="H768" s="302"/>
      <c r="I768" s="302"/>
      <c r="J768" s="289"/>
      <c r="L768" s="183"/>
      <c r="O768" s="3"/>
      <c r="P768" s="3"/>
    </row>
    <row r="769" spans="1:16" s="69" customFormat="1">
      <c r="A769" s="301"/>
      <c r="B769" s="317"/>
      <c r="C769" s="317"/>
      <c r="D769" s="302"/>
      <c r="E769" s="302"/>
      <c r="F769" s="289"/>
      <c r="G769" s="289"/>
      <c r="H769" s="302"/>
      <c r="I769" s="302"/>
      <c r="J769" s="289"/>
      <c r="L769" s="183"/>
      <c r="O769" s="3"/>
      <c r="P769" s="3"/>
    </row>
    <row r="770" spans="1:16" s="69" customFormat="1">
      <c r="A770" s="301"/>
      <c r="B770" s="317"/>
      <c r="C770" s="317"/>
      <c r="D770" s="302"/>
      <c r="E770" s="302"/>
      <c r="F770" s="289"/>
      <c r="G770" s="289"/>
      <c r="H770" s="302"/>
      <c r="I770" s="302"/>
      <c r="J770" s="289"/>
      <c r="L770" s="183"/>
      <c r="O770" s="3"/>
      <c r="P770" s="3"/>
    </row>
    <row r="771" spans="1:16" s="69" customFormat="1">
      <c r="A771" s="301"/>
      <c r="B771" s="317"/>
      <c r="C771" s="317"/>
      <c r="D771" s="302"/>
      <c r="E771" s="302"/>
      <c r="F771" s="289"/>
      <c r="G771" s="289"/>
      <c r="H771" s="302"/>
      <c r="I771" s="302"/>
      <c r="J771" s="289"/>
      <c r="L771" s="183"/>
      <c r="O771" s="3"/>
      <c r="P771" s="3"/>
    </row>
    <row r="772" spans="1:16" s="69" customFormat="1">
      <c r="A772" s="301"/>
      <c r="B772" s="317"/>
      <c r="C772" s="317"/>
      <c r="D772" s="302"/>
      <c r="E772" s="302"/>
      <c r="F772" s="289"/>
      <c r="G772" s="289"/>
      <c r="H772" s="302"/>
      <c r="I772" s="302"/>
      <c r="J772" s="289"/>
      <c r="L772" s="183"/>
      <c r="O772" s="3"/>
      <c r="P772" s="3"/>
    </row>
    <row r="773" spans="1:16" s="69" customFormat="1">
      <c r="A773" s="301"/>
      <c r="B773" s="317"/>
      <c r="C773" s="317"/>
      <c r="D773" s="302"/>
      <c r="E773" s="302"/>
      <c r="F773" s="289"/>
      <c r="G773" s="289"/>
      <c r="H773" s="302"/>
      <c r="I773" s="302"/>
      <c r="J773" s="289"/>
      <c r="L773" s="183"/>
      <c r="O773" s="3"/>
      <c r="P773" s="3"/>
    </row>
    <row r="774" spans="1:16" s="69" customFormat="1">
      <c r="A774" s="301"/>
      <c r="B774" s="317"/>
      <c r="C774" s="317"/>
      <c r="D774" s="302"/>
      <c r="E774" s="302"/>
      <c r="F774" s="289"/>
      <c r="G774" s="289"/>
      <c r="H774" s="302"/>
      <c r="I774" s="302"/>
      <c r="J774" s="289"/>
      <c r="L774" s="183"/>
      <c r="O774" s="3"/>
      <c r="P774" s="3"/>
    </row>
    <row r="775" spans="1:16" s="69" customFormat="1">
      <c r="A775" s="301"/>
      <c r="B775" s="317"/>
      <c r="C775" s="317"/>
      <c r="D775" s="302"/>
      <c r="E775" s="302"/>
      <c r="F775" s="289"/>
      <c r="G775" s="289"/>
      <c r="H775" s="302"/>
      <c r="I775" s="302"/>
      <c r="J775" s="289"/>
      <c r="L775" s="183"/>
      <c r="O775" s="3"/>
      <c r="P775" s="3"/>
    </row>
    <row r="776" spans="1:16" s="69" customFormat="1">
      <c r="A776" s="301"/>
      <c r="B776" s="317"/>
      <c r="C776" s="317"/>
      <c r="D776" s="302"/>
      <c r="E776" s="302"/>
      <c r="F776" s="289"/>
      <c r="G776" s="289"/>
      <c r="H776" s="302"/>
      <c r="I776" s="302"/>
      <c r="J776" s="289"/>
      <c r="L776" s="183"/>
      <c r="O776" s="3"/>
      <c r="P776" s="3"/>
    </row>
    <row r="777" spans="1:16" s="69" customFormat="1">
      <c r="A777" s="301"/>
      <c r="B777" s="317"/>
      <c r="C777" s="317"/>
      <c r="D777" s="302"/>
      <c r="E777" s="302"/>
      <c r="F777" s="289"/>
      <c r="G777" s="289"/>
      <c r="H777" s="302"/>
      <c r="I777" s="302"/>
      <c r="J777" s="289"/>
      <c r="L777" s="183"/>
      <c r="O777" s="3"/>
      <c r="P777" s="3"/>
    </row>
    <row r="778" spans="1:16" s="69" customFormat="1">
      <c r="A778" s="301"/>
      <c r="B778" s="317"/>
      <c r="C778" s="317"/>
      <c r="D778" s="302"/>
      <c r="E778" s="302"/>
      <c r="F778" s="289"/>
      <c r="G778" s="289"/>
      <c r="H778" s="302"/>
      <c r="I778" s="302"/>
      <c r="J778" s="289"/>
      <c r="L778" s="183"/>
      <c r="O778" s="3"/>
      <c r="P778" s="3"/>
    </row>
    <row r="779" spans="1:16" s="69" customFormat="1">
      <c r="A779" s="301"/>
      <c r="B779" s="317"/>
      <c r="C779" s="317"/>
      <c r="D779" s="302"/>
      <c r="E779" s="302"/>
      <c r="F779" s="289"/>
      <c r="G779" s="289"/>
      <c r="H779" s="302"/>
      <c r="I779" s="302"/>
      <c r="J779" s="289"/>
      <c r="L779" s="183"/>
      <c r="O779" s="3"/>
      <c r="P779" s="3"/>
    </row>
    <row r="780" spans="1:16" s="69" customFormat="1">
      <c r="A780" s="301"/>
      <c r="B780" s="317"/>
      <c r="C780" s="317"/>
      <c r="D780" s="302"/>
      <c r="E780" s="302"/>
      <c r="F780" s="289"/>
      <c r="G780" s="289"/>
      <c r="H780" s="302"/>
      <c r="I780" s="302"/>
      <c r="J780" s="289"/>
      <c r="L780" s="183"/>
      <c r="O780" s="3"/>
      <c r="P780" s="3"/>
    </row>
    <row r="781" spans="1:16" s="69" customFormat="1">
      <c r="A781" s="301"/>
      <c r="B781" s="317"/>
      <c r="C781" s="317"/>
      <c r="D781" s="302"/>
      <c r="E781" s="302"/>
      <c r="F781" s="289"/>
      <c r="G781" s="289"/>
      <c r="H781" s="302"/>
      <c r="I781" s="302"/>
      <c r="J781" s="289"/>
      <c r="L781" s="183"/>
      <c r="O781" s="3"/>
      <c r="P781" s="3"/>
    </row>
    <row r="782" spans="1:16" s="69" customFormat="1">
      <c r="A782" s="301"/>
      <c r="B782" s="317"/>
      <c r="C782" s="317"/>
      <c r="D782" s="302"/>
      <c r="E782" s="302"/>
      <c r="F782" s="289"/>
      <c r="G782" s="289"/>
      <c r="H782" s="302"/>
      <c r="I782" s="302"/>
      <c r="J782" s="289"/>
      <c r="L782" s="183"/>
      <c r="O782" s="3"/>
      <c r="P782" s="3"/>
    </row>
    <row r="783" spans="1:16" s="69" customFormat="1">
      <c r="A783" s="301"/>
      <c r="B783" s="317"/>
      <c r="C783" s="317"/>
      <c r="D783" s="302"/>
      <c r="E783" s="302"/>
      <c r="F783" s="289"/>
      <c r="G783" s="289"/>
      <c r="H783" s="302"/>
      <c r="I783" s="302"/>
      <c r="J783" s="289"/>
      <c r="L783" s="183"/>
      <c r="O783" s="3"/>
      <c r="P783" s="3"/>
    </row>
    <row r="784" spans="1:16" s="69" customFormat="1">
      <c r="A784" s="301"/>
      <c r="B784" s="317"/>
      <c r="C784" s="317"/>
      <c r="D784" s="302"/>
      <c r="E784" s="302"/>
      <c r="F784" s="289"/>
      <c r="G784" s="289"/>
      <c r="H784" s="302"/>
      <c r="I784" s="302"/>
      <c r="J784" s="289"/>
      <c r="L784" s="183"/>
      <c r="O784" s="3"/>
      <c r="P784" s="3"/>
    </row>
    <row r="785" spans="1:16" s="69" customFormat="1">
      <c r="A785" s="301"/>
      <c r="B785" s="317"/>
      <c r="C785" s="317"/>
      <c r="D785" s="302"/>
      <c r="E785" s="302"/>
      <c r="F785" s="289"/>
      <c r="G785" s="289"/>
      <c r="H785" s="302"/>
      <c r="I785" s="302"/>
      <c r="J785" s="289"/>
      <c r="L785" s="183"/>
      <c r="O785" s="3"/>
      <c r="P785" s="3"/>
    </row>
    <row r="786" spans="1:16" s="69" customFormat="1">
      <c r="A786" s="301"/>
      <c r="B786" s="317"/>
      <c r="C786" s="317"/>
      <c r="D786" s="302"/>
      <c r="E786" s="302"/>
      <c r="F786" s="289"/>
      <c r="G786" s="289"/>
      <c r="H786" s="302"/>
      <c r="I786" s="302"/>
      <c r="J786" s="289"/>
      <c r="L786" s="183"/>
      <c r="O786" s="3"/>
      <c r="P786" s="3"/>
    </row>
    <row r="787" spans="1:16" s="69" customFormat="1">
      <c r="A787" s="301"/>
      <c r="B787" s="317"/>
      <c r="C787" s="317"/>
      <c r="D787" s="302"/>
      <c r="E787" s="302"/>
      <c r="F787" s="289"/>
      <c r="G787" s="289"/>
      <c r="H787" s="302"/>
      <c r="I787" s="302"/>
      <c r="J787" s="289"/>
      <c r="L787" s="183"/>
      <c r="O787" s="3"/>
      <c r="P787" s="3"/>
    </row>
    <row r="788" spans="1:16" s="69" customFormat="1">
      <c r="A788" s="301"/>
      <c r="B788" s="317"/>
      <c r="C788" s="317"/>
      <c r="D788" s="302"/>
      <c r="E788" s="302"/>
      <c r="F788" s="289"/>
      <c r="G788" s="289"/>
      <c r="H788" s="302"/>
      <c r="I788" s="302"/>
      <c r="J788" s="289"/>
      <c r="L788" s="183"/>
      <c r="O788" s="3"/>
      <c r="P788" s="3"/>
    </row>
    <row r="789" spans="1:16" s="69" customFormat="1">
      <c r="A789" s="301"/>
      <c r="B789" s="317"/>
      <c r="C789" s="317"/>
      <c r="D789" s="302"/>
      <c r="E789" s="302"/>
      <c r="F789" s="289"/>
      <c r="G789" s="289"/>
      <c r="H789" s="302"/>
      <c r="I789" s="302"/>
      <c r="J789" s="289"/>
      <c r="L789" s="183"/>
      <c r="O789" s="3"/>
      <c r="P789" s="3"/>
    </row>
    <row r="790" spans="1:16" s="69" customFormat="1">
      <c r="A790" s="301"/>
      <c r="B790" s="317"/>
      <c r="C790" s="317"/>
      <c r="D790" s="302"/>
      <c r="E790" s="302"/>
      <c r="F790" s="289"/>
      <c r="G790" s="289"/>
      <c r="H790" s="302"/>
      <c r="I790" s="302"/>
      <c r="J790" s="289"/>
      <c r="L790" s="183"/>
      <c r="O790" s="3"/>
      <c r="P790" s="3"/>
    </row>
    <row r="791" spans="1:16" s="69" customFormat="1">
      <c r="A791" s="301"/>
      <c r="B791" s="317"/>
      <c r="C791" s="317"/>
      <c r="D791" s="302"/>
      <c r="E791" s="302"/>
      <c r="F791" s="289"/>
      <c r="G791" s="289"/>
      <c r="H791" s="302"/>
      <c r="I791" s="302"/>
      <c r="J791" s="289"/>
      <c r="L791" s="183"/>
      <c r="O791" s="3"/>
      <c r="P791" s="3"/>
    </row>
    <row r="792" spans="1:16" s="69" customFormat="1">
      <c r="A792" s="301"/>
      <c r="B792" s="317"/>
      <c r="C792" s="317"/>
      <c r="D792" s="302"/>
      <c r="E792" s="302"/>
      <c r="F792" s="289"/>
      <c r="G792" s="289"/>
      <c r="H792" s="302"/>
      <c r="I792" s="302"/>
      <c r="J792" s="289"/>
      <c r="L792" s="183"/>
      <c r="O792" s="3"/>
      <c r="P792" s="3"/>
    </row>
    <row r="793" spans="1:16" s="69" customFormat="1">
      <c r="A793" s="301"/>
      <c r="B793" s="317"/>
      <c r="C793" s="317"/>
      <c r="D793" s="302"/>
      <c r="E793" s="302"/>
      <c r="F793" s="289"/>
      <c r="G793" s="289"/>
      <c r="H793" s="302"/>
      <c r="I793" s="302"/>
      <c r="J793" s="289"/>
      <c r="L793" s="183"/>
      <c r="O793" s="3"/>
      <c r="P793" s="3"/>
    </row>
    <row r="794" spans="1:16" s="69" customFormat="1">
      <c r="A794" s="301"/>
      <c r="B794" s="317"/>
      <c r="C794" s="317"/>
      <c r="D794" s="302"/>
      <c r="E794" s="302"/>
      <c r="F794" s="289"/>
      <c r="G794" s="289"/>
      <c r="H794" s="302"/>
      <c r="I794" s="302"/>
      <c r="J794" s="289"/>
      <c r="L794" s="183"/>
      <c r="O794" s="3"/>
      <c r="P794" s="3"/>
    </row>
    <row r="795" spans="1:16" s="69" customFormat="1">
      <c r="A795" s="301"/>
      <c r="B795" s="317"/>
      <c r="C795" s="317"/>
      <c r="D795" s="302"/>
      <c r="E795" s="302"/>
      <c r="F795" s="289"/>
      <c r="G795" s="289"/>
      <c r="H795" s="302"/>
      <c r="I795" s="302"/>
      <c r="J795" s="289"/>
      <c r="L795" s="183"/>
      <c r="O795" s="3"/>
      <c r="P795" s="3"/>
    </row>
    <row r="796" spans="1:16" s="69" customFormat="1">
      <c r="A796" s="301"/>
      <c r="B796" s="317"/>
      <c r="C796" s="317"/>
      <c r="D796" s="302"/>
      <c r="E796" s="302"/>
      <c r="F796" s="289"/>
      <c r="G796" s="289"/>
      <c r="H796" s="302"/>
      <c r="I796" s="302"/>
      <c r="J796" s="289"/>
      <c r="L796" s="183"/>
      <c r="O796" s="3"/>
      <c r="P796" s="3"/>
    </row>
    <row r="797" spans="1:16" s="69" customFormat="1">
      <c r="A797" s="301"/>
      <c r="B797" s="317"/>
      <c r="C797" s="317"/>
      <c r="D797" s="302"/>
      <c r="E797" s="302"/>
      <c r="F797" s="289"/>
      <c r="G797" s="289"/>
      <c r="H797" s="302"/>
      <c r="I797" s="302"/>
      <c r="J797" s="289"/>
      <c r="L797" s="183"/>
      <c r="O797" s="3"/>
      <c r="P797" s="3"/>
    </row>
    <row r="798" spans="1:16" s="69" customFormat="1">
      <c r="A798" s="301"/>
      <c r="B798" s="317"/>
      <c r="C798" s="317"/>
      <c r="D798" s="302"/>
      <c r="E798" s="302"/>
      <c r="F798" s="289"/>
      <c r="G798" s="289"/>
      <c r="H798" s="302"/>
      <c r="I798" s="302"/>
      <c r="J798" s="289"/>
      <c r="L798" s="183"/>
      <c r="O798" s="3"/>
      <c r="P798" s="3"/>
    </row>
    <row r="799" spans="1:16" s="69" customFormat="1">
      <c r="A799" s="301"/>
      <c r="B799" s="317"/>
      <c r="C799" s="317"/>
      <c r="D799" s="302"/>
      <c r="E799" s="302"/>
      <c r="F799" s="289"/>
      <c r="G799" s="289"/>
      <c r="H799" s="302"/>
      <c r="I799" s="302"/>
      <c r="J799" s="289"/>
      <c r="L799" s="183"/>
      <c r="O799" s="3"/>
      <c r="P799" s="3"/>
    </row>
    <row r="800" spans="1:16" s="69" customFormat="1">
      <c r="A800" s="301"/>
      <c r="B800" s="317"/>
      <c r="C800" s="317"/>
      <c r="D800" s="302"/>
      <c r="E800" s="302"/>
      <c r="F800" s="289"/>
      <c r="G800" s="289"/>
      <c r="H800" s="302"/>
      <c r="I800" s="302"/>
      <c r="J800" s="289"/>
      <c r="L800" s="183"/>
      <c r="O800" s="3"/>
      <c r="P800" s="3"/>
    </row>
    <row r="801" spans="1:16" s="69" customFormat="1">
      <c r="A801" s="301"/>
      <c r="B801" s="317"/>
      <c r="C801" s="317"/>
      <c r="D801" s="302"/>
      <c r="E801" s="302"/>
      <c r="F801" s="289"/>
      <c r="G801" s="289"/>
      <c r="H801" s="302"/>
      <c r="I801" s="302"/>
      <c r="J801" s="289"/>
      <c r="L801" s="183"/>
      <c r="O801" s="3"/>
      <c r="P801" s="3"/>
    </row>
    <row r="802" spans="1:16" s="69" customFormat="1">
      <c r="A802" s="301"/>
      <c r="B802" s="317"/>
      <c r="C802" s="317"/>
      <c r="D802" s="302"/>
      <c r="E802" s="302"/>
      <c r="F802" s="289"/>
      <c r="G802" s="289"/>
      <c r="H802" s="302"/>
      <c r="I802" s="302"/>
      <c r="J802" s="289"/>
      <c r="L802" s="183"/>
      <c r="O802" s="3"/>
      <c r="P802" s="3"/>
    </row>
    <row r="803" spans="1:16" s="69" customFormat="1">
      <c r="A803" s="301"/>
      <c r="B803" s="317"/>
      <c r="C803" s="317"/>
      <c r="D803" s="302"/>
      <c r="E803" s="302"/>
      <c r="F803" s="289"/>
      <c r="G803" s="289"/>
      <c r="H803" s="302"/>
      <c r="I803" s="302"/>
      <c r="J803" s="289"/>
      <c r="L803" s="183"/>
      <c r="O803" s="3"/>
      <c r="P803" s="3"/>
    </row>
    <row r="804" spans="1:16" s="69" customFormat="1">
      <c r="A804" s="301"/>
      <c r="B804" s="317"/>
      <c r="C804" s="317"/>
      <c r="D804" s="302"/>
      <c r="E804" s="302"/>
      <c r="F804" s="289"/>
      <c r="G804" s="289"/>
      <c r="H804" s="302"/>
      <c r="I804" s="302"/>
      <c r="J804" s="289"/>
      <c r="L804" s="183"/>
      <c r="O804" s="3"/>
      <c r="P804" s="3"/>
    </row>
    <row r="805" spans="1:16" s="69" customFormat="1">
      <c r="A805" s="301"/>
      <c r="B805" s="317"/>
      <c r="C805" s="317"/>
      <c r="D805" s="302"/>
      <c r="E805" s="302"/>
      <c r="F805" s="289"/>
      <c r="G805" s="289"/>
      <c r="H805" s="302"/>
      <c r="I805" s="302"/>
      <c r="J805" s="289"/>
      <c r="L805" s="183"/>
      <c r="O805" s="3"/>
      <c r="P805" s="3"/>
    </row>
    <row r="806" spans="1:16" s="69" customFormat="1">
      <c r="A806" s="301"/>
      <c r="B806" s="317"/>
      <c r="C806" s="317"/>
      <c r="D806" s="302"/>
      <c r="E806" s="302"/>
      <c r="F806" s="289"/>
      <c r="G806" s="289"/>
      <c r="H806" s="302"/>
      <c r="I806" s="302"/>
      <c r="J806" s="289"/>
      <c r="L806" s="183"/>
      <c r="O806" s="3"/>
      <c r="P806" s="3"/>
    </row>
    <row r="807" spans="1:16" s="69" customFormat="1">
      <c r="A807" s="301"/>
      <c r="B807" s="317"/>
      <c r="C807" s="317"/>
      <c r="D807" s="302"/>
      <c r="E807" s="302"/>
      <c r="F807" s="289"/>
      <c r="G807" s="289"/>
      <c r="H807" s="302"/>
      <c r="I807" s="302"/>
      <c r="J807" s="289"/>
      <c r="L807" s="183"/>
      <c r="O807" s="3"/>
      <c r="P807" s="3"/>
    </row>
    <row r="808" spans="1:16" s="69" customFormat="1">
      <c r="A808" s="301"/>
      <c r="B808" s="317"/>
      <c r="C808" s="317"/>
      <c r="D808" s="302"/>
      <c r="E808" s="302"/>
      <c r="F808" s="289"/>
      <c r="G808" s="289"/>
      <c r="H808" s="302"/>
      <c r="I808" s="302"/>
      <c r="J808" s="289"/>
      <c r="L808" s="183"/>
      <c r="O808" s="3"/>
      <c r="P808" s="3"/>
    </row>
    <row r="809" spans="1:16" s="69" customFormat="1">
      <c r="A809" s="301"/>
      <c r="B809" s="317"/>
      <c r="C809" s="317"/>
      <c r="D809" s="302"/>
      <c r="E809" s="302"/>
      <c r="F809" s="289"/>
      <c r="G809" s="289"/>
      <c r="H809" s="302"/>
      <c r="I809" s="302"/>
      <c r="J809" s="289"/>
      <c r="L809" s="183"/>
      <c r="O809" s="3"/>
      <c r="P809" s="3"/>
    </row>
    <row r="810" spans="1:16" s="69" customFormat="1">
      <c r="A810" s="301"/>
      <c r="B810" s="317"/>
      <c r="C810" s="317"/>
      <c r="D810" s="302"/>
      <c r="E810" s="302"/>
      <c r="F810" s="289"/>
      <c r="G810" s="289"/>
      <c r="H810" s="302"/>
      <c r="I810" s="302"/>
      <c r="J810" s="289"/>
      <c r="L810" s="183"/>
      <c r="O810" s="3"/>
      <c r="P810" s="3"/>
    </row>
    <row r="811" spans="1:16" s="69" customFormat="1">
      <c r="A811" s="301"/>
      <c r="B811" s="317"/>
      <c r="C811" s="317"/>
      <c r="D811" s="302"/>
      <c r="E811" s="302"/>
      <c r="F811" s="289"/>
      <c r="G811" s="289"/>
      <c r="H811" s="302"/>
      <c r="I811" s="302"/>
      <c r="J811" s="289"/>
      <c r="L811" s="183"/>
      <c r="O811" s="3"/>
      <c r="P811" s="3"/>
    </row>
    <row r="812" spans="1:16" s="69" customFormat="1">
      <c r="A812" s="301"/>
      <c r="B812" s="317"/>
      <c r="C812" s="317"/>
      <c r="D812" s="302"/>
      <c r="E812" s="302"/>
      <c r="F812" s="289"/>
      <c r="G812" s="289"/>
      <c r="H812" s="302"/>
      <c r="I812" s="302"/>
      <c r="J812" s="289"/>
      <c r="L812" s="183"/>
      <c r="O812" s="3"/>
      <c r="P812" s="3"/>
    </row>
    <row r="813" spans="1:16" s="69" customFormat="1">
      <c r="A813" s="301"/>
      <c r="B813" s="317"/>
      <c r="C813" s="317"/>
      <c r="D813" s="302"/>
      <c r="E813" s="302"/>
      <c r="F813" s="289"/>
      <c r="G813" s="289"/>
      <c r="H813" s="302"/>
      <c r="I813" s="302"/>
      <c r="J813" s="289"/>
      <c r="L813" s="183"/>
      <c r="O813" s="3"/>
      <c r="P813" s="3"/>
    </row>
    <row r="814" spans="1:16" s="69" customFormat="1">
      <c r="A814" s="301"/>
      <c r="B814" s="317"/>
      <c r="C814" s="317"/>
      <c r="D814" s="302"/>
      <c r="E814" s="302"/>
      <c r="F814" s="289"/>
      <c r="G814" s="289"/>
      <c r="H814" s="302"/>
      <c r="I814" s="302"/>
      <c r="J814" s="289"/>
      <c r="L814" s="183"/>
      <c r="O814" s="3"/>
      <c r="P814" s="3"/>
    </row>
    <row r="815" spans="1:16" s="69" customFormat="1">
      <c r="A815" s="301"/>
      <c r="B815" s="317"/>
      <c r="C815" s="317"/>
      <c r="D815" s="302"/>
      <c r="E815" s="302"/>
      <c r="F815" s="289"/>
      <c r="G815" s="289"/>
      <c r="H815" s="302"/>
      <c r="I815" s="302"/>
      <c r="J815" s="289"/>
      <c r="L815" s="183"/>
      <c r="O815" s="3"/>
      <c r="P815" s="3"/>
    </row>
    <row r="816" spans="1:16" s="69" customFormat="1">
      <c r="A816" s="301"/>
      <c r="B816" s="317"/>
      <c r="C816" s="317"/>
      <c r="D816" s="302"/>
      <c r="E816" s="302"/>
      <c r="F816" s="289"/>
      <c r="G816" s="289"/>
      <c r="H816" s="302"/>
      <c r="I816" s="302"/>
      <c r="J816" s="289"/>
      <c r="L816" s="183"/>
      <c r="O816" s="3"/>
      <c r="P816" s="3"/>
    </row>
    <row r="817" spans="1:16" s="69" customFormat="1">
      <c r="A817" s="301"/>
      <c r="B817" s="317"/>
      <c r="C817" s="317"/>
      <c r="D817" s="302"/>
      <c r="E817" s="302"/>
      <c r="F817" s="289"/>
      <c r="G817" s="289"/>
      <c r="H817" s="302"/>
      <c r="I817" s="302"/>
      <c r="J817" s="289"/>
      <c r="L817" s="183"/>
      <c r="O817" s="3"/>
      <c r="P817" s="3"/>
    </row>
    <row r="818" spans="1:16" s="69" customFormat="1">
      <c r="A818" s="301"/>
      <c r="B818" s="317"/>
      <c r="C818" s="317"/>
      <c r="D818" s="302"/>
      <c r="E818" s="302"/>
      <c r="F818" s="289"/>
      <c r="G818" s="289"/>
      <c r="H818" s="302"/>
      <c r="I818" s="302"/>
      <c r="J818" s="289"/>
      <c r="L818" s="183"/>
      <c r="O818" s="3"/>
      <c r="P818" s="3"/>
    </row>
    <row r="819" spans="1:16" s="69" customFormat="1">
      <c r="A819" s="301"/>
      <c r="B819" s="317"/>
      <c r="C819" s="317"/>
      <c r="D819" s="302"/>
      <c r="E819" s="302"/>
      <c r="F819" s="289"/>
      <c r="G819" s="289"/>
      <c r="H819" s="302"/>
      <c r="I819" s="302"/>
      <c r="J819" s="289"/>
      <c r="L819" s="183"/>
      <c r="O819" s="3"/>
      <c r="P819" s="3"/>
    </row>
    <row r="820" spans="1:16" s="69" customFormat="1">
      <c r="A820" s="301"/>
      <c r="B820" s="317"/>
      <c r="C820" s="317"/>
      <c r="D820" s="302"/>
      <c r="E820" s="302"/>
      <c r="F820" s="289"/>
      <c r="G820" s="289"/>
      <c r="H820" s="302"/>
      <c r="I820" s="302"/>
      <c r="J820" s="289"/>
      <c r="L820" s="183"/>
      <c r="O820" s="3"/>
      <c r="P820" s="3"/>
    </row>
    <row r="821" spans="1:16" s="69" customFormat="1">
      <c r="A821" s="301"/>
      <c r="B821" s="317"/>
      <c r="C821" s="317"/>
      <c r="D821" s="302"/>
      <c r="E821" s="302"/>
      <c r="F821" s="289"/>
      <c r="G821" s="289"/>
      <c r="H821" s="302"/>
      <c r="I821" s="302"/>
      <c r="J821" s="289"/>
      <c r="L821" s="183"/>
      <c r="O821" s="3"/>
      <c r="P821" s="3"/>
    </row>
    <row r="822" spans="1:16" s="69" customFormat="1">
      <c r="A822" s="301"/>
      <c r="B822" s="317"/>
      <c r="C822" s="317"/>
      <c r="D822" s="302"/>
      <c r="E822" s="302"/>
      <c r="F822" s="289"/>
      <c r="G822" s="289"/>
      <c r="H822" s="302"/>
      <c r="I822" s="302"/>
      <c r="J822" s="289"/>
      <c r="L822" s="183"/>
      <c r="O822" s="3"/>
      <c r="P822" s="3"/>
    </row>
    <row r="823" spans="1:16" s="69" customFormat="1">
      <c r="A823" s="301"/>
      <c r="B823" s="317"/>
      <c r="C823" s="317"/>
      <c r="D823" s="302"/>
      <c r="E823" s="302"/>
      <c r="F823" s="289"/>
      <c r="G823" s="289"/>
      <c r="H823" s="302"/>
      <c r="I823" s="302"/>
      <c r="J823" s="289"/>
      <c r="L823" s="183"/>
      <c r="O823" s="3"/>
      <c r="P823" s="3"/>
    </row>
    <row r="824" spans="1:16" s="69" customFormat="1">
      <c r="A824" s="301"/>
      <c r="B824" s="317"/>
      <c r="C824" s="317"/>
      <c r="D824" s="302"/>
      <c r="E824" s="302"/>
      <c r="F824" s="289"/>
      <c r="G824" s="289"/>
      <c r="H824" s="302"/>
      <c r="I824" s="302"/>
      <c r="J824" s="289"/>
      <c r="L824" s="183"/>
      <c r="O824" s="3"/>
      <c r="P824" s="3"/>
    </row>
    <row r="825" spans="1:16" s="69" customFormat="1">
      <c r="A825" s="301"/>
      <c r="B825" s="317"/>
      <c r="C825" s="317"/>
      <c r="D825" s="302"/>
      <c r="E825" s="302"/>
      <c r="F825" s="289"/>
      <c r="G825" s="289"/>
      <c r="H825" s="302"/>
      <c r="I825" s="302"/>
      <c r="J825" s="289"/>
      <c r="L825" s="183"/>
      <c r="O825" s="3"/>
      <c r="P825" s="3"/>
    </row>
    <row r="826" spans="1:16" s="69" customFormat="1">
      <c r="A826" s="301"/>
      <c r="B826" s="317"/>
      <c r="C826" s="317"/>
      <c r="D826" s="302"/>
      <c r="E826" s="302"/>
      <c r="F826" s="289"/>
      <c r="G826" s="289"/>
      <c r="H826" s="302"/>
      <c r="I826" s="302"/>
      <c r="J826" s="289"/>
      <c r="L826" s="183"/>
      <c r="O826" s="3"/>
      <c r="P826" s="3"/>
    </row>
    <row r="827" spans="1:16" s="69" customFormat="1">
      <c r="A827" s="301"/>
      <c r="B827" s="317"/>
      <c r="C827" s="317"/>
      <c r="D827" s="302"/>
      <c r="E827" s="302"/>
      <c r="F827" s="289"/>
      <c r="G827" s="289"/>
      <c r="H827" s="302"/>
      <c r="I827" s="302"/>
      <c r="J827" s="289"/>
      <c r="L827" s="183"/>
      <c r="O827" s="3"/>
      <c r="P827" s="3"/>
    </row>
    <row r="828" spans="1:16" s="69" customFormat="1">
      <c r="A828" s="301"/>
      <c r="B828" s="317"/>
      <c r="C828" s="317"/>
      <c r="D828" s="302"/>
      <c r="E828" s="302"/>
      <c r="F828" s="289"/>
      <c r="G828" s="289"/>
      <c r="H828" s="302"/>
      <c r="I828" s="302"/>
      <c r="J828" s="289"/>
      <c r="L828" s="183"/>
      <c r="O828" s="3"/>
      <c r="P828" s="3"/>
    </row>
    <row r="829" spans="1:16" s="69" customFormat="1">
      <c r="A829" s="301"/>
      <c r="B829" s="317"/>
      <c r="C829" s="317"/>
      <c r="D829" s="302"/>
      <c r="E829" s="302"/>
      <c r="F829" s="289"/>
      <c r="G829" s="289"/>
      <c r="H829" s="302"/>
      <c r="I829" s="302"/>
      <c r="J829" s="289"/>
      <c r="L829" s="183"/>
      <c r="O829" s="3"/>
      <c r="P829" s="3"/>
    </row>
    <row r="830" spans="1:16" s="69" customFormat="1">
      <c r="A830" s="301"/>
      <c r="B830" s="317"/>
      <c r="C830" s="317"/>
      <c r="D830" s="302"/>
      <c r="E830" s="302"/>
      <c r="F830" s="289"/>
      <c r="G830" s="289"/>
      <c r="H830" s="302"/>
      <c r="I830" s="302"/>
      <c r="J830" s="289"/>
      <c r="L830" s="183"/>
      <c r="O830" s="3"/>
      <c r="P830" s="3"/>
    </row>
    <row r="831" spans="1:16" s="69" customFormat="1">
      <c r="A831" s="301"/>
      <c r="B831" s="317"/>
      <c r="C831" s="317"/>
      <c r="D831" s="302"/>
      <c r="E831" s="302"/>
      <c r="F831" s="289"/>
      <c r="G831" s="289"/>
      <c r="H831" s="302"/>
      <c r="I831" s="302"/>
      <c r="J831" s="289"/>
      <c r="L831" s="183"/>
      <c r="O831" s="3"/>
      <c r="P831" s="3"/>
    </row>
    <row r="832" spans="1:16" s="69" customFormat="1">
      <c r="A832" s="301"/>
      <c r="B832" s="317"/>
      <c r="C832" s="317"/>
      <c r="D832" s="302"/>
      <c r="E832" s="302"/>
      <c r="F832" s="289"/>
      <c r="G832" s="289"/>
      <c r="H832" s="302"/>
      <c r="I832" s="302"/>
      <c r="J832" s="289"/>
      <c r="L832" s="183"/>
      <c r="O832" s="3"/>
      <c r="P832" s="3"/>
    </row>
    <row r="833" spans="1:16" s="69" customFormat="1">
      <c r="A833" s="301"/>
      <c r="B833" s="317"/>
      <c r="C833" s="317"/>
      <c r="D833" s="302"/>
      <c r="E833" s="302"/>
      <c r="F833" s="289"/>
      <c r="G833" s="289"/>
      <c r="H833" s="302"/>
      <c r="I833" s="302"/>
      <c r="J833" s="289"/>
      <c r="L833" s="183"/>
      <c r="O833" s="3"/>
      <c r="P833" s="3"/>
    </row>
    <row r="834" spans="1:16" s="69" customFormat="1">
      <c r="A834" s="301"/>
      <c r="B834" s="317"/>
      <c r="C834" s="317"/>
      <c r="D834" s="302"/>
      <c r="E834" s="302"/>
      <c r="F834" s="289"/>
      <c r="G834" s="289"/>
      <c r="H834" s="302"/>
      <c r="I834" s="302"/>
      <c r="J834" s="289"/>
      <c r="L834" s="183"/>
      <c r="O834" s="3"/>
      <c r="P834" s="3"/>
    </row>
    <row r="835" spans="1:16" s="69" customFormat="1">
      <c r="A835" s="301"/>
      <c r="B835" s="317"/>
      <c r="C835" s="317"/>
      <c r="D835" s="302"/>
      <c r="E835" s="302"/>
      <c r="F835" s="289"/>
      <c r="G835" s="289"/>
      <c r="H835" s="302"/>
      <c r="I835" s="302"/>
      <c r="J835" s="289"/>
      <c r="L835" s="183"/>
      <c r="O835" s="3"/>
      <c r="P835" s="3"/>
    </row>
    <row r="836" spans="1:16" s="69" customFormat="1">
      <c r="A836" s="301"/>
      <c r="B836" s="317"/>
      <c r="C836" s="317"/>
      <c r="D836" s="302"/>
      <c r="E836" s="302"/>
      <c r="F836" s="289"/>
      <c r="G836" s="289"/>
      <c r="H836" s="302"/>
      <c r="I836" s="302"/>
      <c r="J836" s="289"/>
      <c r="L836" s="183"/>
      <c r="O836" s="3"/>
      <c r="P836" s="3"/>
    </row>
    <row r="837" spans="1:16" s="69" customFormat="1">
      <c r="A837" s="301"/>
      <c r="B837" s="317"/>
      <c r="C837" s="317"/>
      <c r="D837" s="302"/>
      <c r="E837" s="302"/>
      <c r="F837" s="289"/>
      <c r="G837" s="289"/>
      <c r="H837" s="302"/>
      <c r="I837" s="302"/>
      <c r="J837" s="289"/>
      <c r="L837" s="183"/>
      <c r="O837" s="3"/>
      <c r="P837" s="3"/>
    </row>
    <row r="838" spans="1:16" s="69" customFormat="1">
      <c r="A838" s="301"/>
      <c r="B838" s="317"/>
      <c r="C838" s="317"/>
      <c r="D838" s="302"/>
      <c r="E838" s="302"/>
      <c r="F838" s="289"/>
      <c r="G838" s="289"/>
      <c r="H838" s="302"/>
      <c r="I838" s="302"/>
      <c r="J838" s="289"/>
      <c r="L838" s="183"/>
      <c r="O838" s="3"/>
      <c r="P838" s="3"/>
    </row>
    <row r="839" spans="1:16" s="69" customFormat="1">
      <c r="A839" s="301"/>
      <c r="B839" s="317"/>
      <c r="C839" s="317"/>
      <c r="D839" s="302"/>
      <c r="E839" s="302"/>
      <c r="F839" s="289"/>
      <c r="G839" s="289"/>
      <c r="H839" s="302"/>
      <c r="I839" s="302"/>
      <c r="J839" s="289"/>
      <c r="L839" s="183"/>
      <c r="O839" s="3"/>
      <c r="P839" s="3"/>
    </row>
    <row r="840" spans="1:16" s="69" customFormat="1">
      <c r="A840" s="301"/>
      <c r="B840" s="317"/>
      <c r="C840" s="317"/>
      <c r="D840" s="302"/>
      <c r="E840" s="302"/>
      <c r="F840" s="289"/>
      <c r="G840" s="289"/>
      <c r="H840" s="302"/>
      <c r="I840" s="302"/>
      <c r="J840" s="289"/>
      <c r="L840" s="183"/>
      <c r="O840" s="3"/>
      <c r="P840" s="3"/>
    </row>
    <row r="841" spans="1:16" s="69" customFormat="1">
      <c r="A841" s="301"/>
      <c r="B841" s="317"/>
      <c r="C841" s="317"/>
      <c r="D841" s="302"/>
      <c r="E841" s="302"/>
      <c r="F841" s="289"/>
      <c r="G841" s="289"/>
      <c r="H841" s="302"/>
      <c r="I841" s="302"/>
      <c r="J841" s="289"/>
      <c r="L841" s="183"/>
      <c r="O841" s="3"/>
      <c r="P841" s="3"/>
    </row>
    <row r="842" spans="1:16" s="69" customFormat="1">
      <c r="A842" s="301"/>
      <c r="B842" s="317"/>
      <c r="C842" s="317"/>
      <c r="D842" s="302"/>
      <c r="E842" s="302"/>
      <c r="F842" s="289"/>
      <c r="G842" s="289"/>
      <c r="H842" s="302"/>
      <c r="I842" s="302"/>
      <c r="J842" s="289"/>
      <c r="L842" s="183"/>
      <c r="O842" s="3"/>
      <c r="P842" s="3"/>
    </row>
    <row r="843" spans="1:16" s="69" customFormat="1">
      <c r="A843" s="301"/>
      <c r="B843" s="317"/>
      <c r="C843" s="317"/>
      <c r="D843" s="302"/>
      <c r="E843" s="302"/>
      <c r="F843" s="289"/>
      <c r="G843" s="289"/>
      <c r="H843" s="302"/>
      <c r="I843" s="302"/>
      <c r="J843" s="289"/>
      <c r="L843" s="183"/>
      <c r="O843" s="3"/>
      <c r="P843" s="3"/>
    </row>
    <row r="844" spans="1:16" s="69" customFormat="1">
      <c r="A844" s="301"/>
      <c r="B844" s="317"/>
      <c r="C844" s="317"/>
      <c r="D844" s="302"/>
      <c r="E844" s="302"/>
      <c r="F844" s="289"/>
      <c r="G844" s="289"/>
      <c r="H844" s="302"/>
      <c r="I844" s="302"/>
      <c r="J844" s="289"/>
      <c r="L844" s="183"/>
      <c r="O844" s="3"/>
      <c r="P844" s="3"/>
    </row>
    <row r="845" spans="1:16" s="69" customFormat="1">
      <c r="A845" s="301"/>
      <c r="B845" s="317"/>
      <c r="C845" s="317"/>
      <c r="D845" s="302"/>
      <c r="E845" s="302"/>
      <c r="F845" s="289"/>
      <c r="G845" s="289"/>
      <c r="H845" s="302"/>
      <c r="I845" s="302"/>
      <c r="J845" s="289"/>
      <c r="L845" s="183"/>
      <c r="O845" s="3"/>
      <c r="P845" s="3"/>
    </row>
    <row r="846" spans="1:16" s="69" customFormat="1">
      <c r="A846" s="301"/>
      <c r="B846" s="317"/>
      <c r="C846" s="317"/>
      <c r="D846" s="302"/>
      <c r="E846" s="302"/>
      <c r="F846" s="289"/>
      <c r="G846" s="289"/>
      <c r="H846" s="302"/>
      <c r="I846" s="302"/>
      <c r="J846" s="289"/>
      <c r="L846" s="183"/>
      <c r="O846" s="3"/>
      <c r="P846" s="3"/>
    </row>
    <row r="847" spans="1:16" s="69" customFormat="1">
      <c r="A847" s="301"/>
      <c r="B847" s="317"/>
      <c r="C847" s="317"/>
      <c r="D847" s="302"/>
      <c r="E847" s="302"/>
      <c r="F847" s="289"/>
      <c r="G847" s="289"/>
      <c r="H847" s="302"/>
      <c r="I847" s="302"/>
      <c r="J847" s="289"/>
      <c r="L847" s="183"/>
      <c r="O847" s="3"/>
      <c r="P847" s="3"/>
    </row>
    <row r="848" spans="1:16" s="69" customFormat="1">
      <c r="A848" s="301"/>
      <c r="B848" s="317"/>
      <c r="C848" s="317"/>
      <c r="D848" s="302"/>
      <c r="E848" s="302"/>
      <c r="F848" s="289"/>
      <c r="G848" s="289"/>
      <c r="H848" s="302"/>
      <c r="I848" s="302"/>
      <c r="J848" s="289"/>
      <c r="L848" s="183"/>
      <c r="O848" s="3"/>
      <c r="P848" s="3"/>
    </row>
    <row r="849" spans="1:16" s="69" customFormat="1">
      <c r="A849" s="301"/>
      <c r="B849" s="317"/>
      <c r="C849" s="317"/>
      <c r="D849" s="302"/>
      <c r="E849" s="302"/>
      <c r="F849" s="289"/>
      <c r="G849" s="289"/>
      <c r="H849" s="302"/>
      <c r="I849" s="302"/>
      <c r="J849" s="289"/>
      <c r="L849" s="183"/>
      <c r="O849" s="3"/>
      <c r="P849" s="3"/>
    </row>
    <row r="850" spans="1:16" s="69" customFormat="1">
      <c r="A850" s="301"/>
      <c r="B850" s="317"/>
      <c r="C850" s="317"/>
      <c r="D850" s="302"/>
      <c r="E850" s="302"/>
      <c r="F850" s="289"/>
      <c r="G850" s="289"/>
      <c r="H850" s="302"/>
      <c r="I850" s="302"/>
      <c r="J850" s="289"/>
      <c r="L850" s="183"/>
      <c r="O850" s="3"/>
      <c r="P850" s="3"/>
    </row>
    <row r="851" spans="1:16" s="69" customFormat="1">
      <c r="A851" s="301"/>
      <c r="B851" s="317"/>
      <c r="C851" s="317"/>
      <c r="D851" s="302"/>
      <c r="E851" s="302"/>
      <c r="F851" s="289"/>
      <c r="G851" s="289"/>
      <c r="H851" s="302"/>
      <c r="I851" s="302"/>
      <c r="J851" s="289"/>
      <c r="L851" s="183"/>
      <c r="O851" s="3"/>
      <c r="P851" s="3"/>
    </row>
    <row r="852" spans="1:16" s="69" customFormat="1">
      <c r="A852" s="301"/>
      <c r="B852" s="317"/>
      <c r="C852" s="317"/>
      <c r="D852" s="302"/>
      <c r="E852" s="302"/>
      <c r="F852" s="289"/>
      <c r="G852" s="289"/>
      <c r="H852" s="302"/>
      <c r="I852" s="302"/>
      <c r="J852" s="289"/>
      <c r="L852" s="183"/>
      <c r="O852" s="3"/>
      <c r="P852" s="3"/>
    </row>
    <row r="853" spans="1:16" s="69" customFormat="1">
      <c r="A853" s="301"/>
      <c r="B853" s="317"/>
      <c r="C853" s="317"/>
      <c r="D853" s="302"/>
      <c r="E853" s="302"/>
      <c r="F853" s="289"/>
      <c r="G853" s="289"/>
      <c r="H853" s="302"/>
      <c r="I853" s="302"/>
      <c r="J853" s="289"/>
      <c r="L853" s="183"/>
      <c r="O853" s="3"/>
      <c r="P853" s="3"/>
    </row>
    <row r="854" spans="1:16" s="69" customFormat="1">
      <c r="A854" s="301"/>
      <c r="B854" s="317"/>
      <c r="C854" s="317"/>
      <c r="D854" s="302"/>
      <c r="E854" s="302"/>
      <c r="F854" s="289"/>
      <c r="G854" s="289"/>
      <c r="H854" s="302"/>
      <c r="I854" s="302"/>
      <c r="J854" s="289"/>
      <c r="L854" s="183"/>
      <c r="O854" s="3"/>
      <c r="P854" s="3"/>
    </row>
    <row r="855" spans="1:16" s="69" customFormat="1">
      <c r="A855" s="301"/>
      <c r="B855" s="317"/>
      <c r="C855" s="317"/>
      <c r="D855" s="302"/>
      <c r="E855" s="302"/>
      <c r="F855" s="289"/>
      <c r="G855" s="289"/>
      <c r="H855" s="302"/>
      <c r="I855" s="302"/>
      <c r="J855" s="289"/>
      <c r="L855" s="183"/>
      <c r="O855" s="3"/>
      <c r="P855" s="3"/>
    </row>
    <row r="856" spans="1:16" s="69" customFormat="1">
      <c r="A856" s="301"/>
      <c r="B856" s="317"/>
      <c r="C856" s="317"/>
      <c r="D856" s="302"/>
      <c r="E856" s="302"/>
      <c r="F856" s="289"/>
      <c r="G856" s="289"/>
      <c r="H856" s="302"/>
      <c r="I856" s="302"/>
      <c r="J856" s="289"/>
      <c r="L856" s="183"/>
      <c r="O856" s="3"/>
      <c r="P856" s="3"/>
    </row>
    <row r="857" spans="1:16" s="69" customFormat="1">
      <c r="A857" s="301"/>
      <c r="B857" s="317"/>
      <c r="C857" s="317"/>
      <c r="D857" s="302"/>
      <c r="E857" s="302"/>
      <c r="F857" s="289"/>
      <c r="G857" s="289"/>
      <c r="H857" s="302"/>
      <c r="I857" s="302"/>
      <c r="J857" s="289"/>
      <c r="L857" s="183"/>
      <c r="O857" s="3"/>
      <c r="P857" s="3"/>
    </row>
    <row r="858" spans="1:16" s="69" customFormat="1">
      <c r="A858" s="301"/>
      <c r="B858" s="317"/>
      <c r="C858" s="317"/>
      <c r="D858" s="302"/>
      <c r="E858" s="302"/>
      <c r="F858" s="289"/>
      <c r="G858" s="289"/>
      <c r="H858" s="302"/>
      <c r="I858" s="302"/>
      <c r="J858" s="289"/>
      <c r="L858" s="183"/>
      <c r="O858" s="3"/>
      <c r="P858" s="3"/>
    </row>
    <row r="859" spans="1:16" s="69" customFormat="1">
      <c r="A859" s="301"/>
      <c r="B859" s="317"/>
      <c r="C859" s="317"/>
      <c r="D859" s="302"/>
      <c r="E859" s="302"/>
      <c r="F859" s="289"/>
      <c r="G859" s="289"/>
      <c r="H859" s="302"/>
      <c r="I859" s="302"/>
      <c r="J859" s="289"/>
      <c r="L859" s="183"/>
      <c r="O859" s="3"/>
      <c r="P859" s="3"/>
    </row>
    <row r="860" spans="1:16" s="69" customFormat="1">
      <c r="A860" s="301"/>
      <c r="B860" s="317"/>
      <c r="C860" s="317"/>
      <c r="D860" s="302"/>
      <c r="E860" s="302"/>
      <c r="F860" s="289"/>
      <c r="G860" s="289"/>
      <c r="H860" s="302"/>
      <c r="I860" s="302"/>
      <c r="J860" s="289"/>
      <c r="L860" s="183"/>
      <c r="O860" s="3"/>
      <c r="P860" s="3"/>
    </row>
    <row r="861" spans="1:16" s="69" customFormat="1">
      <c r="A861" s="301"/>
      <c r="B861" s="317"/>
      <c r="C861" s="317"/>
      <c r="D861" s="302"/>
      <c r="E861" s="302"/>
      <c r="F861" s="289"/>
      <c r="G861" s="289"/>
      <c r="H861" s="302"/>
      <c r="I861" s="302"/>
      <c r="J861" s="289"/>
      <c r="L861" s="183"/>
      <c r="O861" s="3"/>
      <c r="P861" s="3"/>
    </row>
    <row r="862" spans="1:16" s="69" customFormat="1">
      <c r="A862" s="301"/>
      <c r="B862" s="317"/>
      <c r="C862" s="317"/>
      <c r="D862" s="302"/>
      <c r="E862" s="302"/>
      <c r="F862" s="289"/>
      <c r="G862" s="289"/>
      <c r="H862" s="302"/>
      <c r="I862" s="302"/>
      <c r="J862" s="289"/>
      <c r="L862" s="183"/>
      <c r="O862" s="3"/>
      <c r="P862" s="3"/>
    </row>
    <row r="863" spans="1:16" s="69" customFormat="1">
      <c r="A863" s="301"/>
      <c r="B863" s="317"/>
      <c r="C863" s="317"/>
      <c r="D863" s="302"/>
      <c r="E863" s="302"/>
      <c r="F863" s="289"/>
      <c r="G863" s="289"/>
      <c r="H863" s="302"/>
      <c r="I863" s="302"/>
      <c r="J863" s="289"/>
      <c r="L863" s="183"/>
      <c r="O863" s="3"/>
      <c r="P863" s="3"/>
    </row>
    <row r="864" spans="1:16" s="69" customFormat="1">
      <c r="A864" s="301"/>
      <c r="B864" s="317"/>
      <c r="C864" s="317"/>
      <c r="D864" s="302"/>
      <c r="E864" s="302"/>
      <c r="F864" s="289"/>
      <c r="G864" s="289"/>
      <c r="H864" s="302"/>
      <c r="I864" s="302"/>
      <c r="J864" s="289"/>
      <c r="L864" s="183"/>
      <c r="O864" s="3"/>
      <c r="P864" s="3"/>
    </row>
    <row r="865" spans="1:16" s="69" customFormat="1">
      <c r="A865" s="301"/>
      <c r="B865" s="317"/>
      <c r="C865" s="317"/>
      <c r="D865" s="302"/>
      <c r="E865" s="302"/>
      <c r="F865" s="289"/>
      <c r="G865" s="289"/>
      <c r="H865" s="302"/>
      <c r="I865" s="302"/>
      <c r="J865" s="289"/>
      <c r="L865" s="183"/>
      <c r="O865" s="3"/>
      <c r="P865" s="3"/>
    </row>
    <row r="866" spans="1:16" s="69" customFormat="1">
      <c r="A866" s="301"/>
      <c r="B866" s="317"/>
      <c r="C866" s="317"/>
      <c r="D866" s="302"/>
      <c r="E866" s="302"/>
      <c r="F866" s="289"/>
      <c r="G866" s="289"/>
      <c r="H866" s="302"/>
      <c r="I866" s="302"/>
      <c r="J866" s="289"/>
      <c r="L866" s="183"/>
      <c r="O866" s="3"/>
      <c r="P866" s="3"/>
    </row>
    <row r="867" spans="1:16" s="69" customFormat="1">
      <c r="A867" s="301"/>
      <c r="B867" s="317"/>
      <c r="C867" s="317"/>
      <c r="D867" s="302"/>
      <c r="E867" s="302"/>
      <c r="F867" s="289"/>
      <c r="G867" s="289"/>
      <c r="H867" s="302"/>
      <c r="I867" s="302"/>
      <c r="J867" s="289"/>
      <c r="L867" s="183"/>
      <c r="O867" s="3"/>
      <c r="P867" s="3"/>
    </row>
    <row r="868" spans="1:16" s="69" customFormat="1">
      <c r="A868" s="301"/>
      <c r="B868" s="317"/>
      <c r="C868" s="317"/>
      <c r="D868" s="302"/>
      <c r="E868" s="302"/>
      <c r="F868" s="289"/>
      <c r="G868" s="289"/>
      <c r="H868" s="302"/>
      <c r="I868" s="302"/>
      <c r="J868" s="289"/>
      <c r="L868" s="183"/>
      <c r="O868" s="3"/>
      <c r="P868" s="3"/>
    </row>
    <row r="869" spans="1:16" s="69" customFormat="1">
      <c r="A869" s="301"/>
      <c r="B869" s="317"/>
      <c r="C869" s="317"/>
      <c r="D869" s="302"/>
      <c r="E869" s="302"/>
      <c r="F869" s="289"/>
      <c r="G869" s="289"/>
      <c r="H869" s="302"/>
      <c r="I869" s="302"/>
      <c r="J869" s="289"/>
      <c r="L869" s="183"/>
      <c r="O869" s="3"/>
      <c r="P869" s="3"/>
    </row>
    <row r="870" spans="1:16" s="69" customFormat="1">
      <c r="A870" s="301"/>
      <c r="B870" s="317"/>
      <c r="C870" s="317"/>
      <c r="D870" s="302"/>
      <c r="E870" s="302"/>
      <c r="F870" s="289"/>
      <c r="G870" s="289"/>
      <c r="H870" s="302"/>
      <c r="I870" s="302"/>
      <c r="J870" s="289"/>
      <c r="L870" s="183"/>
      <c r="O870" s="3"/>
      <c r="P870" s="3"/>
    </row>
    <row r="871" spans="1:16" s="69" customFormat="1">
      <c r="A871" s="301"/>
      <c r="B871" s="317"/>
      <c r="C871" s="317"/>
      <c r="D871" s="302"/>
      <c r="E871" s="302"/>
      <c r="F871" s="289"/>
      <c r="G871" s="289"/>
      <c r="H871" s="302"/>
      <c r="I871" s="302"/>
      <c r="J871" s="289"/>
      <c r="L871" s="183"/>
      <c r="O871" s="3"/>
      <c r="P871" s="3"/>
    </row>
    <row r="872" spans="1:16" s="69" customFormat="1">
      <c r="A872" s="301"/>
      <c r="B872" s="317"/>
      <c r="C872" s="317"/>
      <c r="D872" s="302"/>
      <c r="E872" s="302"/>
      <c r="F872" s="289"/>
      <c r="G872" s="289"/>
      <c r="H872" s="302"/>
      <c r="I872" s="302"/>
      <c r="J872" s="289"/>
      <c r="L872" s="183"/>
      <c r="O872" s="3"/>
      <c r="P872" s="3"/>
    </row>
    <row r="873" spans="1:16" s="69" customFormat="1">
      <c r="A873" s="301"/>
      <c r="B873" s="317"/>
      <c r="C873" s="317"/>
      <c r="D873" s="302"/>
      <c r="E873" s="302"/>
      <c r="F873" s="289"/>
      <c r="G873" s="289"/>
      <c r="H873" s="302"/>
      <c r="I873" s="302"/>
      <c r="J873" s="289"/>
      <c r="L873" s="183"/>
      <c r="O873" s="3"/>
      <c r="P873" s="3"/>
    </row>
    <row r="874" spans="1:16" s="69" customFormat="1">
      <c r="A874" s="301"/>
      <c r="B874" s="317"/>
      <c r="C874" s="317"/>
      <c r="D874" s="302"/>
      <c r="E874" s="302"/>
      <c r="F874" s="289"/>
      <c r="G874" s="289"/>
      <c r="H874" s="302"/>
      <c r="I874" s="302"/>
      <c r="J874" s="289"/>
      <c r="L874" s="183"/>
      <c r="O874" s="3"/>
      <c r="P874" s="3"/>
    </row>
    <row r="875" spans="1:16" s="69" customFormat="1">
      <c r="A875" s="301"/>
      <c r="B875" s="317"/>
      <c r="C875" s="317"/>
      <c r="D875" s="302"/>
      <c r="E875" s="302"/>
      <c r="F875" s="289"/>
      <c r="G875" s="289"/>
      <c r="H875" s="302"/>
      <c r="I875" s="302"/>
      <c r="J875" s="289"/>
      <c r="L875" s="183"/>
      <c r="O875" s="3"/>
      <c r="P875" s="3"/>
    </row>
    <row r="876" spans="1:16" s="69" customFormat="1">
      <c r="A876" s="301"/>
      <c r="B876" s="317"/>
      <c r="C876" s="317"/>
      <c r="D876" s="302"/>
      <c r="E876" s="302"/>
      <c r="F876" s="289"/>
      <c r="G876" s="289"/>
      <c r="H876" s="302"/>
      <c r="I876" s="302"/>
      <c r="J876" s="289"/>
      <c r="L876" s="183"/>
      <c r="O876" s="3"/>
      <c r="P876" s="3"/>
    </row>
    <row r="877" spans="1:16" s="69" customFormat="1">
      <c r="A877" s="301"/>
      <c r="B877" s="317"/>
      <c r="C877" s="317"/>
      <c r="D877" s="302"/>
      <c r="E877" s="302"/>
      <c r="F877" s="289"/>
      <c r="G877" s="289"/>
      <c r="H877" s="302"/>
      <c r="I877" s="302"/>
      <c r="J877" s="289"/>
      <c r="L877" s="183"/>
      <c r="O877" s="3"/>
      <c r="P877" s="3"/>
    </row>
    <row r="878" spans="1:16" s="69" customFormat="1">
      <c r="A878" s="301"/>
      <c r="B878" s="317"/>
      <c r="C878" s="317"/>
      <c r="D878" s="302"/>
      <c r="E878" s="302"/>
      <c r="F878" s="289"/>
      <c r="G878" s="289"/>
      <c r="H878" s="302"/>
      <c r="I878" s="302"/>
      <c r="J878" s="289"/>
      <c r="L878" s="183"/>
      <c r="O878" s="3"/>
      <c r="P878" s="3"/>
    </row>
    <row r="879" spans="1:16" s="69" customFormat="1">
      <c r="A879" s="301"/>
      <c r="B879" s="317"/>
      <c r="C879" s="317"/>
      <c r="D879" s="302"/>
      <c r="E879" s="302"/>
      <c r="F879" s="289"/>
      <c r="G879" s="289"/>
      <c r="H879" s="302"/>
      <c r="I879" s="302"/>
      <c r="J879" s="289"/>
      <c r="L879" s="183"/>
      <c r="O879" s="3"/>
      <c r="P879" s="3"/>
    </row>
    <row r="880" spans="1:16" s="69" customFormat="1">
      <c r="A880" s="301"/>
      <c r="B880" s="317"/>
      <c r="C880" s="317"/>
      <c r="D880" s="302"/>
      <c r="E880" s="302"/>
      <c r="F880" s="289"/>
      <c r="G880" s="289"/>
      <c r="H880" s="302"/>
      <c r="I880" s="302"/>
      <c r="J880" s="289"/>
      <c r="L880" s="183"/>
      <c r="O880" s="3"/>
      <c r="P880" s="3"/>
    </row>
    <row r="881" spans="1:16" s="69" customFormat="1">
      <c r="A881" s="301"/>
      <c r="B881" s="317"/>
      <c r="C881" s="317"/>
      <c r="D881" s="302"/>
      <c r="E881" s="302"/>
      <c r="F881" s="289"/>
      <c r="G881" s="289"/>
      <c r="H881" s="302"/>
      <c r="I881" s="302"/>
      <c r="J881" s="289"/>
      <c r="L881" s="183"/>
      <c r="O881" s="3"/>
      <c r="P881" s="3"/>
    </row>
    <row r="882" spans="1:16" s="69" customFormat="1">
      <c r="A882" s="301"/>
      <c r="B882" s="317"/>
      <c r="C882" s="317"/>
      <c r="D882" s="302"/>
      <c r="E882" s="302"/>
      <c r="F882" s="289"/>
      <c r="G882" s="289"/>
      <c r="H882" s="302"/>
      <c r="I882" s="302"/>
      <c r="J882" s="289"/>
      <c r="L882" s="183"/>
      <c r="O882" s="3"/>
      <c r="P882" s="3"/>
    </row>
    <row r="883" spans="1:16" s="69" customFormat="1">
      <c r="A883" s="301"/>
      <c r="B883" s="317"/>
      <c r="C883" s="317"/>
      <c r="D883" s="302"/>
      <c r="E883" s="302"/>
      <c r="F883" s="289"/>
      <c r="G883" s="289"/>
      <c r="H883" s="302"/>
      <c r="I883" s="302"/>
      <c r="J883" s="289"/>
      <c r="L883" s="183"/>
      <c r="O883" s="3"/>
      <c r="P883" s="3"/>
    </row>
    <row r="884" spans="1:16" s="69" customFormat="1">
      <c r="A884" s="301"/>
      <c r="B884" s="317"/>
      <c r="C884" s="317"/>
      <c r="D884" s="302"/>
      <c r="E884" s="302"/>
      <c r="F884" s="289"/>
      <c r="G884" s="289"/>
      <c r="H884" s="302"/>
      <c r="I884" s="302"/>
      <c r="J884" s="289"/>
      <c r="L884" s="183"/>
      <c r="O884" s="3"/>
      <c r="P884" s="3"/>
    </row>
    <row r="885" spans="1:16" s="69" customFormat="1">
      <c r="A885" s="301"/>
      <c r="B885" s="317"/>
      <c r="C885" s="317"/>
      <c r="D885" s="302"/>
      <c r="E885" s="302"/>
      <c r="F885" s="289"/>
      <c r="G885" s="289"/>
      <c r="H885" s="302"/>
      <c r="I885" s="302"/>
      <c r="J885" s="289"/>
      <c r="L885" s="183"/>
      <c r="O885" s="3"/>
      <c r="P885" s="3"/>
    </row>
    <row r="886" spans="1:16" s="69" customFormat="1">
      <c r="A886" s="301"/>
      <c r="B886" s="317"/>
      <c r="C886" s="317"/>
      <c r="D886" s="302"/>
      <c r="E886" s="302"/>
      <c r="F886" s="289"/>
      <c r="G886" s="289"/>
      <c r="H886" s="302"/>
      <c r="I886" s="302"/>
      <c r="J886" s="289"/>
      <c r="L886" s="183"/>
      <c r="O886" s="3"/>
      <c r="P886" s="3"/>
    </row>
    <row r="887" spans="1:16" s="69" customFormat="1">
      <c r="A887" s="301"/>
      <c r="B887" s="317"/>
      <c r="C887" s="317"/>
      <c r="D887" s="302"/>
      <c r="E887" s="302"/>
      <c r="F887" s="289"/>
      <c r="G887" s="289"/>
      <c r="H887" s="302"/>
      <c r="I887" s="302"/>
      <c r="J887" s="289"/>
      <c r="L887" s="183"/>
      <c r="O887" s="3"/>
      <c r="P887" s="3"/>
    </row>
    <row r="888" spans="1:16" s="69" customFormat="1">
      <c r="A888" s="301"/>
      <c r="B888" s="317"/>
      <c r="C888" s="317"/>
      <c r="D888" s="302"/>
      <c r="E888" s="302"/>
      <c r="F888" s="289"/>
      <c r="G888" s="289"/>
      <c r="H888" s="302"/>
      <c r="I888" s="302"/>
      <c r="J888" s="289"/>
      <c r="L888" s="183"/>
      <c r="O888" s="3"/>
      <c r="P888" s="3"/>
    </row>
    <row r="889" spans="1:16" s="69" customFormat="1">
      <c r="A889" s="301"/>
      <c r="B889" s="317"/>
      <c r="C889" s="317"/>
      <c r="D889" s="302"/>
      <c r="E889" s="302"/>
      <c r="F889" s="289"/>
      <c r="G889" s="289"/>
      <c r="H889" s="302"/>
      <c r="I889" s="302"/>
      <c r="J889" s="289"/>
      <c r="L889" s="183"/>
      <c r="O889" s="3"/>
      <c r="P889" s="3"/>
    </row>
    <row r="890" spans="1:16" s="69" customFormat="1">
      <c r="A890" s="301"/>
      <c r="B890" s="317"/>
      <c r="C890" s="317"/>
      <c r="D890" s="302"/>
      <c r="E890" s="302"/>
      <c r="F890" s="289"/>
      <c r="G890" s="289"/>
      <c r="H890" s="302"/>
      <c r="I890" s="302"/>
      <c r="J890" s="289"/>
      <c r="L890" s="183"/>
      <c r="O890" s="3"/>
      <c r="P890" s="3"/>
    </row>
    <row r="891" spans="1:16" s="69" customFormat="1">
      <c r="A891" s="301"/>
      <c r="B891" s="317"/>
      <c r="C891" s="317"/>
      <c r="D891" s="302"/>
      <c r="E891" s="302"/>
      <c r="F891" s="289"/>
      <c r="G891" s="289"/>
      <c r="H891" s="302"/>
      <c r="I891" s="302"/>
      <c r="J891" s="289"/>
      <c r="L891" s="183"/>
      <c r="O891" s="3"/>
      <c r="P891" s="3"/>
    </row>
    <row r="892" spans="1:16" s="69" customFormat="1">
      <c r="A892" s="301"/>
      <c r="B892" s="317"/>
      <c r="C892" s="317"/>
      <c r="D892" s="302"/>
      <c r="E892" s="302"/>
      <c r="F892" s="289"/>
      <c r="G892" s="289"/>
      <c r="H892" s="302"/>
      <c r="I892" s="302"/>
      <c r="J892" s="289"/>
      <c r="L892" s="183"/>
      <c r="O892" s="3"/>
      <c r="P892" s="3"/>
    </row>
    <row r="893" spans="1:16" s="69" customFormat="1">
      <c r="A893" s="301"/>
      <c r="B893" s="317"/>
      <c r="C893" s="317"/>
      <c r="D893" s="302"/>
      <c r="E893" s="302"/>
      <c r="F893" s="289"/>
      <c r="G893" s="289"/>
      <c r="H893" s="302"/>
      <c r="I893" s="302"/>
      <c r="J893" s="289"/>
      <c r="L893" s="183"/>
      <c r="O893" s="3"/>
      <c r="P893" s="3"/>
    </row>
    <row r="894" spans="1:16" s="69" customFormat="1">
      <c r="A894" s="301"/>
      <c r="B894" s="317"/>
      <c r="C894" s="317"/>
      <c r="D894" s="302"/>
      <c r="E894" s="302"/>
      <c r="F894" s="289"/>
      <c r="G894" s="289"/>
      <c r="H894" s="302"/>
      <c r="I894" s="302"/>
      <c r="J894" s="289"/>
      <c r="L894" s="183"/>
      <c r="O894" s="3"/>
      <c r="P894" s="3"/>
    </row>
    <row r="895" spans="1:16" s="69" customFormat="1">
      <c r="A895" s="301"/>
      <c r="B895" s="317"/>
      <c r="C895" s="317"/>
      <c r="D895" s="302"/>
      <c r="E895" s="302"/>
      <c r="F895" s="289"/>
      <c r="G895" s="289"/>
      <c r="H895" s="302"/>
      <c r="I895" s="302"/>
      <c r="J895" s="289"/>
      <c r="L895" s="183"/>
      <c r="O895" s="3"/>
      <c r="P895" s="3"/>
    </row>
    <row r="896" spans="1:16" s="69" customFormat="1">
      <c r="A896" s="301"/>
      <c r="B896" s="317"/>
      <c r="C896" s="317"/>
      <c r="D896" s="302"/>
      <c r="E896" s="302"/>
      <c r="F896" s="289"/>
      <c r="G896" s="289"/>
      <c r="H896" s="302"/>
      <c r="I896" s="302"/>
      <c r="J896" s="289"/>
      <c r="L896" s="183"/>
      <c r="O896" s="3"/>
      <c r="P896" s="3"/>
    </row>
    <row r="897" spans="1:16" s="69" customFormat="1">
      <c r="A897" s="301"/>
      <c r="B897" s="317"/>
      <c r="C897" s="317"/>
      <c r="D897" s="302"/>
      <c r="E897" s="302"/>
      <c r="F897" s="289"/>
      <c r="G897" s="289"/>
      <c r="H897" s="302"/>
      <c r="I897" s="302"/>
      <c r="J897" s="289"/>
      <c r="L897" s="183"/>
      <c r="O897" s="3"/>
      <c r="P897" s="3"/>
    </row>
    <row r="898" spans="1:16" s="69" customFormat="1">
      <c r="A898" s="301"/>
      <c r="B898" s="317"/>
      <c r="C898" s="317"/>
      <c r="D898" s="302"/>
      <c r="E898" s="302"/>
      <c r="F898" s="289"/>
      <c r="G898" s="289"/>
      <c r="H898" s="302"/>
      <c r="I898" s="302"/>
      <c r="J898" s="289"/>
      <c r="L898" s="183"/>
      <c r="O898" s="3"/>
      <c r="P898" s="3"/>
    </row>
    <row r="899" spans="1:16" s="69" customFormat="1">
      <c r="A899" s="301"/>
      <c r="B899" s="317"/>
      <c r="C899" s="317"/>
      <c r="D899" s="302"/>
      <c r="E899" s="302"/>
      <c r="F899" s="289"/>
      <c r="G899" s="289"/>
      <c r="H899" s="302"/>
      <c r="I899" s="302"/>
      <c r="J899" s="289"/>
      <c r="L899" s="183"/>
      <c r="O899" s="3"/>
      <c r="P899" s="3"/>
    </row>
    <row r="900" spans="1:16" s="69" customFormat="1">
      <c r="A900" s="301"/>
      <c r="B900" s="317"/>
      <c r="C900" s="317"/>
      <c r="D900" s="302"/>
      <c r="E900" s="302"/>
      <c r="F900" s="289"/>
      <c r="G900" s="289"/>
      <c r="H900" s="302"/>
      <c r="I900" s="302"/>
      <c r="J900" s="289"/>
      <c r="L900" s="183"/>
      <c r="O900" s="3"/>
      <c r="P900" s="3"/>
    </row>
    <row r="901" spans="1:16" s="69" customFormat="1">
      <c r="A901" s="301"/>
      <c r="B901" s="317"/>
      <c r="C901" s="317"/>
      <c r="D901" s="302"/>
      <c r="E901" s="302"/>
      <c r="F901" s="289"/>
      <c r="G901" s="289"/>
      <c r="H901" s="302"/>
      <c r="I901" s="302"/>
      <c r="J901" s="289"/>
      <c r="L901" s="183"/>
      <c r="O901" s="3"/>
      <c r="P901" s="3"/>
    </row>
    <row r="902" spans="1:16" s="69" customFormat="1">
      <c r="A902" s="301"/>
      <c r="B902" s="317"/>
      <c r="C902" s="317"/>
      <c r="D902" s="302"/>
      <c r="E902" s="302"/>
      <c r="F902" s="289"/>
      <c r="G902" s="289"/>
      <c r="H902" s="302"/>
      <c r="I902" s="302"/>
      <c r="J902" s="289"/>
      <c r="L902" s="183"/>
      <c r="O902" s="3"/>
      <c r="P902" s="3"/>
    </row>
    <row r="903" spans="1:16" s="69" customFormat="1">
      <c r="A903" s="301"/>
      <c r="B903" s="317"/>
      <c r="C903" s="317"/>
      <c r="D903" s="302"/>
      <c r="E903" s="302"/>
      <c r="F903" s="289"/>
      <c r="G903" s="289"/>
      <c r="H903" s="302"/>
      <c r="I903" s="302"/>
      <c r="J903" s="289"/>
      <c r="L903" s="183"/>
      <c r="O903" s="3"/>
      <c r="P903" s="3"/>
    </row>
    <row r="904" spans="1:16" s="69" customFormat="1">
      <c r="A904" s="301"/>
      <c r="B904" s="317"/>
      <c r="C904" s="317"/>
      <c r="D904" s="302"/>
      <c r="E904" s="302"/>
      <c r="F904" s="289"/>
      <c r="G904" s="289"/>
      <c r="H904" s="302"/>
      <c r="I904" s="302"/>
      <c r="J904" s="289"/>
      <c r="L904" s="183"/>
      <c r="O904" s="3"/>
      <c r="P904" s="3"/>
    </row>
    <row r="905" spans="1:16" s="69" customFormat="1">
      <c r="A905" s="301"/>
      <c r="B905" s="317"/>
      <c r="C905" s="317"/>
      <c r="D905" s="302"/>
      <c r="E905" s="302"/>
      <c r="F905" s="289"/>
      <c r="G905" s="289"/>
      <c r="H905" s="302"/>
      <c r="I905" s="302"/>
      <c r="J905" s="289"/>
      <c r="L905" s="183"/>
      <c r="O905" s="3"/>
      <c r="P905" s="3"/>
    </row>
    <row r="906" spans="1:16" s="69" customFormat="1">
      <c r="A906" s="301"/>
      <c r="B906" s="317"/>
      <c r="C906" s="317"/>
      <c r="D906" s="302"/>
      <c r="E906" s="302"/>
      <c r="F906" s="289"/>
      <c r="G906" s="289"/>
      <c r="H906" s="302"/>
      <c r="I906" s="302"/>
      <c r="J906" s="289"/>
      <c r="L906" s="183"/>
      <c r="O906" s="3"/>
      <c r="P906" s="3"/>
    </row>
    <row r="907" spans="1:16" s="69" customFormat="1">
      <c r="A907" s="301"/>
      <c r="B907" s="317"/>
      <c r="C907" s="317"/>
      <c r="D907" s="302"/>
      <c r="E907" s="302"/>
      <c r="F907" s="289"/>
      <c r="G907" s="289"/>
      <c r="H907" s="302"/>
      <c r="I907" s="302"/>
      <c r="J907" s="289"/>
      <c r="L907" s="183"/>
      <c r="O907" s="3"/>
      <c r="P907" s="3"/>
    </row>
    <row r="908" spans="1:16" s="69" customFormat="1">
      <c r="A908" s="301"/>
      <c r="B908" s="317"/>
      <c r="C908" s="317"/>
      <c r="D908" s="302"/>
      <c r="E908" s="302"/>
      <c r="F908" s="289"/>
      <c r="G908" s="289"/>
      <c r="H908" s="302"/>
      <c r="I908" s="302"/>
      <c r="J908" s="289"/>
      <c r="L908" s="183"/>
      <c r="O908" s="3"/>
      <c r="P908" s="3"/>
    </row>
    <row r="909" spans="1:16" s="69" customFormat="1">
      <c r="A909" s="301"/>
      <c r="B909" s="317"/>
      <c r="C909" s="317"/>
      <c r="D909" s="302"/>
      <c r="E909" s="302"/>
      <c r="F909" s="289"/>
      <c r="G909" s="289"/>
      <c r="H909" s="302"/>
      <c r="I909" s="302"/>
      <c r="J909" s="289"/>
      <c r="L909" s="183"/>
      <c r="O909" s="3"/>
      <c r="P909" s="3"/>
    </row>
    <row r="910" spans="1:16" s="69" customFormat="1">
      <c r="A910" s="301"/>
      <c r="B910" s="317"/>
      <c r="C910" s="317"/>
      <c r="D910" s="302"/>
      <c r="E910" s="302"/>
      <c r="F910" s="289"/>
      <c r="G910" s="289"/>
      <c r="H910" s="302"/>
      <c r="I910" s="302"/>
      <c r="J910" s="289"/>
      <c r="L910" s="183"/>
      <c r="O910" s="3"/>
      <c r="P910" s="3"/>
    </row>
    <row r="911" spans="1:16" s="69" customFormat="1">
      <c r="A911" s="301"/>
      <c r="B911" s="317"/>
      <c r="C911" s="317"/>
      <c r="D911" s="302"/>
      <c r="E911" s="302"/>
      <c r="F911" s="289"/>
      <c r="G911" s="289"/>
      <c r="H911" s="302"/>
      <c r="I911" s="302"/>
      <c r="J911" s="289"/>
      <c r="L911" s="183"/>
      <c r="O911" s="3"/>
      <c r="P911" s="3"/>
    </row>
    <row r="912" spans="1:16" s="69" customFormat="1">
      <c r="A912" s="301"/>
      <c r="B912" s="317"/>
      <c r="C912" s="317"/>
      <c r="D912" s="302"/>
      <c r="E912" s="302"/>
      <c r="F912" s="289"/>
      <c r="G912" s="289"/>
      <c r="H912" s="302"/>
      <c r="I912" s="302"/>
      <c r="J912" s="289"/>
      <c r="L912" s="183"/>
      <c r="O912" s="3"/>
      <c r="P912" s="3"/>
    </row>
    <row r="913" spans="1:16" s="69" customFormat="1">
      <c r="A913" s="301"/>
      <c r="B913" s="317"/>
      <c r="C913" s="317"/>
      <c r="D913" s="302"/>
      <c r="E913" s="302"/>
      <c r="F913" s="289"/>
      <c r="G913" s="289"/>
      <c r="H913" s="302"/>
      <c r="I913" s="302"/>
      <c r="J913" s="289"/>
      <c r="L913" s="183"/>
      <c r="O913" s="3"/>
      <c r="P913" s="3"/>
    </row>
    <row r="914" spans="1:16" s="69" customFormat="1">
      <c r="A914" s="301"/>
      <c r="B914" s="317"/>
      <c r="C914" s="317"/>
      <c r="D914" s="302"/>
      <c r="E914" s="302"/>
      <c r="F914" s="289"/>
      <c r="G914" s="289"/>
      <c r="H914" s="302"/>
      <c r="I914" s="302"/>
      <c r="J914" s="289"/>
      <c r="L914" s="183"/>
      <c r="O914" s="3"/>
      <c r="P914" s="3"/>
    </row>
    <row r="915" spans="1:16" s="69" customFormat="1">
      <c r="A915" s="301"/>
      <c r="B915" s="317"/>
      <c r="C915" s="317"/>
      <c r="D915" s="302"/>
      <c r="E915" s="302"/>
      <c r="F915" s="289"/>
      <c r="G915" s="289"/>
      <c r="H915" s="302"/>
      <c r="I915" s="302"/>
      <c r="J915" s="289"/>
      <c r="L915" s="183"/>
      <c r="O915" s="3"/>
      <c r="P915" s="3"/>
    </row>
    <row r="916" spans="1:16" s="69" customFormat="1">
      <c r="A916" s="301"/>
      <c r="B916" s="317"/>
      <c r="C916" s="317"/>
      <c r="D916" s="302"/>
      <c r="E916" s="302"/>
      <c r="F916" s="289"/>
      <c r="G916" s="289"/>
      <c r="H916" s="302"/>
      <c r="I916" s="302"/>
      <c r="J916" s="289"/>
      <c r="L916" s="183"/>
      <c r="O916" s="3"/>
      <c r="P916" s="3"/>
    </row>
    <row r="917" spans="1:16" s="69" customFormat="1">
      <c r="A917" s="301"/>
      <c r="B917" s="317"/>
      <c r="C917" s="317"/>
      <c r="D917" s="302"/>
      <c r="E917" s="302"/>
      <c r="F917" s="289"/>
      <c r="G917" s="289"/>
      <c r="H917" s="302"/>
      <c r="I917" s="302"/>
      <c r="J917" s="289"/>
      <c r="L917" s="183"/>
      <c r="O917" s="3"/>
      <c r="P917" s="3"/>
    </row>
    <row r="918" spans="1:16" s="69" customFormat="1">
      <c r="A918" s="301"/>
      <c r="B918" s="317"/>
      <c r="C918" s="317"/>
      <c r="D918" s="302"/>
      <c r="E918" s="302"/>
      <c r="F918" s="289"/>
      <c r="G918" s="289"/>
      <c r="H918" s="302"/>
      <c r="I918" s="302"/>
      <c r="J918" s="289"/>
      <c r="L918" s="183"/>
      <c r="O918" s="3"/>
      <c r="P918" s="3"/>
    </row>
    <row r="919" spans="1:16" s="69" customFormat="1">
      <c r="A919" s="301"/>
      <c r="B919" s="317"/>
      <c r="C919" s="317"/>
      <c r="D919" s="302"/>
      <c r="E919" s="302"/>
      <c r="F919" s="289"/>
      <c r="G919" s="289"/>
      <c r="H919" s="302"/>
      <c r="I919" s="302"/>
      <c r="J919" s="289"/>
      <c r="L919" s="183"/>
      <c r="O919" s="3"/>
      <c r="P919" s="3"/>
    </row>
    <row r="920" spans="1:16" s="69" customFormat="1">
      <c r="A920" s="301"/>
      <c r="B920" s="317"/>
      <c r="C920" s="317"/>
      <c r="D920" s="302"/>
      <c r="E920" s="302"/>
      <c r="F920" s="289"/>
      <c r="G920" s="289"/>
      <c r="H920" s="302"/>
      <c r="I920" s="302"/>
      <c r="J920" s="289"/>
      <c r="L920" s="183"/>
      <c r="O920" s="3"/>
      <c r="P920" s="3"/>
    </row>
    <row r="921" spans="1:16" s="69" customFormat="1">
      <c r="A921" s="301"/>
      <c r="B921" s="317"/>
      <c r="C921" s="317"/>
      <c r="D921" s="302"/>
      <c r="E921" s="302"/>
      <c r="F921" s="289"/>
      <c r="G921" s="289"/>
      <c r="H921" s="302"/>
      <c r="I921" s="302"/>
      <c r="J921" s="289"/>
      <c r="L921" s="183"/>
      <c r="O921" s="3"/>
      <c r="P921" s="3"/>
    </row>
    <row r="922" spans="1:16" s="69" customFormat="1">
      <c r="A922" s="301"/>
      <c r="B922" s="317"/>
      <c r="C922" s="317"/>
      <c r="D922" s="302"/>
      <c r="E922" s="302"/>
      <c r="F922" s="289"/>
      <c r="G922" s="289"/>
      <c r="H922" s="302"/>
      <c r="I922" s="302"/>
      <c r="J922" s="289"/>
      <c r="L922" s="183"/>
      <c r="O922" s="3"/>
      <c r="P922" s="3"/>
    </row>
    <row r="923" spans="1:16" s="69" customFormat="1">
      <c r="A923" s="301"/>
      <c r="B923" s="317"/>
      <c r="C923" s="317"/>
      <c r="D923" s="302"/>
      <c r="E923" s="302"/>
      <c r="F923" s="289"/>
      <c r="G923" s="289"/>
      <c r="H923" s="302"/>
      <c r="I923" s="302"/>
      <c r="J923" s="289"/>
      <c r="L923" s="183"/>
      <c r="O923" s="3"/>
      <c r="P923" s="3"/>
    </row>
    <row r="924" spans="1:16" s="69" customFormat="1">
      <c r="A924" s="301"/>
      <c r="B924" s="317"/>
      <c r="C924" s="317"/>
      <c r="D924" s="302"/>
      <c r="E924" s="302"/>
      <c r="F924" s="289"/>
      <c r="G924" s="289"/>
      <c r="H924" s="302"/>
      <c r="I924" s="302"/>
      <c r="J924" s="289"/>
      <c r="L924" s="183"/>
      <c r="O924" s="3"/>
      <c r="P924" s="3"/>
    </row>
    <row r="925" spans="1:16" s="69" customFormat="1">
      <c r="A925" s="301"/>
      <c r="B925" s="317"/>
      <c r="C925" s="317"/>
      <c r="D925" s="302"/>
      <c r="E925" s="302"/>
      <c r="F925" s="289"/>
      <c r="G925" s="289"/>
      <c r="H925" s="302"/>
      <c r="I925" s="302"/>
      <c r="J925" s="289"/>
      <c r="L925" s="183"/>
      <c r="O925" s="3"/>
      <c r="P925" s="3"/>
    </row>
    <row r="926" spans="1:16" s="69" customFormat="1">
      <c r="A926" s="301"/>
      <c r="B926" s="317"/>
      <c r="C926" s="317"/>
      <c r="D926" s="302"/>
      <c r="E926" s="302"/>
      <c r="F926" s="289"/>
      <c r="G926" s="289"/>
      <c r="H926" s="302"/>
      <c r="I926" s="302"/>
      <c r="J926" s="289"/>
      <c r="L926" s="183"/>
      <c r="O926" s="3"/>
      <c r="P926" s="3"/>
    </row>
    <row r="927" spans="1:16" s="69" customFormat="1">
      <c r="A927" s="301"/>
      <c r="B927" s="317"/>
      <c r="C927" s="317"/>
      <c r="D927" s="302"/>
      <c r="E927" s="302"/>
      <c r="F927" s="289"/>
      <c r="G927" s="289"/>
      <c r="H927" s="302"/>
      <c r="I927" s="302"/>
      <c r="J927" s="289"/>
      <c r="L927" s="183"/>
      <c r="O927" s="3"/>
      <c r="P927" s="3"/>
    </row>
    <row r="928" spans="1:16" s="69" customFormat="1">
      <c r="A928" s="301"/>
      <c r="B928" s="317"/>
      <c r="C928" s="317"/>
      <c r="D928" s="302"/>
      <c r="E928" s="302"/>
      <c r="F928" s="289"/>
      <c r="G928" s="289"/>
      <c r="H928" s="302"/>
      <c r="I928" s="302"/>
      <c r="J928" s="289"/>
      <c r="L928" s="183"/>
      <c r="O928" s="3"/>
      <c r="P928" s="3"/>
    </row>
    <row r="929" spans="1:16" s="69" customFormat="1">
      <c r="A929" s="301"/>
      <c r="B929" s="317"/>
      <c r="C929" s="317"/>
      <c r="D929" s="302"/>
      <c r="E929" s="302"/>
      <c r="F929" s="289"/>
      <c r="G929" s="289"/>
      <c r="H929" s="302"/>
      <c r="I929" s="302"/>
      <c r="J929" s="289"/>
      <c r="L929" s="183"/>
      <c r="O929" s="3"/>
      <c r="P929" s="3"/>
    </row>
    <row r="930" spans="1:16" s="69" customFormat="1">
      <c r="A930" s="301"/>
      <c r="B930" s="317"/>
      <c r="C930" s="317"/>
      <c r="D930" s="302"/>
      <c r="E930" s="302"/>
      <c r="F930" s="289"/>
      <c r="G930" s="289"/>
      <c r="H930" s="302"/>
      <c r="I930" s="302"/>
      <c r="J930" s="289"/>
      <c r="L930" s="183"/>
      <c r="O930" s="3"/>
      <c r="P930" s="3"/>
    </row>
    <row r="931" spans="1:16" s="69" customFormat="1">
      <c r="A931" s="301"/>
      <c r="B931" s="317"/>
      <c r="C931" s="317"/>
      <c r="D931" s="302"/>
      <c r="E931" s="302"/>
      <c r="F931" s="289"/>
      <c r="G931" s="289"/>
      <c r="H931" s="302"/>
      <c r="I931" s="302"/>
      <c r="J931" s="289"/>
      <c r="L931" s="183"/>
      <c r="O931" s="3"/>
      <c r="P931" s="3"/>
    </row>
    <row r="932" spans="1:16" s="69" customFormat="1">
      <c r="A932" s="301"/>
      <c r="B932" s="317"/>
      <c r="C932" s="317"/>
      <c r="D932" s="302"/>
      <c r="E932" s="302"/>
      <c r="F932" s="289"/>
      <c r="G932" s="289"/>
      <c r="H932" s="302"/>
      <c r="I932" s="302"/>
      <c r="J932" s="289"/>
      <c r="L932" s="183"/>
      <c r="O932" s="3"/>
      <c r="P932" s="3"/>
    </row>
    <row r="933" spans="1:16" s="69" customFormat="1">
      <c r="A933" s="301"/>
      <c r="B933" s="317"/>
      <c r="C933" s="317"/>
      <c r="D933" s="302"/>
      <c r="E933" s="302"/>
      <c r="F933" s="289"/>
      <c r="G933" s="289"/>
      <c r="H933" s="302"/>
      <c r="I933" s="302"/>
      <c r="J933" s="289"/>
      <c r="L933" s="183"/>
      <c r="O933" s="3"/>
      <c r="P933" s="3"/>
    </row>
    <row r="934" spans="1:16" s="69" customFormat="1">
      <c r="A934" s="301"/>
      <c r="B934" s="317"/>
      <c r="C934" s="317"/>
      <c r="D934" s="302"/>
      <c r="E934" s="302"/>
      <c r="F934" s="289"/>
      <c r="G934" s="289"/>
      <c r="H934" s="302"/>
      <c r="I934" s="302"/>
      <c r="J934" s="289"/>
      <c r="L934" s="183"/>
      <c r="O934" s="3"/>
      <c r="P934" s="3"/>
    </row>
    <row r="935" spans="1:16" s="69" customFormat="1">
      <c r="A935" s="301"/>
      <c r="B935" s="317"/>
      <c r="C935" s="317"/>
      <c r="D935" s="302"/>
      <c r="E935" s="302"/>
      <c r="F935" s="289"/>
      <c r="G935" s="289"/>
      <c r="H935" s="302"/>
      <c r="I935" s="302"/>
      <c r="J935" s="289"/>
      <c r="L935" s="183"/>
      <c r="O935" s="3"/>
      <c r="P935" s="3"/>
    </row>
    <row r="936" spans="1:16" s="69" customFormat="1">
      <c r="A936" s="301"/>
      <c r="B936" s="317"/>
      <c r="C936" s="317"/>
      <c r="D936" s="302"/>
      <c r="E936" s="302"/>
      <c r="F936" s="289"/>
      <c r="G936" s="289"/>
      <c r="H936" s="302"/>
      <c r="I936" s="302"/>
      <c r="J936" s="289"/>
      <c r="L936" s="183"/>
      <c r="O936" s="3"/>
      <c r="P936" s="3"/>
    </row>
    <row r="937" spans="1:16" s="69" customFormat="1">
      <c r="A937" s="301"/>
      <c r="B937" s="317"/>
      <c r="C937" s="317"/>
      <c r="D937" s="302"/>
      <c r="E937" s="302"/>
      <c r="F937" s="289"/>
      <c r="G937" s="289"/>
      <c r="H937" s="302"/>
      <c r="I937" s="302"/>
      <c r="J937" s="289"/>
      <c r="L937" s="183"/>
      <c r="O937" s="3"/>
      <c r="P937" s="3"/>
    </row>
    <row r="938" spans="1:16" s="69" customFormat="1">
      <c r="A938" s="301"/>
      <c r="B938" s="317"/>
      <c r="C938" s="317"/>
      <c r="D938" s="302"/>
      <c r="E938" s="302"/>
      <c r="F938" s="289"/>
      <c r="G938" s="289"/>
      <c r="H938" s="302"/>
      <c r="I938" s="302"/>
      <c r="J938" s="289"/>
      <c r="L938" s="183"/>
      <c r="O938" s="3"/>
      <c r="P938" s="3"/>
    </row>
    <row r="939" spans="1:16" s="69" customFormat="1">
      <c r="A939" s="301"/>
      <c r="B939" s="317"/>
      <c r="C939" s="317"/>
      <c r="D939" s="302"/>
      <c r="E939" s="302"/>
      <c r="F939" s="289"/>
      <c r="G939" s="289"/>
      <c r="H939" s="302"/>
      <c r="I939" s="302"/>
      <c r="J939" s="289"/>
      <c r="L939" s="183"/>
      <c r="O939" s="3"/>
      <c r="P939" s="3"/>
    </row>
    <row r="940" spans="1:16" s="69" customFormat="1">
      <c r="A940" s="301"/>
      <c r="B940" s="317"/>
      <c r="C940" s="317"/>
      <c r="D940" s="302"/>
      <c r="E940" s="302"/>
      <c r="F940" s="289"/>
      <c r="G940" s="289"/>
      <c r="H940" s="302"/>
      <c r="I940" s="302"/>
      <c r="J940" s="289"/>
      <c r="L940" s="183"/>
      <c r="O940" s="3"/>
      <c r="P940" s="3"/>
    </row>
    <row r="941" spans="1:16" s="69" customFormat="1">
      <c r="A941" s="301"/>
      <c r="B941" s="317"/>
      <c r="C941" s="317"/>
      <c r="D941" s="302"/>
      <c r="E941" s="302"/>
      <c r="F941" s="289"/>
      <c r="G941" s="289"/>
      <c r="H941" s="302"/>
      <c r="I941" s="302"/>
      <c r="J941" s="289"/>
      <c r="L941" s="183"/>
      <c r="O941" s="3"/>
      <c r="P941" s="3"/>
    </row>
    <row r="942" spans="1:16" s="69" customFormat="1">
      <c r="A942" s="301"/>
      <c r="B942" s="317"/>
      <c r="C942" s="317"/>
      <c r="D942" s="302"/>
      <c r="E942" s="302"/>
      <c r="F942" s="289"/>
      <c r="G942" s="289"/>
      <c r="H942" s="302"/>
      <c r="I942" s="302"/>
      <c r="J942" s="289"/>
      <c r="L942" s="183"/>
      <c r="O942" s="3"/>
      <c r="P942" s="3"/>
    </row>
    <row r="943" spans="1:16" s="69" customFormat="1">
      <c r="A943" s="301"/>
      <c r="B943" s="317"/>
      <c r="C943" s="317"/>
      <c r="D943" s="302"/>
      <c r="E943" s="302"/>
      <c r="F943" s="289"/>
      <c r="G943" s="289"/>
      <c r="H943" s="302"/>
      <c r="I943" s="302"/>
      <c r="J943" s="289"/>
      <c r="L943" s="183"/>
      <c r="O943" s="3"/>
      <c r="P943" s="3"/>
    </row>
    <row r="944" spans="1:16" s="69" customFormat="1">
      <c r="A944" s="301"/>
      <c r="B944" s="317"/>
      <c r="C944" s="317"/>
      <c r="D944" s="302"/>
      <c r="E944" s="302"/>
      <c r="F944" s="289"/>
      <c r="G944" s="289"/>
      <c r="H944" s="302"/>
      <c r="I944" s="302"/>
      <c r="J944" s="289"/>
      <c r="L944" s="183"/>
      <c r="O944" s="3"/>
      <c r="P944" s="3"/>
    </row>
    <row r="945" spans="1:16" s="69" customFormat="1">
      <c r="A945" s="301"/>
      <c r="B945" s="317"/>
      <c r="C945" s="317"/>
      <c r="D945" s="302"/>
      <c r="E945" s="302"/>
      <c r="F945" s="289"/>
      <c r="G945" s="289"/>
      <c r="H945" s="302"/>
      <c r="I945" s="302"/>
      <c r="J945" s="289"/>
      <c r="L945" s="183"/>
      <c r="O945" s="3"/>
      <c r="P945" s="3"/>
    </row>
    <row r="946" spans="1:16" s="69" customFormat="1">
      <c r="A946" s="301"/>
      <c r="B946" s="317"/>
      <c r="C946" s="317"/>
      <c r="D946" s="302"/>
      <c r="E946" s="302"/>
      <c r="F946" s="289"/>
      <c r="G946" s="289"/>
      <c r="H946" s="302"/>
      <c r="I946" s="302"/>
      <c r="J946" s="289"/>
      <c r="L946" s="183"/>
      <c r="O946" s="3"/>
      <c r="P946" s="3"/>
    </row>
    <row r="947" spans="1:16" s="69" customFormat="1">
      <c r="A947" s="301"/>
      <c r="B947" s="317"/>
      <c r="C947" s="317"/>
      <c r="D947" s="302"/>
      <c r="E947" s="302"/>
      <c r="F947" s="289"/>
      <c r="G947" s="289"/>
      <c r="H947" s="302"/>
      <c r="I947" s="302"/>
      <c r="J947" s="289"/>
      <c r="L947" s="183"/>
      <c r="O947" s="3"/>
      <c r="P947" s="3"/>
    </row>
    <row r="948" spans="1:16" s="69" customFormat="1">
      <c r="A948" s="301"/>
      <c r="B948" s="317"/>
      <c r="C948" s="317"/>
      <c r="D948" s="302"/>
      <c r="E948" s="302"/>
      <c r="F948" s="289"/>
      <c r="G948" s="289"/>
      <c r="H948" s="302"/>
      <c r="I948" s="302"/>
      <c r="J948" s="289"/>
      <c r="L948" s="183"/>
      <c r="O948" s="3"/>
      <c r="P948" s="3"/>
    </row>
    <row r="949" spans="1:16" s="69" customFormat="1">
      <c r="A949" s="301"/>
      <c r="B949" s="317"/>
      <c r="C949" s="317"/>
      <c r="D949" s="302"/>
      <c r="E949" s="302"/>
      <c r="F949" s="289"/>
      <c r="G949" s="289"/>
      <c r="H949" s="302"/>
      <c r="I949" s="302"/>
      <c r="J949" s="289"/>
      <c r="L949" s="183"/>
      <c r="O949" s="3"/>
      <c r="P949" s="3"/>
    </row>
    <row r="950" spans="1:16" s="69" customFormat="1">
      <c r="A950" s="301"/>
      <c r="B950" s="317"/>
      <c r="C950" s="317"/>
      <c r="D950" s="302"/>
      <c r="E950" s="302"/>
      <c r="F950" s="289"/>
      <c r="G950" s="289"/>
      <c r="H950" s="302"/>
      <c r="I950" s="302"/>
      <c r="J950" s="289"/>
      <c r="L950" s="183"/>
      <c r="O950" s="3"/>
      <c r="P950" s="3"/>
    </row>
    <row r="951" spans="1:16" s="69" customFormat="1">
      <c r="A951" s="301"/>
      <c r="B951" s="317"/>
      <c r="C951" s="317"/>
      <c r="D951" s="302"/>
      <c r="E951" s="302"/>
      <c r="F951" s="289"/>
      <c r="G951" s="289"/>
      <c r="H951" s="302"/>
      <c r="I951" s="302"/>
      <c r="J951" s="289"/>
      <c r="L951" s="183"/>
      <c r="O951" s="3"/>
      <c r="P951" s="3"/>
    </row>
    <row r="952" spans="1:16" s="69" customFormat="1">
      <c r="A952" s="301"/>
      <c r="B952" s="317"/>
      <c r="C952" s="317"/>
      <c r="D952" s="302"/>
      <c r="E952" s="302"/>
      <c r="F952" s="289"/>
      <c r="G952" s="289"/>
      <c r="H952" s="302"/>
      <c r="I952" s="302"/>
      <c r="J952" s="289"/>
      <c r="L952" s="183"/>
      <c r="O952" s="3"/>
      <c r="P952" s="3"/>
    </row>
    <row r="953" spans="1:16" s="69" customFormat="1">
      <c r="A953" s="301"/>
      <c r="B953" s="317"/>
      <c r="C953" s="317"/>
      <c r="D953" s="302"/>
      <c r="E953" s="302"/>
      <c r="F953" s="289"/>
      <c r="G953" s="289"/>
      <c r="H953" s="302"/>
      <c r="I953" s="302"/>
      <c r="J953" s="289"/>
      <c r="L953" s="183"/>
      <c r="O953" s="3"/>
      <c r="P953" s="3"/>
    </row>
    <row r="954" spans="1:16" s="69" customFormat="1">
      <c r="A954" s="301"/>
      <c r="B954" s="317"/>
      <c r="C954" s="317"/>
      <c r="D954" s="302"/>
      <c r="E954" s="302"/>
      <c r="F954" s="289"/>
      <c r="G954" s="289"/>
      <c r="H954" s="302"/>
      <c r="I954" s="302"/>
      <c r="J954" s="289"/>
      <c r="L954" s="183"/>
      <c r="O954" s="3"/>
      <c r="P954" s="3"/>
    </row>
    <row r="955" spans="1:16" s="69" customFormat="1">
      <c r="A955" s="301"/>
      <c r="B955" s="317"/>
      <c r="C955" s="317"/>
      <c r="D955" s="302"/>
      <c r="E955" s="302"/>
      <c r="F955" s="289"/>
      <c r="G955" s="289"/>
      <c r="H955" s="302"/>
      <c r="I955" s="302"/>
      <c r="J955" s="289"/>
      <c r="L955" s="183"/>
      <c r="O955" s="3"/>
      <c r="P955" s="3"/>
    </row>
    <row r="956" spans="1:16" s="69" customFormat="1">
      <c r="A956" s="301"/>
      <c r="B956" s="317"/>
      <c r="C956" s="317"/>
      <c r="D956" s="302"/>
      <c r="E956" s="302"/>
      <c r="F956" s="289"/>
      <c r="G956" s="289"/>
      <c r="H956" s="302"/>
      <c r="I956" s="302"/>
      <c r="J956" s="289"/>
      <c r="L956" s="183"/>
      <c r="O956" s="3"/>
      <c r="P956" s="3"/>
    </row>
    <row r="957" spans="1:16" s="69" customFormat="1">
      <c r="A957" s="301"/>
      <c r="B957" s="317"/>
      <c r="C957" s="317"/>
      <c r="D957" s="302"/>
      <c r="E957" s="302"/>
      <c r="F957" s="289"/>
      <c r="G957" s="289"/>
      <c r="H957" s="302"/>
      <c r="I957" s="302"/>
      <c r="J957" s="289"/>
      <c r="L957" s="183"/>
      <c r="O957" s="3"/>
      <c r="P957" s="3"/>
    </row>
    <row r="958" spans="1:16" s="69" customFormat="1">
      <c r="A958" s="301"/>
      <c r="B958" s="317"/>
      <c r="C958" s="317"/>
      <c r="D958" s="302"/>
      <c r="E958" s="302"/>
      <c r="F958" s="289"/>
      <c r="G958" s="289"/>
      <c r="H958" s="302"/>
      <c r="I958" s="302"/>
      <c r="J958" s="289"/>
      <c r="L958" s="183"/>
      <c r="O958" s="3"/>
      <c r="P958" s="3"/>
    </row>
    <row r="959" spans="1:16" s="69" customFormat="1">
      <c r="A959" s="301"/>
      <c r="B959" s="317"/>
      <c r="C959" s="317"/>
      <c r="D959" s="302"/>
      <c r="E959" s="302"/>
      <c r="F959" s="289"/>
      <c r="G959" s="289"/>
      <c r="H959" s="302"/>
      <c r="I959" s="302"/>
      <c r="J959" s="289"/>
      <c r="L959" s="183"/>
      <c r="O959" s="3"/>
      <c r="P959" s="3"/>
    </row>
  </sheetData>
  <mergeCells count="2">
    <mergeCell ref="L3:N5"/>
    <mergeCell ref="L8:N13"/>
  </mergeCells>
  <pageMargins left="0.7" right="0.7" top="0.75" bottom="0.75" header="0.3" footer="0.3"/>
  <pageSetup scale="66" fitToHeight="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tabColor rgb="FFFFC000"/>
  </sheetPr>
  <dimension ref="A1:Q1036"/>
  <sheetViews>
    <sheetView zoomScale="70" zoomScaleNormal="70" workbookViewId="0">
      <selection activeCell="G23" sqref="G23"/>
    </sheetView>
  </sheetViews>
  <sheetFormatPr defaultColWidth="9.42578125" defaultRowHeight="12.75"/>
  <cols>
    <col min="1" max="1" width="9.5703125" style="3" customWidth="1"/>
    <col min="2" max="2" width="37" style="3" customWidth="1"/>
    <col min="3" max="3" width="21.5703125" style="3" customWidth="1"/>
    <col min="4" max="4" width="40.42578125" style="121" customWidth="1"/>
    <col min="5" max="5" width="25.5703125" style="134" customWidth="1"/>
    <col min="6" max="6" width="20" style="186" customWidth="1"/>
    <col min="7" max="7" width="17.5703125" style="186" customWidth="1"/>
    <col min="8" max="8" width="20.42578125" style="190" customWidth="1"/>
    <col min="9" max="10" width="19.5703125" style="3" customWidth="1"/>
    <col min="11" max="11" width="14" style="3" customWidth="1"/>
    <col min="12" max="12" width="33.42578125" style="3" customWidth="1"/>
    <col min="13" max="13" width="18.5703125" style="3" customWidth="1"/>
    <col min="14" max="14" width="32.5703125" style="3" customWidth="1"/>
    <col min="15" max="15" width="9.42578125" style="3"/>
    <col min="16" max="16" width="25.5703125" style="3" customWidth="1"/>
    <col min="17" max="16384" width="9.42578125" style="3"/>
  </cols>
  <sheetData>
    <row r="1" spans="1:17">
      <c r="A1" s="2680" t="s">
        <v>2177</v>
      </c>
      <c r="B1" s="2681"/>
      <c r="C1" s="2681"/>
      <c r="D1" s="2681"/>
      <c r="E1" s="2681"/>
      <c r="F1" s="2681"/>
      <c r="G1" s="2681"/>
      <c r="H1" s="2681"/>
      <c r="I1" s="2681"/>
      <c r="J1" s="2606"/>
      <c r="K1" s="2606"/>
      <c r="L1" s="2606"/>
      <c r="M1" s="2606"/>
    </row>
    <row r="2" spans="1:17" ht="15.75" customHeight="1">
      <c r="A2" s="2680"/>
      <c r="B2" s="2681"/>
      <c r="C2" s="2681"/>
      <c r="D2" s="2681"/>
      <c r="E2" s="2681"/>
      <c r="F2" s="2681"/>
      <c r="G2" s="2681"/>
      <c r="H2" s="2681"/>
      <c r="I2" s="2681"/>
      <c r="J2" s="2606"/>
      <c r="K2" s="2606"/>
      <c r="L2" s="2606"/>
      <c r="M2" s="2606"/>
    </row>
    <row r="3" spans="1:17" ht="15.75" customHeight="1">
      <c r="A3" s="2680"/>
      <c r="B3" s="2681"/>
      <c r="C3" s="2681"/>
      <c r="D3" s="2681"/>
      <c r="E3" s="2681"/>
      <c r="F3" s="2681"/>
      <c r="G3" s="2681"/>
      <c r="H3" s="2681"/>
      <c r="I3" s="2681"/>
      <c r="J3" s="2606"/>
      <c r="K3" s="2606"/>
      <c r="L3" s="2606"/>
      <c r="M3" s="2606"/>
    </row>
    <row r="4" spans="1:17">
      <c r="A4" s="2680"/>
      <c r="B4" s="2681"/>
      <c r="C4" s="2681"/>
      <c r="D4" s="2681"/>
      <c r="E4" s="2681"/>
      <c r="F4" s="2681"/>
      <c r="G4" s="2681"/>
      <c r="H4" s="2681"/>
      <c r="I4" s="2681"/>
      <c r="J4" s="2606"/>
      <c r="K4" s="2606"/>
      <c r="L4" s="2606"/>
      <c r="M4" s="2606"/>
    </row>
    <row r="5" spans="1:17">
      <c r="A5" s="2680"/>
      <c r="B5" s="2681"/>
      <c r="C5" s="2681"/>
      <c r="D5" s="2681"/>
      <c r="E5" s="2681"/>
      <c r="F5" s="2681"/>
      <c r="G5" s="2681"/>
      <c r="H5" s="2681"/>
      <c r="I5" s="2681"/>
      <c r="J5" s="2606"/>
      <c r="K5" s="2606"/>
      <c r="L5" s="2606"/>
      <c r="M5" s="2606"/>
    </row>
    <row r="6" spans="1:17" ht="13.5" thickBot="1">
      <c r="A6" s="75"/>
      <c r="B6" s="75"/>
      <c r="C6" s="75"/>
      <c r="D6" s="75"/>
      <c r="E6" s="129"/>
      <c r="F6" s="187"/>
      <c r="G6" s="187"/>
      <c r="H6" s="187"/>
      <c r="I6" s="75"/>
      <c r="J6" s="75"/>
      <c r="K6" s="74"/>
    </row>
    <row r="7" spans="1:17" ht="95.25" customHeight="1" thickBot="1">
      <c r="A7" s="2677"/>
      <c r="B7" s="2678"/>
      <c r="C7" s="75"/>
      <c r="D7" s="75"/>
      <c r="E7" s="129"/>
      <c r="F7" s="187"/>
      <c r="G7" s="187"/>
      <c r="H7" s="187"/>
      <c r="I7" s="265" t="s">
        <v>2178</v>
      </c>
      <c r="J7" s="265" t="s">
        <v>2179</v>
      </c>
      <c r="K7" s="74"/>
      <c r="L7" s="217"/>
      <c r="M7" s="2679" t="s">
        <v>2180</v>
      </c>
      <c r="N7" s="2606"/>
    </row>
    <row r="8" spans="1:17" ht="25.5">
      <c r="A8" s="706" t="s">
        <v>2181</v>
      </c>
      <c r="B8" s="84" t="s">
        <v>2182</v>
      </c>
      <c r="C8" s="83" t="s">
        <v>2183</v>
      </c>
      <c r="D8" s="83" t="s">
        <v>2184</v>
      </c>
      <c r="E8" s="130" t="s">
        <v>2185</v>
      </c>
      <c r="F8" s="188" t="s">
        <v>2186</v>
      </c>
      <c r="G8" s="188" t="s">
        <v>2187</v>
      </c>
      <c r="H8" s="189" t="s">
        <v>2188</v>
      </c>
      <c r="I8" s="264" t="s">
        <v>2189</v>
      </c>
      <c r="J8" s="264" t="s">
        <v>2190</v>
      </c>
      <c r="K8" s="136" t="s">
        <v>2191</v>
      </c>
      <c r="L8" s="217" t="s">
        <v>1654</v>
      </c>
      <c r="M8" s="707" t="s">
        <v>2192</v>
      </c>
      <c r="N8" s="3" t="s">
        <v>376</v>
      </c>
    </row>
    <row r="9" spans="1:17">
      <c r="A9" s="1075"/>
      <c r="B9" s="82" t="str">
        <f>IFERROR(VLOOKUP(A9,'Budget-S&amp;U Codes Lookup'!$A$7:$B$550,2,FALSE),"")</f>
        <v/>
      </c>
      <c r="C9" s="992"/>
      <c r="D9" s="118"/>
      <c r="E9" s="131"/>
      <c r="F9" s="124"/>
      <c r="G9" s="124"/>
      <c r="H9" s="125">
        <f>F9-G9</f>
        <v>0</v>
      </c>
      <c r="I9" s="191"/>
      <c r="J9" s="268"/>
      <c r="K9" s="182" t="str">
        <f>IFERROR(VLOOKUP(A9,'Budget-S&amp;U Codes Lookup'!$A$7:$C$550,3,FALSE),"")</f>
        <v/>
      </c>
      <c r="L9" s="1041"/>
      <c r="M9" s="753"/>
      <c r="N9" s="3" t="str">
        <f>IF(M9="","",VLOOKUP(M9,'Budget-S&amp;U Codes Lookup'!$E$26:$F$45,2,FALSE))</f>
        <v/>
      </c>
    </row>
    <row r="10" spans="1:17">
      <c r="A10" s="751"/>
      <c r="B10" s="82" t="str">
        <f>IFERROR(VLOOKUP(A10,'Budget-S&amp;U Codes Lookup'!$A$7:$B$550,2,FALSE),"")</f>
        <v/>
      </c>
      <c r="C10" s="992"/>
      <c r="D10" s="123"/>
      <c r="E10" s="131"/>
      <c r="F10" s="124"/>
      <c r="G10" s="124"/>
      <c r="H10" s="125">
        <f t="shared" ref="H10:H73" si="0">F10-G10</f>
        <v>0</v>
      </c>
      <c r="I10" s="191"/>
      <c r="J10" s="268"/>
      <c r="K10" s="182" t="str">
        <f>IFERROR(VLOOKUP(A10,'Budget-S&amp;U Codes Lookup'!$A$7:$C$550,3,FALSE),"")</f>
        <v/>
      </c>
      <c r="L10" s="1041"/>
      <c r="M10" s="753"/>
      <c r="N10" s="3" t="str">
        <f>IF(M10="","",VLOOKUP(M10,'Budget-S&amp;U Codes Lookup'!$E$26:$F$45,2,FALSE))</f>
        <v/>
      </c>
    </row>
    <row r="11" spans="1:17">
      <c r="A11" s="751"/>
      <c r="B11" s="82" t="str">
        <f>IFERROR(VLOOKUP(A11,'Budget-S&amp;U Codes Lookup'!$A$7:$B$550,2,FALSE),"")</f>
        <v/>
      </c>
      <c r="C11" s="992"/>
      <c r="D11" s="118"/>
      <c r="E11" s="131"/>
      <c r="F11" s="124"/>
      <c r="G11" s="124"/>
      <c r="H11" s="125">
        <f t="shared" si="0"/>
        <v>0</v>
      </c>
      <c r="I11" s="191"/>
      <c r="J11" s="268"/>
      <c r="K11" s="182" t="str">
        <f>IFERROR(VLOOKUP(A11,'Budget-S&amp;U Codes Lookup'!$A$7:$C$550,3,FALSE),"")</f>
        <v/>
      </c>
      <c r="L11" s="1041"/>
      <c r="M11" s="753"/>
      <c r="N11" s="3" t="str">
        <f>IF(M11="","",VLOOKUP(M11,'Budget-S&amp;U Codes Lookup'!$E$26:$F$45,2,FALSE))</f>
        <v/>
      </c>
      <c r="P11" s="186"/>
    </row>
    <row r="12" spans="1:17">
      <c r="A12" s="751"/>
      <c r="B12" s="82" t="str">
        <f>IFERROR(VLOOKUP(A12,'Budget-S&amp;U Codes Lookup'!$A$7:$B$550,2,FALSE),"")</f>
        <v/>
      </c>
      <c r="C12" s="992"/>
      <c r="D12" s="118"/>
      <c r="E12" s="1035"/>
      <c r="F12" s="124"/>
      <c r="G12" s="124"/>
      <c r="H12" s="125">
        <f t="shared" si="0"/>
        <v>0</v>
      </c>
      <c r="I12" s="191"/>
      <c r="J12" s="268"/>
      <c r="K12" s="182" t="str">
        <f>IFERROR(VLOOKUP(A12,'Budget-S&amp;U Codes Lookup'!$A$7:$C$550,3,FALSE),"")</f>
        <v/>
      </c>
      <c r="L12" s="1041"/>
      <c r="M12" s="753"/>
      <c r="N12" s="3" t="str">
        <f>IF(M12="","",VLOOKUP(M12,'Budget-S&amp;U Codes Lookup'!$E$26:$F$45,2,FALSE))</f>
        <v/>
      </c>
      <c r="P12" s="186"/>
    </row>
    <row r="13" spans="1:17">
      <c r="A13" s="751"/>
      <c r="B13" s="82" t="str">
        <f>IFERROR(VLOOKUP(A13,'Budget-S&amp;U Codes Lookup'!$A$7:$B$550,2,FALSE),"")</f>
        <v/>
      </c>
      <c r="C13" s="992"/>
      <c r="D13" s="118"/>
      <c r="E13" s="1035"/>
      <c r="F13" s="124"/>
      <c r="G13" s="124"/>
      <c r="H13" s="125">
        <f t="shared" si="0"/>
        <v>0</v>
      </c>
      <c r="I13" s="191"/>
      <c r="J13" s="268"/>
      <c r="K13" s="182" t="str">
        <f>IFERROR(VLOOKUP(A13,'Budget-S&amp;U Codes Lookup'!$A$7:$C$550,3,FALSE),"")</f>
        <v/>
      </c>
      <c r="L13" s="1041"/>
      <c r="M13" s="753"/>
      <c r="N13" s="3" t="str">
        <f>IF(M13="","",VLOOKUP(M13,'Budget-S&amp;U Codes Lookup'!$E$26:$F$45,2,FALSE))</f>
        <v/>
      </c>
      <c r="P13" s="186"/>
    </row>
    <row r="14" spans="1:17">
      <c r="A14" s="751"/>
      <c r="B14" s="82" t="str">
        <f>IFERROR(VLOOKUP(A14,'Budget-S&amp;U Codes Lookup'!$A$7:$B$550,2,FALSE),"")</f>
        <v/>
      </c>
      <c r="C14" s="992"/>
      <c r="D14" s="118"/>
      <c r="E14" s="1035"/>
      <c r="F14" s="124"/>
      <c r="G14" s="124"/>
      <c r="H14" s="125">
        <f t="shared" si="0"/>
        <v>0</v>
      </c>
      <c r="I14" s="191"/>
      <c r="J14" s="268"/>
      <c r="K14" s="182" t="str">
        <f>IFERROR(VLOOKUP(A14,'Budget-S&amp;U Codes Lookup'!$A$7:$C$550,3,FALSE),"")</f>
        <v/>
      </c>
      <c r="L14" s="1041"/>
      <c r="M14" s="753"/>
      <c r="N14" s="3" t="str">
        <f>IF(M14="","",VLOOKUP(M14,'Budget-S&amp;U Codes Lookup'!$E$26:$F$45,2,FALSE))</f>
        <v/>
      </c>
      <c r="P14" s="186"/>
      <c r="Q14" s="186"/>
    </row>
    <row r="15" spans="1:17">
      <c r="A15" s="751"/>
      <c r="B15" s="82" t="str">
        <f>IFERROR(VLOOKUP(A15,'Budget-S&amp;U Codes Lookup'!$A$7:$B$550,2,FALSE),"")</f>
        <v/>
      </c>
      <c r="C15" s="992"/>
      <c r="D15" s="118"/>
      <c r="E15" s="1035"/>
      <c r="F15" s="124"/>
      <c r="G15" s="124"/>
      <c r="H15" s="125">
        <f t="shared" si="0"/>
        <v>0</v>
      </c>
      <c r="I15" s="191"/>
      <c r="J15" s="268"/>
      <c r="K15" s="182" t="str">
        <f>IFERROR(VLOOKUP(A15,'Budget-S&amp;U Codes Lookup'!$A$7:$C$550,3,FALSE),"")</f>
        <v/>
      </c>
      <c r="L15" s="1041"/>
      <c r="M15" s="753"/>
      <c r="N15" s="3" t="str">
        <f>IF(M15="","",VLOOKUP(M15,'Budget-S&amp;U Codes Lookup'!$E$26:$F$45,2,FALSE))</f>
        <v/>
      </c>
      <c r="P15" s="186"/>
    </row>
    <row r="16" spans="1:17">
      <c r="A16" s="751"/>
      <c r="B16" s="82" t="str">
        <f>IFERROR(VLOOKUP(A16,'Budget-S&amp;U Codes Lookup'!$A$7:$B$550,2,FALSE),"")</f>
        <v/>
      </c>
      <c r="C16" s="992"/>
      <c r="D16" s="118"/>
      <c r="E16" s="1035"/>
      <c r="F16" s="124"/>
      <c r="G16" s="124"/>
      <c r="H16" s="125">
        <f t="shared" si="0"/>
        <v>0</v>
      </c>
      <c r="I16" s="191"/>
      <c r="J16" s="268"/>
      <c r="K16" s="182" t="str">
        <f>IFERROR(VLOOKUP(A16,'Budget-S&amp;U Codes Lookup'!$A$7:$C$550,3,FALSE),"")</f>
        <v/>
      </c>
      <c r="L16" s="1041"/>
      <c r="M16" s="753"/>
      <c r="N16" s="3" t="str">
        <f>IF(M16="","",VLOOKUP(M16,'Budget-S&amp;U Codes Lookup'!$E$26:$F$45,2,FALSE))</f>
        <v/>
      </c>
      <c r="P16" s="186"/>
    </row>
    <row r="17" spans="1:16">
      <c r="A17" s="751"/>
      <c r="B17" s="82" t="str">
        <f>IFERROR(VLOOKUP(A17,'Budget-S&amp;U Codes Lookup'!$A$7:$B$550,2,FALSE),"")</f>
        <v/>
      </c>
      <c r="C17" s="992"/>
      <c r="D17" s="118"/>
      <c r="E17" s="1035"/>
      <c r="F17" s="124"/>
      <c r="G17" s="124"/>
      <c r="H17" s="125">
        <f t="shared" si="0"/>
        <v>0</v>
      </c>
      <c r="I17" s="191"/>
      <c r="J17" s="268"/>
      <c r="K17" s="182" t="str">
        <f>IFERROR(VLOOKUP(A17,'Budget-S&amp;U Codes Lookup'!$A$7:$C$550,3,FALSE),"")</f>
        <v/>
      </c>
      <c r="L17" s="1041"/>
      <c r="M17" s="753"/>
      <c r="N17" s="186"/>
      <c r="P17" s="186"/>
    </row>
    <row r="18" spans="1:16">
      <c r="A18" s="751"/>
      <c r="B18" s="82" t="str">
        <f>IFERROR(VLOOKUP(A18,'Budget-S&amp;U Codes Lookup'!$A$7:$B$550,2,FALSE),"")</f>
        <v/>
      </c>
      <c r="C18" s="992"/>
      <c r="D18" s="118"/>
      <c r="E18" s="1035"/>
      <c r="F18" s="124"/>
      <c r="G18" s="124"/>
      <c r="H18" s="125">
        <f t="shared" si="0"/>
        <v>0</v>
      </c>
      <c r="I18" s="191"/>
      <c r="J18" s="268"/>
      <c r="K18" s="182" t="str">
        <f>IFERROR(VLOOKUP(A18,'Budget-S&amp;U Codes Lookup'!$A$7:$C$550,3,FALSE),"")</f>
        <v/>
      </c>
      <c r="L18" s="1041"/>
      <c r="M18" s="753"/>
      <c r="N18" s="3" t="str">
        <f>IF(M18="","",VLOOKUP(M18,'Budget-S&amp;U Codes Lookup'!$E$26:$F$45,2,FALSE))</f>
        <v/>
      </c>
      <c r="P18" s="186"/>
    </row>
    <row r="19" spans="1:16">
      <c r="A19" s="751"/>
      <c r="B19" s="82" t="str">
        <f>IFERROR(VLOOKUP(A19,'Budget-S&amp;U Codes Lookup'!$A$7:$B$550,2,FALSE),"")</f>
        <v/>
      </c>
      <c r="C19" s="992"/>
      <c r="D19" s="118"/>
      <c r="E19" s="1035"/>
      <c r="F19" s="124"/>
      <c r="G19" s="124"/>
      <c r="H19" s="125">
        <f t="shared" si="0"/>
        <v>0</v>
      </c>
      <c r="I19" s="191"/>
      <c r="J19" s="268"/>
      <c r="K19" s="182" t="str">
        <f>IFERROR(VLOOKUP(A19,'Budget-S&amp;U Codes Lookup'!$A$7:$C$550,3,FALSE),"")</f>
        <v/>
      </c>
      <c r="L19" s="1041"/>
      <c r="M19" s="753"/>
      <c r="N19" s="3" t="str">
        <f>IF(M19="","",VLOOKUP(M19,'Budget-S&amp;U Codes Lookup'!$E$26:$F$45,2,FALSE))</f>
        <v/>
      </c>
      <c r="P19" s="186"/>
    </row>
    <row r="20" spans="1:16">
      <c r="A20" s="751"/>
      <c r="B20" s="82" t="str">
        <f>IFERROR(VLOOKUP(A20,'Budget-S&amp;U Codes Lookup'!$A$7:$B$550,2,FALSE),"")</f>
        <v/>
      </c>
      <c r="C20" s="992"/>
      <c r="D20" s="118"/>
      <c r="E20" s="1035"/>
      <c r="F20" s="124"/>
      <c r="G20" s="124"/>
      <c r="H20" s="125">
        <f t="shared" si="0"/>
        <v>0</v>
      </c>
      <c r="I20" s="191"/>
      <c r="J20" s="268"/>
      <c r="K20" s="182" t="str">
        <f>IFERROR(VLOOKUP(A20,'Budget-S&amp;U Codes Lookup'!$A$7:$C$550,3,FALSE),"")</f>
        <v/>
      </c>
      <c r="L20" s="1041"/>
      <c r="M20" s="753"/>
      <c r="N20" s="3" t="str">
        <f>IF(M20="","",VLOOKUP(M20,'Budget-S&amp;U Codes Lookup'!$E$26:$F$45,2,FALSE))</f>
        <v/>
      </c>
      <c r="P20" s="186"/>
    </row>
    <row r="21" spans="1:16">
      <c r="A21" s="751"/>
      <c r="B21" s="82" t="str">
        <f>IFERROR(VLOOKUP(A21,'Budget-S&amp;U Codes Lookup'!$A$7:$B$550,2,FALSE),"")</f>
        <v/>
      </c>
      <c r="C21" s="992"/>
      <c r="D21" s="118"/>
      <c r="E21" s="1035"/>
      <c r="F21" s="124"/>
      <c r="G21" s="124"/>
      <c r="H21" s="125">
        <f t="shared" si="0"/>
        <v>0</v>
      </c>
      <c r="I21" s="191"/>
      <c r="J21" s="268"/>
      <c r="K21" s="182" t="str">
        <f>IFERROR(VLOOKUP(A21,'Budget-S&amp;U Codes Lookup'!$A$7:$C$550,3,FALSE),"")</f>
        <v/>
      </c>
      <c r="L21" s="1041"/>
      <c r="M21" s="753"/>
      <c r="N21" s="3" t="str">
        <f>IF(M21="","",VLOOKUP(M21,'Budget-S&amp;U Codes Lookup'!$E$26:$F$45,2,FALSE))</f>
        <v/>
      </c>
      <c r="P21" s="186"/>
    </row>
    <row r="22" spans="1:16">
      <c r="A22" s="751"/>
      <c r="B22" s="82" t="str">
        <f>IFERROR(VLOOKUP(A22,'Budget-S&amp;U Codes Lookup'!$A$7:$B$550,2,FALSE),"")</f>
        <v/>
      </c>
      <c r="C22" s="992"/>
      <c r="D22" s="118"/>
      <c r="E22" s="131"/>
      <c r="F22" s="124"/>
      <c r="G22" s="124"/>
      <c r="H22" s="125">
        <f t="shared" si="0"/>
        <v>0</v>
      </c>
      <c r="I22" s="191"/>
      <c r="J22" s="268"/>
      <c r="K22" s="182" t="str">
        <f>IFERROR(VLOOKUP(A22,'Budget-S&amp;U Codes Lookup'!$A$7:$C$550,3,FALSE),"")</f>
        <v/>
      </c>
      <c r="L22" s="1041"/>
      <c r="M22" s="753"/>
      <c r="N22" s="3" t="str">
        <f>IF(M22="","",VLOOKUP(M22,'Budget-S&amp;U Codes Lookup'!$E$26:$F$45,2,FALSE))</f>
        <v/>
      </c>
      <c r="P22" s="186"/>
    </row>
    <row r="23" spans="1:16">
      <c r="A23" s="751"/>
      <c r="B23" s="82" t="str">
        <f>IFERROR(VLOOKUP(A23,'Budget-S&amp;U Codes Lookup'!$A$7:$B$550,2,FALSE),"")</f>
        <v/>
      </c>
      <c r="C23" s="992"/>
      <c r="D23" s="118"/>
      <c r="E23" s="131"/>
      <c r="F23" s="124"/>
      <c r="G23" s="124"/>
      <c r="H23" s="125">
        <f t="shared" si="0"/>
        <v>0</v>
      </c>
      <c r="I23" s="191"/>
      <c r="J23" s="268"/>
      <c r="K23" s="182" t="str">
        <f>IFERROR(VLOOKUP(A23,'Budget-S&amp;U Codes Lookup'!$A$7:$C$550,3,FALSE),"")</f>
        <v/>
      </c>
      <c r="L23" s="1042"/>
      <c r="M23" s="753"/>
      <c r="N23" s="3" t="str">
        <f>IF(M23="","",VLOOKUP(M23,'Budget-S&amp;U Codes Lookup'!$E$26:$F$45,2,FALSE))</f>
        <v/>
      </c>
      <c r="P23" s="186"/>
    </row>
    <row r="24" spans="1:16">
      <c r="A24" s="751"/>
      <c r="B24" s="82" t="str">
        <f>IFERROR(VLOOKUP(A24,'Budget-S&amp;U Codes Lookup'!$A$7:$B$550,2,FALSE),"")</f>
        <v/>
      </c>
      <c r="C24" s="992"/>
      <c r="D24" s="118"/>
      <c r="E24" s="131"/>
      <c r="F24" s="124"/>
      <c r="G24" s="124"/>
      <c r="H24" s="125">
        <f t="shared" si="0"/>
        <v>0</v>
      </c>
      <c r="I24" s="191"/>
      <c r="J24" s="268"/>
      <c r="K24" s="182" t="str">
        <f>IFERROR(VLOOKUP(A24,'Budget-S&amp;U Codes Lookup'!$A$7:$C$550,3,FALSE),"")</f>
        <v/>
      </c>
      <c r="L24" s="1041"/>
      <c r="M24" s="753"/>
      <c r="N24" s="3" t="str">
        <f>IF(M24="","",VLOOKUP(M24,'Budget-S&amp;U Codes Lookup'!$E$26:$F$45,2,FALSE))</f>
        <v/>
      </c>
      <c r="P24" s="186"/>
    </row>
    <row r="25" spans="1:16">
      <c r="A25" s="751"/>
      <c r="B25" s="82" t="str">
        <f>IFERROR(VLOOKUP(A25,'Budget-S&amp;U Codes Lookup'!$A$7:$B$550,2,FALSE),"")</f>
        <v/>
      </c>
      <c r="C25" s="992"/>
      <c r="D25" s="118"/>
      <c r="E25" s="131"/>
      <c r="F25" s="124"/>
      <c r="G25" s="124"/>
      <c r="H25" s="125">
        <f t="shared" si="0"/>
        <v>0</v>
      </c>
      <c r="I25" s="191"/>
      <c r="J25" s="268"/>
      <c r="K25" s="182" t="str">
        <f>IFERROR(VLOOKUP(A25,'Budget-S&amp;U Codes Lookup'!$A$7:$C$550,3,FALSE),"")</f>
        <v/>
      </c>
      <c r="L25" s="1041"/>
      <c r="M25" s="753"/>
      <c r="N25" s="3" t="str">
        <f>IF(M25="","",VLOOKUP(M25,'Budget-S&amp;U Codes Lookup'!$E$26:$F$45,2,FALSE))</f>
        <v/>
      </c>
      <c r="P25" s="186"/>
    </row>
    <row r="26" spans="1:16">
      <c r="A26" s="751"/>
      <c r="B26" s="82" t="str">
        <f>IFERROR(VLOOKUP(A26,'Budget-S&amp;U Codes Lookup'!$A$7:$B$550,2,FALSE),"")</f>
        <v/>
      </c>
      <c r="C26" s="992"/>
      <c r="D26" s="118"/>
      <c r="E26" s="1035"/>
      <c r="F26" s="124"/>
      <c r="G26" s="124"/>
      <c r="H26" s="125">
        <f t="shared" si="0"/>
        <v>0</v>
      </c>
      <c r="I26" s="191"/>
      <c r="J26" s="268"/>
      <c r="K26" s="182" t="str">
        <f>IFERROR(VLOOKUP(A26,'Budget-S&amp;U Codes Lookup'!$A$7:$C$550,3,FALSE),"")</f>
        <v/>
      </c>
      <c r="L26" s="1041"/>
      <c r="M26" s="753"/>
      <c r="N26" s="65"/>
      <c r="O26" s="1036"/>
      <c r="P26" s="186"/>
    </row>
    <row r="27" spans="1:16">
      <c r="A27" s="751"/>
      <c r="B27" s="82" t="str">
        <f>IFERROR(VLOOKUP(A27,'Budget-S&amp;U Codes Lookup'!$A$7:$B$550,2,FALSE),"")</f>
        <v/>
      </c>
      <c r="C27" s="992"/>
      <c r="D27" s="118"/>
      <c r="E27" s="1035"/>
      <c r="F27" s="124"/>
      <c r="G27" s="124"/>
      <c r="H27" s="125">
        <f t="shared" si="0"/>
        <v>0</v>
      </c>
      <c r="I27" s="191"/>
      <c r="J27" s="268"/>
      <c r="K27" s="182" t="str">
        <f>IFERROR(VLOOKUP(A27,'Budget-S&amp;U Codes Lookup'!$A$7:$C$550,3,FALSE),"")</f>
        <v/>
      </c>
      <c r="L27" s="1041"/>
      <c r="M27" s="753"/>
      <c r="N27" s="65"/>
      <c r="O27" s="1037"/>
      <c r="P27" s="186"/>
    </row>
    <row r="28" spans="1:16">
      <c r="A28" s="751"/>
      <c r="B28" s="82" t="str">
        <f>IFERROR(VLOOKUP(A28,'Budget-S&amp;U Codes Lookup'!$A$7:$B$550,2,FALSE),"")</f>
        <v/>
      </c>
      <c r="C28" s="992"/>
      <c r="D28" s="118"/>
      <c r="E28" s="1035"/>
      <c r="F28" s="124"/>
      <c r="G28" s="124"/>
      <c r="H28" s="125">
        <f t="shared" si="0"/>
        <v>0</v>
      </c>
      <c r="I28" s="191"/>
      <c r="J28" s="268"/>
      <c r="K28" s="182" t="str">
        <f>IFERROR(VLOOKUP(A28,'Budget-S&amp;U Codes Lookup'!$A$7:$C$550,3,FALSE),"")</f>
        <v/>
      </c>
      <c r="L28" s="1041"/>
      <c r="M28" s="753"/>
      <c r="N28" s="185"/>
      <c r="O28" s="1038"/>
      <c r="P28" s="186"/>
    </row>
    <row r="29" spans="1:16">
      <c r="A29" s="751"/>
      <c r="B29" s="82" t="str">
        <f>IFERROR(VLOOKUP(A29,'Budget-S&amp;U Codes Lookup'!$A$7:$B$550,2,FALSE),"")</f>
        <v/>
      </c>
      <c r="C29" s="992"/>
      <c r="D29" s="118"/>
      <c r="E29" s="1035"/>
      <c r="F29" s="124"/>
      <c r="G29" s="124"/>
      <c r="H29" s="125">
        <f t="shared" si="0"/>
        <v>0</v>
      </c>
      <c r="I29" s="191"/>
      <c r="J29" s="268"/>
      <c r="K29" s="182" t="str">
        <f>IFERROR(VLOOKUP(A29,'Budget-S&amp;U Codes Lookup'!$A$7:$C$550,3,FALSE),"")</f>
        <v/>
      </c>
      <c r="L29" s="1041"/>
      <c r="M29" s="753"/>
      <c r="N29" s="3" t="str">
        <f>IF(M29="","",VLOOKUP(M29,'Budget-S&amp;U Codes Lookup'!$E$26:$F$45,2,FALSE))</f>
        <v/>
      </c>
      <c r="P29" s="186"/>
    </row>
    <row r="30" spans="1:16">
      <c r="A30" s="751"/>
      <c r="B30" s="82" t="str">
        <f>IFERROR(VLOOKUP(A30,'Budget-S&amp;U Codes Lookup'!$A$7:$B$550,2,FALSE),"")</f>
        <v/>
      </c>
      <c r="C30" s="992"/>
      <c r="D30" s="118"/>
      <c r="E30" s="1035"/>
      <c r="F30" s="124"/>
      <c r="G30" s="124"/>
      <c r="H30" s="125">
        <f t="shared" si="0"/>
        <v>0</v>
      </c>
      <c r="I30" s="191"/>
      <c r="J30" s="268"/>
      <c r="K30" s="182" t="str">
        <f>IFERROR(VLOOKUP(A30,'Budget-S&amp;U Codes Lookup'!$A$7:$C$550,3,FALSE),"")</f>
        <v/>
      </c>
      <c r="L30" s="1041"/>
      <c r="M30" s="753"/>
      <c r="N30" s="3" t="str">
        <f>IF(M30="","",VLOOKUP(M30,'Budget-S&amp;U Codes Lookup'!$E$26:$F$45,2,FALSE))</f>
        <v/>
      </c>
      <c r="P30" s="186"/>
    </row>
    <row r="31" spans="1:16">
      <c r="A31" s="751"/>
      <c r="B31" s="82" t="str">
        <f>IFERROR(VLOOKUP(A31,'Budget-S&amp;U Codes Lookup'!$A$7:$B$550,2,FALSE),"")</f>
        <v/>
      </c>
      <c r="C31" s="992"/>
      <c r="D31" s="118"/>
      <c r="E31" s="1035"/>
      <c r="F31" s="124"/>
      <c r="G31" s="124"/>
      <c r="H31" s="125">
        <f t="shared" si="0"/>
        <v>0</v>
      </c>
      <c r="I31" s="191"/>
      <c r="J31" s="268"/>
      <c r="K31" s="182" t="str">
        <f>IFERROR(VLOOKUP(A31,'Budget-S&amp;U Codes Lookup'!$A$7:$C$550,3,FALSE),"")</f>
        <v/>
      </c>
      <c r="L31" s="1041"/>
      <c r="M31" s="753"/>
      <c r="N31" s="3" t="str">
        <f>IF(M31="","",VLOOKUP(M31,'Budget-S&amp;U Codes Lookup'!$E$26:$F$45,2,FALSE))</f>
        <v/>
      </c>
      <c r="P31" s="186"/>
    </row>
    <row r="32" spans="1:16">
      <c r="A32" s="751"/>
      <c r="B32" s="82" t="str">
        <f>IFERROR(VLOOKUP(A32,'Budget-S&amp;U Codes Lookup'!$A$7:$B$550,2,FALSE),"")</f>
        <v/>
      </c>
      <c r="C32" s="992"/>
      <c r="D32" s="118"/>
      <c r="E32" s="131"/>
      <c r="F32" s="124"/>
      <c r="G32" s="124"/>
      <c r="H32" s="125">
        <f t="shared" si="0"/>
        <v>0</v>
      </c>
      <c r="I32" s="191"/>
      <c r="J32" s="268"/>
      <c r="K32" s="182" t="str">
        <f>IFERROR(VLOOKUP(A32,'Budget-S&amp;U Codes Lookup'!$A$7:$C$550,3,FALSE),"")</f>
        <v/>
      </c>
      <c r="L32" s="1041"/>
      <c r="M32" s="753"/>
      <c r="N32" s="3" t="str">
        <f>IF(M32="","",VLOOKUP(M32,'Budget-S&amp;U Codes Lookup'!$E$26:$F$45,2,FALSE))</f>
        <v/>
      </c>
      <c r="P32" s="186"/>
    </row>
    <row r="33" spans="1:16">
      <c r="A33" s="751"/>
      <c r="B33" s="82" t="str">
        <f>IFERROR(VLOOKUP(A33,'Budget-S&amp;U Codes Lookup'!$A$7:$B$550,2,FALSE),"")</f>
        <v/>
      </c>
      <c r="C33" s="992"/>
      <c r="D33" s="118"/>
      <c r="E33" s="131"/>
      <c r="F33" s="124"/>
      <c r="G33" s="124"/>
      <c r="H33" s="125">
        <f t="shared" si="0"/>
        <v>0</v>
      </c>
      <c r="I33" s="191"/>
      <c r="J33" s="268"/>
      <c r="K33" s="182" t="str">
        <f>IFERROR(VLOOKUP(A33,'Budget-S&amp;U Codes Lookup'!$A$7:$C$550,3,FALSE),"")</f>
        <v/>
      </c>
      <c r="L33" s="1041"/>
      <c r="M33" s="753"/>
      <c r="N33" s="3" t="str">
        <f>IF(M33="","",VLOOKUP(M33,'Budget-S&amp;U Codes Lookup'!$E$26:$F$45,2,FALSE))</f>
        <v/>
      </c>
      <c r="P33" s="186"/>
    </row>
    <row r="34" spans="1:16">
      <c r="A34" s="751"/>
      <c r="B34" s="82" t="str">
        <f>IFERROR(VLOOKUP(A34,'Budget-S&amp;U Codes Lookup'!$A$7:$B$550,2,FALSE),"")</f>
        <v/>
      </c>
      <c r="C34" s="992"/>
      <c r="D34" s="118"/>
      <c r="E34" s="131"/>
      <c r="F34" s="124"/>
      <c r="G34" s="124"/>
      <c r="H34" s="125">
        <f t="shared" si="0"/>
        <v>0</v>
      </c>
      <c r="I34" s="191"/>
      <c r="J34" s="268"/>
      <c r="K34" s="182" t="str">
        <f>IFERROR(VLOOKUP(A34,'Budget-S&amp;U Codes Lookup'!$A$7:$C$550,3,FALSE),"")</f>
        <v/>
      </c>
      <c r="L34" s="1041"/>
      <c r="M34" s="753"/>
      <c r="N34" s="3" t="str">
        <f>IF(M34="","",VLOOKUP(M34,'Budget-S&amp;U Codes Lookup'!$E$26:$F$45,2,FALSE))</f>
        <v/>
      </c>
      <c r="P34" s="186"/>
    </row>
    <row r="35" spans="1:16">
      <c r="A35" s="751"/>
      <c r="B35" s="82" t="str">
        <f>IFERROR(VLOOKUP(A35,'Budget-S&amp;U Codes Lookup'!$A$7:$B$550,2,FALSE),"")</f>
        <v/>
      </c>
      <c r="C35" s="992"/>
      <c r="D35" s="118"/>
      <c r="E35" s="131"/>
      <c r="F35" s="124"/>
      <c r="G35" s="124"/>
      <c r="H35" s="125">
        <f t="shared" si="0"/>
        <v>0</v>
      </c>
      <c r="I35" s="191"/>
      <c r="J35" s="268"/>
      <c r="K35" s="182" t="str">
        <f>IFERROR(VLOOKUP(A35,'Budget-S&amp;U Codes Lookup'!$A$7:$C$550,3,FALSE),"")</f>
        <v/>
      </c>
      <c r="L35" s="1041"/>
      <c r="M35" s="753"/>
      <c r="N35" s="3" t="str">
        <f>IF(M35="","",VLOOKUP(M35,'Budget-S&amp;U Codes Lookup'!$E$26:$F$45,2,FALSE))</f>
        <v/>
      </c>
      <c r="P35" s="186"/>
    </row>
    <row r="36" spans="1:16">
      <c r="A36" s="751"/>
      <c r="B36" s="82" t="str">
        <f>IFERROR(VLOOKUP(A36,'Budget-S&amp;U Codes Lookup'!$A$7:$B$550,2,FALSE),"")</f>
        <v/>
      </c>
      <c r="C36" s="992"/>
      <c r="D36" s="118"/>
      <c r="E36" s="131"/>
      <c r="F36" s="124"/>
      <c r="G36" s="124"/>
      <c r="H36" s="125">
        <f t="shared" si="0"/>
        <v>0</v>
      </c>
      <c r="I36" s="191"/>
      <c r="J36" s="268"/>
      <c r="K36" s="182" t="str">
        <f>IFERROR(VLOOKUP(A36,'Budget-S&amp;U Codes Lookup'!$A$7:$C$550,3,FALSE),"")</f>
        <v/>
      </c>
      <c r="L36" s="1041"/>
      <c r="M36" s="753"/>
      <c r="N36" s="3" t="str">
        <f>IF(M36="","",VLOOKUP(M36,'Budget-S&amp;U Codes Lookup'!$E$26:$F$45,2,FALSE))</f>
        <v/>
      </c>
      <c r="P36" s="186"/>
    </row>
    <row r="37" spans="1:16">
      <c r="A37" s="751"/>
      <c r="B37" s="82" t="str">
        <f>IFERROR(VLOOKUP(A37,'Budget-S&amp;U Codes Lookup'!$A$7:$B$550,2,FALSE),"")</f>
        <v/>
      </c>
      <c r="C37" s="992"/>
      <c r="D37" s="118"/>
      <c r="E37" s="131"/>
      <c r="F37" s="124"/>
      <c r="G37" s="124"/>
      <c r="H37" s="125">
        <f t="shared" si="0"/>
        <v>0</v>
      </c>
      <c r="I37" s="191"/>
      <c r="J37" s="268"/>
      <c r="K37" s="182" t="str">
        <f>IFERROR(VLOOKUP(A37,'Budget-S&amp;U Codes Lookup'!$A$7:$C$550,3,FALSE),"")</f>
        <v/>
      </c>
      <c r="L37" s="1041"/>
      <c r="M37" s="753"/>
      <c r="N37" s="3" t="str">
        <f>IF(M37="","",VLOOKUP(M37,'Budget-S&amp;U Codes Lookup'!$E$26:$F$45,2,FALSE))</f>
        <v/>
      </c>
      <c r="P37" s="186"/>
    </row>
    <row r="38" spans="1:16">
      <c r="A38" s="751"/>
      <c r="B38" s="82" t="str">
        <f>IFERROR(VLOOKUP(A38,'Budget-S&amp;U Codes Lookup'!$A$7:$B$550,2,FALSE),"")</f>
        <v/>
      </c>
      <c r="C38" s="992"/>
      <c r="D38" s="118"/>
      <c r="E38" s="131"/>
      <c r="F38" s="124"/>
      <c r="G38" s="124"/>
      <c r="H38" s="125">
        <f t="shared" si="0"/>
        <v>0</v>
      </c>
      <c r="I38" s="191"/>
      <c r="J38" s="268"/>
      <c r="K38" s="182" t="str">
        <f>IFERROR(VLOOKUP(A38,'Budget-S&amp;U Codes Lookup'!$A$7:$C$550,3,FALSE),"")</f>
        <v/>
      </c>
      <c r="L38" s="1041"/>
      <c r="M38" s="753"/>
      <c r="N38" s="3" t="str">
        <f>IF(M38="","",VLOOKUP(M38,'Budget-S&amp;U Codes Lookup'!$E$26:$F$45,2,FALSE))</f>
        <v/>
      </c>
      <c r="P38" s="186"/>
    </row>
    <row r="39" spans="1:16">
      <c r="A39" s="751"/>
      <c r="B39" s="82" t="str">
        <f>IFERROR(VLOOKUP(A39,'Budget-S&amp;U Codes Lookup'!$A$7:$B$550,2,FALSE),"")</f>
        <v/>
      </c>
      <c r="C39" s="992"/>
      <c r="D39" s="118"/>
      <c r="E39" s="131"/>
      <c r="F39" s="124"/>
      <c r="G39" s="124"/>
      <c r="H39" s="125">
        <f t="shared" si="0"/>
        <v>0</v>
      </c>
      <c r="I39" s="191"/>
      <c r="J39" s="268"/>
      <c r="K39" s="182" t="str">
        <f>IFERROR(VLOOKUP(A39,'Budget-S&amp;U Codes Lookup'!$A$7:$C$550,3,FALSE),"")</f>
        <v/>
      </c>
      <c r="L39" s="1041"/>
      <c r="M39" s="753"/>
      <c r="N39" s="3" t="str">
        <f>IF(M39="","",VLOOKUP(M39,'Budget-S&amp;U Codes Lookup'!$E$26:$F$45,2,FALSE))</f>
        <v/>
      </c>
      <c r="P39" s="186"/>
    </row>
    <row r="40" spans="1:16">
      <c r="A40" s="751"/>
      <c r="B40" s="82" t="str">
        <f>IFERROR(VLOOKUP(A40,'Budget-S&amp;U Codes Lookup'!$A$7:$B$550,2,FALSE),"")</f>
        <v/>
      </c>
      <c r="C40" s="992"/>
      <c r="D40" s="118"/>
      <c r="E40" s="131"/>
      <c r="F40" s="124"/>
      <c r="G40" s="124"/>
      <c r="H40" s="125">
        <f t="shared" si="0"/>
        <v>0</v>
      </c>
      <c r="I40" s="191"/>
      <c r="J40" s="268"/>
      <c r="K40" s="182" t="str">
        <f>IFERROR(VLOOKUP(A40,'Budget-S&amp;U Codes Lookup'!$A$7:$C$550,3,FALSE),"")</f>
        <v/>
      </c>
      <c r="L40" s="1041"/>
      <c r="M40" s="753"/>
      <c r="N40" s="3" t="str">
        <f>IF(M40="","",VLOOKUP(M40,'Budget-S&amp;U Codes Lookup'!$E$26:$F$45,2,FALSE))</f>
        <v/>
      </c>
      <c r="P40" s="186"/>
    </row>
    <row r="41" spans="1:16">
      <c r="A41" s="752"/>
      <c r="B41" s="82" t="str">
        <f>IFERROR(VLOOKUP(A41,'Budget-S&amp;U Codes Lookup'!$A$7:$B$550,2,FALSE),"")</f>
        <v/>
      </c>
      <c r="C41" s="992"/>
      <c r="D41" s="123"/>
      <c r="E41" s="131"/>
      <c r="F41" s="124"/>
      <c r="G41" s="124"/>
      <c r="H41" s="125">
        <f t="shared" si="0"/>
        <v>0</v>
      </c>
      <c r="I41" s="191"/>
      <c r="J41" s="268"/>
      <c r="K41" s="182" t="str">
        <f>IFERROR(VLOOKUP(A41,'Budget-S&amp;U Codes Lookup'!$A$7:$C$550,3,FALSE),"")</f>
        <v/>
      </c>
      <c r="L41" s="1041"/>
      <c r="M41" s="753"/>
      <c r="N41" s="3" t="str">
        <f>IF(M41="","",VLOOKUP(M41,'Budget-S&amp;U Codes Lookup'!$E$26:$F$45,2,FALSE))</f>
        <v/>
      </c>
      <c r="P41" s="186"/>
    </row>
    <row r="42" spans="1:16">
      <c r="A42" s="751"/>
      <c r="B42" s="82" t="str">
        <f>IFERROR(VLOOKUP(A42,'Budget-S&amp;U Codes Lookup'!$A$7:$B$550,2,FALSE),"")</f>
        <v/>
      </c>
      <c r="C42" s="992"/>
      <c r="D42" s="118"/>
      <c r="E42" s="131"/>
      <c r="F42" s="124"/>
      <c r="G42" s="124"/>
      <c r="H42" s="125">
        <f t="shared" si="0"/>
        <v>0</v>
      </c>
      <c r="I42" s="191"/>
      <c r="J42" s="268"/>
      <c r="K42" s="182" t="str">
        <f>IFERROR(VLOOKUP(A42,'Budget-S&amp;U Codes Lookup'!$A$7:$C$550,3,FALSE),"")</f>
        <v/>
      </c>
      <c r="L42" s="1041"/>
      <c r="M42" s="753"/>
      <c r="N42" s="3" t="str">
        <f>IF(M42="","",VLOOKUP(M42,'Budget-S&amp;U Codes Lookup'!$E$26:$F$45,2,FALSE))</f>
        <v/>
      </c>
      <c r="P42" s="186"/>
    </row>
    <row r="43" spans="1:16">
      <c r="A43" s="751"/>
      <c r="B43" s="82" t="str">
        <f>IFERROR(VLOOKUP(A43,'Budget-S&amp;U Codes Lookup'!$A$7:$B$550,2,FALSE),"")</f>
        <v/>
      </c>
      <c r="C43" s="992"/>
      <c r="D43" s="118"/>
      <c r="E43" s="131"/>
      <c r="F43" s="124"/>
      <c r="G43" s="124"/>
      <c r="H43" s="125">
        <f t="shared" si="0"/>
        <v>0</v>
      </c>
      <c r="I43" s="191"/>
      <c r="J43" s="268"/>
      <c r="K43" s="182" t="str">
        <f>IFERROR(VLOOKUP(A43,'Budget-S&amp;U Codes Lookup'!$A$7:$C$550,3,FALSE),"")</f>
        <v/>
      </c>
      <c r="L43" s="1041"/>
      <c r="M43" s="753"/>
      <c r="N43" s="3" t="str">
        <f>IF(M43="","",VLOOKUP(M43,'Budget-S&amp;U Codes Lookup'!$E$26:$F$45,2,FALSE))</f>
        <v/>
      </c>
      <c r="P43" s="186"/>
    </row>
    <row r="44" spans="1:16">
      <c r="A44" s="751"/>
      <c r="B44" s="82" t="str">
        <f>IFERROR(VLOOKUP(A44,'Budget-S&amp;U Codes Lookup'!$A$7:$B$550,2,FALSE),"")</f>
        <v/>
      </c>
      <c r="C44" s="992"/>
      <c r="D44" s="118"/>
      <c r="E44" s="131"/>
      <c r="F44" s="124"/>
      <c r="G44" s="124"/>
      <c r="H44" s="125">
        <f t="shared" si="0"/>
        <v>0</v>
      </c>
      <c r="I44" s="191"/>
      <c r="J44" s="268"/>
      <c r="K44" s="182" t="str">
        <f>IFERROR(VLOOKUP(A44,'Budget-S&amp;U Codes Lookup'!$A$7:$C$550,3,FALSE),"")</f>
        <v/>
      </c>
      <c r="L44" s="1041"/>
      <c r="M44" s="753"/>
      <c r="N44" s="3" t="str">
        <f>IF(M44="","",VLOOKUP(M44,'Budget-S&amp;U Codes Lookup'!$E$26:$F$45,2,FALSE))</f>
        <v/>
      </c>
      <c r="P44" s="186"/>
    </row>
    <row r="45" spans="1:16">
      <c r="A45" s="751"/>
      <c r="B45" s="82" t="str">
        <f>IFERROR(VLOOKUP(A45,'Budget-S&amp;U Codes Lookup'!$A$7:$B$550,2,FALSE),"")</f>
        <v/>
      </c>
      <c r="C45" s="992"/>
      <c r="D45" s="118"/>
      <c r="E45" s="131"/>
      <c r="F45" s="124"/>
      <c r="G45" s="124"/>
      <c r="H45" s="125">
        <f t="shared" si="0"/>
        <v>0</v>
      </c>
      <c r="I45" s="191"/>
      <c r="J45" s="268"/>
      <c r="K45" s="182" t="str">
        <f>IFERROR(VLOOKUP(A45,'Budget-S&amp;U Codes Lookup'!$A$7:$C$550,3,FALSE),"")</f>
        <v/>
      </c>
      <c r="L45" s="1041"/>
      <c r="M45" s="753"/>
      <c r="N45" s="3" t="str">
        <f>IF(M45="","",VLOOKUP(M45,'Budget-S&amp;U Codes Lookup'!$E$26:$F$45,2,FALSE))</f>
        <v/>
      </c>
      <c r="P45" s="186"/>
    </row>
    <row r="46" spans="1:16">
      <c r="A46" s="751"/>
      <c r="B46" s="82" t="str">
        <f>IFERROR(VLOOKUP(A46,'Budget-S&amp;U Codes Lookup'!$A$7:$B$550,2,FALSE),"")</f>
        <v/>
      </c>
      <c r="C46" s="992"/>
      <c r="D46" s="118"/>
      <c r="E46" s="131"/>
      <c r="F46" s="124"/>
      <c r="G46" s="124"/>
      <c r="H46" s="125">
        <f t="shared" si="0"/>
        <v>0</v>
      </c>
      <c r="I46" s="191"/>
      <c r="J46" s="268"/>
      <c r="K46" s="182" t="str">
        <f>IFERROR(VLOOKUP(A46,'Budget-S&amp;U Codes Lookup'!$A$7:$C$550,3,FALSE),"")</f>
        <v/>
      </c>
      <c r="L46" s="1041"/>
      <c r="M46" s="753"/>
      <c r="N46" s="3" t="str">
        <f>IF(M46="","",VLOOKUP(M46,'Budget-S&amp;U Codes Lookup'!$E$26:$F$45,2,FALSE))</f>
        <v/>
      </c>
      <c r="P46" s="186"/>
    </row>
    <row r="47" spans="1:16">
      <c r="A47" s="751"/>
      <c r="B47" s="82" t="str">
        <f>IFERROR(VLOOKUP(A47,'Budget-S&amp;U Codes Lookup'!$A$7:$B$550,2,FALSE),"")</f>
        <v/>
      </c>
      <c r="C47" s="992"/>
      <c r="D47" s="118"/>
      <c r="E47" s="131"/>
      <c r="F47" s="124"/>
      <c r="G47" s="124"/>
      <c r="H47" s="125">
        <f t="shared" si="0"/>
        <v>0</v>
      </c>
      <c r="I47" s="191"/>
      <c r="J47" s="268"/>
      <c r="K47" s="182" t="str">
        <f>IFERROR(VLOOKUP(A47,'Budget-S&amp;U Codes Lookup'!$A$7:$C$550,3,FALSE),"")</f>
        <v/>
      </c>
      <c r="L47" s="1041"/>
      <c r="M47" s="753"/>
      <c r="N47" s="3" t="str">
        <f>IF(M47="","",VLOOKUP(M47,'Budget-S&amp;U Codes Lookup'!$E$26:$F$45,2,FALSE))</f>
        <v/>
      </c>
      <c r="P47" s="186"/>
    </row>
    <row r="48" spans="1:16">
      <c r="A48" s="751"/>
      <c r="B48" s="82" t="str">
        <f>IFERROR(VLOOKUP(A48,'Budget-S&amp;U Codes Lookup'!$A$7:$B$550,2,FALSE),"")</f>
        <v/>
      </c>
      <c r="C48" s="992"/>
      <c r="D48" s="118"/>
      <c r="E48" s="131"/>
      <c r="F48" s="124"/>
      <c r="G48" s="124"/>
      <c r="H48" s="125">
        <f t="shared" si="0"/>
        <v>0</v>
      </c>
      <c r="I48" s="191"/>
      <c r="J48" s="268"/>
      <c r="K48" s="182" t="str">
        <f>IFERROR(VLOOKUP(A48,'Budget-S&amp;U Codes Lookup'!$A$7:$C$550,3,FALSE),"")</f>
        <v/>
      </c>
      <c r="L48" s="1041"/>
      <c r="M48" s="753"/>
      <c r="N48" s="3" t="str">
        <f>IF(M48="","",VLOOKUP(M48,'Budget-S&amp;U Codes Lookup'!$E$26:$F$45,2,FALSE))</f>
        <v/>
      </c>
      <c r="P48" s="186"/>
    </row>
    <row r="49" spans="1:16">
      <c r="A49" s="751"/>
      <c r="B49" s="82" t="str">
        <f>IFERROR(VLOOKUP(A49,'Budget-S&amp;U Codes Lookup'!$A$7:$B$550,2,FALSE),"")</f>
        <v/>
      </c>
      <c r="C49" s="992"/>
      <c r="D49" s="118"/>
      <c r="E49" s="131"/>
      <c r="F49" s="124"/>
      <c r="G49" s="124"/>
      <c r="H49" s="125">
        <f t="shared" si="0"/>
        <v>0</v>
      </c>
      <c r="I49" s="191"/>
      <c r="J49" s="268"/>
      <c r="K49" s="182" t="str">
        <f>IFERROR(VLOOKUP(A49,'Budget-S&amp;U Codes Lookup'!$A$7:$C$550,3,FALSE),"")</f>
        <v/>
      </c>
      <c r="L49" s="1041"/>
      <c r="M49" s="753"/>
      <c r="N49" s="3" t="str">
        <f>IF(M49="","",VLOOKUP(M49,'Budget-S&amp;U Codes Lookup'!$E$26:$F$45,2,FALSE))</f>
        <v/>
      </c>
      <c r="P49" s="186"/>
    </row>
    <row r="50" spans="1:16">
      <c r="A50" s="751"/>
      <c r="B50" s="82" t="str">
        <f>IFERROR(VLOOKUP(A50,'Budget-S&amp;U Codes Lookup'!$A$7:$B$550,2,FALSE),"")</f>
        <v/>
      </c>
      <c r="C50" s="992"/>
      <c r="D50" s="118"/>
      <c r="E50" s="131"/>
      <c r="F50" s="124"/>
      <c r="G50" s="124"/>
      <c r="H50" s="125">
        <f t="shared" si="0"/>
        <v>0</v>
      </c>
      <c r="I50" s="191"/>
      <c r="J50" s="268"/>
      <c r="K50" s="182" t="str">
        <f>IFERROR(VLOOKUP(A50,'Budget-S&amp;U Codes Lookup'!$A$7:$C$550,3,FALSE),"")</f>
        <v/>
      </c>
      <c r="L50" s="1041"/>
      <c r="M50" s="753"/>
      <c r="N50" s="3" t="str">
        <f>IF(M50="","",VLOOKUP(M50,'Budget-S&amp;U Codes Lookup'!$E$26:$F$45,2,FALSE))</f>
        <v/>
      </c>
      <c r="P50" s="186"/>
    </row>
    <row r="51" spans="1:16">
      <c r="A51" s="751"/>
      <c r="B51" s="82" t="str">
        <f>IFERROR(VLOOKUP(A51,'Budget-S&amp;U Codes Lookup'!$A$7:$B$550,2,FALSE),"")</f>
        <v/>
      </c>
      <c r="C51" s="992"/>
      <c r="D51" s="123"/>
      <c r="E51" s="131"/>
      <c r="F51" s="124"/>
      <c r="G51" s="124"/>
      <c r="H51" s="125">
        <f t="shared" si="0"/>
        <v>0</v>
      </c>
      <c r="I51" s="191"/>
      <c r="J51" s="268"/>
      <c r="K51" s="182" t="str">
        <f>IFERROR(VLOOKUP(A51,'Budget-S&amp;U Codes Lookup'!$A$7:$C$550,3,FALSE),"")</f>
        <v/>
      </c>
      <c r="L51" s="1041"/>
      <c r="M51" s="753"/>
      <c r="N51" s="3" t="str">
        <f>IF(M51="","",VLOOKUP(M51,'Budget-S&amp;U Codes Lookup'!$E$26:$F$45,2,FALSE))</f>
        <v/>
      </c>
      <c r="P51" s="186"/>
    </row>
    <row r="52" spans="1:16">
      <c r="A52" s="751"/>
      <c r="B52" s="82" t="str">
        <f>IFERROR(VLOOKUP(A52,'Budget-S&amp;U Codes Lookup'!$A$7:$B$550,2,FALSE),"")</f>
        <v/>
      </c>
      <c r="C52" s="992"/>
      <c r="D52" s="118"/>
      <c r="E52" s="131"/>
      <c r="F52" s="124"/>
      <c r="G52" s="124"/>
      <c r="H52" s="125">
        <f t="shared" si="0"/>
        <v>0</v>
      </c>
      <c r="I52" s="191"/>
      <c r="J52" s="268"/>
      <c r="K52" s="182" t="str">
        <f>IFERROR(VLOOKUP(A52,'Budget-S&amp;U Codes Lookup'!$A$7:$C$550,3,FALSE),"")</f>
        <v/>
      </c>
      <c r="L52" s="1041"/>
      <c r="M52" s="753"/>
      <c r="N52" s="3" t="str">
        <f>IF(M52="","",VLOOKUP(M52,'Budget-S&amp;U Codes Lookup'!$E$26:$F$45,2,FALSE))</f>
        <v/>
      </c>
      <c r="P52" s="186"/>
    </row>
    <row r="53" spans="1:16">
      <c r="A53" s="751"/>
      <c r="B53" s="82" t="str">
        <f>IFERROR(VLOOKUP(A53,'Budget-S&amp;U Codes Lookup'!$A$7:$B$550,2,FALSE),"")</f>
        <v/>
      </c>
      <c r="C53" s="992"/>
      <c r="D53" s="118"/>
      <c r="E53" s="131"/>
      <c r="F53" s="124"/>
      <c r="G53" s="124"/>
      <c r="H53" s="125">
        <f t="shared" si="0"/>
        <v>0</v>
      </c>
      <c r="I53" s="191"/>
      <c r="J53" s="268"/>
      <c r="K53" s="182" t="str">
        <f>IFERROR(VLOOKUP(A53,'Budget-S&amp;U Codes Lookup'!$A$7:$C$550,3,FALSE),"")</f>
        <v/>
      </c>
      <c r="L53" s="1041"/>
      <c r="M53" s="753"/>
      <c r="N53" s="3" t="str">
        <f>IF(M53="","",VLOOKUP(M53,'Budget-S&amp;U Codes Lookup'!$E$26:$F$45,2,FALSE))</f>
        <v/>
      </c>
      <c r="P53" s="186"/>
    </row>
    <row r="54" spans="1:16">
      <c r="A54" s="751"/>
      <c r="B54" s="82" t="str">
        <f>IFERROR(VLOOKUP(A54,'Budget-S&amp;U Codes Lookup'!$A$7:$B$550,2,FALSE),"")</f>
        <v/>
      </c>
      <c r="C54" s="992"/>
      <c r="D54" s="118"/>
      <c r="E54" s="131"/>
      <c r="F54" s="124"/>
      <c r="G54" s="124"/>
      <c r="H54" s="125">
        <f t="shared" si="0"/>
        <v>0</v>
      </c>
      <c r="I54" s="191"/>
      <c r="J54" s="268"/>
      <c r="K54" s="182" t="str">
        <f>IFERROR(VLOOKUP(A54,'Budget-S&amp;U Codes Lookup'!$A$7:$C$550,3,FALSE),"")</f>
        <v/>
      </c>
      <c r="L54" s="1041"/>
      <c r="M54" s="753"/>
      <c r="N54" s="3" t="str">
        <f>IF(M54="","",VLOOKUP(M54,'Budget-S&amp;U Codes Lookup'!$E$26:$F$45,2,FALSE))</f>
        <v/>
      </c>
      <c r="P54" s="186"/>
    </row>
    <row r="55" spans="1:16">
      <c r="A55" s="751"/>
      <c r="B55" s="82" t="str">
        <f>IFERROR(VLOOKUP(A55,'Budget-S&amp;U Codes Lookup'!$A$7:$B$550,2,FALSE),"")</f>
        <v/>
      </c>
      <c r="C55" s="992"/>
      <c r="D55" s="118"/>
      <c r="E55" s="131"/>
      <c r="F55" s="124"/>
      <c r="G55" s="124"/>
      <c r="H55" s="125">
        <f t="shared" si="0"/>
        <v>0</v>
      </c>
      <c r="I55" s="191"/>
      <c r="J55" s="268"/>
      <c r="K55" s="182" t="str">
        <f>IFERROR(VLOOKUP(A55,'Budget-S&amp;U Codes Lookup'!$A$7:$C$550,3,FALSE),"")</f>
        <v/>
      </c>
      <c r="L55" s="1041"/>
      <c r="M55" s="753"/>
      <c r="N55" s="3" t="str">
        <f>IF(M55="","",VLOOKUP(M55,'Budget-S&amp;U Codes Lookup'!$E$26:$F$45,2,FALSE))</f>
        <v/>
      </c>
      <c r="P55" s="186"/>
    </row>
    <row r="56" spans="1:16">
      <c r="A56" s="751"/>
      <c r="B56" s="82" t="str">
        <f>IFERROR(VLOOKUP(A56,'Budget-S&amp;U Codes Lookup'!$A$7:$B$550,2,FALSE),"")</f>
        <v/>
      </c>
      <c r="C56" s="992"/>
      <c r="D56" s="118"/>
      <c r="E56" s="131"/>
      <c r="F56" s="124"/>
      <c r="G56" s="124"/>
      <c r="H56" s="125">
        <f t="shared" si="0"/>
        <v>0</v>
      </c>
      <c r="I56" s="191"/>
      <c r="J56" s="268"/>
      <c r="K56" s="182" t="str">
        <f>IFERROR(VLOOKUP(A56,'Budget-S&amp;U Codes Lookup'!$A$7:$C$550,3,FALSE),"")</f>
        <v/>
      </c>
      <c r="L56" s="1041"/>
      <c r="M56" s="753"/>
      <c r="N56" s="3" t="str">
        <f>IF(M56="","",VLOOKUP(M56,'Budget-S&amp;U Codes Lookup'!$E$26:$F$45,2,FALSE))</f>
        <v/>
      </c>
      <c r="P56" s="186"/>
    </row>
    <row r="57" spans="1:16">
      <c r="A57" s="751"/>
      <c r="B57" s="82" t="str">
        <f>IFERROR(VLOOKUP(A57,'Budget-S&amp;U Codes Lookup'!$A$7:$B$550,2,FALSE),"")</f>
        <v/>
      </c>
      <c r="C57" s="992"/>
      <c r="D57" s="118"/>
      <c r="E57" s="131"/>
      <c r="F57" s="124"/>
      <c r="G57" s="124"/>
      <c r="H57" s="125">
        <f t="shared" si="0"/>
        <v>0</v>
      </c>
      <c r="I57" s="191"/>
      <c r="J57" s="268"/>
      <c r="K57" s="182" t="str">
        <f>IFERROR(VLOOKUP(A57,'Budget-S&amp;U Codes Lookup'!$A$7:$C$550,3,FALSE),"")</f>
        <v/>
      </c>
      <c r="L57" s="1041"/>
      <c r="M57" s="753"/>
      <c r="N57" s="3" t="str">
        <f>IF(M57="","",VLOOKUP(M57,'Budget-S&amp;U Codes Lookup'!$E$26:$F$45,2,FALSE))</f>
        <v/>
      </c>
      <c r="P57" s="186"/>
    </row>
    <row r="58" spans="1:16">
      <c r="A58" s="751"/>
      <c r="B58" s="82" t="str">
        <f>IFERROR(VLOOKUP(A58,'Budget-S&amp;U Codes Lookup'!$A$7:$B$550,2,FALSE),"")</f>
        <v/>
      </c>
      <c r="C58" s="992"/>
      <c r="D58" s="118"/>
      <c r="E58" s="131"/>
      <c r="F58" s="124"/>
      <c r="G58" s="124"/>
      <c r="H58" s="125">
        <f t="shared" si="0"/>
        <v>0</v>
      </c>
      <c r="I58" s="191"/>
      <c r="J58" s="268"/>
      <c r="K58" s="182" t="str">
        <f>IFERROR(VLOOKUP(A58,'Budget-S&amp;U Codes Lookup'!$A$7:$C$550,3,FALSE),"")</f>
        <v/>
      </c>
      <c r="L58" s="1041"/>
      <c r="M58" s="753"/>
      <c r="N58" s="3" t="str">
        <f>IF(M58="","",VLOOKUP(M58,'Budget-S&amp;U Codes Lookup'!$E$26:$F$45,2,FALSE))</f>
        <v/>
      </c>
      <c r="P58" s="186"/>
    </row>
    <row r="59" spans="1:16">
      <c r="A59" s="751"/>
      <c r="B59" s="82" t="str">
        <f>IFERROR(VLOOKUP(A59,'Budget-S&amp;U Codes Lookup'!$A$7:$B$550,2,FALSE),"")</f>
        <v/>
      </c>
      <c r="C59" s="992"/>
      <c r="D59" s="118"/>
      <c r="E59" s="131"/>
      <c r="F59" s="124"/>
      <c r="G59" s="124"/>
      <c r="H59" s="125">
        <f t="shared" si="0"/>
        <v>0</v>
      </c>
      <c r="I59" s="191"/>
      <c r="J59" s="268"/>
      <c r="K59" s="182" t="str">
        <f>IFERROR(VLOOKUP(A59,'Budget-S&amp;U Codes Lookup'!$A$7:$C$550,3,FALSE),"")</f>
        <v/>
      </c>
      <c r="L59" s="1041"/>
      <c r="M59" s="753"/>
      <c r="N59" s="3" t="str">
        <f>IF(M59="","",VLOOKUP(M59,'Budget-S&amp;U Codes Lookup'!$E$26:$F$45,2,FALSE))</f>
        <v/>
      </c>
      <c r="P59" s="186"/>
    </row>
    <row r="60" spans="1:16">
      <c r="A60" s="751"/>
      <c r="B60" s="82" t="str">
        <f>IFERROR(VLOOKUP(A60,'Budget-S&amp;U Codes Lookup'!$A$7:$B$550,2,FALSE),"")</f>
        <v/>
      </c>
      <c r="C60" s="992"/>
      <c r="D60" s="118"/>
      <c r="E60" s="131"/>
      <c r="F60" s="124"/>
      <c r="G60" s="124"/>
      <c r="H60" s="125">
        <f t="shared" si="0"/>
        <v>0</v>
      </c>
      <c r="I60" s="191"/>
      <c r="J60" s="268"/>
      <c r="K60" s="182" t="str">
        <f>IFERROR(VLOOKUP(A60,'Budget-S&amp;U Codes Lookup'!$A$7:$C$550,3,FALSE),"")</f>
        <v/>
      </c>
      <c r="L60" s="1041"/>
      <c r="M60" s="753"/>
      <c r="N60" s="3" t="str">
        <f>IF(M60="","",VLOOKUP(M60,'Budget-S&amp;U Codes Lookup'!$E$26:$F$45,2,FALSE))</f>
        <v/>
      </c>
      <c r="P60" s="186"/>
    </row>
    <row r="61" spans="1:16">
      <c r="A61" s="751"/>
      <c r="B61" s="82" t="str">
        <f>IFERROR(VLOOKUP(A61,'Budget-S&amp;U Codes Lookup'!$A$7:$B$550,2,FALSE),"")</f>
        <v/>
      </c>
      <c r="C61" s="992"/>
      <c r="D61" s="118"/>
      <c r="E61" s="131"/>
      <c r="F61" s="124"/>
      <c r="G61" s="124"/>
      <c r="H61" s="125">
        <f t="shared" si="0"/>
        <v>0</v>
      </c>
      <c r="I61" s="191"/>
      <c r="J61" s="268"/>
      <c r="K61" s="182" t="str">
        <f>IFERROR(VLOOKUP(A61,'Budget-S&amp;U Codes Lookup'!$A$7:$C$550,3,FALSE),"")</f>
        <v/>
      </c>
      <c r="L61" s="1041"/>
      <c r="M61" s="753"/>
      <c r="N61" s="3" t="str">
        <f>IF(M61="","",VLOOKUP(M61,'Budget-S&amp;U Codes Lookup'!$E$26:$F$45,2,FALSE))</f>
        <v/>
      </c>
      <c r="P61" s="186"/>
    </row>
    <row r="62" spans="1:16">
      <c r="A62" s="751"/>
      <c r="B62" s="82" t="str">
        <f>IFERROR(VLOOKUP(A62,'Budget-S&amp;U Codes Lookup'!$A$7:$B$550,2,FALSE),"")</f>
        <v/>
      </c>
      <c r="C62" s="992"/>
      <c r="D62" s="118"/>
      <c r="E62" s="131"/>
      <c r="F62" s="124"/>
      <c r="G62" s="124"/>
      <c r="H62" s="125">
        <f t="shared" si="0"/>
        <v>0</v>
      </c>
      <c r="I62" s="191"/>
      <c r="J62" s="268"/>
      <c r="K62" s="182" t="str">
        <f>IFERROR(VLOOKUP(A62,'Budget-S&amp;U Codes Lookup'!$A$7:$C$550,3,FALSE),"")</f>
        <v/>
      </c>
      <c r="L62" s="1041"/>
      <c r="M62" s="753"/>
      <c r="P62" s="186"/>
    </row>
    <row r="63" spans="1:16">
      <c r="A63" s="751"/>
      <c r="B63" s="82" t="str">
        <f>IFERROR(VLOOKUP(A63,'Budget-S&amp;U Codes Lookup'!$A$7:$B$550,2,FALSE),"")</f>
        <v/>
      </c>
      <c r="C63" s="992"/>
      <c r="D63" s="118"/>
      <c r="E63" s="131"/>
      <c r="F63" s="124"/>
      <c r="G63" s="124"/>
      <c r="H63" s="125">
        <f t="shared" si="0"/>
        <v>0</v>
      </c>
      <c r="I63" s="191"/>
      <c r="J63" s="268"/>
      <c r="K63" s="182" t="str">
        <f>IFERROR(VLOOKUP(A63,'Budget-S&amp;U Codes Lookup'!$A$7:$C$550,3,FALSE),"")</f>
        <v/>
      </c>
      <c r="L63" s="1041"/>
      <c r="M63" s="753"/>
      <c r="N63" s="3" t="str">
        <f>IF(M63="","",VLOOKUP(M63,'Budget-S&amp;U Codes Lookup'!$E$26:$F$45,2,FALSE))</f>
        <v/>
      </c>
      <c r="P63" s="186"/>
    </row>
    <row r="64" spans="1:16">
      <c r="A64" s="751"/>
      <c r="B64" s="82" t="str">
        <f>IFERROR(VLOOKUP(A64,'Budget-S&amp;U Codes Lookup'!$A$7:$B$550,2,FALSE),"")</f>
        <v/>
      </c>
      <c r="C64" s="992"/>
      <c r="D64" s="118"/>
      <c r="E64" s="131"/>
      <c r="F64" s="124"/>
      <c r="G64" s="124"/>
      <c r="H64" s="125">
        <f t="shared" si="0"/>
        <v>0</v>
      </c>
      <c r="I64" s="191"/>
      <c r="J64" s="268"/>
      <c r="K64" s="182" t="str">
        <f>IFERROR(VLOOKUP(A64,'Budget-S&amp;U Codes Lookup'!$A$7:$C$550,3,FALSE),"")</f>
        <v/>
      </c>
      <c r="L64" s="1041"/>
      <c r="M64" s="753"/>
      <c r="N64" s="3" t="str">
        <f>IF(M64="","",VLOOKUP(M64,'Budget-S&amp;U Codes Lookup'!$E$26:$F$45,2,FALSE))</f>
        <v/>
      </c>
      <c r="P64" s="186"/>
    </row>
    <row r="65" spans="1:16">
      <c r="A65" s="751"/>
      <c r="B65" s="82" t="str">
        <f>IFERROR(VLOOKUP(A65,'Budget-S&amp;U Codes Lookup'!$A$7:$B$550,2,FALSE),"")</f>
        <v/>
      </c>
      <c r="C65" s="992"/>
      <c r="D65" s="118"/>
      <c r="E65" s="131"/>
      <c r="F65" s="124"/>
      <c r="G65" s="124"/>
      <c r="H65" s="125">
        <f t="shared" si="0"/>
        <v>0</v>
      </c>
      <c r="I65" s="191"/>
      <c r="J65" s="268"/>
      <c r="K65" s="182" t="str">
        <f>IFERROR(VLOOKUP(A65,'Budget-S&amp;U Codes Lookup'!$A$7:$C$550,3,FALSE),"")</f>
        <v/>
      </c>
      <c r="L65" s="1041"/>
      <c r="M65" s="753"/>
      <c r="N65" s="3" t="str">
        <f>IF(M65="","",VLOOKUP(M65,'Budget-S&amp;U Codes Lookup'!$E$26:$F$45,2,FALSE))</f>
        <v/>
      </c>
      <c r="P65" s="186"/>
    </row>
    <row r="66" spans="1:16">
      <c r="A66" s="751"/>
      <c r="B66" s="82" t="str">
        <f>IFERROR(VLOOKUP(A66,'Budget-S&amp;U Codes Lookup'!$A$7:$B$550,2,FALSE),"")</f>
        <v/>
      </c>
      <c r="C66" s="992"/>
      <c r="D66" s="118"/>
      <c r="E66" s="131"/>
      <c r="F66" s="124"/>
      <c r="G66" s="124"/>
      <c r="H66" s="125">
        <f t="shared" si="0"/>
        <v>0</v>
      </c>
      <c r="I66" s="191"/>
      <c r="J66" s="268"/>
      <c r="K66" s="182" t="str">
        <f>IFERROR(VLOOKUP(A66,'Budget-S&amp;U Codes Lookup'!$A$7:$C$550,3,FALSE),"")</f>
        <v/>
      </c>
      <c r="L66" s="1041"/>
      <c r="M66" s="753"/>
      <c r="N66" s="3" t="str">
        <f>IF(M66="","",VLOOKUP(M66,'Budget-S&amp;U Codes Lookup'!$E$26:$F$45,2,FALSE))</f>
        <v/>
      </c>
      <c r="P66" s="186"/>
    </row>
    <row r="67" spans="1:16">
      <c r="A67" s="751"/>
      <c r="B67" s="82" t="str">
        <f>IFERROR(VLOOKUP(A67,'Budget-S&amp;U Codes Lookup'!$A$7:$B$550,2,FALSE),"")</f>
        <v/>
      </c>
      <c r="C67" s="992"/>
      <c r="D67" s="118"/>
      <c r="E67" s="131"/>
      <c r="F67" s="124"/>
      <c r="G67" s="124"/>
      <c r="H67" s="125">
        <f t="shared" si="0"/>
        <v>0</v>
      </c>
      <c r="I67" s="191"/>
      <c r="J67" s="268"/>
      <c r="K67" s="182" t="str">
        <f>IFERROR(VLOOKUP(A67,'Budget-S&amp;U Codes Lookup'!$A$7:$C$550,3,FALSE),"")</f>
        <v/>
      </c>
      <c r="L67" s="1041"/>
      <c r="M67" s="753"/>
      <c r="N67" s="3" t="str">
        <f>IF(M67="","",VLOOKUP(M67,'Budget-S&amp;U Codes Lookup'!$E$26:$F$45,2,FALSE))</f>
        <v/>
      </c>
      <c r="P67" s="186"/>
    </row>
    <row r="68" spans="1:16">
      <c r="A68" s="751"/>
      <c r="B68" s="82" t="str">
        <f>IFERROR(VLOOKUP(A68,'Budget-S&amp;U Codes Lookup'!$A$7:$B$550,2,FALSE),"")</f>
        <v/>
      </c>
      <c r="C68" s="992"/>
      <c r="D68" s="118"/>
      <c r="E68" s="131"/>
      <c r="F68" s="124"/>
      <c r="G68" s="124"/>
      <c r="H68" s="125">
        <f t="shared" si="0"/>
        <v>0</v>
      </c>
      <c r="I68" s="191"/>
      <c r="J68" s="268"/>
      <c r="K68" s="182" t="str">
        <f>IFERROR(VLOOKUP(A68,'Budget-S&amp;U Codes Lookup'!$A$7:$C$550,3,FALSE),"")</f>
        <v/>
      </c>
      <c r="L68" s="1041"/>
      <c r="M68" s="753"/>
      <c r="N68" s="3" t="str">
        <f>IF(M68="","",VLOOKUP(M68,'Budget-S&amp;U Codes Lookup'!$E$26:$F$45,2,FALSE))</f>
        <v/>
      </c>
      <c r="P68" s="186"/>
    </row>
    <row r="69" spans="1:16">
      <c r="A69" s="751"/>
      <c r="B69" s="82" t="str">
        <f>IFERROR(VLOOKUP(A69,'Budget-S&amp;U Codes Lookup'!$A$7:$B$550,2,FALSE),"")</f>
        <v/>
      </c>
      <c r="C69" s="992"/>
      <c r="D69" s="118"/>
      <c r="E69" s="131"/>
      <c r="F69" s="124"/>
      <c r="G69" s="124"/>
      <c r="H69" s="125">
        <f t="shared" si="0"/>
        <v>0</v>
      </c>
      <c r="I69" s="191"/>
      <c r="J69" s="268"/>
      <c r="K69" s="182" t="str">
        <f>IFERROR(VLOOKUP(A69,'Budget-S&amp;U Codes Lookup'!$A$7:$C$550,3,FALSE),"")</f>
        <v/>
      </c>
      <c r="L69" s="1041"/>
      <c r="M69" s="753"/>
      <c r="N69" s="3" t="str">
        <f>IF(M69="","",VLOOKUP(M69,'Budget-S&amp;U Codes Lookup'!$E$26:$F$45,2,FALSE))</f>
        <v/>
      </c>
      <c r="P69" s="186"/>
    </row>
    <row r="70" spans="1:16">
      <c r="A70" s="751"/>
      <c r="B70" s="82" t="str">
        <f>IFERROR(VLOOKUP(A70,'Budget-S&amp;U Codes Lookup'!$A$7:$B$550,2,FALSE),"")</f>
        <v/>
      </c>
      <c r="C70" s="992"/>
      <c r="D70" s="118"/>
      <c r="E70" s="131"/>
      <c r="F70" s="124"/>
      <c r="G70" s="124"/>
      <c r="H70" s="125">
        <f t="shared" si="0"/>
        <v>0</v>
      </c>
      <c r="I70" s="191"/>
      <c r="J70" s="268"/>
      <c r="K70" s="182" t="str">
        <f>IFERROR(VLOOKUP(A70,'Budget-S&amp;U Codes Lookup'!$A$7:$C$550,3,FALSE),"")</f>
        <v/>
      </c>
      <c r="L70" s="1041"/>
      <c r="M70" s="753"/>
      <c r="N70" s="3" t="str">
        <f>IF(M70="","",VLOOKUP(M70,'Budget-S&amp;U Codes Lookup'!$E$26:$F$45,2,FALSE))</f>
        <v/>
      </c>
      <c r="P70" s="186"/>
    </row>
    <row r="71" spans="1:16">
      <c r="A71" s="751"/>
      <c r="B71" s="82" t="str">
        <f>IFERROR(VLOOKUP(A71,'Budget-S&amp;U Codes Lookup'!$A$7:$B$550,2,FALSE),"")</f>
        <v/>
      </c>
      <c r="C71" s="992"/>
      <c r="D71" s="118"/>
      <c r="E71" s="131"/>
      <c r="F71" s="124"/>
      <c r="G71" s="124"/>
      <c r="H71" s="125">
        <f t="shared" si="0"/>
        <v>0</v>
      </c>
      <c r="I71" s="191"/>
      <c r="J71" s="268"/>
      <c r="K71" s="182" t="str">
        <f>IFERROR(VLOOKUP(A71,'Budget-S&amp;U Codes Lookup'!$A$7:$C$550,3,FALSE),"")</f>
        <v/>
      </c>
      <c r="L71" s="1041"/>
      <c r="M71" s="753"/>
      <c r="N71" s="3" t="str">
        <f>IF(M71="","",VLOOKUP(M71,'Budget-S&amp;U Codes Lookup'!$E$26:$F$45,2,FALSE))</f>
        <v/>
      </c>
      <c r="P71" s="186"/>
    </row>
    <row r="72" spans="1:16">
      <c r="A72" s="751"/>
      <c r="B72" s="82" t="str">
        <f>IFERROR(VLOOKUP(A72,'Budget-S&amp;U Codes Lookup'!$A$7:$B$550,2,FALSE),"")</f>
        <v/>
      </c>
      <c r="C72" s="992"/>
      <c r="D72" s="118"/>
      <c r="E72" s="131"/>
      <c r="F72" s="124"/>
      <c r="G72" s="124"/>
      <c r="H72" s="125">
        <f t="shared" si="0"/>
        <v>0</v>
      </c>
      <c r="I72" s="191"/>
      <c r="J72" s="268"/>
      <c r="K72" s="182" t="str">
        <f>IFERROR(VLOOKUP(A72,'Budget-S&amp;U Codes Lookup'!$A$7:$C$550,3,FALSE),"")</f>
        <v/>
      </c>
      <c r="L72" s="1041"/>
      <c r="M72" s="753"/>
      <c r="N72" s="3" t="str">
        <f>IF(M72="","",VLOOKUP(M72,'Budget-S&amp;U Codes Lookup'!$E$26:$F$45,2,FALSE))</f>
        <v/>
      </c>
      <c r="P72" s="186"/>
    </row>
    <row r="73" spans="1:16">
      <c r="A73" s="751"/>
      <c r="B73" s="82" t="str">
        <f>IFERROR(VLOOKUP(A73,'Budget-S&amp;U Codes Lookup'!$A$7:$B$550,2,FALSE),"")</f>
        <v/>
      </c>
      <c r="C73" s="992"/>
      <c r="D73" s="118"/>
      <c r="E73" s="131"/>
      <c r="F73" s="124"/>
      <c r="G73" s="124"/>
      <c r="H73" s="125">
        <f t="shared" si="0"/>
        <v>0</v>
      </c>
      <c r="I73" s="191"/>
      <c r="J73" s="268"/>
      <c r="K73" s="182" t="str">
        <f>IFERROR(VLOOKUP(A73,'Budget-S&amp;U Codes Lookup'!$A$7:$C$550,3,FALSE),"")</f>
        <v/>
      </c>
      <c r="L73" s="1041"/>
      <c r="M73" s="753"/>
      <c r="N73" s="3" t="str">
        <f>IF(M73="","",VLOOKUP(M73,'Budget-S&amp;U Codes Lookup'!$E$26:$F$45,2,FALSE))</f>
        <v/>
      </c>
      <c r="P73" s="186"/>
    </row>
    <row r="74" spans="1:16">
      <c r="A74" s="751"/>
      <c r="B74" s="82" t="str">
        <f>IFERROR(VLOOKUP(A74,'Budget-S&amp;U Codes Lookup'!$A$7:$B$550,2,FALSE),"")</f>
        <v/>
      </c>
      <c r="C74" s="992"/>
      <c r="D74" s="118"/>
      <c r="E74" s="131"/>
      <c r="F74" s="124"/>
      <c r="G74" s="124"/>
      <c r="H74" s="125">
        <f t="shared" ref="H74:H137" si="1">F74-G74</f>
        <v>0</v>
      </c>
      <c r="I74" s="191"/>
      <c r="J74" s="268"/>
      <c r="K74" s="182" t="str">
        <f>IFERROR(VLOOKUP(A74,'Budget-S&amp;U Codes Lookup'!$A$7:$C$550,3,FALSE),"")</f>
        <v/>
      </c>
      <c r="L74" s="1041"/>
      <c r="M74" s="753"/>
      <c r="N74" s="3" t="str">
        <f>IF(M74="","",VLOOKUP(M74,'Budget-S&amp;U Codes Lookup'!$E$26:$F$45,2,FALSE))</f>
        <v/>
      </c>
      <c r="P74" s="186"/>
    </row>
    <row r="75" spans="1:16">
      <c r="A75" s="751"/>
      <c r="B75" s="82" t="str">
        <f>IFERROR(VLOOKUP(A75,'Budget-S&amp;U Codes Lookup'!$A$7:$B$550,2,FALSE),"")</f>
        <v/>
      </c>
      <c r="C75" s="992"/>
      <c r="D75" s="118"/>
      <c r="E75" s="131"/>
      <c r="F75" s="124"/>
      <c r="G75" s="124"/>
      <c r="H75" s="125">
        <f t="shared" si="1"/>
        <v>0</v>
      </c>
      <c r="I75" s="191"/>
      <c r="J75" s="268"/>
      <c r="K75" s="182" t="str">
        <f>IFERROR(VLOOKUP(A75,'Budget-S&amp;U Codes Lookup'!$A$7:$C$550,3,FALSE),"")</f>
        <v/>
      </c>
      <c r="L75" s="1041"/>
      <c r="M75" s="753"/>
      <c r="N75" s="3" t="str">
        <f>IF(M75="","",VLOOKUP(M75,'Budget-S&amp;U Codes Lookup'!$E$26:$F$45,2,FALSE))</f>
        <v/>
      </c>
      <c r="P75" s="186"/>
    </row>
    <row r="76" spans="1:16">
      <c r="A76" s="751"/>
      <c r="B76" s="82" t="str">
        <f>IFERROR(VLOOKUP(A76,'Budget-S&amp;U Codes Lookup'!$A$7:$B$550,2,FALSE),"")</f>
        <v/>
      </c>
      <c r="C76" s="992"/>
      <c r="D76" s="118"/>
      <c r="E76" s="131"/>
      <c r="F76" s="124"/>
      <c r="G76" s="124"/>
      <c r="H76" s="125">
        <f t="shared" si="1"/>
        <v>0</v>
      </c>
      <c r="I76" s="191"/>
      <c r="J76" s="268"/>
      <c r="K76" s="182" t="str">
        <f>IFERROR(VLOOKUP(A76,'Budget-S&amp;U Codes Lookup'!$A$7:$C$550,3,FALSE),"")</f>
        <v/>
      </c>
      <c r="L76" s="1041"/>
      <c r="M76" s="753"/>
      <c r="N76" s="3" t="str">
        <f>IF(M76="","",VLOOKUP(M76,'Budget-S&amp;U Codes Lookup'!$E$26:$F$45,2,FALSE))</f>
        <v/>
      </c>
      <c r="P76" s="186"/>
    </row>
    <row r="77" spans="1:16">
      <c r="A77" s="751"/>
      <c r="B77" s="82" t="str">
        <f>IFERROR(VLOOKUP(A77,'Budget-S&amp;U Codes Lookup'!$A$7:$B$550,2,FALSE),"")</f>
        <v/>
      </c>
      <c r="C77" s="992"/>
      <c r="D77" s="118"/>
      <c r="E77" s="131"/>
      <c r="F77" s="124"/>
      <c r="G77" s="124"/>
      <c r="H77" s="125">
        <f t="shared" si="1"/>
        <v>0</v>
      </c>
      <c r="I77" s="191"/>
      <c r="J77" s="268"/>
      <c r="K77" s="182" t="str">
        <f>IFERROR(VLOOKUP(A77,'Budget-S&amp;U Codes Lookup'!$A$7:$C$550,3,FALSE),"")</f>
        <v/>
      </c>
      <c r="L77" s="1041"/>
      <c r="M77" s="753"/>
      <c r="N77" s="3" t="str">
        <f>IF(M77="","",VLOOKUP(M77,'Budget-S&amp;U Codes Lookup'!$E$26:$F$45,2,FALSE))</f>
        <v/>
      </c>
      <c r="P77" s="186"/>
    </row>
    <row r="78" spans="1:16">
      <c r="A78" s="751"/>
      <c r="B78" s="82" t="str">
        <f>IFERROR(VLOOKUP(A78,'Budget-S&amp;U Codes Lookup'!$A$7:$B$550,2,FALSE),"")</f>
        <v/>
      </c>
      <c r="C78" s="992"/>
      <c r="D78" s="118"/>
      <c r="E78" s="131"/>
      <c r="F78" s="124"/>
      <c r="G78" s="124"/>
      <c r="H78" s="125">
        <f t="shared" si="1"/>
        <v>0</v>
      </c>
      <c r="I78" s="191"/>
      <c r="J78" s="268"/>
      <c r="K78" s="182" t="str">
        <f>IFERROR(VLOOKUP(A78,'Budget-S&amp;U Codes Lookup'!$A$7:$C$550,3,FALSE),"")</f>
        <v/>
      </c>
      <c r="L78" s="1041"/>
      <c r="M78" s="753"/>
      <c r="N78" s="3" t="str">
        <f>IF(M78="","",VLOOKUP(M78,'Budget-S&amp;U Codes Lookup'!$E$26:$F$45,2,FALSE))</f>
        <v/>
      </c>
      <c r="P78" s="186"/>
    </row>
    <row r="79" spans="1:16">
      <c r="A79" s="751"/>
      <c r="B79" s="82" t="str">
        <f>IFERROR(VLOOKUP(A79,'Budget-S&amp;U Codes Lookup'!$A$7:$B$550,2,FALSE),"")</f>
        <v/>
      </c>
      <c r="C79" s="992"/>
      <c r="D79" s="118"/>
      <c r="E79" s="131"/>
      <c r="F79" s="124"/>
      <c r="G79" s="124"/>
      <c r="H79" s="125">
        <f t="shared" si="1"/>
        <v>0</v>
      </c>
      <c r="I79" s="191"/>
      <c r="J79" s="268"/>
      <c r="K79" s="182" t="str">
        <f>IFERROR(VLOOKUP(A79,'Budget-S&amp;U Codes Lookup'!$A$7:$C$550,3,FALSE),"")</f>
        <v/>
      </c>
      <c r="L79" s="1041"/>
      <c r="M79" s="753"/>
      <c r="N79" s="3" t="str">
        <f>IF(M79="","",VLOOKUP(M79,'Budget-S&amp;U Codes Lookup'!$E$26:$F$45,2,FALSE))</f>
        <v/>
      </c>
      <c r="P79" s="186"/>
    </row>
    <row r="80" spans="1:16">
      <c r="A80" s="751"/>
      <c r="B80" s="82" t="str">
        <f>IFERROR(VLOOKUP(A80,'Budget-S&amp;U Codes Lookup'!$A$7:$B$550,2,FALSE),"")</f>
        <v/>
      </c>
      <c r="C80" s="992"/>
      <c r="D80" s="118"/>
      <c r="E80" s="131"/>
      <c r="F80" s="124"/>
      <c r="G80" s="124"/>
      <c r="H80" s="125">
        <f t="shared" si="1"/>
        <v>0</v>
      </c>
      <c r="I80" s="191"/>
      <c r="J80" s="268"/>
      <c r="K80" s="182" t="str">
        <f>IFERROR(VLOOKUP(A80,'Budget-S&amp;U Codes Lookup'!$A$7:$C$550,3,FALSE),"")</f>
        <v/>
      </c>
      <c r="L80" s="1041"/>
      <c r="M80" s="753"/>
      <c r="N80" s="3" t="str">
        <f>IF(M80="","",VLOOKUP(M80,'Budget-S&amp;U Codes Lookup'!$E$26:$F$45,2,FALSE))</f>
        <v/>
      </c>
      <c r="P80" s="186"/>
    </row>
    <row r="81" spans="1:16">
      <c r="A81" s="751"/>
      <c r="B81" s="82" t="str">
        <f>IFERROR(VLOOKUP(A81,'Budget-S&amp;U Codes Lookup'!$A$7:$B$550,2,FALSE),"")</f>
        <v/>
      </c>
      <c r="C81" s="992"/>
      <c r="D81" s="118"/>
      <c r="E81" s="131"/>
      <c r="F81" s="124"/>
      <c r="G81" s="124"/>
      <c r="H81" s="125">
        <f t="shared" si="1"/>
        <v>0</v>
      </c>
      <c r="I81" s="191"/>
      <c r="J81" s="268"/>
      <c r="K81" s="182" t="str">
        <f>IFERROR(VLOOKUP(A81,'Budget-S&amp;U Codes Lookup'!$A$7:$C$550,3,FALSE),"")</f>
        <v/>
      </c>
      <c r="L81" s="1041"/>
      <c r="M81" s="753"/>
      <c r="N81" s="3" t="str">
        <f>IF(M81="","",VLOOKUP(M81,'Budget-S&amp;U Codes Lookup'!$E$26:$F$45,2,FALSE))</f>
        <v/>
      </c>
      <c r="P81" s="186"/>
    </row>
    <row r="82" spans="1:16">
      <c r="A82" s="751"/>
      <c r="B82" s="82" t="str">
        <f>IFERROR(VLOOKUP(A82,'Budget-S&amp;U Codes Lookup'!$A$7:$B$550,2,FALSE),"")</f>
        <v/>
      </c>
      <c r="C82" s="992"/>
      <c r="D82" s="118"/>
      <c r="E82" s="131"/>
      <c r="F82" s="124"/>
      <c r="G82" s="124"/>
      <c r="H82" s="125">
        <f t="shared" si="1"/>
        <v>0</v>
      </c>
      <c r="I82" s="191"/>
      <c r="J82" s="268"/>
      <c r="K82" s="182" t="str">
        <f>IFERROR(VLOOKUP(A82,'Budget-S&amp;U Codes Lookup'!$A$7:$C$550,3,FALSE),"")</f>
        <v/>
      </c>
      <c r="L82" s="1041"/>
      <c r="M82" s="753"/>
      <c r="N82" s="3" t="str">
        <f>IF(M82="","",VLOOKUP(M82,'Budget-S&amp;U Codes Lookup'!$E$26:$F$45,2,FALSE))</f>
        <v/>
      </c>
      <c r="P82" s="186"/>
    </row>
    <row r="83" spans="1:16">
      <c r="A83" s="751"/>
      <c r="B83" s="82" t="str">
        <f>IFERROR(VLOOKUP(A83,'Budget-S&amp;U Codes Lookup'!$A$7:$B$550,2,FALSE),"")</f>
        <v/>
      </c>
      <c r="C83" s="992"/>
      <c r="D83" s="118"/>
      <c r="E83" s="131"/>
      <c r="F83" s="124"/>
      <c r="G83" s="124"/>
      <c r="H83" s="125">
        <f t="shared" si="1"/>
        <v>0</v>
      </c>
      <c r="I83" s="191"/>
      <c r="J83" s="268"/>
      <c r="K83" s="182" t="str">
        <f>IFERROR(VLOOKUP(A83,'Budget-S&amp;U Codes Lookup'!$A$7:$C$550,3,FALSE),"")</f>
        <v/>
      </c>
      <c r="L83" s="1041"/>
      <c r="M83" s="753"/>
      <c r="N83" s="3" t="str">
        <f>IF(M83="","",VLOOKUP(M83,'Budget-S&amp;U Codes Lookup'!$E$26:$F$45,2,FALSE))</f>
        <v/>
      </c>
      <c r="P83" s="186"/>
    </row>
    <row r="84" spans="1:16">
      <c r="A84" s="751"/>
      <c r="B84" s="82" t="str">
        <f>IFERROR(VLOOKUP(A84,'Budget-S&amp;U Codes Lookup'!$A$7:$B$550,2,FALSE),"")</f>
        <v/>
      </c>
      <c r="C84" s="992"/>
      <c r="D84" s="118"/>
      <c r="E84" s="131"/>
      <c r="F84" s="124"/>
      <c r="G84" s="124"/>
      <c r="H84" s="125">
        <f t="shared" si="1"/>
        <v>0</v>
      </c>
      <c r="I84" s="191"/>
      <c r="J84" s="268"/>
      <c r="K84" s="182" t="str">
        <f>IFERROR(VLOOKUP(A84,'Budget-S&amp;U Codes Lookup'!$A$7:$C$550,3,FALSE),"")</f>
        <v/>
      </c>
      <c r="L84" s="1041"/>
      <c r="M84" s="753"/>
      <c r="N84" s="3" t="str">
        <f>IF(M84="","",VLOOKUP(M84,'Budget-S&amp;U Codes Lookup'!$E$26:$F$45,2,FALSE))</f>
        <v/>
      </c>
      <c r="P84" s="186"/>
    </row>
    <row r="85" spans="1:16">
      <c r="A85" s="751"/>
      <c r="B85" s="82" t="str">
        <f>IFERROR(VLOOKUP(A85,'Budget-S&amp;U Codes Lookup'!$A$7:$B$550,2,FALSE),"")</f>
        <v/>
      </c>
      <c r="C85" s="992"/>
      <c r="D85" s="118"/>
      <c r="E85" s="131"/>
      <c r="F85" s="124"/>
      <c r="G85" s="124"/>
      <c r="H85" s="125">
        <f t="shared" si="1"/>
        <v>0</v>
      </c>
      <c r="I85" s="191"/>
      <c r="J85" s="268"/>
      <c r="K85" s="182" t="str">
        <f>IFERROR(VLOOKUP(A85,'Budget-S&amp;U Codes Lookup'!$A$7:$C$550,3,FALSE),"")</f>
        <v/>
      </c>
      <c r="L85" s="1041"/>
      <c r="M85" s="753"/>
      <c r="N85" s="3" t="str">
        <f>IF(M85="","",VLOOKUP(M85,'Budget-S&amp;U Codes Lookup'!$E$26:$F$45,2,FALSE))</f>
        <v/>
      </c>
      <c r="P85" s="186"/>
    </row>
    <row r="86" spans="1:16">
      <c r="A86" s="751"/>
      <c r="B86" s="82" t="str">
        <f>IFERROR(VLOOKUP(A86,'Budget-S&amp;U Codes Lookup'!$A$7:$B$550,2,FALSE),"")</f>
        <v/>
      </c>
      <c r="C86" s="992"/>
      <c r="D86" s="118"/>
      <c r="E86" s="131"/>
      <c r="F86" s="124"/>
      <c r="G86" s="124"/>
      <c r="H86" s="125">
        <f t="shared" si="1"/>
        <v>0</v>
      </c>
      <c r="I86" s="191"/>
      <c r="J86" s="268"/>
      <c r="K86" s="182" t="str">
        <f>IFERROR(VLOOKUP(A86,'Budget-S&amp;U Codes Lookup'!$A$7:$C$550,3,FALSE),"")</f>
        <v/>
      </c>
      <c r="L86" s="1041"/>
      <c r="M86" s="753"/>
      <c r="N86" s="3" t="str">
        <f>IF(M86="","",VLOOKUP(M86,'Budget-S&amp;U Codes Lookup'!$E$26:$F$45,2,FALSE))</f>
        <v/>
      </c>
      <c r="P86" s="186"/>
    </row>
    <row r="87" spans="1:16">
      <c r="A87" s="751"/>
      <c r="B87" s="82" t="str">
        <f>IFERROR(VLOOKUP(A87,'Budget-S&amp;U Codes Lookup'!$A$7:$B$550,2,FALSE),"")</f>
        <v/>
      </c>
      <c r="C87" s="992"/>
      <c r="D87" s="118"/>
      <c r="E87" s="131"/>
      <c r="F87" s="124"/>
      <c r="G87" s="124"/>
      <c r="H87" s="125">
        <f t="shared" si="1"/>
        <v>0</v>
      </c>
      <c r="I87" s="191"/>
      <c r="J87" s="268"/>
      <c r="K87" s="182" t="str">
        <f>IFERROR(VLOOKUP(A87,'Budget-S&amp;U Codes Lookup'!$A$7:$C$550,3,FALSE),"")</f>
        <v/>
      </c>
      <c r="L87" s="1041"/>
      <c r="M87" s="753"/>
      <c r="N87" s="3" t="str">
        <f>IF(M87="","",VLOOKUP(M87,'Budget-S&amp;U Codes Lookup'!$E$26:$F$45,2,FALSE))</f>
        <v/>
      </c>
      <c r="P87" s="186"/>
    </row>
    <row r="88" spans="1:16">
      <c r="A88" s="751"/>
      <c r="B88" s="82" t="str">
        <f>IFERROR(VLOOKUP(A88,'Budget-S&amp;U Codes Lookup'!$A$7:$B$550,2,FALSE),"")</f>
        <v/>
      </c>
      <c r="C88" s="992"/>
      <c r="D88" s="118"/>
      <c r="E88" s="131"/>
      <c r="F88" s="124"/>
      <c r="G88" s="124"/>
      <c r="H88" s="125">
        <f t="shared" si="1"/>
        <v>0</v>
      </c>
      <c r="I88" s="191"/>
      <c r="J88" s="268"/>
      <c r="K88" s="182" t="str">
        <f>IFERROR(VLOOKUP(A88,'Budget-S&amp;U Codes Lookup'!$A$7:$C$550,3,FALSE),"")</f>
        <v/>
      </c>
      <c r="L88" s="1041"/>
      <c r="M88" s="753"/>
      <c r="N88" s="3" t="str">
        <f>IF(M88="","",VLOOKUP(M88,'Budget-S&amp;U Codes Lookup'!$E$26:$F$45,2,FALSE))</f>
        <v/>
      </c>
      <c r="P88" s="186"/>
    </row>
    <row r="89" spans="1:16">
      <c r="A89" s="751"/>
      <c r="B89" s="82" t="str">
        <f>IFERROR(VLOOKUP(A89,'Budget-S&amp;U Codes Lookup'!$A$7:$B$550,2,FALSE),"")</f>
        <v/>
      </c>
      <c r="C89" s="992"/>
      <c r="D89" s="118"/>
      <c r="E89" s="131"/>
      <c r="F89" s="124"/>
      <c r="G89" s="124"/>
      <c r="H89" s="125">
        <f t="shared" si="1"/>
        <v>0</v>
      </c>
      <c r="I89" s="191"/>
      <c r="J89" s="268"/>
      <c r="K89" s="182" t="str">
        <f>IFERROR(VLOOKUP(A89,'Budget-S&amp;U Codes Lookup'!$A$7:$C$550,3,FALSE),"")</f>
        <v/>
      </c>
      <c r="L89" s="1041"/>
      <c r="M89" s="753"/>
      <c r="N89" s="3" t="str">
        <f>IF(M89="","",VLOOKUP(M89,'Budget-S&amp;U Codes Lookup'!$E$26:$F$45,2,FALSE))</f>
        <v/>
      </c>
      <c r="P89" s="186"/>
    </row>
    <row r="90" spans="1:16">
      <c r="A90" s="751"/>
      <c r="B90" s="82" t="str">
        <f>IFERROR(VLOOKUP(A90,'Budget-S&amp;U Codes Lookup'!$A$7:$B$550,2,FALSE),"")</f>
        <v/>
      </c>
      <c r="C90" s="992"/>
      <c r="D90" s="118"/>
      <c r="E90" s="131"/>
      <c r="F90" s="124"/>
      <c r="G90" s="124"/>
      <c r="H90" s="125">
        <f t="shared" si="1"/>
        <v>0</v>
      </c>
      <c r="I90" s="191"/>
      <c r="J90" s="268"/>
      <c r="K90" s="182" t="str">
        <f>IFERROR(VLOOKUP(A90,'Budget-S&amp;U Codes Lookup'!$A$7:$C$550,3,FALSE),"")</f>
        <v/>
      </c>
      <c r="L90" s="1041"/>
      <c r="M90" s="753"/>
      <c r="N90" s="3" t="str">
        <f>IF(M90="","",VLOOKUP(M90,'Budget-S&amp;U Codes Lookup'!$E$26:$F$45,2,FALSE))</f>
        <v/>
      </c>
      <c r="P90" s="186"/>
    </row>
    <row r="91" spans="1:16">
      <c r="A91" s="751"/>
      <c r="B91" s="82" t="str">
        <f>IFERROR(VLOOKUP(A91,'Budget-S&amp;U Codes Lookup'!$A$7:$B$550,2,FALSE),"")</f>
        <v/>
      </c>
      <c r="C91" s="992"/>
      <c r="D91" s="118"/>
      <c r="E91" s="131"/>
      <c r="F91" s="124"/>
      <c r="G91" s="124"/>
      <c r="H91" s="125">
        <f t="shared" si="1"/>
        <v>0</v>
      </c>
      <c r="I91" s="191"/>
      <c r="J91" s="268"/>
      <c r="K91" s="182" t="str">
        <f>IFERROR(VLOOKUP(A91,'Budget-S&amp;U Codes Lookup'!$A$7:$C$550,3,FALSE),"")</f>
        <v/>
      </c>
      <c r="L91" s="1041"/>
      <c r="M91" s="753"/>
      <c r="N91" s="3" t="str">
        <f>IF(M91="","",VLOOKUP(M91,'Budget-S&amp;U Codes Lookup'!$E$26:$F$45,2,FALSE))</f>
        <v/>
      </c>
      <c r="P91" s="186"/>
    </row>
    <row r="92" spans="1:16">
      <c r="A92" s="751"/>
      <c r="B92" s="82" t="str">
        <f>IFERROR(VLOOKUP(A92,'Budget-S&amp;U Codes Lookup'!$A$7:$B$550,2,FALSE),"")</f>
        <v/>
      </c>
      <c r="C92" s="992"/>
      <c r="D92" s="118"/>
      <c r="E92" s="131"/>
      <c r="F92" s="124"/>
      <c r="G92" s="124"/>
      <c r="H92" s="125">
        <f t="shared" si="1"/>
        <v>0</v>
      </c>
      <c r="I92" s="191"/>
      <c r="J92" s="268"/>
      <c r="K92" s="182" t="str">
        <f>IFERROR(VLOOKUP(A92,'Budget-S&amp;U Codes Lookup'!$A$7:$C$550,3,FALSE),"")</f>
        <v/>
      </c>
      <c r="L92" s="1041"/>
      <c r="M92" s="753"/>
      <c r="N92" s="3" t="str">
        <f>IF(M92="","",VLOOKUP(M92,'Budget-S&amp;U Codes Lookup'!$E$26:$F$45,2,FALSE))</f>
        <v/>
      </c>
      <c r="P92" s="186"/>
    </row>
    <row r="93" spans="1:16">
      <c r="A93" s="751"/>
      <c r="B93" s="82" t="str">
        <f>IFERROR(VLOOKUP(A93,'Budget-S&amp;U Codes Lookup'!$A$7:$B$550,2,FALSE),"")</f>
        <v/>
      </c>
      <c r="C93" s="992"/>
      <c r="D93" s="118"/>
      <c r="E93" s="131"/>
      <c r="F93" s="124"/>
      <c r="G93" s="124"/>
      <c r="H93" s="125">
        <f t="shared" si="1"/>
        <v>0</v>
      </c>
      <c r="I93" s="191"/>
      <c r="J93" s="268"/>
      <c r="K93" s="182" t="str">
        <f>IFERROR(VLOOKUP(A93,'Budget-S&amp;U Codes Lookup'!$A$7:$C$550,3,FALSE),"")</f>
        <v/>
      </c>
      <c r="L93" s="1041"/>
      <c r="M93" s="753"/>
      <c r="N93" s="3" t="str">
        <f>IF(M93="","",VLOOKUP(M93,'Budget-S&amp;U Codes Lookup'!$E$26:$F$45,2,FALSE))</f>
        <v/>
      </c>
      <c r="P93" s="186"/>
    </row>
    <row r="94" spans="1:16">
      <c r="A94" s="751"/>
      <c r="B94" s="82" t="str">
        <f>IFERROR(VLOOKUP(A94,'Budget-S&amp;U Codes Lookup'!$A$7:$B$550,2,FALSE),"")</f>
        <v/>
      </c>
      <c r="C94" s="992"/>
      <c r="D94" s="118"/>
      <c r="E94" s="131"/>
      <c r="F94" s="124"/>
      <c r="G94" s="124"/>
      <c r="H94" s="125">
        <f t="shared" si="1"/>
        <v>0</v>
      </c>
      <c r="I94" s="191"/>
      <c r="J94" s="268"/>
      <c r="K94" s="182" t="str">
        <f>IFERROR(VLOOKUP(A94,'Budget-S&amp;U Codes Lookup'!$A$7:$C$550,3,FALSE),"")</f>
        <v/>
      </c>
      <c r="L94" s="1041"/>
      <c r="M94" s="753"/>
      <c r="N94" s="3" t="str">
        <f>IF(M94="","",VLOOKUP(M94,'Budget-S&amp;U Codes Lookup'!$E$26:$F$45,2,FALSE))</f>
        <v/>
      </c>
      <c r="P94" s="186"/>
    </row>
    <row r="95" spans="1:16">
      <c r="A95" s="751"/>
      <c r="B95" s="82" t="str">
        <f>IFERROR(VLOOKUP(A95,'Budget-S&amp;U Codes Lookup'!$A$7:$B$550,2,FALSE),"")</f>
        <v/>
      </c>
      <c r="C95" s="992"/>
      <c r="D95" s="118"/>
      <c r="E95" s="131"/>
      <c r="F95" s="124"/>
      <c r="G95" s="124"/>
      <c r="H95" s="125">
        <f t="shared" si="1"/>
        <v>0</v>
      </c>
      <c r="I95" s="191"/>
      <c r="J95" s="268"/>
      <c r="K95" s="182" t="str">
        <f>IFERROR(VLOOKUP(A95,'Budget-S&amp;U Codes Lookup'!$A$7:$C$550,3,FALSE),"")</f>
        <v/>
      </c>
      <c r="L95" s="1041"/>
      <c r="M95" s="753"/>
      <c r="N95" s="3" t="str">
        <f>IF(M95="","",VLOOKUP(M95,'Budget-S&amp;U Codes Lookup'!$E$26:$F$45,2,FALSE))</f>
        <v/>
      </c>
      <c r="P95" s="186"/>
    </row>
    <row r="96" spans="1:16">
      <c r="A96" s="751"/>
      <c r="B96" s="82" t="str">
        <f>IFERROR(VLOOKUP(A96,'Budget-S&amp;U Codes Lookup'!$A$7:$B$550,2,FALSE),"")</f>
        <v/>
      </c>
      <c r="C96" s="992"/>
      <c r="D96" s="118"/>
      <c r="E96" s="131"/>
      <c r="F96" s="124"/>
      <c r="G96" s="124"/>
      <c r="H96" s="125">
        <f t="shared" si="1"/>
        <v>0</v>
      </c>
      <c r="I96" s="191"/>
      <c r="J96" s="268"/>
      <c r="K96" s="182" t="str">
        <f>IFERROR(VLOOKUP(A96,'Budget-S&amp;U Codes Lookup'!$A$7:$C$550,3,FALSE),"")</f>
        <v/>
      </c>
      <c r="L96" s="1041"/>
      <c r="M96" s="753"/>
      <c r="N96" s="3" t="str">
        <f>IF(M96="","",VLOOKUP(M96,'Budget-S&amp;U Codes Lookup'!$E$26:$F$45,2,FALSE))</f>
        <v/>
      </c>
      <c r="P96" s="186"/>
    </row>
    <row r="97" spans="1:16">
      <c r="A97" s="751"/>
      <c r="B97" s="82" t="str">
        <f>IFERROR(VLOOKUP(A97,'Budget-S&amp;U Codes Lookup'!$A$7:$B$550,2,FALSE),"")</f>
        <v/>
      </c>
      <c r="C97" s="992"/>
      <c r="D97" s="118"/>
      <c r="E97" s="131"/>
      <c r="F97" s="124"/>
      <c r="G97" s="124"/>
      <c r="H97" s="125">
        <f t="shared" si="1"/>
        <v>0</v>
      </c>
      <c r="I97" s="191"/>
      <c r="J97" s="268"/>
      <c r="K97" s="182" t="str">
        <f>IFERROR(VLOOKUP(A97,'Budget-S&amp;U Codes Lookup'!$A$7:$C$550,3,FALSE),"")</f>
        <v/>
      </c>
      <c r="L97" s="1041"/>
      <c r="M97" s="753"/>
      <c r="N97" s="3" t="str">
        <f>IF(M97="","",VLOOKUP(M97,'Budget-S&amp;U Codes Lookup'!$E$26:$F$45,2,FALSE))</f>
        <v/>
      </c>
      <c r="P97" s="186"/>
    </row>
    <row r="98" spans="1:16">
      <c r="A98" s="751"/>
      <c r="B98" s="82" t="str">
        <f>IFERROR(VLOOKUP(A98,'Budget-S&amp;U Codes Lookup'!$A$7:$B$550,2,FALSE),"")</f>
        <v/>
      </c>
      <c r="C98" s="992"/>
      <c r="D98" s="118"/>
      <c r="E98" s="131"/>
      <c r="F98" s="124"/>
      <c r="G98" s="124"/>
      <c r="H98" s="125">
        <f t="shared" si="1"/>
        <v>0</v>
      </c>
      <c r="I98" s="191"/>
      <c r="J98" s="268"/>
      <c r="K98" s="182" t="str">
        <f>IFERROR(VLOOKUP(A98,'Budget-S&amp;U Codes Lookup'!$A$7:$C$550,3,FALSE),"")</f>
        <v/>
      </c>
      <c r="L98" s="1041"/>
      <c r="M98" s="753"/>
      <c r="N98" s="3" t="str">
        <f>IF(M98="","",VLOOKUP(M98,'Budget-S&amp;U Codes Lookup'!$E$26:$F$45,2,FALSE))</f>
        <v/>
      </c>
      <c r="P98" s="186"/>
    </row>
    <row r="99" spans="1:16">
      <c r="A99" s="751"/>
      <c r="B99" s="82" t="str">
        <f>IFERROR(VLOOKUP(A99,'Budget-S&amp;U Codes Lookup'!$A$7:$B$550,2,FALSE),"")</f>
        <v/>
      </c>
      <c r="C99" s="992"/>
      <c r="D99" s="118"/>
      <c r="E99" s="131"/>
      <c r="F99" s="124"/>
      <c r="G99" s="124"/>
      <c r="H99" s="125">
        <f t="shared" si="1"/>
        <v>0</v>
      </c>
      <c r="I99" s="191"/>
      <c r="J99" s="268"/>
      <c r="K99" s="182" t="str">
        <f>IFERROR(VLOOKUP(A99,'Budget-S&amp;U Codes Lookup'!$A$7:$C$550,3,FALSE),"")</f>
        <v/>
      </c>
      <c r="L99" s="1041"/>
      <c r="M99" s="753"/>
      <c r="N99" s="3" t="str">
        <f>IF(M99="","",VLOOKUP(M99,'Budget-S&amp;U Codes Lookup'!$E$26:$F$45,2,FALSE))</f>
        <v/>
      </c>
      <c r="P99" s="186"/>
    </row>
    <row r="100" spans="1:16">
      <c r="A100" s="751"/>
      <c r="B100" s="82" t="str">
        <f>IFERROR(VLOOKUP(A100,'Budget-S&amp;U Codes Lookup'!$A$7:$B$550,2,FALSE),"")</f>
        <v/>
      </c>
      <c r="C100" s="992"/>
      <c r="D100" s="118"/>
      <c r="E100" s="131"/>
      <c r="F100" s="124"/>
      <c r="G100" s="124"/>
      <c r="H100" s="125">
        <f t="shared" si="1"/>
        <v>0</v>
      </c>
      <c r="I100" s="191"/>
      <c r="J100" s="268"/>
      <c r="K100" s="182" t="str">
        <f>IFERROR(VLOOKUP(A100,'Budget-S&amp;U Codes Lookup'!$A$7:$C$550,3,FALSE),"")</f>
        <v/>
      </c>
      <c r="L100" s="1041"/>
      <c r="M100" s="753"/>
      <c r="N100" s="3" t="str">
        <f>IF(M100="","",VLOOKUP(M100,'Budget-S&amp;U Codes Lookup'!$E$26:$F$45,2,FALSE))</f>
        <v/>
      </c>
      <c r="P100" s="186"/>
    </row>
    <row r="101" spans="1:16">
      <c r="A101" s="751"/>
      <c r="B101" s="82" t="str">
        <f>IFERROR(VLOOKUP(A101,'Budget-S&amp;U Codes Lookup'!$A$7:$B$550,2,FALSE),"")</f>
        <v/>
      </c>
      <c r="C101" s="992"/>
      <c r="D101" s="118"/>
      <c r="E101" s="131"/>
      <c r="F101" s="124"/>
      <c r="G101" s="124"/>
      <c r="H101" s="125">
        <f t="shared" si="1"/>
        <v>0</v>
      </c>
      <c r="I101" s="191"/>
      <c r="J101" s="268"/>
      <c r="K101" s="182" t="str">
        <f>IFERROR(VLOOKUP(A101,'Budget-S&amp;U Codes Lookup'!$A$7:$C$550,3,FALSE),"")</f>
        <v/>
      </c>
      <c r="L101" s="1041"/>
      <c r="M101" s="753"/>
      <c r="N101" s="3" t="str">
        <f>IF(M101="","",VLOOKUP(M101,'Budget-S&amp;U Codes Lookup'!$E$26:$F$45,2,FALSE))</f>
        <v/>
      </c>
      <c r="P101" s="186"/>
    </row>
    <row r="102" spans="1:16">
      <c r="A102" s="751"/>
      <c r="B102" s="82" t="str">
        <f>IFERROR(VLOOKUP(A102,'Budget-S&amp;U Codes Lookup'!$A$7:$B$550,2,FALSE),"")</f>
        <v/>
      </c>
      <c r="C102" s="992"/>
      <c r="D102" s="118"/>
      <c r="E102" s="131"/>
      <c r="F102" s="124"/>
      <c r="G102" s="124"/>
      <c r="H102" s="125">
        <f t="shared" si="1"/>
        <v>0</v>
      </c>
      <c r="I102" s="191"/>
      <c r="J102" s="268"/>
      <c r="K102" s="182" t="str">
        <f>IFERROR(VLOOKUP(A102,'Budget-S&amp;U Codes Lookup'!$A$7:$C$550,3,FALSE),"")</f>
        <v/>
      </c>
      <c r="L102" s="1041"/>
      <c r="M102" s="753"/>
      <c r="N102" s="3" t="str">
        <f>IF(M102="","",VLOOKUP(M102,'Budget-S&amp;U Codes Lookup'!$E$26:$F$45,2,FALSE))</f>
        <v/>
      </c>
      <c r="P102" s="186"/>
    </row>
    <row r="103" spans="1:16">
      <c r="A103" s="751"/>
      <c r="B103" s="82" t="str">
        <f>IFERROR(VLOOKUP(A103,'Budget-S&amp;U Codes Lookup'!$A$7:$B$550,2,FALSE),"")</f>
        <v/>
      </c>
      <c r="C103" s="992"/>
      <c r="D103" s="118"/>
      <c r="E103" s="131"/>
      <c r="F103" s="124"/>
      <c r="G103" s="124"/>
      <c r="H103" s="125">
        <f t="shared" si="1"/>
        <v>0</v>
      </c>
      <c r="I103" s="191"/>
      <c r="J103" s="268"/>
      <c r="K103" s="182" t="str">
        <f>IFERROR(VLOOKUP(A103,'Budget-S&amp;U Codes Lookup'!$A$7:$C$550,3,FALSE),"")</f>
        <v/>
      </c>
      <c r="L103" s="1041"/>
      <c r="M103" s="753"/>
      <c r="N103" s="3" t="str">
        <f>IF(M103="","",VLOOKUP(M103,'Budget-S&amp;U Codes Lookup'!$E$26:$F$45,2,FALSE))</f>
        <v/>
      </c>
      <c r="P103" s="186"/>
    </row>
    <row r="104" spans="1:16">
      <c r="A104" s="751"/>
      <c r="B104" s="82" t="str">
        <f>IFERROR(VLOOKUP(A104,'Budget-S&amp;U Codes Lookup'!$A$7:$B$550,2,FALSE),"")</f>
        <v/>
      </c>
      <c r="C104" s="992"/>
      <c r="D104" s="118"/>
      <c r="E104" s="131"/>
      <c r="F104" s="124"/>
      <c r="G104" s="124"/>
      <c r="H104" s="125">
        <f t="shared" si="1"/>
        <v>0</v>
      </c>
      <c r="I104" s="191"/>
      <c r="J104" s="268"/>
      <c r="K104" s="182" t="str">
        <f>IFERROR(VLOOKUP(A104,'Budget-S&amp;U Codes Lookup'!$A$7:$C$550,3,FALSE),"")</f>
        <v/>
      </c>
      <c r="L104" s="1041"/>
      <c r="M104" s="753"/>
      <c r="N104" s="3" t="str">
        <f>IF(M104="","",VLOOKUP(M104,'Budget-S&amp;U Codes Lookup'!$E$26:$F$45,2,FALSE))</f>
        <v/>
      </c>
      <c r="P104" s="186"/>
    </row>
    <row r="105" spans="1:16">
      <c r="A105" s="751"/>
      <c r="B105" s="82" t="str">
        <f>IFERROR(VLOOKUP(A105,'Budget-S&amp;U Codes Lookup'!$A$7:$B$550,2,FALSE),"")</f>
        <v/>
      </c>
      <c r="C105" s="992"/>
      <c r="D105" s="118"/>
      <c r="E105" s="131"/>
      <c r="F105" s="124"/>
      <c r="G105" s="124"/>
      <c r="H105" s="125">
        <f t="shared" si="1"/>
        <v>0</v>
      </c>
      <c r="I105" s="191"/>
      <c r="J105" s="268"/>
      <c r="K105" s="182" t="str">
        <f>IFERROR(VLOOKUP(A105,'Budget-S&amp;U Codes Lookup'!$A$7:$C$550,3,FALSE),"")</f>
        <v/>
      </c>
      <c r="L105" s="1041"/>
      <c r="M105" s="753"/>
      <c r="N105" s="3" t="str">
        <f>IF(M105="","",VLOOKUP(M105,'Budget-S&amp;U Codes Lookup'!$E$26:$F$45,2,FALSE))</f>
        <v/>
      </c>
      <c r="P105" s="186"/>
    </row>
    <row r="106" spans="1:16">
      <c r="A106" s="751"/>
      <c r="B106" s="82" t="str">
        <f>IFERROR(VLOOKUP(A106,'Budget-S&amp;U Codes Lookup'!$A$7:$B$550,2,FALSE),"")</f>
        <v/>
      </c>
      <c r="C106" s="992"/>
      <c r="D106" s="118"/>
      <c r="E106" s="131"/>
      <c r="F106" s="124"/>
      <c r="G106" s="124"/>
      <c r="H106" s="125">
        <f t="shared" si="1"/>
        <v>0</v>
      </c>
      <c r="I106" s="191"/>
      <c r="J106" s="268"/>
      <c r="K106" s="182" t="str">
        <f>IFERROR(VLOOKUP(A106,'Budget-S&amp;U Codes Lookup'!$A$7:$C$550,3,FALSE),"")</f>
        <v/>
      </c>
      <c r="L106" s="1041"/>
      <c r="M106" s="753"/>
      <c r="N106" s="3" t="str">
        <f>IF(M106="","",VLOOKUP(M106,'Budget-S&amp;U Codes Lookup'!$E$26:$F$45,2,FALSE))</f>
        <v/>
      </c>
      <c r="P106" s="186"/>
    </row>
    <row r="107" spans="1:16">
      <c r="A107" s="751"/>
      <c r="B107" s="82" t="str">
        <f>IFERROR(VLOOKUP(A107,'Budget-S&amp;U Codes Lookup'!$A$7:$B$550,2,FALSE),"")</f>
        <v/>
      </c>
      <c r="C107" s="992"/>
      <c r="D107" s="118"/>
      <c r="E107" s="131"/>
      <c r="F107" s="124"/>
      <c r="G107" s="124"/>
      <c r="H107" s="125">
        <f t="shared" si="1"/>
        <v>0</v>
      </c>
      <c r="I107" s="191"/>
      <c r="J107" s="268"/>
      <c r="K107" s="182" t="str">
        <f>IFERROR(VLOOKUP(A107,'Budget-S&amp;U Codes Lookup'!$A$7:$C$550,3,FALSE),"")</f>
        <v/>
      </c>
      <c r="L107" s="1041"/>
      <c r="M107" s="753"/>
      <c r="N107" s="3" t="str">
        <f>IF(M107="","",VLOOKUP(M107,'Budget-S&amp;U Codes Lookup'!$E$26:$F$45,2,FALSE))</f>
        <v/>
      </c>
      <c r="P107" s="186"/>
    </row>
    <row r="108" spans="1:16">
      <c r="A108" s="751"/>
      <c r="B108" s="82" t="str">
        <f>IFERROR(VLOOKUP(A108,'Budget-S&amp;U Codes Lookup'!$A$7:$B$550,2,FALSE),"")</f>
        <v/>
      </c>
      <c r="C108" s="992"/>
      <c r="D108" s="118"/>
      <c r="E108" s="131"/>
      <c r="F108" s="124"/>
      <c r="G108" s="124"/>
      <c r="H108" s="125">
        <f t="shared" si="1"/>
        <v>0</v>
      </c>
      <c r="I108" s="191"/>
      <c r="J108" s="268"/>
      <c r="K108" s="182" t="str">
        <f>IFERROR(VLOOKUP(A108,'Budget-S&amp;U Codes Lookup'!$A$7:$C$550,3,FALSE),"")</f>
        <v/>
      </c>
      <c r="L108" s="1041"/>
      <c r="M108" s="753"/>
      <c r="N108" s="3" t="str">
        <f>IF(M108="","",VLOOKUP(M108,'Budget-S&amp;U Codes Lookup'!$E$26:$F$45,2,FALSE))</f>
        <v/>
      </c>
      <c r="P108" s="186"/>
    </row>
    <row r="109" spans="1:16">
      <c r="A109" s="751"/>
      <c r="B109" s="82" t="str">
        <f>IFERROR(VLOOKUP(A109,'Budget-S&amp;U Codes Lookup'!$A$7:$B$550,2,FALSE),"")</f>
        <v/>
      </c>
      <c r="C109" s="992"/>
      <c r="D109" s="118"/>
      <c r="E109" s="131"/>
      <c r="F109" s="124"/>
      <c r="G109" s="124"/>
      <c r="H109" s="125">
        <f t="shared" si="1"/>
        <v>0</v>
      </c>
      <c r="I109" s="191"/>
      <c r="J109" s="268"/>
      <c r="K109" s="182" t="str">
        <f>IFERROR(VLOOKUP(A109,'Budget-S&amp;U Codes Lookup'!$A$7:$C$550,3,FALSE),"")</f>
        <v/>
      </c>
      <c r="L109" s="1041"/>
      <c r="M109" s="753"/>
      <c r="N109" s="3" t="str">
        <f>IF(M109="","",VLOOKUP(M109,'Budget-S&amp;U Codes Lookup'!$E$26:$F$45,2,FALSE))</f>
        <v/>
      </c>
      <c r="P109" s="186"/>
    </row>
    <row r="110" spans="1:16">
      <c r="A110" s="751"/>
      <c r="B110" s="82" t="str">
        <f>IFERROR(VLOOKUP(A110,'Budget-S&amp;U Codes Lookup'!$A$7:$B$550,2,FALSE),"")</f>
        <v/>
      </c>
      <c r="C110" s="992"/>
      <c r="D110" s="118"/>
      <c r="E110" s="131"/>
      <c r="F110" s="124"/>
      <c r="G110" s="124"/>
      <c r="H110" s="125">
        <f t="shared" si="1"/>
        <v>0</v>
      </c>
      <c r="I110" s="191"/>
      <c r="J110" s="268"/>
      <c r="K110" s="182" t="str">
        <f>IFERROR(VLOOKUP(A110,'Budget-S&amp;U Codes Lookup'!$A$7:$C$550,3,FALSE),"")</f>
        <v/>
      </c>
      <c r="L110" s="1041"/>
      <c r="M110" s="753"/>
      <c r="N110" s="3" t="str">
        <f>IF(M110="","",VLOOKUP(M110,'Budget-S&amp;U Codes Lookup'!$E$26:$F$45,2,FALSE))</f>
        <v/>
      </c>
      <c r="P110" s="186"/>
    </row>
    <row r="111" spans="1:16">
      <c r="A111" s="751"/>
      <c r="B111" s="82" t="str">
        <f>IFERROR(VLOOKUP(A111,'Budget-S&amp;U Codes Lookup'!$A$7:$B$550,2,FALSE),"")</f>
        <v/>
      </c>
      <c r="C111" s="992"/>
      <c r="D111" s="118"/>
      <c r="E111" s="131"/>
      <c r="F111" s="124"/>
      <c r="G111" s="124"/>
      <c r="H111" s="125">
        <f t="shared" si="1"/>
        <v>0</v>
      </c>
      <c r="I111" s="191"/>
      <c r="J111" s="268"/>
      <c r="K111" s="182" t="str">
        <f>IFERROR(VLOOKUP(A111,'Budget-S&amp;U Codes Lookup'!$A$7:$C$550,3,FALSE),"")</f>
        <v/>
      </c>
      <c r="L111" s="1041"/>
      <c r="M111" s="753"/>
      <c r="N111" s="3" t="str">
        <f>IF(M111="","",VLOOKUP(M111,'Budget-S&amp;U Codes Lookup'!$E$26:$F$45,2,FALSE))</f>
        <v/>
      </c>
      <c r="P111" s="186"/>
    </row>
    <row r="112" spans="1:16">
      <c r="A112" s="751"/>
      <c r="B112" s="82" t="str">
        <f>IFERROR(VLOOKUP(A112,'Budget-S&amp;U Codes Lookup'!$A$7:$B$550,2,FALSE),"")</f>
        <v/>
      </c>
      <c r="C112" s="992"/>
      <c r="D112" s="118"/>
      <c r="E112" s="131"/>
      <c r="F112" s="124"/>
      <c r="G112" s="124"/>
      <c r="H112" s="125">
        <f t="shared" si="1"/>
        <v>0</v>
      </c>
      <c r="I112" s="191"/>
      <c r="J112" s="268"/>
      <c r="K112" s="182" t="str">
        <f>IFERROR(VLOOKUP(A112,'Budget-S&amp;U Codes Lookup'!$A$7:$C$550,3,FALSE),"")</f>
        <v/>
      </c>
      <c r="L112" s="1041"/>
      <c r="M112" s="753"/>
      <c r="N112" s="3" t="str">
        <f>IF(M112="","",VLOOKUP(M112,'Budget-S&amp;U Codes Lookup'!$E$26:$F$45,2,FALSE))</f>
        <v/>
      </c>
      <c r="P112" s="186"/>
    </row>
    <row r="113" spans="1:16">
      <c r="A113" s="751"/>
      <c r="B113" s="82" t="str">
        <f>IFERROR(VLOOKUP(A113,'Budget-S&amp;U Codes Lookup'!$A$7:$B$550,2,FALSE),"")</f>
        <v/>
      </c>
      <c r="C113" s="992"/>
      <c r="D113" s="118"/>
      <c r="E113" s="131"/>
      <c r="F113" s="124"/>
      <c r="G113" s="124"/>
      <c r="H113" s="125">
        <f t="shared" si="1"/>
        <v>0</v>
      </c>
      <c r="I113" s="191"/>
      <c r="J113" s="268"/>
      <c r="K113" s="182" t="str">
        <f>IFERROR(VLOOKUP(A113,'Budget-S&amp;U Codes Lookup'!$A$7:$C$550,3,FALSE),"")</f>
        <v/>
      </c>
      <c r="L113" s="1041"/>
      <c r="M113" s="753"/>
      <c r="N113" s="3" t="str">
        <f>IF(M113="","",VLOOKUP(M113,'Budget-S&amp;U Codes Lookup'!$E$26:$F$45,2,FALSE))</f>
        <v/>
      </c>
      <c r="P113" s="186"/>
    </row>
    <row r="114" spans="1:16">
      <c r="A114" s="751"/>
      <c r="B114" s="82" t="str">
        <f>IFERROR(VLOOKUP(A114,'Budget-S&amp;U Codes Lookup'!$A$7:$B$550,2,FALSE),"")</f>
        <v/>
      </c>
      <c r="C114" s="992"/>
      <c r="D114" s="118"/>
      <c r="E114" s="131"/>
      <c r="F114" s="124"/>
      <c r="G114" s="124"/>
      <c r="H114" s="125">
        <f t="shared" si="1"/>
        <v>0</v>
      </c>
      <c r="I114" s="191"/>
      <c r="J114" s="268"/>
      <c r="K114" s="182" t="str">
        <f>IFERROR(VLOOKUP(A114,'Budget-S&amp;U Codes Lookup'!$A$7:$C$550,3,FALSE),"")</f>
        <v/>
      </c>
      <c r="L114" s="1041"/>
      <c r="M114" s="753"/>
      <c r="N114" s="3" t="str">
        <f>IF(M114="","",VLOOKUP(M114,'Budget-S&amp;U Codes Lookup'!$E$26:$F$45,2,FALSE))</f>
        <v/>
      </c>
      <c r="P114" s="186"/>
    </row>
    <row r="115" spans="1:16">
      <c r="A115" s="751"/>
      <c r="B115" s="82" t="str">
        <f>IFERROR(VLOOKUP(A115,'Budget-S&amp;U Codes Lookup'!$A$7:$B$550,2,FALSE),"")</f>
        <v/>
      </c>
      <c r="C115" s="992"/>
      <c r="D115" s="118"/>
      <c r="E115" s="131"/>
      <c r="F115" s="124"/>
      <c r="G115" s="124"/>
      <c r="H115" s="125">
        <f t="shared" si="1"/>
        <v>0</v>
      </c>
      <c r="I115" s="191"/>
      <c r="J115" s="268"/>
      <c r="K115" s="182" t="str">
        <f>IFERROR(VLOOKUP(A115,'Budget-S&amp;U Codes Lookup'!$A$7:$C$550,3,FALSE),"")</f>
        <v/>
      </c>
      <c r="L115" s="1041"/>
      <c r="M115" s="753"/>
      <c r="N115" s="3" t="str">
        <f>IF(M115="","",VLOOKUP(M115,'Budget-S&amp;U Codes Lookup'!$E$26:$F$45,2,FALSE))</f>
        <v/>
      </c>
      <c r="P115" s="186"/>
    </row>
    <row r="116" spans="1:16">
      <c r="A116" s="751"/>
      <c r="B116" s="82" t="str">
        <f>IFERROR(VLOOKUP(A116,'Budget-S&amp;U Codes Lookup'!$A$7:$B$550,2,FALSE),"")</f>
        <v/>
      </c>
      <c r="C116" s="992"/>
      <c r="D116" s="118"/>
      <c r="E116" s="131"/>
      <c r="F116" s="124"/>
      <c r="G116" s="124"/>
      <c r="H116" s="125">
        <f t="shared" si="1"/>
        <v>0</v>
      </c>
      <c r="I116" s="191"/>
      <c r="J116" s="268"/>
      <c r="K116" s="182" t="str">
        <f>IFERROR(VLOOKUP(A116,'Budget-S&amp;U Codes Lookup'!$A$7:$C$550,3,FALSE),"")</f>
        <v/>
      </c>
      <c r="L116" s="1041"/>
      <c r="M116" s="753"/>
      <c r="N116" s="3" t="str">
        <f>IF(M116="","",VLOOKUP(M116,'Budget-S&amp;U Codes Lookup'!$E$26:$F$45,2,FALSE))</f>
        <v/>
      </c>
      <c r="P116" s="186"/>
    </row>
    <row r="117" spans="1:16">
      <c r="A117" s="751"/>
      <c r="B117" s="82" t="str">
        <f>IFERROR(VLOOKUP(A117,'Budget-S&amp;U Codes Lookup'!$A$7:$B$550,2,FALSE),"")</f>
        <v/>
      </c>
      <c r="C117" s="992"/>
      <c r="D117" s="118"/>
      <c r="E117" s="131"/>
      <c r="F117" s="124"/>
      <c r="G117" s="124"/>
      <c r="H117" s="125">
        <f t="shared" si="1"/>
        <v>0</v>
      </c>
      <c r="I117" s="191"/>
      <c r="J117" s="268"/>
      <c r="K117" s="182" t="str">
        <f>IFERROR(VLOOKUP(A117,'Budget-S&amp;U Codes Lookup'!$A$7:$C$550,3,FALSE),"")</f>
        <v/>
      </c>
      <c r="L117" s="1041"/>
      <c r="M117" s="753"/>
      <c r="N117" s="3" t="str">
        <f>IF(M117="","",VLOOKUP(M117,'Budget-S&amp;U Codes Lookup'!$E$26:$F$45,2,FALSE))</f>
        <v/>
      </c>
      <c r="P117" s="186"/>
    </row>
    <row r="118" spans="1:16">
      <c r="A118" s="751"/>
      <c r="B118" s="82" t="str">
        <f>IFERROR(VLOOKUP(A118,'Budget-S&amp;U Codes Lookup'!$A$7:$B$550,2,FALSE),"")</f>
        <v/>
      </c>
      <c r="C118" s="992"/>
      <c r="D118" s="118"/>
      <c r="E118" s="131"/>
      <c r="F118" s="124"/>
      <c r="G118" s="124"/>
      <c r="H118" s="125">
        <f t="shared" si="1"/>
        <v>0</v>
      </c>
      <c r="I118" s="191"/>
      <c r="J118" s="268"/>
      <c r="K118" s="182" t="str">
        <f>IFERROR(VLOOKUP(A118,'Budget-S&amp;U Codes Lookup'!$A$7:$C$550,3,FALSE),"")</f>
        <v/>
      </c>
      <c r="L118" s="1041"/>
      <c r="M118" s="753"/>
      <c r="N118" s="3" t="str">
        <f>IF(M118="","",VLOOKUP(M118,'Budget-S&amp;U Codes Lookup'!$E$26:$F$45,2,FALSE))</f>
        <v/>
      </c>
      <c r="P118" s="186"/>
    </row>
    <row r="119" spans="1:16">
      <c r="A119" s="751"/>
      <c r="B119" s="82" t="str">
        <f>IFERROR(VLOOKUP(A119,'Budget-S&amp;U Codes Lookup'!$A$7:$B$550,2,FALSE),"")</f>
        <v/>
      </c>
      <c r="C119" s="992"/>
      <c r="D119" s="118"/>
      <c r="E119" s="131"/>
      <c r="F119" s="124"/>
      <c r="G119" s="124"/>
      <c r="H119" s="125">
        <f t="shared" si="1"/>
        <v>0</v>
      </c>
      <c r="I119" s="191"/>
      <c r="J119" s="268"/>
      <c r="K119" s="182" t="str">
        <f>IFERROR(VLOOKUP(A119,'Budget-S&amp;U Codes Lookup'!$A$7:$C$550,3,FALSE),"")</f>
        <v/>
      </c>
      <c r="L119" s="1041"/>
      <c r="M119" s="753"/>
      <c r="N119" s="3" t="str">
        <f>IF(M119="","",VLOOKUP(M119,'Budget-S&amp;U Codes Lookup'!$E$26:$F$45,2,FALSE))</f>
        <v/>
      </c>
      <c r="P119" s="186"/>
    </row>
    <row r="120" spans="1:16">
      <c r="A120" s="751"/>
      <c r="B120" s="82" t="str">
        <f>IFERROR(VLOOKUP(A120,'Budget-S&amp;U Codes Lookup'!$A$7:$B$550,2,FALSE),"")</f>
        <v/>
      </c>
      <c r="C120" s="992"/>
      <c r="D120" s="118"/>
      <c r="E120" s="131"/>
      <c r="F120" s="124"/>
      <c r="G120" s="124"/>
      <c r="H120" s="125">
        <f t="shared" si="1"/>
        <v>0</v>
      </c>
      <c r="I120" s="191"/>
      <c r="J120" s="268"/>
      <c r="K120" s="182" t="str">
        <f>IFERROR(VLOOKUP(A120,'Budget-S&amp;U Codes Lookup'!$A$7:$C$550,3,FALSE),"")</f>
        <v/>
      </c>
      <c r="L120" s="1041"/>
      <c r="M120" s="753"/>
      <c r="N120" s="3" t="str">
        <f>IF(M120="","",VLOOKUP(M120,'Budget-S&amp;U Codes Lookup'!$E$26:$F$45,2,FALSE))</f>
        <v/>
      </c>
      <c r="P120" s="186"/>
    </row>
    <row r="121" spans="1:16">
      <c r="A121" s="751"/>
      <c r="B121" s="82" t="str">
        <f>IFERROR(VLOOKUP(A121,'Budget-S&amp;U Codes Lookup'!$A$7:$B$550,2,FALSE),"")</f>
        <v/>
      </c>
      <c r="C121" s="992"/>
      <c r="D121" s="118"/>
      <c r="E121" s="131"/>
      <c r="F121" s="124"/>
      <c r="G121" s="124"/>
      <c r="H121" s="125">
        <f t="shared" si="1"/>
        <v>0</v>
      </c>
      <c r="I121" s="191"/>
      <c r="J121" s="268"/>
      <c r="K121" s="182" t="str">
        <f>IFERROR(VLOOKUP(A121,'Budget-S&amp;U Codes Lookup'!$A$7:$C$550,3,FALSE),"")</f>
        <v/>
      </c>
      <c r="L121" s="1041"/>
      <c r="M121" s="753"/>
      <c r="N121" s="3" t="str">
        <f>IF(M121="","",VLOOKUP(M121,'Budget-S&amp;U Codes Lookup'!$E$26:$F$45,2,FALSE))</f>
        <v/>
      </c>
      <c r="P121" s="186"/>
    </row>
    <row r="122" spans="1:16">
      <c r="A122" s="751"/>
      <c r="B122" s="82" t="str">
        <f>IFERROR(VLOOKUP(A122,'Budget-S&amp;U Codes Lookup'!$A$7:$B$550,2,FALSE),"")</f>
        <v/>
      </c>
      <c r="C122" s="992"/>
      <c r="D122" s="118"/>
      <c r="E122" s="131"/>
      <c r="F122" s="124"/>
      <c r="G122" s="124"/>
      <c r="H122" s="125">
        <f t="shared" si="1"/>
        <v>0</v>
      </c>
      <c r="I122" s="191"/>
      <c r="J122" s="268"/>
      <c r="K122" s="182" t="str">
        <f>IFERROR(VLOOKUP(A122,'Budget-S&amp;U Codes Lookup'!$A$7:$C$550,3,FALSE),"")</f>
        <v/>
      </c>
      <c r="L122" s="1041"/>
      <c r="M122" s="753"/>
      <c r="N122" s="3" t="str">
        <f>IF(M122="","",VLOOKUP(M122,'Budget-S&amp;U Codes Lookup'!$E$26:$F$45,2,FALSE))</f>
        <v/>
      </c>
      <c r="P122" s="186"/>
    </row>
    <row r="123" spans="1:16">
      <c r="A123" s="751"/>
      <c r="B123" s="82" t="str">
        <f>IFERROR(VLOOKUP(A123,'Budget-S&amp;U Codes Lookup'!$A$7:$B$550,2,FALSE),"")</f>
        <v/>
      </c>
      <c r="C123" s="992"/>
      <c r="D123" s="118"/>
      <c r="E123" s="131"/>
      <c r="F123" s="124"/>
      <c r="G123" s="124"/>
      <c r="H123" s="125">
        <f t="shared" si="1"/>
        <v>0</v>
      </c>
      <c r="I123" s="191"/>
      <c r="J123" s="268"/>
      <c r="K123" s="182" t="str">
        <f>IFERROR(VLOOKUP(A123,'Budget-S&amp;U Codes Lookup'!$A$7:$C$550,3,FALSE),"")</f>
        <v/>
      </c>
      <c r="L123" s="1041"/>
      <c r="M123" s="753"/>
      <c r="N123" s="3" t="str">
        <f>IF(M123="","",VLOOKUP(M123,'Budget-S&amp;U Codes Lookup'!$E$26:$F$45,2,FALSE))</f>
        <v/>
      </c>
      <c r="P123" s="186"/>
    </row>
    <row r="124" spans="1:16">
      <c r="A124" s="751"/>
      <c r="B124" s="82" t="str">
        <f>IFERROR(VLOOKUP(A124,'Budget-S&amp;U Codes Lookup'!$A$7:$B$550,2,FALSE),"")</f>
        <v/>
      </c>
      <c r="C124" s="992"/>
      <c r="D124" s="118"/>
      <c r="E124" s="131"/>
      <c r="F124" s="124"/>
      <c r="G124" s="124"/>
      <c r="H124" s="125">
        <f t="shared" si="1"/>
        <v>0</v>
      </c>
      <c r="I124" s="191"/>
      <c r="J124" s="268"/>
      <c r="K124" s="182" t="str">
        <f>IFERROR(VLOOKUP(A124,'Budget-S&amp;U Codes Lookup'!$A$7:$C$550,3,FALSE),"")</f>
        <v/>
      </c>
      <c r="L124" s="1041"/>
      <c r="M124" s="753"/>
      <c r="N124" s="3" t="str">
        <f>IF(M124="","",VLOOKUP(M124,'Budget-S&amp;U Codes Lookup'!$E$26:$F$45,2,FALSE))</f>
        <v/>
      </c>
      <c r="P124" s="186"/>
    </row>
    <row r="125" spans="1:16">
      <c r="A125" s="751"/>
      <c r="B125" s="82" t="str">
        <f>IFERROR(VLOOKUP(A125,'Budget-S&amp;U Codes Lookup'!$A$7:$B$550,2,FALSE),"")</f>
        <v/>
      </c>
      <c r="C125" s="992"/>
      <c r="D125" s="118"/>
      <c r="E125" s="131"/>
      <c r="F125" s="124"/>
      <c r="G125" s="124"/>
      <c r="H125" s="125">
        <f t="shared" si="1"/>
        <v>0</v>
      </c>
      <c r="I125" s="191"/>
      <c r="J125" s="268"/>
      <c r="K125" s="182" t="str">
        <f>IFERROR(VLOOKUP(A125,'Budget-S&amp;U Codes Lookup'!$A$7:$C$550,3,FALSE),"")</f>
        <v/>
      </c>
      <c r="L125" s="1041"/>
      <c r="M125" s="753"/>
      <c r="N125" s="3" t="str">
        <f>IF(M125="","",VLOOKUP(M125,'Budget-S&amp;U Codes Lookup'!$E$26:$F$45,2,FALSE))</f>
        <v/>
      </c>
      <c r="P125" s="186"/>
    </row>
    <row r="126" spans="1:16">
      <c r="A126" s="751"/>
      <c r="B126" s="82" t="str">
        <f>IFERROR(VLOOKUP(A126,'Budget-S&amp;U Codes Lookup'!$A$7:$B$550,2,FALSE),"")</f>
        <v/>
      </c>
      <c r="C126" s="992"/>
      <c r="D126" s="118"/>
      <c r="E126" s="131"/>
      <c r="F126" s="124"/>
      <c r="G126" s="124"/>
      <c r="H126" s="125">
        <f t="shared" si="1"/>
        <v>0</v>
      </c>
      <c r="I126" s="191"/>
      <c r="J126" s="268"/>
      <c r="K126" s="182" t="str">
        <f>IFERROR(VLOOKUP(A126,'Budget-S&amp;U Codes Lookup'!$A$7:$C$550,3,FALSE),"")</f>
        <v/>
      </c>
      <c r="L126" s="1041"/>
      <c r="M126" s="753"/>
      <c r="N126" s="3" t="str">
        <f>IF(M126="","",VLOOKUP(M126,'Budget-S&amp;U Codes Lookup'!$E$26:$F$45,2,FALSE))</f>
        <v/>
      </c>
      <c r="P126" s="186"/>
    </row>
    <row r="127" spans="1:16">
      <c r="A127" s="751"/>
      <c r="B127" s="82" t="str">
        <f>IFERROR(VLOOKUP(A127,'Budget-S&amp;U Codes Lookup'!$A$7:$B$550,2,FALSE),"")</f>
        <v/>
      </c>
      <c r="C127" s="992"/>
      <c r="D127" s="118"/>
      <c r="E127" s="131"/>
      <c r="F127" s="124"/>
      <c r="G127" s="124"/>
      <c r="H127" s="125">
        <f t="shared" si="1"/>
        <v>0</v>
      </c>
      <c r="I127" s="191"/>
      <c r="J127" s="268"/>
      <c r="K127" s="182" t="str">
        <f>IFERROR(VLOOKUP(A127,'Budget-S&amp;U Codes Lookup'!$A$7:$C$550,3,FALSE),"")</f>
        <v/>
      </c>
      <c r="L127" s="1041"/>
      <c r="M127" s="753"/>
      <c r="N127" s="3" t="str">
        <f>IF(M127="","",VLOOKUP(M127,'Budget-S&amp;U Codes Lookup'!$E$26:$F$45,2,FALSE))</f>
        <v/>
      </c>
      <c r="P127" s="186"/>
    </row>
    <row r="128" spans="1:16">
      <c r="A128" s="751"/>
      <c r="B128" s="82" t="str">
        <f>IFERROR(VLOOKUP(A128,'Budget-S&amp;U Codes Lookup'!$A$7:$B$550,2,FALSE),"")</f>
        <v/>
      </c>
      <c r="C128" s="992"/>
      <c r="D128" s="118"/>
      <c r="E128" s="131"/>
      <c r="F128" s="124"/>
      <c r="G128" s="124"/>
      <c r="H128" s="125">
        <f t="shared" si="1"/>
        <v>0</v>
      </c>
      <c r="I128" s="191"/>
      <c r="J128" s="268"/>
      <c r="K128" s="182" t="str">
        <f>IFERROR(VLOOKUP(A128,'Budget-S&amp;U Codes Lookup'!$A$7:$C$550,3,FALSE),"")</f>
        <v/>
      </c>
      <c r="L128" s="1041"/>
      <c r="M128" s="753"/>
      <c r="N128" s="3" t="str">
        <f>IF(M128="","",VLOOKUP(M128,'Budget-S&amp;U Codes Lookup'!$E$26:$F$45,2,FALSE))</f>
        <v/>
      </c>
      <c r="P128" s="186"/>
    </row>
    <row r="129" spans="1:16">
      <c r="A129" s="751"/>
      <c r="B129" s="82" t="str">
        <f>IFERROR(VLOOKUP(A129,'Budget-S&amp;U Codes Lookup'!$A$7:$B$550,2,FALSE),"")</f>
        <v/>
      </c>
      <c r="C129" s="992"/>
      <c r="D129" s="118"/>
      <c r="E129" s="131"/>
      <c r="F129" s="124"/>
      <c r="G129" s="124"/>
      <c r="H129" s="125">
        <f t="shared" si="1"/>
        <v>0</v>
      </c>
      <c r="I129" s="191"/>
      <c r="J129" s="268"/>
      <c r="K129" s="182" t="str">
        <f>IFERROR(VLOOKUP(A129,'Budget-S&amp;U Codes Lookup'!$A$7:$C$550,3,FALSE),"")</f>
        <v/>
      </c>
      <c r="L129" s="1041"/>
      <c r="M129" s="753"/>
      <c r="N129" s="3" t="str">
        <f>IF(M129="","",VLOOKUP(M129,'Budget-S&amp;U Codes Lookup'!$E$26:$F$45,2,FALSE))</f>
        <v/>
      </c>
      <c r="P129" s="186"/>
    </row>
    <row r="130" spans="1:16">
      <c r="A130" s="751"/>
      <c r="B130" s="82" t="str">
        <f>IFERROR(VLOOKUP(A130,'Budget-S&amp;U Codes Lookup'!$A$7:$B$550,2,FALSE),"")</f>
        <v/>
      </c>
      <c r="C130" s="992"/>
      <c r="D130" s="118"/>
      <c r="E130" s="131"/>
      <c r="F130" s="124"/>
      <c r="G130" s="124"/>
      <c r="H130" s="125">
        <f t="shared" si="1"/>
        <v>0</v>
      </c>
      <c r="I130" s="191"/>
      <c r="J130" s="268"/>
      <c r="K130" s="182" t="str">
        <f>IFERROR(VLOOKUP(A130,'Budget-S&amp;U Codes Lookup'!$A$7:$C$550,3,FALSE),"")</f>
        <v/>
      </c>
      <c r="L130" s="1041"/>
      <c r="M130" s="753"/>
      <c r="N130" s="3" t="str">
        <f>IF(M130="","",VLOOKUP(M130,'Budget-S&amp;U Codes Lookup'!$E$26:$F$45,2,FALSE))</f>
        <v/>
      </c>
      <c r="P130" s="186"/>
    </row>
    <row r="131" spans="1:16">
      <c r="A131" s="751"/>
      <c r="B131" s="82" t="str">
        <f>IFERROR(VLOOKUP(A131,'Budget-S&amp;U Codes Lookup'!$A$7:$B$550,2,FALSE),"")</f>
        <v/>
      </c>
      <c r="C131" s="992"/>
      <c r="D131" s="118"/>
      <c r="E131" s="131"/>
      <c r="F131" s="124"/>
      <c r="G131" s="124"/>
      <c r="H131" s="125">
        <f t="shared" si="1"/>
        <v>0</v>
      </c>
      <c r="I131" s="191"/>
      <c r="J131" s="268"/>
      <c r="K131" s="182" t="str">
        <f>IFERROR(VLOOKUP(A131,'Budget-S&amp;U Codes Lookup'!$A$7:$C$550,3,FALSE),"")</f>
        <v/>
      </c>
      <c r="L131" s="1041"/>
      <c r="M131" s="753"/>
      <c r="N131" s="3" t="str">
        <f>IF(M131="","",VLOOKUP(M131,'Budget-S&amp;U Codes Lookup'!$E$26:$F$45,2,FALSE))</f>
        <v/>
      </c>
      <c r="P131" s="186"/>
    </row>
    <row r="132" spans="1:16">
      <c r="A132" s="751"/>
      <c r="B132" s="82" t="str">
        <f>IFERROR(VLOOKUP(A132,'Budget-S&amp;U Codes Lookup'!$A$7:$B$550,2,FALSE),"")</f>
        <v/>
      </c>
      <c r="C132" s="992"/>
      <c r="D132" s="118"/>
      <c r="E132" s="131"/>
      <c r="F132" s="124"/>
      <c r="G132" s="124"/>
      <c r="H132" s="125">
        <f t="shared" si="1"/>
        <v>0</v>
      </c>
      <c r="I132" s="191"/>
      <c r="J132" s="268"/>
      <c r="K132" s="182" t="str">
        <f>IFERROR(VLOOKUP(A132,'Budget-S&amp;U Codes Lookup'!$A$7:$C$550,3,FALSE),"")</f>
        <v/>
      </c>
      <c r="L132" s="1041"/>
      <c r="M132" s="753"/>
      <c r="N132" s="3" t="str">
        <f>IF(M132="","",VLOOKUP(M132,'Budget-S&amp;U Codes Lookup'!$E$26:$F$45,2,FALSE))</f>
        <v/>
      </c>
      <c r="P132" s="186"/>
    </row>
    <row r="133" spans="1:16">
      <c r="A133" s="751"/>
      <c r="B133" s="82" t="str">
        <f>IFERROR(VLOOKUP(A133,'Budget-S&amp;U Codes Lookup'!$A$7:$B$550,2,FALSE),"")</f>
        <v/>
      </c>
      <c r="C133" s="992"/>
      <c r="D133" s="118"/>
      <c r="E133" s="131"/>
      <c r="F133" s="124"/>
      <c r="G133" s="124"/>
      <c r="H133" s="125">
        <f t="shared" si="1"/>
        <v>0</v>
      </c>
      <c r="I133" s="191"/>
      <c r="J133" s="268"/>
      <c r="K133" s="182" t="str">
        <f>IFERROR(VLOOKUP(A133,'Budget-S&amp;U Codes Lookup'!$A$7:$C$550,3,FALSE),"")</f>
        <v/>
      </c>
      <c r="L133" s="1041"/>
      <c r="M133" s="753"/>
      <c r="N133" s="3" t="str">
        <f>IF(M133="","",VLOOKUP(M133,'Budget-S&amp;U Codes Lookup'!$E$26:$F$45,2,FALSE))</f>
        <v/>
      </c>
      <c r="P133" s="186"/>
    </row>
    <row r="134" spans="1:16">
      <c r="A134" s="751"/>
      <c r="B134" s="82" t="str">
        <f>IFERROR(VLOOKUP(A134,'Budget-S&amp;U Codes Lookup'!$A$7:$B$550,2,FALSE),"")</f>
        <v/>
      </c>
      <c r="C134" s="992"/>
      <c r="D134" s="118"/>
      <c r="E134" s="131"/>
      <c r="F134" s="124"/>
      <c r="G134" s="124"/>
      <c r="H134" s="125">
        <f t="shared" si="1"/>
        <v>0</v>
      </c>
      <c r="I134" s="191"/>
      <c r="J134" s="268"/>
      <c r="K134" s="182" t="str">
        <f>IFERROR(VLOOKUP(A134,'Budget-S&amp;U Codes Lookup'!$A$7:$C$550,3,FALSE),"")</f>
        <v/>
      </c>
      <c r="L134" s="1041"/>
      <c r="M134" s="753"/>
      <c r="N134" s="3" t="str">
        <f>IF(M134="","",VLOOKUP(M134,'Budget-S&amp;U Codes Lookup'!$E$26:$F$45,2,FALSE))</f>
        <v/>
      </c>
      <c r="P134" s="186"/>
    </row>
    <row r="135" spans="1:16">
      <c r="A135" s="751"/>
      <c r="B135" s="82" t="str">
        <f>IFERROR(VLOOKUP(A135,'Budget-S&amp;U Codes Lookup'!$A$7:$B$550,2,FALSE),"")</f>
        <v/>
      </c>
      <c r="C135" s="992"/>
      <c r="D135" s="118"/>
      <c r="E135" s="131"/>
      <c r="F135" s="124"/>
      <c r="G135" s="124"/>
      <c r="H135" s="125">
        <f t="shared" si="1"/>
        <v>0</v>
      </c>
      <c r="I135" s="191"/>
      <c r="J135" s="268"/>
      <c r="K135" s="182" t="str">
        <f>IFERROR(VLOOKUP(A135,'Budget-S&amp;U Codes Lookup'!$A$7:$C$550,3,FALSE),"")</f>
        <v/>
      </c>
      <c r="L135" s="1041"/>
      <c r="M135" s="753"/>
      <c r="N135" s="3" t="str">
        <f>IF(M135="","",VLOOKUP(M135,'Budget-S&amp;U Codes Lookup'!$E$26:$F$45,2,FALSE))</f>
        <v/>
      </c>
      <c r="P135" s="186"/>
    </row>
    <row r="136" spans="1:16">
      <c r="A136" s="751"/>
      <c r="B136" s="82" t="str">
        <f>IFERROR(VLOOKUP(A136,'Budget-S&amp;U Codes Lookup'!$A$7:$B$550,2,FALSE),"")</f>
        <v/>
      </c>
      <c r="C136" s="992"/>
      <c r="D136" s="118"/>
      <c r="E136" s="131"/>
      <c r="F136" s="124"/>
      <c r="G136" s="124"/>
      <c r="H136" s="125">
        <f t="shared" si="1"/>
        <v>0</v>
      </c>
      <c r="I136" s="191"/>
      <c r="J136" s="268"/>
      <c r="K136" s="182" t="str">
        <f>IFERROR(VLOOKUP(A136,'Budget-S&amp;U Codes Lookup'!$A$7:$C$550,3,FALSE),"")</f>
        <v/>
      </c>
      <c r="L136" s="1041"/>
      <c r="M136" s="753"/>
      <c r="N136" s="3" t="str">
        <f>IF(M136="","",VLOOKUP(M136,'Budget-S&amp;U Codes Lookup'!$E$26:$F$45,2,FALSE))</f>
        <v/>
      </c>
      <c r="P136" s="186"/>
    </row>
    <row r="137" spans="1:16">
      <c r="A137" s="751"/>
      <c r="B137" s="82" t="str">
        <f>IFERROR(VLOOKUP(A137,'Budget-S&amp;U Codes Lookup'!$A$7:$B$550,2,FALSE),"")</f>
        <v/>
      </c>
      <c r="C137" s="992"/>
      <c r="D137" s="118"/>
      <c r="E137" s="131"/>
      <c r="F137" s="124"/>
      <c r="G137" s="124"/>
      <c r="H137" s="125">
        <f t="shared" si="1"/>
        <v>0</v>
      </c>
      <c r="I137" s="191"/>
      <c r="J137" s="268"/>
      <c r="K137" s="182" t="str">
        <f>IFERROR(VLOOKUP(A137,'Budget-S&amp;U Codes Lookup'!$A$7:$C$550,3,FALSE),"")</f>
        <v/>
      </c>
      <c r="L137" s="1041"/>
      <c r="M137" s="753"/>
      <c r="N137" s="3" t="str">
        <f>IF(M137="","",VLOOKUP(M137,'Budget-S&amp;U Codes Lookup'!$E$26:$F$45,2,FALSE))</f>
        <v/>
      </c>
      <c r="P137" s="186"/>
    </row>
    <row r="138" spans="1:16">
      <c r="A138" s="751"/>
      <c r="B138" s="82" t="str">
        <f>IFERROR(VLOOKUP(A138,'Budget-S&amp;U Codes Lookup'!$A$7:$B$550,2,FALSE),"")</f>
        <v/>
      </c>
      <c r="C138" s="992"/>
      <c r="D138" s="118"/>
      <c r="E138" s="131"/>
      <c r="F138" s="124"/>
      <c r="G138" s="124"/>
      <c r="H138" s="125">
        <f t="shared" ref="H138:H201" si="2">F138-G138</f>
        <v>0</v>
      </c>
      <c r="I138" s="191"/>
      <c r="J138" s="268"/>
      <c r="K138" s="182" t="str">
        <f>IFERROR(VLOOKUP(A138,'Budget-S&amp;U Codes Lookup'!$A$7:$C$550,3,FALSE),"")</f>
        <v/>
      </c>
      <c r="L138" s="1041"/>
      <c r="M138" s="753"/>
      <c r="N138" s="3" t="str">
        <f>IF(M138="","",VLOOKUP(M138,'Budget-S&amp;U Codes Lookup'!$E$26:$F$45,2,FALSE))</f>
        <v/>
      </c>
      <c r="P138" s="186"/>
    </row>
    <row r="139" spans="1:16">
      <c r="A139" s="751"/>
      <c r="B139" s="82" t="str">
        <f>IFERROR(VLOOKUP(A139,'Budget-S&amp;U Codes Lookup'!$A$7:$B$550,2,FALSE),"")</f>
        <v/>
      </c>
      <c r="C139" s="992"/>
      <c r="D139" s="118"/>
      <c r="E139" s="131"/>
      <c r="F139" s="124"/>
      <c r="G139" s="124"/>
      <c r="H139" s="125">
        <f t="shared" si="2"/>
        <v>0</v>
      </c>
      <c r="I139" s="191"/>
      <c r="J139" s="268"/>
      <c r="K139" s="182" t="str">
        <f>IFERROR(VLOOKUP(A139,'Budget-S&amp;U Codes Lookup'!$A$7:$C$550,3,FALSE),"")</f>
        <v/>
      </c>
      <c r="L139" s="1041"/>
      <c r="M139" s="753"/>
      <c r="N139" s="3" t="str">
        <f>IF(M139="","",VLOOKUP(M139,'Budget-S&amp;U Codes Lookup'!$E$26:$F$45,2,FALSE))</f>
        <v/>
      </c>
      <c r="P139" s="186"/>
    </row>
    <row r="140" spans="1:16">
      <c r="A140" s="751"/>
      <c r="B140" s="82" t="str">
        <f>IFERROR(VLOOKUP(A140,'Budget-S&amp;U Codes Lookup'!$A$7:$B$550,2,FALSE),"")</f>
        <v/>
      </c>
      <c r="C140" s="992"/>
      <c r="D140" s="118"/>
      <c r="E140" s="131"/>
      <c r="F140" s="124"/>
      <c r="G140" s="124"/>
      <c r="H140" s="125">
        <f t="shared" si="2"/>
        <v>0</v>
      </c>
      <c r="I140" s="191"/>
      <c r="J140" s="268"/>
      <c r="K140" s="182" t="str">
        <f>IFERROR(VLOOKUP(A140,'Budget-S&amp;U Codes Lookup'!$A$7:$C$550,3,FALSE),"")</f>
        <v/>
      </c>
      <c r="L140" s="1041"/>
      <c r="M140" s="753"/>
      <c r="N140" s="3" t="str">
        <f>IF(M140="","",VLOOKUP(M140,'Budget-S&amp;U Codes Lookup'!$E$26:$F$45,2,FALSE))</f>
        <v/>
      </c>
      <c r="P140" s="186"/>
    </row>
    <row r="141" spans="1:16">
      <c r="A141" s="751"/>
      <c r="B141" s="82" t="str">
        <f>IFERROR(VLOOKUP(A141,'Budget-S&amp;U Codes Lookup'!$A$7:$B$550,2,FALSE),"")</f>
        <v/>
      </c>
      <c r="C141" s="992"/>
      <c r="D141" s="118"/>
      <c r="E141" s="131"/>
      <c r="F141" s="124"/>
      <c r="G141" s="124"/>
      <c r="H141" s="125">
        <f t="shared" si="2"/>
        <v>0</v>
      </c>
      <c r="I141" s="191"/>
      <c r="J141" s="268"/>
      <c r="K141" s="182" t="str">
        <f>IFERROR(VLOOKUP(A141,'Budget-S&amp;U Codes Lookup'!$A$7:$C$550,3,FALSE),"")</f>
        <v/>
      </c>
      <c r="L141" s="1041"/>
      <c r="M141" s="753"/>
      <c r="N141" s="3" t="str">
        <f>IF(M141="","",VLOOKUP(M141,'Budget-S&amp;U Codes Lookup'!$E$26:$F$45,2,FALSE))</f>
        <v/>
      </c>
      <c r="P141" s="186"/>
    </row>
    <row r="142" spans="1:16">
      <c r="A142" s="751"/>
      <c r="B142" s="82" t="str">
        <f>IFERROR(VLOOKUP(A142,'Budget-S&amp;U Codes Lookup'!$A$7:$B$550,2,FALSE),"")</f>
        <v/>
      </c>
      <c r="C142" s="992"/>
      <c r="D142" s="118"/>
      <c r="E142" s="131"/>
      <c r="F142" s="124"/>
      <c r="G142" s="124"/>
      <c r="H142" s="125">
        <f t="shared" si="2"/>
        <v>0</v>
      </c>
      <c r="I142" s="191"/>
      <c r="J142" s="268"/>
      <c r="K142" s="182" t="str">
        <f>IFERROR(VLOOKUP(A142,'Budget-S&amp;U Codes Lookup'!$A$7:$C$550,3,FALSE),"")</f>
        <v/>
      </c>
      <c r="L142" s="1041"/>
      <c r="M142" s="753"/>
      <c r="N142" s="3" t="str">
        <f>IF(M142="","",VLOOKUP(M142,'Budget-S&amp;U Codes Lookup'!$E$26:$F$45,2,FALSE))</f>
        <v/>
      </c>
      <c r="P142" s="186"/>
    </row>
    <row r="143" spans="1:16">
      <c r="A143" s="751"/>
      <c r="B143" s="82" t="str">
        <f>IFERROR(VLOOKUP(A143,'Budget-S&amp;U Codes Lookup'!$A$7:$B$550,2,FALSE),"")</f>
        <v/>
      </c>
      <c r="C143" s="992"/>
      <c r="D143" s="118"/>
      <c r="E143" s="131"/>
      <c r="F143" s="124"/>
      <c r="G143" s="124"/>
      <c r="H143" s="125">
        <f t="shared" si="2"/>
        <v>0</v>
      </c>
      <c r="I143" s="191"/>
      <c r="J143" s="268"/>
      <c r="K143" s="182" t="str">
        <f>IFERROR(VLOOKUP(A143,'Budget-S&amp;U Codes Lookup'!$A$7:$C$550,3,FALSE),"")</f>
        <v/>
      </c>
      <c r="L143" s="1041"/>
      <c r="M143" s="753"/>
      <c r="N143" s="3" t="str">
        <f>IF(M143="","",VLOOKUP(M143,'Budget-S&amp;U Codes Lookup'!$E$26:$F$45,2,FALSE))</f>
        <v/>
      </c>
      <c r="P143" s="186"/>
    </row>
    <row r="144" spans="1:16">
      <c r="A144" s="751"/>
      <c r="B144" s="82" t="str">
        <f>IFERROR(VLOOKUP(A144,'Budget-S&amp;U Codes Lookup'!$A$7:$B$550,2,FALSE),"")</f>
        <v/>
      </c>
      <c r="C144" s="992"/>
      <c r="D144" s="118"/>
      <c r="E144" s="131"/>
      <c r="F144" s="124"/>
      <c r="G144" s="124"/>
      <c r="H144" s="125">
        <f t="shared" si="2"/>
        <v>0</v>
      </c>
      <c r="I144" s="191"/>
      <c r="J144" s="268"/>
      <c r="K144" s="182" t="str">
        <f>IFERROR(VLOOKUP(A144,'Budget-S&amp;U Codes Lookup'!$A$7:$C$550,3,FALSE),"")</f>
        <v/>
      </c>
      <c r="L144" s="1041"/>
      <c r="M144" s="753"/>
      <c r="N144" s="3" t="str">
        <f>IF(M144="","",VLOOKUP(M144,'Budget-S&amp;U Codes Lookup'!$E$26:$F$45,2,FALSE))</f>
        <v/>
      </c>
      <c r="P144" s="186"/>
    </row>
    <row r="145" spans="1:16">
      <c r="A145" s="751"/>
      <c r="B145" s="82" t="str">
        <f>IFERROR(VLOOKUP(A145,'Budget-S&amp;U Codes Lookup'!$A$7:$B$550,2,FALSE),"")</f>
        <v/>
      </c>
      <c r="C145" s="992"/>
      <c r="D145" s="118"/>
      <c r="E145" s="131"/>
      <c r="F145" s="124"/>
      <c r="G145" s="124"/>
      <c r="H145" s="125">
        <f t="shared" si="2"/>
        <v>0</v>
      </c>
      <c r="I145" s="191"/>
      <c r="J145" s="268"/>
      <c r="K145" s="182" t="str">
        <f>IFERROR(VLOOKUP(A145,'Budget-S&amp;U Codes Lookup'!$A$7:$C$550,3,FALSE),"")</f>
        <v/>
      </c>
      <c r="L145" s="1041"/>
      <c r="M145" s="753"/>
      <c r="N145" s="3" t="str">
        <f>IF(M145="","",VLOOKUP(M145,'Budget-S&amp;U Codes Lookup'!$E$26:$F$45,2,FALSE))</f>
        <v/>
      </c>
      <c r="P145" s="186"/>
    </row>
    <row r="146" spans="1:16">
      <c r="A146" s="751"/>
      <c r="B146" s="82" t="str">
        <f>IFERROR(VLOOKUP(A146,'Budget-S&amp;U Codes Lookup'!$A$7:$B$550,2,FALSE),"")</f>
        <v/>
      </c>
      <c r="C146" s="992"/>
      <c r="D146" s="118"/>
      <c r="E146" s="131"/>
      <c r="F146" s="124"/>
      <c r="G146" s="124"/>
      <c r="H146" s="125">
        <f t="shared" si="2"/>
        <v>0</v>
      </c>
      <c r="I146" s="191"/>
      <c r="J146" s="268"/>
      <c r="K146" s="182" t="str">
        <f>IFERROR(VLOOKUP(A146,'Budget-S&amp;U Codes Lookup'!$A$7:$C$550,3,FALSE),"")</f>
        <v/>
      </c>
      <c r="L146" s="1041"/>
      <c r="M146" s="753"/>
      <c r="N146" s="3" t="str">
        <f>IF(M146="","",VLOOKUP(M146,'Budget-S&amp;U Codes Lookup'!$E$26:$F$45,2,FALSE))</f>
        <v/>
      </c>
      <c r="P146" s="186"/>
    </row>
    <row r="147" spans="1:16">
      <c r="A147" s="751"/>
      <c r="B147" s="82" t="str">
        <f>IFERROR(VLOOKUP(A147,'Budget-S&amp;U Codes Lookup'!$A$7:$B$550,2,FALSE),"")</f>
        <v/>
      </c>
      <c r="C147" s="992"/>
      <c r="D147" s="118"/>
      <c r="E147" s="131"/>
      <c r="F147" s="124"/>
      <c r="G147" s="124"/>
      <c r="H147" s="125">
        <f t="shared" si="2"/>
        <v>0</v>
      </c>
      <c r="I147" s="191"/>
      <c r="J147" s="268"/>
      <c r="K147" s="182" t="str">
        <f>IFERROR(VLOOKUP(A147,'Budget-S&amp;U Codes Lookup'!$A$7:$C$550,3,FALSE),"")</f>
        <v/>
      </c>
      <c r="L147" s="1041"/>
      <c r="M147" s="753"/>
      <c r="N147" s="3" t="str">
        <f>IF(M147="","",VLOOKUP(M147,'Budget-S&amp;U Codes Lookup'!$E$26:$F$45,2,FALSE))</f>
        <v/>
      </c>
      <c r="P147" s="186"/>
    </row>
    <row r="148" spans="1:16">
      <c r="A148" s="751"/>
      <c r="B148" s="82" t="str">
        <f>IFERROR(VLOOKUP(A148,'Budget-S&amp;U Codes Lookup'!$A$7:$B$550,2,FALSE),"")</f>
        <v/>
      </c>
      <c r="C148" s="992"/>
      <c r="D148" s="118"/>
      <c r="E148" s="131"/>
      <c r="F148" s="124"/>
      <c r="G148" s="124"/>
      <c r="H148" s="125">
        <f t="shared" si="2"/>
        <v>0</v>
      </c>
      <c r="I148" s="191"/>
      <c r="J148" s="268"/>
      <c r="K148" s="182" t="str">
        <f>IFERROR(VLOOKUP(A148,'Budget-S&amp;U Codes Lookup'!$A$7:$C$550,3,FALSE),"")</f>
        <v/>
      </c>
      <c r="L148" s="1041"/>
      <c r="M148" s="753"/>
      <c r="N148" s="3" t="str">
        <f>IF(M148="","",VLOOKUP(M148,'Budget-S&amp;U Codes Lookup'!$E$26:$F$45,2,FALSE))</f>
        <v/>
      </c>
      <c r="P148" s="186"/>
    </row>
    <row r="149" spans="1:16">
      <c r="A149" s="751"/>
      <c r="B149" s="82" t="str">
        <f>IFERROR(VLOOKUP(A149,'Budget-S&amp;U Codes Lookup'!$A$7:$B$550,2,FALSE),"")</f>
        <v/>
      </c>
      <c r="C149" s="992"/>
      <c r="D149" s="118"/>
      <c r="E149" s="131"/>
      <c r="F149" s="124"/>
      <c r="G149" s="124"/>
      <c r="H149" s="125">
        <f t="shared" si="2"/>
        <v>0</v>
      </c>
      <c r="I149" s="191"/>
      <c r="J149" s="268"/>
      <c r="K149" s="182" t="str">
        <f>IFERROR(VLOOKUP(A149,'Budget-S&amp;U Codes Lookup'!$A$7:$C$550,3,FALSE),"")</f>
        <v/>
      </c>
      <c r="L149" s="1041"/>
      <c r="M149" s="753"/>
      <c r="N149" s="3" t="str">
        <f>IF(M149="","",VLOOKUP(M149,'Budget-S&amp;U Codes Lookup'!$E$26:$F$45,2,FALSE))</f>
        <v/>
      </c>
      <c r="P149" s="186"/>
    </row>
    <row r="150" spans="1:16">
      <c r="A150" s="751"/>
      <c r="B150" s="82" t="str">
        <f>IFERROR(VLOOKUP(A150,'Budget-S&amp;U Codes Lookup'!$A$7:$B$550,2,FALSE),"")</f>
        <v/>
      </c>
      <c r="C150" s="992"/>
      <c r="D150" s="118"/>
      <c r="E150" s="131"/>
      <c r="F150" s="124"/>
      <c r="G150" s="124"/>
      <c r="H150" s="125">
        <f t="shared" si="2"/>
        <v>0</v>
      </c>
      <c r="I150" s="191"/>
      <c r="J150" s="268"/>
      <c r="K150" s="182" t="str">
        <f>IFERROR(VLOOKUP(A150,'Budget-S&amp;U Codes Lookup'!$A$7:$C$550,3,FALSE),"")</f>
        <v/>
      </c>
      <c r="L150" s="1041"/>
      <c r="M150" s="753"/>
      <c r="N150" s="3" t="str">
        <f>IF(M150="","",VLOOKUP(M150,'Budget-S&amp;U Codes Lookup'!$E$26:$F$45,2,FALSE))</f>
        <v/>
      </c>
      <c r="P150" s="186"/>
    </row>
    <row r="151" spans="1:16">
      <c r="A151" s="751"/>
      <c r="B151" s="82" t="str">
        <f>IFERROR(VLOOKUP(A151,'Budget-S&amp;U Codes Lookup'!$A$7:$B$550,2,FALSE),"")</f>
        <v/>
      </c>
      <c r="C151" s="992"/>
      <c r="D151" s="118"/>
      <c r="E151" s="131"/>
      <c r="F151" s="124"/>
      <c r="G151" s="124"/>
      <c r="H151" s="125">
        <f t="shared" si="2"/>
        <v>0</v>
      </c>
      <c r="I151" s="191"/>
      <c r="J151" s="268"/>
      <c r="K151" s="182" t="str">
        <f>IFERROR(VLOOKUP(A151,'Budget-S&amp;U Codes Lookup'!$A$7:$C$550,3,FALSE),"")</f>
        <v/>
      </c>
      <c r="L151" s="1041"/>
      <c r="M151" s="753"/>
      <c r="N151" s="3" t="str">
        <f>IF(M151="","",VLOOKUP(M151,'Budget-S&amp;U Codes Lookup'!$E$26:$F$45,2,FALSE))</f>
        <v/>
      </c>
      <c r="P151" s="186"/>
    </row>
    <row r="152" spans="1:16">
      <c r="A152" s="751"/>
      <c r="B152" s="82" t="str">
        <f>IFERROR(VLOOKUP(A152,'Budget-S&amp;U Codes Lookup'!$A$7:$B$550,2,FALSE),"")</f>
        <v/>
      </c>
      <c r="C152" s="992"/>
      <c r="D152" s="118"/>
      <c r="E152" s="131"/>
      <c r="F152" s="124"/>
      <c r="G152" s="124"/>
      <c r="H152" s="125">
        <f t="shared" si="2"/>
        <v>0</v>
      </c>
      <c r="I152" s="191"/>
      <c r="J152" s="268"/>
      <c r="K152" s="182" t="str">
        <f>IFERROR(VLOOKUP(A152,'Budget-S&amp;U Codes Lookup'!$A$7:$C$550,3,FALSE),"")</f>
        <v/>
      </c>
      <c r="L152" s="1041"/>
      <c r="M152" s="753"/>
      <c r="N152" s="3" t="str">
        <f>IF(M152="","",VLOOKUP(M152,'Budget-S&amp;U Codes Lookup'!$E$26:$F$45,2,FALSE))</f>
        <v/>
      </c>
      <c r="P152" s="186"/>
    </row>
    <row r="153" spans="1:16">
      <c r="A153" s="751"/>
      <c r="B153" s="82" t="str">
        <f>IFERROR(VLOOKUP(A153,'Budget-S&amp;U Codes Lookup'!$A$7:$B$550,2,FALSE),"")</f>
        <v/>
      </c>
      <c r="C153" s="992"/>
      <c r="D153" s="118"/>
      <c r="E153" s="131"/>
      <c r="F153" s="124"/>
      <c r="G153" s="124"/>
      <c r="H153" s="125">
        <f t="shared" si="2"/>
        <v>0</v>
      </c>
      <c r="I153" s="191"/>
      <c r="J153" s="268"/>
      <c r="K153" s="182" t="str">
        <f>IFERROR(VLOOKUP(A153,'Budget-S&amp;U Codes Lookup'!$A$7:$C$550,3,FALSE),"")</f>
        <v/>
      </c>
      <c r="L153" s="1041"/>
      <c r="M153" s="753"/>
      <c r="N153" s="3" t="str">
        <f>IF(M153="","",VLOOKUP(M153,'Budget-S&amp;U Codes Lookup'!$E$26:$F$45,2,FALSE))</f>
        <v/>
      </c>
      <c r="P153" s="186"/>
    </row>
    <row r="154" spans="1:16">
      <c r="A154" s="751"/>
      <c r="B154" s="82" t="str">
        <f>IFERROR(VLOOKUP(A154,'Budget-S&amp;U Codes Lookup'!$A$7:$B$550,2,FALSE),"")</f>
        <v/>
      </c>
      <c r="C154" s="992"/>
      <c r="D154" s="118"/>
      <c r="E154" s="131"/>
      <c r="F154" s="124"/>
      <c r="G154" s="124"/>
      <c r="H154" s="125">
        <f t="shared" si="2"/>
        <v>0</v>
      </c>
      <c r="I154" s="191"/>
      <c r="J154" s="268"/>
      <c r="K154" s="182" t="str">
        <f>IFERROR(VLOOKUP(A154,'Budget-S&amp;U Codes Lookup'!$A$7:$C$550,3,FALSE),"")</f>
        <v/>
      </c>
      <c r="L154" s="1041"/>
      <c r="M154" s="753"/>
      <c r="N154" s="3" t="str">
        <f>IF(M154="","",VLOOKUP(M154,'Budget-S&amp;U Codes Lookup'!$E$26:$F$45,2,FALSE))</f>
        <v/>
      </c>
      <c r="P154" s="186"/>
    </row>
    <row r="155" spans="1:16">
      <c r="A155" s="751"/>
      <c r="B155" s="82" t="str">
        <f>IFERROR(VLOOKUP(A155,'Budget-S&amp;U Codes Lookup'!$A$7:$B$550,2,FALSE),"")</f>
        <v/>
      </c>
      <c r="C155" s="992"/>
      <c r="D155" s="118"/>
      <c r="E155" s="131"/>
      <c r="F155" s="124"/>
      <c r="G155" s="124"/>
      <c r="H155" s="125">
        <f t="shared" si="2"/>
        <v>0</v>
      </c>
      <c r="I155" s="191"/>
      <c r="J155" s="268"/>
      <c r="K155" s="182" t="str">
        <f>IFERROR(VLOOKUP(A155,'Budget-S&amp;U Codes Lookup'!$A$7:$C$550,3,FALSE),"")</f>
        <v/>
      </c>
      <c r="L155" s="1041"/>
      <c r="M155" s="753"/>
      <c r="N155" s="3" t="str">
        <f>IF(M155="","",VLOOKUP(M155,'Budget-S&amp;U Codes Lookup'!$E$26:$F$45,2,FALSE))</f>
        <v/>
      </c>
      <c r="P155" s="186"/>
    </row>
    <row r="156" spans="1:16">
      <c r="A156" s="751"/>
      <c r="B156" s="82" t="str">
        <f>IFERROR(VLOOKUP(A156,'Budget-S&amp;U Codes Lookup'!$A$7:$B$550,2,FALSE),"")</f>
        <v/>
      </c>
      <c r="C156" s="992"/>
      <c r="D156" s="118"/>
      <c r="E156" s="131"/>
      <c r="F156" s="124"/>
      <c r="G156" s="124"/>
      <c r="H156" s="125">
        <f t="shared" si="2"/>
        <v>0</v>
      </c>
      <c r="I156" s="191"/>
      <c r="J156" s="268"/>
      <c r="K156" s="182" t="str">
        <f>IFERROR(VLOOKUP(A156,'Budget-S&amp;U Codes Lookup'!$A$7:$C$550,3,FALSE),"")</f>
        <v/>
      </c>
      <c r="L156" s="1041"/>
      <c r="M156" s="753"/>
      <c r="N156" s="3" t="str">
        <f>IF(M156="","",VLOOKUP(M156,'Budget-S&amp;U Codes Lookup'!$E$26:$F$45,2,FALSE))</f>
        <v/>
      </c>
      <c r="P156" s="186"/>
    </row>
    <row r="157" spans="1:16">
      <c r="A157" s="751"/>
      <c r="B157" s="82" t="str">
        <f>IFERROR(VLOOKUP(A157,'Budget-S&amp;U Codes Lookup'!$A$7:$B$550,2,FALSE),"")</f>
        <v/>
      </c>
      <c r="C157" s="992"/>
      <c r="D157" s="118"/>
      <c r="E157" s="131"/>
      <c r="F157" s="124"/>
      <c r="G157" s="124"/>
      <c r="H157" s="125">
        <f t="shared" si="2"/>
        <v>0</v>
      </c>
      <c r="I157" s="191"/>
      <c r="J157" s="268"/>
      <c r="K157" s="182" t="str">
        <f>IFERROR(VLOOKUP(A157,'Budget-S&amp;U Codes Lookup'!$A$7:$C$550,3,FALSE),"")</f>
        <v/>
      </c>
      <c r="L157" s="1041"/>
      <c r="M157" s="753"/>
      <c r="N157" s="3" t="str">
        <f>IF(M157="","",VLOOKUP(M157,'Budget-S&amp;U Codes Lookup'!$E$26:$F$45,2,FALSE))</f>
        <v/>
      </c>
      <c r="P157" s="186"/>
    </row>
    <row r="158" spans="1:16">
      <c r="A158" s="751"/>
      <c r="B158" s="82" t="str">
        <f>IFERROR(VLOOKUP(A158,'Budget-S&amp;U Codes Lookup'!$A$7:$B$550,2,FALSE),"")</f>
        <v/>
      </c>
      <c r="C158" s="992"/>
      <c r="D158" s="118"/>
      <c r="E158" s="131"/>
      <c r="F158" s="124"/>
      <c r="G158" s="124"/>
      <c r="H158" s="125">
        <f t="shared" si="2"/>
        <v>0</v>
      </c>
      <c r="I158" s="191"/>
      <c r="J158" s="268"/>
      <c r="K158" s="182" t="str">
        <f>IFERROR(VLOOKUP(A158,'Budget-S&amp;U Codes Lookup'!$A$7:$C$550,3,FALSE),"")</f>
        <v/>
      </c>
      <c r="L158" s="1041"/>
      <c r="M158" s="753"/>
      <c r="N158" s="3" t="str">
        <f>IF(M158="","",VLOOKUP(M158,'Budget-S&amp;U Codes Lookup'!$E$26:$F$45,2,FALSE))</f>
        <v/>
      </c>
      <c r="P158" s="186"/>
    </row>
    <row r="159" spans="1:16">
      <c r="A159" s="751"/>
      <c r="B159" s="82" t="str">
        <f>IFERROR(VLOOKUP(A159,'Budget-S&amp;U Codes Lookup'!$A$7:$B$550,2,FALSE),"")</f>
        <v/>
      </c>
      <c r="C159" s="992"/>
      <c r="D159" s="118"/>
      <c r="E159" s="131"/>
      <c r="F159" s="124"/>
      <c r="G159" s="124"/>
      <c r="H159" s="125">
        <f t="shared" si="2"/>
        <v>0</v>
      </c>
      <c r="I159" s="191"/>
      <c r="J159" s="268"/>
      <c r="K159" s="182" t="str">
        <f>IFERROR(VLOOKUP(A159,'Budget-S&amp;U Codes Lookup'!$A$7:$C$550,3,FALSE),"")</f>
        <v/>
      </c>
      <c r="L159" s="1041"/>
      <c r="M159" s="753"/>
      <c r="N159" s="3" t="str">
        <f>IF(M159="","",VLOOKUP(M159,'Budget-S&amp;U Codes Lookup'!$E$26:$F$45,2,FALSE))</f>
        <v/>
      </c>
      <c r="P159" s="186"/>
    </row>
    <row r="160" spans="1:16">
      <c r="A160" s="751"/>
      <c r="B160" s="82" t="str">
        <f>IFERROR(VLOOKUP(A160,'Budget-S&amp;U Codes Lookup'!$A$7:$B$550,2,FALSE),"")</f>
        <v/>
      </c>
      <c r="C160" s="992"/>
      <c r="D160" s="118"/>
      <c r="E160" s="131"/>
      <c r="F160" s="124"/>
      <c r="G160" s="124"/>
      <c r="H160" s="125">
        <f t="shared" si="2"/>
        <v>0</v>
      </c>
      <c r="I160" s="191"/>
      <c r="J160" s="268"/>
      <c r="K160" s="182" t="str">
        <f>IFERROR(VLOOKUP(A160,'Budget-S&amp;U Codes Lookup'!$A$7:$C$550,3,FALSE),"")</f>
        <v/>
      </c>
      <c r="L160" s="1041"/>
      <c r="M160" s="753"/>
      <c r="N160" s="3" t="str">
        <f>IF(M160="","",VLOOKUP(M160,'Budget-S&amp;U Codes Lookup'!$E$26:$F$45,2,FALSE))</f>
        <v/>
      </c>
      <c r="P160" s="186"/>
    </row>
    <row r="161" spans="1:16">
      <c r="A161" s="751"/>
      <c r="B161" s="82" t="str">
        <f>IFERROR(VLOOKUP(A161,'Budget-S&amp;U Codes Lookup'!$A$7:$B$550,2,FALSE),"")</f>
        <v/>
      </c>
      <c r="C161" s="992"/>
      <c r="D161" s="118"/>
      <c r="E161" s="131"/>
      <c r="F161" s="124"/>
      <c r="G161" s="124"/>
      <c r="H161" s="125">
        <f t="shared" si="2"/>
        <v>0</v>
      </c>
      <c r="I161" s="191"/>
      <c r="J161" s="268"/>
      <c r="K161" s="182" t="str">
        <f>IFERROR(VLOOKUP(A161,'Budget-S&amp;U Codes Lookup'!$A$7:$C$550,3,FALSE),"")</f>
        <v/>
      </c>
      <c r="L161" s="1041"/>
      <c r="M161" s="753"/>
      <c r="N161" s="3" t="str">
        <f>IF(M161="","",VLOOKUP(M161,'Budget-S&amp;U Codes Lookup'!$E$26:$F$45,2,FALSE))</f>
        <v/>
      </c>
      <c r="P161" s="186"/>
    </row>
    <row r="162" spans="1:16">
      <c r="A162" s="751"/>
      <c r="B162" s="82" t="str">
        <f>IFERROR(VLOOKUP(A162,'Budget-S&amp;U Codes Lookup'!$A$7:$B$550,2,FALSE),"")</f>
        <v/>
      </c>
      <c r="C162" s="992"/>
      <c r="D162" s="118"/>
      <c r="E162" s="131"/>
      <c r="F162" s="124"/>
      <c r="G162" s="124"/>
      <c r="H162" s="125">
        <f t="shared" si="2"/>
        <v>0</v>
      </c>
      <c r="I162" s="191"/>
      <c r="J162" s="268"/>
      <c r="K162" s="182" t="str">
        <f>IFERROR(VLOOKUP(A162,'Budget-S&amp;U Codes Lookup'!$A$7:$C$550,3,FALSE),"")</f>
        <v/>
      </c>
      <c r="L162" s="1041"/>
      <c r="M162" s="753"/>
      <c r="N162" s="3" t="str">
        <f>IF(M162="","",VLOOKUP(M162,'Budget-S&amp;U Codes Lookup'!$E$26:$F$45,2,FALSE))</f>
        <v/>
      </c>
      <c r="P162" s="186"/>
    </row>
    <row r="163" spans="1:16">
      <c r="A163" s="751"/>
      <c r="B163" s="82" t="str">
        <f>IFERROR(VLOOKUP(A163,'Budget-S&amp;U Codes Lookup'!$A$7:$B$550,2,FALSE),"")</f>
        <v/>
      </c>
      <c r="C163" s="992"/>
      <c r="D163" s="118"/>
      <c r="E163" s="131"/>
      <c r="F163" s="124"/>
      <c r="G163" s="124"/>
      <c r="H163" s="125">
        <f t="shared" si="2"/>
        <v>0</v>
      </c>
      <c r="I163" s="191"/>
      <c r="J163" s="268"/>
      <c r="K163" s="182" t="str">
        <f>IFERROR(VLOOKUP(A163,'Budget-S&amp;U Codes Lookup'!$A$7:$C$550,3,FALSE),"")</f>
        <v/>
      </c>
      <c r="L163" s="1041"/>
      <c r="M163" s="753"/>
      <c r="N163" s="3" t="str">
        <f>IF(M163="","",VLOOKUP(M163,'Budget-S&amp;U Codes Lookup'!$E$26:$F$45,2,FALSE))</f>
        <v/>
      </c>
      <c r="P163" s="186"/>
    </row>
    <row r="164" spans="1:16">
      <c r="A164" s="751"/>
      <c r="B164" s="82" t="str">
        <f>IFERROR(VLOOKUP(A164,'Budget-S&amp;U Codes Lookup'!$A$7:$B$550,2,FALSE),"")</f>
        <v/>
      </c>
      <c r="C164" s="992"/>
      <c r="D164" s="118"/>
      <c r="E164" s="131"/>
      <c r="F164" s="124"/>
      <c r="G164" s="124"/>
      <c r="H164" s="125">
        <f t="shared" si="2"/>
        <v>0</v>
      </c>
      <c r="I164" s="191"/>
      <c r="J164" s="268"/>
      <c r="K164" s="182" t="str">
        <f>IFERROR(VLOOKUP(A164,'Budget-S&amp;U Codes Lookup'!$A$7:$C$550,3,FALSE),"")</f>
        <v/>
      </c>
      <c r="L164" s="1041"/>
      <c r="M164" s="753"/>
      <c r="N164" s="3" t="str">
        <f>IF(M164="","",VLOOKUP(M164,'Budget-S&amp;U Codes Lookup'!$E$26:$F$45,2,FALSE))</f>
        <v/>
      </c>
      <c r="P164" s="186"/>
    </row>
    <row r="165" spans="1:16">
      <c r="A165" s="751"/>
      <c r="B165" s="82" t="str">
        <f>IFERROR(VLOOKUP(A165,'Budget-S&amp;U Codes Lookup'!$A$7:$B$550,2,FALSE),"")</f>
        <v/>
      </c>
      <c r="C165" s="992"/>
      <c r="D165" s="118"/>
      <c r="E165" s="131"/>
      <c r="F165" s="124"/>
      <c r="G165" s="124"/>
      <c r="H165" s="125">
        <f t="shared" si="2"/>
        <v>0</v>
      </c>
      <c r="I165" s="191"/>
      <c r="J165" s="268"/>
      <c r="K165" s="182" t="str">
        <f>IFERROR(VLOOKUP(A165,'Budget-S&amp;U Codes Lookup'!$A$7:$C$550,3,FALSE),"")</f>
        <v/>
      </c>
      <c r="L165" s="1041"/>
      <c r="M165" s="753"/>
      <c r="N165" s="3" t="str">
        <f>IF(M165="","",VLOOKUP(M165,'Budget-S&amp;U Codes Lookup'!$E$26:$F$45,2,FALSE))</f>
        <v/>
      </c>
      <c r="P165" s="186"/>
    </row>
    <row r="166" spans="1:16">
      <c r="A166" s="751"/>
      <c r="B166" s="82" t="str">
        <f>IFERROR(VLOOKUP(A166,'Budget-S&amp;U Codes Lookup'!$A$7:$B$550,2,FALSE),"")</f>
        <v/>
      </c>
      <c r="C166" s="992"/>
      <c r="D166" s="118"/>
      <c r="E166" s="131"/>
      <c r="F166" s="124"/>
      <c r="G166" s="124"/>
      <c r="H166" s="125">
        <f t="shared" si="2"/>
        <v>0</v>
      </c>
      <c r="I166" s="191"/>
      <c r="J166" s="268"/>
      <c r="K166" s="182" t="str">
        <f>IFERROR(VLOOKUP(A166,'Budget-S&amp;U Codes Lookup'!$A$7:$C$550,3,FALSE),"")</f>
        <v/>
      </c>
      <c r="L166" s="1041"/>
      <c r="M166" s="753"/>
      <c r="N166" s="3" t="str">
        <f>IF(M166="","",VLOOKUP(M166,'Budget-S&amp;U Codes Lookup'!$E$26:$F$45,2,FALSE))</f>
        <v/>
      </c>
      <c r="P166" s="186"/>
    </row>
    <row r="167" spans="1:16">
      <c r="A167" s="751"/>
      <c r="B167" s="82" t="str">
        <f>IFERROR(VLOOKUP(A167,'Budget-S&amp;U Codes Lookup'!$A$7:$B$550,2,FALSE),"")</f>
        <v/>
      </c>
      <c r="C167" s="992"/>
      <c r="D167" s="118"/>
      <c r="E167" s="131"/>
      <c r="F167" s="124"/>
      <c r="G167" s="124"/>
      <c r="H167" s="125">
        <f t="shared" si="2"/>
        <v>0</v>
      </c>
      <c r="I167" s="191"/>
      <c r="J167" s="268"/>
      <c r="K167" s="182" t="str">
        <f>IFERROR(VLOOKUP(A167,'Budget-S&amp;U Codes Lookup'!$A$7:$C$550,3,FALSE),"")</f>
        <v/>
      </c>
      <c r="L167" s="1041"/>
      <c r="M167" s="753"/>
      <c r="N167" s="3" t="str">
        <f>IF(M167="","",VLOOKUP(M167,'Budget-S&amp;U Codes Lookup'!$E$26:$F$45,2,FALSE))</f>
        <v/>
      </c>
      <c r="P167" s="186"/>
    </row>
    <row r="168" spans="1:16">
      <c r="A168" s="751"/>
      <c r="B168" s="82" t="str">
        <f>IFERROR(VLOOKUP(A168,'Budget-S&amp;U Codes Lookup'!$A$7:$B$550,2,FALSE),"")</f>
        <v/>
      </c>
      <c r="C168" s="992"/>
      <c r="D168" s="118"/>
      <c r="E168" s="131"/>
      <c r="F168" s="124"/>
      <c r="G168" s="124"/>
      <c r="H168" s="125">
        <f t="shared" si="2"/>
        <v>0</v>
      </c>
      <c r="I168" s="191"/>
      <c r="J168" s="268"/>
      <c r="K168" s="182" t="str">
        <f>IFERROR(VLOOKUP(A168,'Budget-S&amp;U Codes Lookup'!$A$7:$C$550,3,FALSE),"")</f>
        <v/>
      </c>
      <c r="L168" s="1041"/>
      <c r="M168" s="753"/>
      <c r="N168" s="3" t="str">
        <f>IF(M168="","",VLOOKUP(M168,'Budget-S&amp;U Codes Lookup'!$E$26:$F$45,2,FALSE))</f>
        <v/>
      </c>
      <c r="P168" s="186"/>
    </row>
    <row r="169" spans="1:16">
      <c r="A169" s="751"/>
      <c r="B169" s="82" t="str">
        <f>IFERROR(VLOOKUP(A169,'Budget-S&amp;U Codes Lookup'!$A$7:$B$550,2,FALSE),"")</f>
        <v/>
      </c>
      <c r="C169" s="992"/>
      <c r="D169" s="118"/>
      <c r="E169" s="131"/>
      <c r="F169" s="124"/>
      <c r="G169" s="124"/>
      <c r="H169" s="125">
        <f t="shared" si="2"/>
        <v>0</v>
      </c>
      <c r="I169" s="191"/>
      <c r="J169" s="268"/>
      <c r="K169" s="182" t="str">
        <f>IFERROR(VLOOKUP(A169,'Budget-S&amp;U Codes Lookup'!$A$7:$C$550,3,FALSE),"")</f>
        <v/>
      </c>
      <c r="L169" s="1041"/>
      <c r="M169" s="753"/>
      <c r="N169" s="3" t="str">
        <f>IF(M169="","",VLOOKUP(M169,'Budget-S&amp;U Codes Lookup'!$E$26:$F$45,2,FALSE))</f>
        <v/>
      </c>
      <c r="P169" s="186"/>
    </row>
    <row r="170" spans="1:16">
      <c r="A170" s="751"/>
      <c r="B170" s="82" t="str">
        <f>IFERROR(VLOOKUP(A170,'Budget-S&amp;U Codes Lookup'!$A$7:$B$550,2,FALSE),"")</f>
        <v/>
      </c>
      <c r="C170" s="992"/>
      <c r="D170" s="118"/>
      <c r="E170" s="131"/>
      <c r="F170" s="124"/>
      <c r="G170" s="124"/>
      <c r="H170" s="125">
        <f t="shared" si="2"/>
        <v>0</v>
      </c>
      <c r="I170" s="191"/>
      <c r="J170" s="268"/>
      <c r="K170" s="182" t="str">
        <f>IFERROR(VLOOKUP(A170,'Budget-S&amp;U Codes Lookup'!$A$7:$C$550,3,FALSE),"")</f>
        <v/>
      </c>
      <c r="L170" s="1041"/>
      <c r="M170" s="753"/>
      <c r="N170" s="3" t="str">
        <f>IF(M170="","",VLOOKUP(M170,'Budget-S&amp;U Codes Lookup'!$E$26:$F$45,2,FALSE))</f>
        <v/>
      </c>
      <c r="P170" s="186"/>
    </row>
    <row r="171" spans="1:16">
      <c r="A171" s="751"/>
      <c r="B171" s="82" t="str">
        <f>IFERROR(VLOOKUP(A171,'Budget-S&amp;U Codes Lookup'!$A$7:$B$550,2,FALSE),"")</f>
        <v/>
      </c>
      <c r="C171" s="992"/>
      <c r="D171" s="118"/>
      <c r="E171" s="131"/>
      <c r="F171" s="124"/>
      <c r="G171" s="124"/>
      <c r="H171" s="125">
        <f t="shared" si="2"/>
        <v>0</v>
      </c>
      <c r="I171" s="191"/>
      <c r="J171" s="268"/>
      <c r="K171" s="182" t="str">
        <f>IFERROR(VLOOKUP(A171,'Budget-S&amp;U Codes Lookup'!$A$7:$C$550,3,FALSE),"")</f>
        <v/>
      </c>
      <c r="L171" s="1041"/>
      <c r="M171" s="753"/>
      <c r="N171" s="3" t="str">
        <f>IF(M171="","",VLOOKUP(M171,'Budget-S&amp;U Codes Lookup'!$E$26:$F$45,2,FALSE))</f>
        <v/>
      </c>
      <c r="P171" s="186"/>
    </row>
    <row r="172" spans="1:16">
      <c r="A172" s="751"/>
      <c r="B172" s="82" t="str">
        <f>IFERROR(VLOOKUP(A172,'Budget-S&amp;U Codes Lookup'!$A$7:$B$550,2,FALSE),"")</f>
        <v/>
      </c>
      <c r="C172" s="992"/>
      <c r="D172" s="118"/>
      <c r="E172" s="131"/>
      <c r="F172" s="124"/>
      <c r="G172" s="124"/>
      <c r="H172" s="125">
        <f t="shared" si="2"/>
        <v>0</v>
      </c>
      <c r="I172" s="191"/>
      <c r="J172" s="268"/>
      <c r="K172" s="182" t="str">
        <f>IFERROR(VLOOKUP(A172,'Budget-S&amp;U Codes Lookup'!$A$7:$C$550,3,FALSE),"")</f>
        <v/>
      </c>
      <c r="L172" s="1041"/>
      <c r="M172" s="753"/>
      <c r="N172" s="3" t="str">
        <f>IF(M172="","",VLOOKUP(M172,'Budget-S&amp;U Codes Lookup'!$E$26:$F$45,2,FALSE))</f>
        <v/>
      </c>
      <c r="P172" s="186"/>
    </row>
    <row r="173" spans="1:16">
      <c r="A173" s="751"/>
      <c r="B173" s="82" t="str">
        <f>IFERROR(VLOOKUP(A173,'Budget-S&amp;U Codes Lookup'!$A$7:$B$550,2,FALSE),"")</f>
        <v/>
      </c>
      <c r="C173" s="992"/>
      <c r="D173" s="118"/>
      <c r="E173" s="131"/>
      <c r="F173" s="124"/>
      <c r="G173" s="124"/>
      <c r="H173" s="125">
        <f t="shared" si="2"/>
        <v>0</v>
      </c>
      <c r="I173" s="191"/>
      <c r="J173" s="268"/>
      <c r="K173" s="182" t="str">
        <f>IFERROR(VLOOKUP(A173,'Budget-S&amp;U Codes Lookup'!$A$7:$C$550,3,FALSE),"")</f>
        <v/>
      </c>
      <c r="L173" s="1041"/>
      <c r="M173" s="753"/>
      <c r="N173" s="3" t="str">
        <f>IF(M173="","",VLOOKUP(M173,'Budget-S&amp;U Codes Lookup'!$E$26:$F$45,2,FALSE))</f>
        <v/>
      </c>
      <c r="P173" s="186"/>
    </row>
    <row r="174" spans="1:16">
      <c r="A174" s="751"/>
      <c r="B174" s="82" t="str">
        <f>IFERROR(VLOOKUP(A174,'Budget-S&amp;U Codes Lookup'!$A$7:$B$550,2,FALSE),"")</f>
        <v/>
      </c>
      <c r="C174" s="992"/>
      <c r="D174" s="118"/>
      <c r="E174" s="131"/>
      <c r="F174" s="124"/>
      <c r="G174" s="124"/>
      <c r="H174" s="125">
        <f t="shared" si="2"/>
        <v>0</v>
      </c>
      <c r="I174" s="191"/>
      <c r="J174" s="268"/>
      <c r="K174" s="182" t="str">
        <f>IFERROR(VLOOKUP(A174,'Budget-S&amp;U Codes Lookup'!$A$7:$C$550,3,FALSE),"")</f>
        <v/>
      </c>
      <c r="L174" s="1041"/>
      <c r="M174" s="753"/>
      <c r="N174" s="3" t="str">
        <f>IF(M174="","",VLOOKUP(M174,'Budget-S&amp;U Codes Lookup'!$E$26:$F$45,2,FALSE))</f>
        <v/>
      </c>
      <c r="P174" s="186"/>
    </row>
    <row r="175" spans="1:16">
      <c r="A175" s="751"/>
      <c r="B175" s="82" t="str">
        <f>IFERROR(VLOOKUP(A175,'Budget-S&amp;U Codes Lookup'!$A$7:$B$550,2,FALSE),"")</f>
        <v/>
      </c>
      <c r="C175" s="992"/>
      <c r="D175" s="118"/>
      <c r="E175" s="131"/>
      <c r="F175" s="124"/>
      <c r="G175" s="124"/>
      <c r="H175" s="125">
        <f t="shared" si="2"/>
        <v>0</v>
      </c>
      <c r="I175" s="191"/>
      <c r="J175" s="268"/>
      <c r="K175" s="182" t="str">
        <f>IFERROR(VLOOKUP(A175,'Budget-S&amp;U Codes Lookup'!$A$7:$C$550,3,FALSE),"")</f>
        <v/>
      </c>
      <c r="L175" s="1041"/>
      <c r="M175" s="753"/>
      <c r="N175" s="3" t="str">
        <f>IF(M175="","",VLOOKUP(M175,'Budget-S&amp;U Codes Lookup'!$E$26:$F$45,2,FALSE))</f>
        <v/>
      </c>
      <c r="P175" s="186"/>
    </row>
    <row r="176" spans="1:16">
      <c r="A176" s="751"/>
      <c r="B176" s="82" t="str">
        <f>IFERROR(VLOOKUP(A176,'Budget-S&amp;U Codes Lookup'!$A$7:$B$550,2,FALSE),"")</f>
        <v/>
      </c>
      <c r="C176" s="992"/>
      <c r="D176" s="118"/>
      <c r="E176" s="131"/>
      <c r="F176" s="124"/>
      <c r="G176" s="124"/>
      <c r="H176" s="125">
        <f t="shared" si="2"/>
        <v>0</v>
      </c>
      <c r="I176" s="191"/>
      <c r="J176" s="268"/>
      <c r="K176" s="182" t="str">
        <f>IFERROR(VLOOKUP(A176,'Budget-S&amp;U Codes Lookup'!$A$7:$C$550,3,FALSE),"")</f>
        <v/>
      </c>
      <c r="L176" s="1041"/>
      <c r="M176" s="753"/>
      <c r="N176" s="3" t="str">
        <f>IF(M176="","",VLOOKUP(M176,'Budget-S&amp;U Codes Lookup'!$E$26:$F$45,2,FALSE))</f>
        <v/>
      </c>
      <c r="P176" s="186"/>
    </row>
    <row r="177" spans="1:16">
      <c r="A177" s="751"/>
      <c r="B177" s="82" t="str">
        <f>IFERROR(VLOOKUP(A177,'Budget-S&amp;U Codes Lookup'!$A$7:$B$550,2,FALSE),"")</f>
        <v/>
      </c>
      <c r="C177" s="992"/>
      <c r="D177" s="118"/>
      <c r="E177" s="131"/>
      <c r="F177" s="124"/>
      <c r="G177" s="124"/>
      <c r="H177" s="125">
        <f t="shared" si="2"/>
        <v>0</v>
      </c>
      <c r="I177" s="191"/>
      <c r="J177" s="268"/>
      <c r="K177" s="182" t="str">
        <f>IFERROR(VLOOKUP(A177,'Budget-S&amp;U Codes Lookup'!$A$7:$C$550,3,FALSE),"")</f>
        <v/>
      </c>
      <c r="L177" s="1041"/>
      <c r="M177" s="753"/>
      <c r="N177" s="3" t="str">
        <f>IF(M177="","",VLOOKUP(M177,'Budget-S&amp;U Codes Lookup'!$E$26:$F$45,2,FALSE))</f>
        <v/>
      </c>
      <c r="P177" s="186"/>
    </row>
    <row r="178" spans="1:16">
      <c r="A178" s="751"/>
      <c r="B178" s="82" t="str">
        <f>IFERROR(VLOOKUP(A178,'Budget-S&amp;U Codes Lookup'!$A$7:$B$550,2,FALSE),"")</f>
        <v/>
      </c>
      <c r="C178" s="992"/>
      <c r="D178" s="118"/>
      <c r="E178" s="131"/>
      <c r="F178" s="124"/>
      <c r="G178" s="124"/>
      <c r="H178" s="125">
        <f t="shared" si="2"/>
        <v>0</v>
      </c>
      <c r="I178" s="191"/>
      <c r="J178" s="268"/>
      <c r="K178" s="182" t="str">
        <f>IFERROR(VLOOKUP(A178,'Budget-S&amp;U Codes Lookup'!$A$7:$C$550,3,FALSE),"")</f>
        <v/>
      </c>
      <c r="L178" s="1041"/>
      <c r="M178" s="753"/>
      <c r="N178" s="3" t="str">
        <f>IF(M178="","",VLOOKUP(M178,'Budget-S&amp;U Codes Lookup'!$E$26:$F$45,2,FALSE))</f>
        <v/>
      </c>
      <c r="P178" s="186"/>
    </row>
    <row r="179" spans="1:16">
      <c r="A179" s="751"/>
      <c r="B179" s="82" t="str">
        <f>IFERROR(VLOOKUP(A179,'Budget-S&amp;U Codes Lookup'!$A$7:$B$550,2,FALSE),"")</f>
        <v/>
      </c>
      <c r="C179" s="992"/>
      <c r="D179" s="118"/>
      <c r="E179" s="131"/>
      <c r="F179" s="124"/>
      <c r="G179" s="124"/>
      <c r="H179" s="125">
        <f t="shared" si="2"/>
        <v>0</v>
      </c>
      <c r="I179" s="191"/>
      <c r="J179" s="268"/>
      <c r="K179" s="182" t="str">
        <f>IFERROR(VLOOKUP(A179,'Budget-S&amp;U Codes Lookup'!$A$7:$C$550,3,FALSE),"")</f>
        <v/>
      </c>
      <c r="L179" s="1041"/>
      <c r="M179" s="753"/>
      <c r="N179" s="3" t="str">
        <f>IF(M179="","",VLOOKUP(M179,'Budget-S&amp;U Codes Lookup'!$E$26:$F$45,2,FALSE))</f>
        <v/>
      </c>
      <c r="P179" s="186"/>
    </row>
    <row r="180" spans="1:16">
      <c r="A180" s="751"/>
      <c r="B180" s="82" t="str">
        <f>IFERROR(VLOOKUP(A180,'Budget-S&amp;U Codes Lookup'!$A$7:$B$550,2,FALSE),"")</f>
        <v/>
      </c>
      <c r="C180" s="992"/>
      <c r="D180" s="118"/>
      <c r="E180" s="131"/>
      <c r="F180" s="124"/>
      <c r="G180" s="124"/>
      <c r="H180" s="125">
        <f t="shared" si="2"/>
        <v>0</v>
      </c>
      <c r="I180" s="191"/>
      <c r="J180" s="268"/>
      <c r="K180" s="182" t="str">
        <f>IFERROR(VLOOKUP(A180,'Budget-S&amp;U Codes Lookup'!$A$7:$C$550,3,FALSE),"")</f>
        <v/>
      </c>
      <c r="L180" s="1041"/>
      <c r="M180" s="753"/>
      <c r="N180" s="3" t="str">
        <f>IF(M180="","",VLOOKUP(M180,'Budget-S&amp;U Codes Lookup'!$E$26:$F$45,2,FALSE))</f>
        <v/>
      </c>
      <c r="P180" s="186"/>
    </row>
    <row r="181" spans="1:16">
      <c r="A181" s="751"/>
      <c r="B181" s="82" t="str">
        <f>IFERROR(VLOOKUP(A181,'Budget-S&amp;U Codes Lookup'!$A$7:$B$550,2,FALSE),"")</f>
        <v/>
      </c>
      <c r="C181" s="992"/>
      <c r="D181" s="118"/>
      <c r="E181" s="131"/>
      <c r="F181" s="124"/>
      <c r="G181" s="124"/>
      <c r="H181" s="125">
        <f t="shared" si="2"/>
        <v>0</v>
      </c>
      <c r="I181" s="191"/>
      <c r="J181" s="268"/>
      <c r="K181" s="182" t="str">
        <f>IFERROR(VLOOKUP(A181,'Budget-S&amp;U Codes Lookup'!$A$7:$C$550,3,FALSE),"")</f>
        <v/>
      </c>
      <c r="L181" s="1041"/>
      <c r="M181" s="753"/>
      <c r="N181" s="3" t="str">
        <f>IF(M181="","",VLOOKUP(M181,'Budget-S&amp;U Codes Lookup'!$E$26:$F$45,2,FALSE))</f>
        <v/>
      </c>
      <c r="P181" s="186"/>
    </row>
    <row r="182" spans="1:16">
      <c r="A182" s="751"/>
      <c r="B182" s="82" t="str">
        <f>IFERROR(VLOOKUP(A182,'Budget-S&amp;U Codes Lookup'!$A$7:$B$550,2,FALSE),"")</f>
        <v/>
      </c>
      <c r="C182" s="992"/>
      <c r="D182" s="118"/>
      <c r="E182" s="131"/>
      <c r="F182" s="124"/>
      <c r="G182" s="124"/>
      <c r="H182" s="125">
        <f t="shared" si="2"/>
        <v>0</v>
      </c>
      <c r="I182" s="191"/>
      <c r="J182" s="268"/>
      <c r="K182" s="182" t="str">
        <f>IFERROR(VLOOKUP(A182,'Budget-S&amp;U Codes Lookup'!$A$7:$C$550,3,FALSE),"")</f>
        <v/>
      </c>
      <c r="L182" s="1041"/>
      <c r="M182" s="753"/>
      <c r="N182" s="3" t="str">
        <f>IF(M182="","",VLOOKUP(M182,'Budget-S&amp;U Codes Lookup'!$E$26:$F$45,2,FALSE))</f>
        <v/>
      </c>
      <c r="P182" s="186"/>
    </row>
    <row r="183" spans="1:16">
      <c r="A183" s="751"/>
      <c r="B183" s="82" t="str">
        <f>IFERROR(VLOOKUP(A183,'Budget-S&amp;U Codes Lookup'!$A$7:$B$550,2,FALSE),"")</f>
        <v/>
      </c>
      <c r="C183" s="992"/>
      <c r="D183" s="118"/>
      <c r="E183" s="131"/>
      <c r="F183" s="124"/>
      <c r="G183" s="124"/>
      <c r="H183" s="125">
        <f t="shared" si="2"/>
        <v>0</v>
      </c>
      <c r="I183" s="191"/>
      <c r="J183" s="268"/>
      <c r="K183" s="182" t="str">
        <f>IFERROR(VLOOKUP(A183,'Budget-S&amp;U Codes Lookup'!$A$7:$C$550,3,FALSE),"")</f>
        <v/>
      </c>
      <c r="L183" s="1041"/>
      <c r="M183" s="753"/>
      <c r="N183" s="3" t="str">
        <f>IF(M183="","",VLOOKUP(M183,'Budget-S&amp;U Codes Lookup'!$E$26:$F$45,2,FALSE))</f>
        <v/>
      </c>
      <c r="P183" s="186"/>
    </row>
    <row r="184" spans="1:16">
      <c r="A184" s="751"/>
      <c r="B184" s="82" t="str">
        <f>IFERROR(VLOOKUP(A184,'Budget-S&amp;U Codes Lookup'!$A$7:$B$550,2,FALSE),"")</f>
        <v/>
      </c>
      <c r="C184" s="992"/>
      <c r="D184" s="118"/>
      <c r="E184" s="131"/>
      <c r="F184" s="124"/>
      <c r="G184" s="124"/>
      <c r="H184" s="125">
        <f t="shared" si="2"/>
        <v>0</v>
      </c>
      <c r="I184" s="191"/>
      <c r="J184" s="268"/>
      <c r="K184" s="182" t="str">
        <f>IFERROR(VLOOKUP(A184,'Budget-S&amp;U Codes Lookup'!$A$7:$C$550,3,FALSE),"")</f>
        <v/>
      </c>
      <c r="L184" s="1041"/>
      <c r="M184" s="753"/>
      <c r="N184" s="3" t="str">
        <f>IF(M184="","",VLOOKUP(M184,'Budget-S&amp;U Codes Lookup'!$E$26:$F$45,2,FALSE))</f>
        <v/>
      </c>
      <c r="P184" s="186"/>
    </row>
    <row r="185" spans="1:16">
      <c r="A185" s="751"/>
      <c r="B185" s="82" t="str">
        <f>IFERROR(VLOOKUP(A185,'Budget-S&amp;U Codes Lookup'!$A$7:$B$550,2,FALSE),"")</f>
        <v/>
      </c>
      <c r="C185" s="992"/>
      <c r="D185" s="118"/>
      <c r="E185" s="131"/>
      <c r="F185" s="124"/>
      <c r="G185" s="124"/>
      <c r="H185" s="125">
        <f t="shared" si="2"/>
        <v>0</v>
      </c>
      <c r="I185" s="191"/>
      <c r="J185" s="268"/>
      <c r="K185" s="182" t="str">
        <f>IFERROR(VLOOKUP(A185,'Budget-S&amp;U Codes Lookup'!$A$7:$C$550,3,FALSE),"")</f>
        <v/>
      </c>
      <c r="L185" s="1041"/>
      <c r="M185" s="753"/>
      <c r="N185" s="3" t="str">
        <f>IF(M185="","",VLOOKUP(M185,'Budget-S&amp;U Codes Lookup'!$E$26:$F$45,2,FALSE))</f>
        <v/>
      </c>
      <c r="P185" s="186"/>
    </row>
    <row r="186" spans="1:16">
      <c r="A186" s="751"/>
      <c r="B186" s="82" t="str">
        <f>IFERROR(VLOOKUP(A186,'Budget-S&amp;U Codes Lookup'!$A$7:$B$550,2,FALSE),"")</f>
        <v/>
      </c>
      <c r="C186" s="992"/>
      <c r="D186" s="118"/>
      <c r="E186" s="131"/>
      <c r="F186" s="124"/>
      <c r="G186" s="124"/>
      <c r="H186" s="125">
        <f t="shared" si="2"/>
        <v>0</v>
      </c>
      <c r="I186" s="191"/>
      <c r="J186" s="268"/>
      <c r="K186" s="182" t="str">
        <f>IFERROR(VLOOKUP(A186,'Budget-S&amp;U Codes Lookup'!$A$7:$C$550,3,FALSE),"")</f>
        <v/>
      </c>
      <c r="L186" s="1041"/>
      <c r="M186" s="753"/>
      <c r="N186" s="3" t="str">
        <f>IF(M186="","",VLOOKUP(M186,'Budget-S&amp;U Codes Lookup'!$E$26:$F$45,2,FALSE))</f>
        <v/>
      </c>
      <c r="P186" s="186"/>
    </row>
    <row r="187" spans="1:16">
      <c r="A187" s="751"/>
      <c r="B187" s="82" t="str">
        <f>IFERROR(VLOOKUP(A187,'Budget-S&amp;U Codes Lookup'!$A$7:$B$550,2,FALSE),"")</f>
        <v/>
      </c>
      <c r="C187" s="992"/>
      <c r="D187" s="118"/>
      <c r="E187" s="131"/>
      <c r="F187" s="124"/>
      <c r="G187" s="124"/>
      <c r="H187" s="125">
        <f t="shared" si="2"/>
        <v>0</v>
      </c>
      <c r="I187" s="191"/>
      <c r="J187" s="268"/>
      <c r="K187" s="182" t="str">
        <f>IFERROR(VLOOKUP(A187,'Budget-S&amp;U Codes Lookup'!$A$7:$C$550,3,FALSE),"")</f>
        <v/>
      </c>
      <c r="L187" s="1041"/>
      <c r="M187" s="753"/>
      <c r="N187" s="3" t="str">
        <f>IF(M187="","",VLOOKUP(M187,'Budget-S&amp;U Codes Lookup'!$E$26:$F$45,2,FALSE))</f>
        <v/>
      </c>
      <c r="P187" s="186"/>
    </row>
    <row r="188" spans="1:16">
      <c r="A188" s="751"/>
      <c r="B188" s="82" t="str">
        <f>IFERROR(VLOOKUP(A188,'Budget-S&amp;U Codes Lookup'!$A$7:$B$550,2,FALSE),"")</f>
        <v/>
      </c>
      <c r="C188" s="992"/>
      <c r="D188" s="118"/>
      <c r="E188" s="131"/>
      <c r="F188" s="124"/>
      <c r="G188" s="124"/>
      <c r="H188" s="125">
        <f t="shared" si="2"/>
        <v>0</v>
      </c>
      <c r="I188" s="191"/>
      <c r="J188" s="268"/>
      <c r="K188" s="182" t="str">
        <f>IFERROR(VLOOKUP(A188,'Budget-S&amp;U Codes Lookup'!$A$7:$C$550,3,FALSE),"")</f>
        <v/>
      </c>
      <c r="L188" s="1041"/>
      <c r="M188" s="753"/>
      <c r="N188" s="3" t="str">
        <f>IF(M188="","",VLOOKUP(M188,'Budget-S&amp;U Codes Lookup'!$E$26:$F$45,2,FALSE))</f>
        <v/>
      </c>
      <c r="P188" s="186"/>
    </row>
    <row r="189" spans="1:16">
      <c r="A189" s="751"/>
      <c r="B189" s="82" t="str">
        <f>IFERROR(VLOOKUP(A189,'Budget-S&amp;U Codes Lookup'!$A$7:$B$550,2,FALSE),"")</f>
        <v/>
      </c>
      <c r="C189" s="992"/>
      <c r="D189" s="118"/>
      <c r="E189" s="131"/>
      <c r="F189" s="124"/>
      <c r="G189" s="124"/>
      <c r="H189" s="125">
        <f t="shared" si="2"/>
        <v>0</v>
      </c>
      <c r="I189" s="191"/>
      <c r="J189" s="268"/>
      <c r="K189" s="182" t="str">
        <f>IFERROR(VLOOKUP(A189,'Budget-S&amp;U Codes Lookup'!$A$7:$C$550,3,FALSE),"")</f>
        <v/>
      </c>
      <c r="L189" s="1041"/>
      <c r="M189" s="753"/>
      <c r="N189" s="3" t="str">
        <f>IF(M189="","",VLOOKUP(M189,'Budget-S&amp;U Codes Lookup'!$E$26:$F$45,2,FALSE))</f>
        <v/>
      </c>
      <c r="P189" s="186"/>
    </row>
    <row r="190" spans="1:16">
      <c r="A190" s="751"/>
      <c r="B190" s="82" t="str">
        <f>IFERROR(VLOOKUP(A190,'Budget-S&amp;U Codes Lookup'!$A$7:$B$550,2,FALSE),"")</f>
        <v/>
      </c>
      <c r="C190" s="992"/>
      <c r="D190" s="118"/>
      <c r="E190" s="131"/>
      <c r="F190" s="124"/>
      <c r="G190" s="124"/>
      <c r="H190" s="125">
        <f t="shared" si="2"/>
        <v>0</v>
      </c>
      <c r="I190" s="191"/>
      <c r="J190" s="268"/>
      <c r="K190" s="182" t="str">
        <f>IFERROR(VLOOKUP(A190,'Budget-S&amp;U Codes Lookup'!$A$7:$C$550,3,FALSE),"")</f>
        <v/>
      </c>
      <c r="L190" s="1041"/>
      <c r="M190" s="753"/>
      <c r="N190" s="3" t="str">
        <f>IF(M190="","",VLOOKUP(M190,'Budget-S&amp;U Codes Lookup'!$E$26:$F$45,2,FALSE))</f>
        <v/>
      </c>
      <c r="P190" s="186"/>
    </row>
    <row r="191" spans="1:16">
      <c r="A191" s="751"/>
      <c r="B191" s="82" t="str">
        <f>IFERROR(VLOOKUP(A191,'Budget-S&amp;U Codes Lookup'!$A$7:$B$550,2,FALSE),"")</f>
        <v/>
      </c>
      <c r="C191" s="992"/>
      <c r="D191" s="118"/>
      <c r="E191" s="131"/>
      <c r="F191" s="124"/>
      <c r="G191" s="124"/>
      <c r="H191" s="125">
        <f t="shared" si="2"/>
        <v>0</v>
      </c>
      <c r="I191" s="191"/>
      <c r="J191" s="268"/>
      <c r="K191" s="182" t="str">
        <f>IFERROR(VLOOKUP(A191,'Budget-S&amp;U Codes Lookup'!$A$7:$C$550,3,FALSE),"")</f>
        <v/>
      </c>
      <c r="L191" s="1041"/>
      <c r="M191" s="753"/>
      <c r="N191" s="3" t="str">
        <f>IF(M191="","",VLOOKUP(M191,'Budget-S&amp;U Codes Lookup'!$E$26:$F$45,2,FALSE))</f>
        <v/>
      </c>
      <c r="P191" s="186"/>
    </row>
    <row r="192" spans="1:16">
      <c r="A192" s="751"/>
      <c r="B192" s="82" t="str">
        <f>IFERROR(VLOOKUP(A192,'Budget-S&amp;U Codes Lookup'!$A$7:$B$550,2,FALSE),"")</f>
        <v/>
      </c>
      <c r="C192" s="992"/>
      <c r="D192" s="118"/>
      <c r="E192" s="131"/>
      <c r="F192" s="124"/>
      <c r="G192" s="124"/>
      <c r="H192" s="125">
        <f t="shared" si="2"/>
        <v>0</v>
      </c>
      <c r="I192" s="191"/>
      <c r="J192" s="268"/>
      <c r="K192" s="182" t="str">
        <f>IFERROR(VLOOKUP(A192,'Budget-S&amp;U Codes Lookup'!$A$7:$C$550,3,FALSE),"")</f>
        <v/>
      </c>
      <c r="L192" s="1041"/>
      <c r="M192" s="753"/>
      <c r="N192" s="3" t="str">
        <f>IF(M192="","",VLOOKUP(M192,'Budget-S&amp;U Codes Lookup'!$E$26:$F$45,2,FALSE))</f>
        <v/>
      </c>
      <c r="P192" s="186"/>
    </row>
    <row r="193" spans="1:16">
      <c r="A193" s="751"/>
      <c r="B193" s="82" t="str">
        <f>IFERROR(VLOOKUP(A193,'Budget-S&amp;U Codes Lookup'!$A$7:$B$550,2,FALSE),"")</f>
        <v/>
      </c>
      <c r="C193" s="992"/>
      <c r="D193" s="118"/>
      <c r="E193" s="131"/>
      <c r="F193" s="124"/>
      <c r="G193" s="124"/>
      <c r="H193" s="125">
        <f t="shared" si="2"/>
        <v>0</v>
      </c>
      <c r="I193" s="191"/>
      <c r="J193" s="268"/>
      <c r="K193" s="182" t="str">
        <f>IFERROR(VLOOKUP(A193,'Budget-S&amp;U Codes Lookup'!$A$7:$C$550,3,FALSE),"")</f>
        <v/>
      </c>
      <c r="L193" s="1041"/>
      <c r="M193" s="753"/>
      <c r="N193" s="3" t="str">
        <f>IF(M193="","",VLOOKUP(M193,'Budget-S&amp;U Codes Lookup'!$E$26:$F$45,2,FALSE))</f>
        <v/>
      </c>
      <c r="P193" s="186"/>
    </row>
    <row r="194" spans="1:16">
      <c r="A194" s="751"/>
      <c r="B194" s="82" t="str">
        <f>IFERROR(VLOOKUP(A194,'Budget-S&amp;U Codes Lookup'!$A$7:$B$550,2,FALSE),"")</f>
        <v/>
      </c>
      <c r="C194" s="992"/>
      <c r="D194" s="118"/>
      <c r="E194" s="131"/>
      <c r="F194" s="124"/>
      <c r="G194" s="124"/>
      <c r="H194" s="125">
        <f t="shared" si="2"/>
        <v>0</v>
      </c>
      <c r="I194" s="191"/>
      <c r="J194" s="268"/>
      <c r="K194" s="182" t="str">
        <f>IFERROR(VLOOKUP(A194,'Budget-S&amp;U Codes Lookup'!$A$7:$C$550,3,FALSE),"")</f>
        <v/>
      </c>
      <c r="L194" s="1041"/>
      <c r="M194" s="753"/>
      <c r="N194" s="3" t="str">
        <f>IF(M194="","",VLOOKUP(M194,'Budget-S&amp;U Codes Lookup'!$E$26:$F$45,2,FALSE))</f>
        <v/>
      </c>
      <c r="P194" s="186"/>
    </row>
    <row r="195" spans="1:16">
      <c r="A195" s="751"/>
      <c r="B195" s="82" t="str">
        <f>IFERROR(VLOOKUP(A195,'Budget-S&amp;U Codes Lookup'!$A$7:$B$550,2,FALSE),"")</f>
        <v/>
      </c>
      <c r="C195" s="992"/>
      <c r="D195" s="118"/>
      <c r="E195" s="131"/>
      <c r="F195" s="124"/>
      <c r="G195" s="124"/>
      <c r="H195" s="125">
        <f t="shared" si="2"/>
        <v>0</v>
      </c>
      <c r="I195" s="191"/>
      <c r="J195" s="268"/>
      <c r="K195" s="182" t="str">
        <f>IFERROR(VLOOKUP(A195,'Budget-S&amp;U Codes Lookup'!$A$7:$C$550,3,FALSE),"")</f>
        <v/>
      </c>
      <c r="L195" s="1041"/>
      <c r="M195" s="753"/>
      <c r="N195" s="3" t="str">
        <f>IF(M195="","",VLOOKUP(M195,'Budget-S&amp;U Codes Lookup'!$E$26:$F$45,2,FALSE))</f>
        <v/>
      </c>
      <c r="P195" s="186"/>
    </row>
    <row r="196" spans="1:16">
      <c r="A196" s="751"/>
      <c r="B196" s="82" t="str">
        <f>IFERROR(VLOOKUP(A196,'Budget-S&amp;U Codes Lookup'!$A$7:$B$550,2,FALSE),"")</f>
        <v/>
      </c>
      <c r="C196" s="992"/>
      <c r="D196" s="118"/>
      <c r="E196" s="131"/>
      <c r="F196" s="124"/>
      <c r="G196" s="124"/>
      <c r="H196" s="125">
        <f t="shared" si="2"/>
        <v>0</v>
      </c>
      <c r="I196" s="191"/>
      <c r="J196" s="268"/>
      <c r="K196" s="182" t="str">
        <f>IFERROR(VLOOKUP(A196,'Budget-S&amp;U Codes Lookup'!$A$7:$C$550,3,FALSE),"")</f>
        <v/>
      </c>
      <c r="L196" s="1041"/>
      <c r="M196" s="753"/>
      <c r="N196" s="3" t="str">
        <f>IF(M196="","",VLOOKUP(M196,'Budget-S&amp;U Codes Lookup'!$E$26:$F$45,2,FALSE))</f>
        <v/>
      </c>
      <c r="P196" s="186"/>
    </row>
    <row r="197" spans="1:16">
      <c r="A197" s="751"/>
      <c r="B197" s="82" t="str">
        <f>IFERROR(VLOOKUP(A197,'Budget-S&amp;U Codes Lookup'!$A$7:$B$550,2,FALSE),"")</f>
        <v/>
      </c>
      <c r="C197" s="992"/>
      <c r="D197" s="118"/>
      <c r="E197" s="131"/>
      <c r="F197" s="124"/>
      <c r="G197" s="124"/>
      <c r="H197" s="125">
        <f t="shared" si="2"/>
        <v>0</v>
      </c>
      <c r="I197" s="191"/>
      <c r="J197" s="268"/>
      <c r="K197" s="182" t="str">
        <f>IFERROR(VLOOKUP(A197,'Budget-S&amp;U Codes Lookup'!$A$7:$C$550,3,FALSE),"")</f>
        <v/>
      </c>
      <c r="L197" s="1041"/>
      <c r="M197" s="753"/>
      <c r="N197" s="3" t="str">
        <f>IF(M197="","",VLOOKUP(M197,'Budget-S&amp;U Codes Lookup'!$E$26:$F$45,2,FALSE))</f>
        <v/>
      </c>
      <c r="P197" s="186"/>
    </row>
    <row r="198" spans="1:16">
      <c r="A198" s="751"/>
      <c r="B198" s="82" t="str">
        <f>IFERROR(VLOOKUP(A198,'Budget-S&amp;U Codes Lookup'!$A$7:$B$550,2,FALSE),"")</f>
        <v/>
      </c>
      <c r="C198" s="992"/>
      <c r="D198" s="118"/>
      <c r="E198" s="131"/>
      <c r="F198" s="124"/>
      <c r="G198" s="124"/>
      <c r="H198" s="125">
        <f t="shared" si="2"/>
        <v>0</v>
      </c>
      <c r="I198" s="191"/>
      <c r="J198" s="268"/>
      <c r="K198" s="182" t="str">
        <f>IFERROR(VLOOKUP(A198,'Budget-S&amp;U Codes Lookup'!$A$7:$C$550,3,FALSE),"")</f>
        <v/>
      </c>
      <c r="L198" s="1041"/>
      <c r="M198" s="753"/>
      <c r="N198" s="3" t="str">
        <f>IF(M198="","",VLOOKUP(M198,'Budget-S&amp;U Codes Lookup'!$E$26:$F$45,2,FALSE))</f>
        <v/>
      </c>
      <c r="P198" s="186"/>
    </row>
    <row r="199" spans="1:16">
      <c r="A199" s="751"/>
      <c r="B199" s="82" t="str">
        <f>IFERROR(VLOOKUP(A199,'Budget-S&amp;U Codes Lookup'!$A$7:$B$550,2,FALSE),"")</f>
        <v/>
      </c>
      <c r="C199" s="992"/>
      <c r="D199" s="118"/>
      <c r="E199" s="131"/>
      <c r="F199" s="124"/>
      <c r="G199" s="124"/>
      <c r="H199" s="125">
        <f t="shared" si="2"/>
        <v>0</v>
      </c>
      <c r="I199" s="191"/>
      <c r="J199" s="268"/>
      <c r="K199" s="182" t="str">
        <f>IFERROR(VLOOKUP(A199,'Budget-S&amp;U Codes Lookup'!$A$7:$C$550,3,FALSE),"")</f>
        <v/>
      </c>
      <c r="L199" s="1041"/>
      <c r="M199" s="753"/>
      <c r="N199" s="3" t="str">
        <f>IF(M199="","",VLOOKUP(M199,'Budget-S&amp;U Codes Lookup'!$E$26:$F$45,2,FALSE))</f>
        <v/>
      </c>
      <c r="P199" s="186"/>
    </row>
    <row r="200" spans="1:16">
      <c r="A200" s="751"/>
      <c r="B200" s="82" t="str">
        <f>IFERROR(VLOOKUP(A200,'Budget-S&amp;U Codes Lookup'!$A$7:$B$550,2,FALSE),"")</f>
        <v/>
      </c>
      <c r="C200" s="992"/>
      <c r="D200" s="118"/>
      <c r="E200" s="131"/>
      <c r="F200" s="124"/>
      <c r="G200" s="124"/>
      <c r="H200" s="125">
        <f t="shared" si="2"/>
        <v>0</v>
      </c>
      <c r="I200" s="191"/>
      <c r="J200" s="268"/>
      <c r="K200" s="182" t="str">
        <f>IFERROR(VLOOKUP(A200,'Budget-S&amp;U Codes Lookup'!$A$7:$C$550,3,FALSE),"")</f>
        <v/>
      </c>
      <c r="L200" s="1041"/>
      <c r="M200" s="753"/>
      <c r="N200" s="3" t="str">
        <f>IF(M200="","",VLOOKUP(M200,'Budget-S&amp;U Codes Lookup'!$E$26:$F$45,2,FALSE))</f>
        <v/>
      </c>
      <c r="P200" s="186"/>
    </row>
    <row r="201" spans="1:16">
      <c r="A201" s="751"/>
      <c r="B201" s="82" t="str">
        <f>IFERROR(VLOOKUP(A201,'Budget-S&amp;U Codes Lookup'!$A$7:$B$550,2,FALSE),"")</f>
        <v/>
      </c>
      <c r="C201" s="992"/>
      <c r="D201" s="118"/>
      <c r="E201" s="131"/>
      <c r="F201" s="124"/>
      <c r="G201" s="124"/>
      <c r="H201" s="125">
        <f t="shared" si="2"/>
        <v>0</v>
      </c>
      <c r="I201" s="191"/>
      <c r="J201" s="268"/>
      <c r="K201" s="182" t="str">
        <f>IFERROR(VLOOKUP(A201,'Budget-S&amp;U Codes Lookup'!$A$7:$C$550,3,FALSE),"")</f>
        <v/>
      </c>
      <c r="L201" s="1041"/>
      <c r="M201" s="753"/>
      <c r="N201" s="3" t="str">
        <f>IF(M201="","",VLOOKUP(M201,'Budget-S&amp;U Codes Lookup'!$E$26:$F$45,2,FALSE))</f>
        <v/>
      </c>
      <c r="P201" s="186"/>
    </row>
    <row r="202" spans="1:16">
      <c r="A202" s="751"/>
      <c r="B202" s="82" t="str">
        <f>IFERROR(VLOOKUP(A202,'Budget-S&amp;U Codes Lookup'!$A$7:$B$550,2,FALSE),"")</f>
        <v/>
      </c>
      <c r="C202" s="992"/>
      <c r="D202" s="118"/>
      <c r="E202" s="131"/>
      <c r="F202" s="124"/>
      <c r="G202" s="124"/>
      <c r="H202" s="125">
        <f t="shared" ref="H202:H265" si="3">F202-G202</f>
        <v>0</v>
      </c>
      <c r="I202" s="191"/>
      <c r="J202" s="268"/>
      <c r="K202" s="182" t="str">
        <f>IFERROR(VLOOKUP(A202,'Budget-S&amp;U Codes Lookup'!$A$7:$C$550,3,FALSE),"")</f>
        <v/>
      </c>
      <c r="L202" s="1041"/>
      <c r="M202" s="753"/>
      <c r="N202" s="3" t="str">
        <f>IF(M202="","",VLOOKUP(M202,'Budget-S&amp;U Codes Lookup'!$E$26:$F$45,2,FALSE))</f>
        <v/>
      </c>
      <c r="P202" s="186"/>
    </row>
    <row r="203" spans="1:16">
      <c r="A203" s="751"/>
      <c r="B203" s="82" t="str">
        <f>IFERROR(VLOOKUP(A203,'Budget-S&amp;U Codes Lookup'!$A$7:$B$550,2,FALSE),"")</f>
        <v/>
      </c>
      <c r="C203" s="992"/>
      <c r="D203" s="118"/>
      <c r="E203" s="131"/>
      <c r="F203" s="124"/>
      <c r="G203" s="124"/>
      <c r="H203" s="125">
        <f t="shared" si="3"/>
        <v>0</v>
      </c>
      <c r="I203" s="191"/>
      <c r="J203" s="268"/>
      <c r="K203" s="182" t="str">
        <f>IFERROR(VLOOKUP(A203,'Budget-S&amp;U Codes Lookup'!$A$7:$C$550,3,FALSE),"")</f>
        <v/>
      </c>
      <c r="L203" s="1041"/>
      <c r="M203" s="753"/>
      <c r="N203" s="3" t="str">
        <f>IF(M203="","",VLOOKUP(M203,'Budget-S&amp;U Codes Lookup'!$E$26:$F$45,2,FALSE))</f>
        <v/>
      </c>
      <c r="P203" s="186"/>
    </row>
    <row r="204" spans="1:16">
      <c r="A204" s="751"/>
      <c r="B204" s="82" t="str">
        <f>IFERROR(VLOOKUP(A204,'Budget-S&amp;U Codes Lookup'!$A$7:$B$550,2,FALSE),"")</f>
        <v/>
      </c>
      <c r="C204" s="992"/>
      <c r="D204" s="118"/>
      <c r="E204" s="131"/>
      <c r="F204" s="124"/>
      <c r="G204" s="124"/>
      <c r="H204" s="125">
        <f t="shared" si="3"/>
        <v>0</v>
      </c>
      <c r="I204" s="191"/>
      <c r="J204" s="268"/>
      <c r="K204" s="182" t="str">
        <f>IFERROR(VLOOKUP(A204,'Budget-S&amp;U Codes Lookup'!$A$7:$C$550,3,FALSE),"")</f>
        <v/>
      </c>
      <c r="L204" s="1041"/>
      <c r="M204" s="753"/>
      <c r="N204" s="3" t="str">
        <f>IF(M204="","",VLOOKUP(M204,'Budget-S&amp;U Codes Lookup'!$E$26:$F$45,2,FALSE))</f>
        <v/>
      </c>
      <c r="P204" s="186"/>
    </row>
    <row r="205" spans="1:16">
      <c r="A205" s="751"/>
      <c r="B205" s="82" t="str">
        <f>IFERROR(VLOOKUP(A205,'Budget-S&amp;U Codes Lookup'!$A$7:$B$550,2,FALSE),"")</f>
        <v/>
      </c>
      <c r="C205" s="992"/>
      <c r="D205" s="118"/>
      <c r="E205" s="131"/>
      <c r="F205" s="124"/>
      <c r="G205" s="124"/>
      <c r="H205" s="125">
        <f t="shared" si="3"/>
        <v>0</v>
      </c>
      <c r="I205" s="191"/>
      <c r="J205" s="268"/>
      <c r="K205" s="182" t="str">
        <f>IFERROR(VLOOKUP(A205,'Budget-S&amp;U Codes Lookup'!$A$7:$C$550,3,FALSE),"")</f>
        <v/>
      </c>
      <c r="L205" s="1041"/>
      <c r="M205" s="753"/>
      <c r="N205" s="3" t="str">
        <f>IF(M205="","",VLOOKUP(M205,'Budget-S&amp;U Codes Lookup'!$E$26:$F$45,2,FALSE))</f>
        <v/>
      </c>
      <c r="P205" s="186"/>
    </row>
    <row r="206" spans="1:16">
      <c r="A206" s="751"/>
      <c r="B206" s="82" t="str">
        <f>IFERROR(VLOOKUP(A206,'Budget-S&amp;U Codes Lookup'!$A$7:$B$550,2,FALSE),"")</f>
        <v/>
      </c>
      <c r="C206" s="992"/>
      <c r="D206" s="118"/>
      <c r="E206" s="131"/>
      <c r="F206" s="124"/>
      <c r="G206" s="124"/>
      <c r="H206" s="125">
        <f t="shared" si="3"/>
        <v>0</v>
      </c>
      <c r="I206" s="191"/>
      <c r="J206" s="268"/>
      <c r="K206" s="182" t="str">
        <f>IFERROR(VLOOKUP(A206,'Budget-S&amp;U Codes Lookup'!$A$7:$C$550,3,FALSE),"")</f>
        <v/>
      </c>
      <c r="L206" s="1041"/>
      <c r="M206" s="753"/>
      <c r="N206" s="3" t="str">
        <f>IF(M206="","",VLOOKUP(M206,'Budget-S&amp;U Codes Lookup'!$E$26:$F$45,2,FALSE))</f>
        <v/>
      </c>
      <c r="P206" s="186"/>
    </row>
    <row r="207" spans="1:16">
      <c r="A207" s="751"/>
      <c r="B207" s="82" t="str">
        <f>IFERROR(VLOOKUP(A207,'Budget-S&amp;U Codes Lookup'!$A$7:$B$550,2,FALSE),"")</f>
        <v/>
      </c>
      <c r="C207" s="992"/>
      <c r="D207" s="118"/>
      <c r="E207" s="131"/>
      <c r="F207" s="124"/>
      <c r="G207" s="124"/>
      <c r="H207" s="125">
        <f t="shared" si="3"/>
        <v>0</v>
      </c>
      <c r="I207" s="191"/>
      <c r="J207" s="268"/>
      <c r="K207" s="182" t="str">
        <f>IFERROR(VLOOKUP(A207,'Budget-S&amp;U Codes Lookup'!$A$7:$C$550,3,FALSE),"")</f>
        <v/>
      </c>
      <c r="L207" s="1041"/>
      <c r="M207" s="753"/>
      <c r="N207" s="3" t="str">
        <f>IF(M207="","",VLOOKUP(M207,'Budget-S&amp;U Codes Lookup'!$E$26:$F$45,2,FALSE))</f>
        <v/>
      </c>
      <c r="P207" s="186"/>
    </row>
    <row r="208" spans="1:16">
      <c r="A208" s="751"/>
      <c r="B208" s="82" t="str">
        <f>IFERROR(VLOOKUP(A208,'Budget-S&amp;U Codes Lookup'!$A$7:$B$550,2,FALSE),"")</f>
        <v/>
      </c>
      <c r="C208" s="992"/>
      <c r="D208" s="118"/>
      <c r="E208" s="131"/>
      <c r="F208" s="124"/>
      <c r="G208" s="124"/>
      <c r="H208" s="125">
        <f t="shared" si="3"/>
        <v>0</v>
      </c>
      <c r="I208" s="191"/>
      <c r="J208" s="268"/>
      <c r="K208" s="182" t="str">
        <f>IFERROR(VLOOKUP(A208,'Budget-S&amp;U Codes Lookup'!$A$7:$C$550,3,FALSE),"")</f>
        <v/>
      </c>
      <c r="L208" s="1041"/>
      <c r="M208" s="753"/>
      <c r="N208" s="3" t="str">
        <f>IF(M208="","",VLOOKUP(M208,'Budget-S&amp;U Codes Lookup'!$E$26:$F$45,2,FALSE))</f>
        <v/>
      </c>
      <c r="P208" s="186"/>
    </row>
    <row r="209" spans="1:16">
      <c r="A209" s="751"/>
      <c r="B209" s="82" t="str">
        <f>IFERROR(VLOOKUP(A209,'Budget-S&amp;U Codes Lookup'!$A$7:$B$550,2,FALSE),"")</f>
        <v/>
      </c>
      <c r="C209" s="992"/>
      <c r="D209" s="118"/>
      <c r="E209" s="131"/>
      <c r="F209" s="124"/>
      <c r="G209" s="124"/>
      <c r="H209" s="125">
        <f t="shared" si="3"/>
        <v>0</v>
      </c>
      <c r="I209" s="191"/>
      <c r="J209" s="268"/>
      <c r="K209" s="182" t="str">
        <f>IFERROR(VLOOKUP(A209,'Budget-S&amp;U Codes Lookup'!$A$7:$C$550,3,FALSE),"")</f>
        <v/>
      </c>
      <c r="L209" s="1041"/>
      <c r="M209" s="753"/>
      <c r="N209" s="3" t="str">
        <f>IF(M209="","",VLOOKUP(M209,'Budget-S&amp;U Codes Lookup'!$E$26:$F$45,2,FALSE))</f>
        <v/>
      </c>
      <c r="P209" s="186"/>
    </row>
    <row r="210" spans="1:16">
      <c r="A210" s="751"/>
      <c r="B210" s="82" t="str">
        <f>IFERROR(VLOOKUP(A210,'Budget-S&amp;U Codes Lookup'!$A$7:$B$550,2,FALSE),"")</f>
        <v/>
      </c>
      <c r="C210" s="992"/>
      <c r="D210" s="118"/>
      <c r="E210" s="131"/>
      <c r="F210" s="124"/>
      <c r="G210" s="124"/>
      <c r="H210" s="125">
        <f t="shared" si="3"/>
        <v>0</v>
      </c>
      <c r="I210" s="191"/>
      <c r="J210" s="268"/>
      <c r="K210" s="182" t="str">
        <f>IFERROR(VLOOKUP(A210,'Budget-S&amp;U Codes Lookup'!$A$7:$C$550,3,FALSE),"")</f>
        <v/>
      </c>
      <c r="L210" s="1041"/>
      <c r="M210" s="753"/>
      <c r="N210" s="3" t="str">
        <f>IF(M210="","",VLOOKUP(M210,'Budget-S&amp;U Codes Lookup'!$E$26:$F$45,2,FALSE))</f>
        <v/>
      </c>
      <c r="P210" s="186"/>
    </row>
    <row r="211" spans="1:16">
      <c r="A211" s="751"/>
      <c r="B211" s="82" t="str">
        <f>IFERROR(VLOOKUP(A211,'Budget-S&amp;U Codes Lookup'!$A$7:$B$550,2,FALSE),"")</f>
        <v/>
      </c>
      <c r="C211" s="992"/>
      <c r="D211" s="118"/>
      <c r="E211" s="131"/>
      <c r="F211" s="124"/>
      <c r="G211" s="124"/>
      <c r="H211" s="125">
        <f t="shared" si="3"/>
        <v>0</v>
      </c>
      <c r="I211" s="191"/>
      <c r="J211" s="268"/>
      <c r="K211" s="182" t="str">
        <f>IFERROR(VLOOKUP(A211,'Budget-S&amp;U Codes Lookup'!$A$7:$C$550,3,FALSE),"")</f>
        <v/>
      </c>
      <c r="L211" s="1041"/>
      <c r="M211" s="753"/>
      <c r="N211" s="3" t="str">
        <f>IF(M211="","",VLOOKUP(M211,'Budget-S&amp;U Codes Lookup'!$E$26:$F$45,2,FALSE))</f>
        <v/>
      </c>
      <c r="P211" s="186"/>
    </row>
    <row r="212" spans="1:16">
      <c r="A212" s="751"/>
      <c r="B212" s="82" t="str">
        <f>IFERROR(VLOOKUP(A212,'Budget-S&amp;U Codes Lookup'!$A$7:$B$550,2,FALSE),"")</f>
        <v/>
      </c>
      <c r="C212" s="992"/>
      <c r="D212" s="118"/>
      <c r="E212" s="131"/>
      <c r="F212" s="124"/>
      <c r="G212" s="124"/>
      <c r="H212" s="125">
        <f t="shared" si="3"/>
        <v>0</v>
      </c>
      <c r="I212" s="191"/>
      <c r="J212" s="268"/>
      <c r="K212" s="182" t="str">
        <f>IFERROR(VLOOKUP(A212,'Budget-S&amp;U Codes Lookup'!$A$7:$C$550,3,FALSE),"")</f>
        <v/>
      </c>
      <c r="L212" s="1041"/>
      <c r="M212" s="753"/>
      <c r="N212" s="3" t="str">
        <f>IF(M212="","",VLOOKUP(M212,'Budget-S&amp;U Codes Lookup'!$E$26:$F$45,2,FALSE))</f>
        <v/>
      </c>
      <c r="P212" s="186"/>
    </row>
    <row r="213" spans="1:16">
      <c r="A213" s="751"/>
      <c r="B213" s="82" t="str">
        <f>IFERROR(VLOOKUP(A213,'Budget-S&amp;U Codes Lookup'!$A$7:$B$550,2,FALSE),"")</f>
        <v/>
      </c>
      <c r="C213" s="992"/>
      <c r="D213" s="118"/>
      <c r="E213" s="131"/>
      <c r="F213" s="124"/>
      <c r="G213" s="124"/>
      <c r="H213" s="125">
        <f t="shared" si="3"/>
        <v>0</v>
      </c>
      <c r="I213" s="191"/>
      <c r="J213" s="268"/>
      <c r="K213" s="182" t="str">
        <f>IFERROR(VLOOKUP(A213,'Budget-S&amp;U Codes Lookup'!$A$7:$C$550,3,FALSE),"")</f>
        <v/>
      </c>
      <c r="L213" s="1041"/>
      <c r="M213" s="753"/>
      <c r="N213" s="3" t="str">
        <f>IF(M213="","",VLOOKUP(M213,'Budget-S&amp;U Codes Lookup'!$E$26:$F$45,2,FALSE))</f>
        <v/>
      </c>
      <c r="P213" s="186"/>
    </row>
    <row r="214" spans="1:16">
      <c r="A214" s="751"/>
      <c r="B214" s="82" t="str">
        <f>IFERROR(VLOOKUP(A214,'Budget-S&amp;U Codes Lookup'!$A$7:$B$550,2,FALSE),"")</f>
        <v/>
      </c>
      <c r="C214" s="992"/>
      <c r="D214" s="118"/>
      <c r="E214" s="131"/>
      <c r="F214" s="124"/>
      <c r="G214" s="124"/>
      <c r="H214" s="125">
        <f t="shared" si="3"/>
        <v>0</v>
      </c>
      <c r="I214" s="191"/>
      <c r="J214" s="268"/>
      <c r="K214" s="182" t="str">
        <f>IFERROR(VLOOKUP(A214,'Budget-S&amp;U Codes Lookup'!$A$7:$C$550,3,FALSE),"")</f>
        <v/>
      </c>
      <c r="L214" s="1041"/>
      <c r="M214" s="753"/>
      <c r="N214" s="3" t="str">
        <f>IF(M214="","",VLOOKUP(M214,'Budget-S&amp;U Codes Lookup'!$E$26:$F$45,2,FALSE))</f>
        <v/>
      </c>
      <c r="P214" s="186"/>
    </row>
    <row r="215" spans="1:16">
      <c r="A215" s="751"/>
      <c r="B215" s="82" t="str">
        <f>IFERROR(VLOOKUP(A215,'Budget-S&amp;U Codes Lookup'!$A$7:$B$550,2,FALSE),"")</f>
        <v/>
      </c>
      <c r="C215" s="992"/>
      <c r="D215" s="118"/>
      <c r="E215" s="131"/>
      <c r="F215" s="124"/>
      <c r="G215" s="124"/>
      <c r="H215" s="125">
        <f t="shared" si="3"/>
        <v>0</v>
      </c>
      <c r="I215" s="191"/>
      <c r="J215" s="268"/>
      <c r="K215" s="182" t="str">
        <f>IFERROR(VLOOKUP(A215,'Budget-S&amp;U Codes Lookup'!$A$7:$C$550,3,FALSE),"")</f>
        <v/>
      </c>
      <c r="L215" s="1041"/>
      <c r="M215" s="753"/>
      <c r="N215" s="3" t="str">
        <f>IF(M215="","",VLOOKUP(M215,'Budget-S&amp;U Codes Lookup'!$E$26:$F$45,2,FALSE))</f>
        <v/>
      </c>
      <c r="P215" s="186"/>
    </row>
    <row r="216" spans="1:16">
      <c r="A216" s="751"/>
      <c r="B216" s="82" t="str">
        <f>IFERROR(VLOOKUP(A216,'Budget-S&amp;U Codes Lookup'!$A$7:$B$550,2,FALSE),"")</f>
        <v/>
      </c>
      <c r="C216" s="992"/>
      <c r="D216" s="118"/>
      <c r="E216" s="131"/>
      <c r="F216" s="124"/>
      <c r="G216" s="124"/>
      <c r="H216" s="125">
        <f t="shared" si="3"/>
        <v>0</v>
      </c>
      <c r="I216" s="191"/>
      <c r="J216" s="268"/>
      <c r="K216" s="182" t="str">
        <f>IFERROR(VLOOKUP(A216,'Budget-S&amp;U Codes Lookup'!$A$7:$C$550,3,FALSE),"")</f>
        <v/>
      </c>
      <c r="L216" s="1041"/>
      <c r="M216" s="753"/>
      <c r="N216" s="3" t="str">
        <f>IF(M216="","",VLOOKUP(M216,'Budget-S&amp;U Codes Lookup'!$E$26:$F$45,2,FALSE))</f>
        <v/>
      </c>
      <c r="P216" s="186"/>
    </row>
    <row r="217" spans="1:16">
      <c r="A217" s="751"/>
      <c r="B217" s="82" t="str">
        <f>IFERROR(VLOOKUP(A217,'Budget-S&amp;U Codes Lookup'!$A$7:$B$550,2,FALSE),"")</f>
        <v/>
      </c>
      <c r="C217" s="992"/>
      <c r="D217" s="118"/>
      <c r="E217" s="131"/>
      <c r="F217" s="124"/>
      <c r="G217" s="124"/>
      <c r="H217" s="125">
        <f t="shared" si="3"/>
        <v>0</v>
      </c>
      <c r="I217" s="191"/>
      <c r="J217" s="268"/>
      <c r="K217" s="182" t="str">
        <f>IFERROR(VLOOKUP(A217,'Budget-S&amp;U Codes Lookup'!$A$7:$C$550,3,FALSE),"")</f>
        <v/>
      </c>
      <c r="L217" s="1041"/>
      <c r="M217" s="753"/>
      <c r="N217" s="3" t="str">
        <f>IF(M217="","",VLOOKUP(M217,'Budget-S&amp;U Codes Lookup'!$E$26:$F$45,2,FALSE))</f>
        <v/>
      </c>
      <c r="P217" s="186"/>
    </row>
    <row r="218" spans="1:16">
      <c r="A218" s="751"/>
      <c r="B218" s="82" t="str">
        <f>IFERROR(VLOOKUP(A218,'Budget-S&amp;U Codes Lookup'!$A$7:$B$550,2,FALSE),"")</f>
        <v/>
      </c>
      <c r="C218" s="992"/>
      <c r="D218" s="118"/>
      <c r="E218" s="131"/>
      <c r="F218" s="124"/>
      <c r="G218" s="124"/>
      <c r="H218" s="125">
        <f t="shared" si="3"/>
        <v>0</v>
      </c>
      <c r="I218" s="191"/>
      <c r="J218" s="268"/>
      <c r="K218" s="182" t="str">
        <f>IFERROR(VLOOKUP(A218,'Budget-S&amp;U Codes Lookup'!$A$7:$C$550,3,FALSE),"")</f>
        <v/>
      </c>
      <c r="L218" s="1041"/>
      <c r="M218" s="753"/>
      <c r="N218" s="3" t="str">
        <f>IF(M218="","",VLOOKUP(M218,'Budget-S&amp;U Codes Lookup'!$E$26:$F$45,2,FALSE))</f>
        <v/>
      </c>
      <c r="P218" s="186"/>
    </row>
    <row r="219" spans="1:16">
      <c r="A219" s="751"/>
      <c r="B219" s="82" t="str">
        <f>IFERROR(VLOOKUP(A219,'Budget-S&amp;U Codes Lookup'!$A$7:$B$550,2,FALSE),"")</f>
        <v/>
      </c>
      <c r="C219" s="992"/>
      <c r="D219" s="118"/>
      <c r="E219" s="131"/>
      <c r="F219" s="124"/>
      <c r="G219" s="124"/>
      <c r="H219" s="125">
        <f t="shared" si="3"/>
        <v>0</v>
      </c>
      <c r="I219" s="191"/>
      <c r="J219" s="268"/>
      <c r="K219" s="182" t="str">
        <f>IFERROR(VLOOKUP(A219,'Budget-S&amp;U Codes Lookup'!$A$7:$C$550,3,FALSE),"")</f>
        <v/>
      </c>
      <c r="L219" s="1041"/>
      <c r="M219" s="753"/>
      <c r="N219" s="3" t="str">
        <f>IF(M219="","",VLOOKUP(M219,'Budget-S&amp;U Codes Lookup'!$E$26:$F$45,2,FALSE))</f>
        <v/>
      </c>
      <c r="P219" s="186"/>
    </row>
    <row r="220" spans="1:16">
      <c r="A220" s="751"/>
      <c r="B220" s="82" t="str">
        <f>IFERROR(VLOOKUP(A220,'Budget-S&amp;U Codes Lookup'!$A$7:$B$550,2,FALSE),"")</f>
        <v/>
      </c>
      <c r="C220" s="992"/>
      <c r="D220" s="118"/>
      <c r="E220" s="131"/>
      <c r="F220" s="124"/>
      <c r="G220" s="124"/>
      <c r="H220" s="125">
        <f t="shared" si="3"/>
        <v>0</v>
      </c>
      <c r="I220" s="191"/>
      <c r="J220" s="268"/>
      <c r="K220" s="182" t="str">
        <f>IFERROR(VLOOKUP(A220,'Budget-S&amp;U Codes Lookup'!$A$7:$C$550,3,FALSE),"")</f>
        <v/>
      </c>
      <c r="L220" s="1041"/>
      <c r="M220" s="753"/>
      <c r="N220" s="3" t="str">
        <f>IF(M220="","",VLOOKUP(M220,'Budget-S&amp;U Codes Lookup'!$E$26:$F$45,2,FALSE))</f>
        <v/>
      </c>
      <c r="P220" s="186"/>
    </row>
    <row r="221" spans="1:16">
      <c r="A221" s="751"/>
      <c r="B221" s="82" t="str">
        <f>IFERROR(VLOOKUP(A221,'Budget-S&amp;U Codes Lookup'!$A$7:$B$550,2,FALSE),"")</f>
        <v/>
      </c>
      <c r="C221" s="992"/>
      <c r="D221" s="118"/>
      <c r="E221" s="131"/>
      <c r="F221" s="124"/>
      <c r="G221" s="124"/>
      <c r="H221" s="125">
        <f t="shared" si="3"/>
        <v>0</v>
      </c>
      <c r="I221" s="191"/>
      <c r="J221" s="268"/>
      <c r="K221" s="182" t="str">
        <f>IFERROR(VLOOKUP(A221,'Budget-S&amp;U Codes Lookup'!$A$7:$C$550,3,FALSE),"")</f>
        <v/>
      </c>
      <c r="L221" s="1041"/>
      <c r="M221" s="753"/>
      <c r="N221" s="3" t="str">
        <f>IF(M221="","",VLOOKUP(M221,'Budget-S&amp;U Codes Lookup'!$E$26:$F$45,2,FALSE))</f>
        <v/>
      </c>
      <c r="P221" s="186"/>
    </row>
    <row r="222" spans="1:16">
      <c r="A222" s="751"/>
      <c r="B222" s="82" t="str">
        <f>IFERROR(VLOOKUP(A222,'Budget-S&amp;U Codes Lookup'!$A$7:$B$550,2,FALSE),"")</f>
        <v/>
      </c>
      <c r="C222" s="992"/>
      <c r="D222" s="118"/>
      <c r="E222" s="131"/>
      <c r="F222" s="124"/>
      <c r="G222" s="124"/>
      <c r="H222" s="125">
        <f t="shared" si="3"/>
        <v>0</v>
      </c>
      <c r="I222" s="191"/>
      <c r="J222" s="268"/>
      <c r="K222" s="182" t="str">
        <f>IFERROR(VLOOKUP(A222,'Budget-S&amp;U Codes Lookup'!$A$7:$C$550,3,FALSE),"")</f>
        <v/>
      </c>
      <c r="L222" s="1041"/>
      <c r="M222" s="753"/>
      <c r="N222" s="3" t="str">
        <f>IF(M222="","",VLOOKUP(M222,'Budget-S&amp;U Codes Lookup'!$E$26:$F$45,2,FALSE))</f>
        <v/>
      </c>
      <c r="P222" s="186"/>
    </row>
    <row r="223" spans="1:16">
      <c r="A223" s="751"/>
      <c r="B223" s="82" t="str">
        <f>IFERROR(VLOOKUP(A223,'Budget-S&amp;U Codes Lookup'!$A$7:$B$550,2,FALSE),"")</f>
        <v/>
      </c>
      <c r="C223" s="992"/>
      <c r="D223" s="118"/>
      <c r="E223" s="131"/>
      <c r="F223" s="124"/>
      <c r="G223" s="124"/>
      <c r="H223" s="125">
        <f t="shared" si="3"/>
        <v>0</v>
      </c>
      <c r="I223" s="191"/>
      <c r="J223" s="268"/>
      <c r="K223" s="182" t="str">
        <f>IFERROR(VLOOKUP(A223,'Budget-S&amp;U Codes Lookup'!$A$7:$C$550,3,FALSE),"")</f>
        <v/>
      </c>
      <c r="L223" s="1041"/>
      <c r="M223" s="753"/>
      <c r="N223" s="3" t="str">
        <f>IF(M223="","",VLOOKUP(M223,'Budget-S&amp;U Codes Lookup'!$E$26:$F$45,2,FALSE))</f>
        <v/>
      </c>
      <c r="P223" s="186"/>
    </row>
    <row r="224" spans="1:16">
      <c r="A224" s="751"/>
      <c r="B224" s="82" t="str">
        <f>IFERROR(VLOOKUP(A224,'Budget-S&amp;U Codes Lookup'!$A$7:$B$550,2,FALSE),"")</f>
        <v/>
      </c>
      <c r="C224" s="992"/>
      <c r="D224" s="118"/>
      <c r="E224" s="131"/>
      <c r="F224" s="124"/>
      <c r="G224" s="124"/>
      <c r="H224" s="125">
        <f t="shared" si="3"/>
        <v>0</v>
      </c>
      <c r="I224" s="191"/>
      <c r="J224" s="268"/>
      <c r="K224" s="182" t="str">
        <f>IFERROR(VLOOKUP(A224,'Budget-S&amp;U Codes Lookup'!$A$7:$C$550,3,FALSE),"")</f>
        <v/>
      </c>
      <c r="L224" s="1041"/>
      <c r="M224" s="753"/>
      <c r="N224" s="3" t="str">
        <f>IF(M224="","",VLOOKUP(M224,'Budget-S&amp;U Codes Lookup'!$E$26:$F$45,2,FALSE))</f>
        <v/>
      </c>
      <c r="P224" s="186"/>
    </row>
    <row r="225" spans="1:16">
      <c r="A225" s="751"/>
      <c r="B225" s="82" t="str">
        <f>IFERROR(VLOOKUP(A225,'Budget-S&amp;U Codes Lookup'!$A$7:$B$550,2,FALSE),"")</f>
        <v/>
      </c>
      <c r="C225" s="992"/>
      <c r="D225" s="118"/>
      <c r="E225" s="131"/>
      <c r="F225" s="124"/>
      <c r="G225" s="124"/>
      <c r="H225" s="125">
        <f t="shared" si="3"/>
        <v>0</v>
      </c>
      <c r="I225" s="191"/>
      <c r="J225" s="268"/>
      <c r="K225" s="182" t="str">
        <f>IFERROR(VLOOKUP(A225,'Budget-S&amp;U Codes Lookup'!$A$7:$C$550,3,FALSE),"")</f>
        <v/>
      </c>
      <c r="L225" s="1041"/>
      <c r="M225" s="753"/>
      <c r="N225" s="3" t="str">
        <f>IF(M225="","",VLOOKUP(M225,'Budget-S&amp;U Codes Lookup'!$E$26:$F$45,2,FALSE))</f>
        <v/>
      </c>
      <c r="P225" s="186"/>
    </row>
    <row r="226" spans="1:16">
      <c r="A226" s="751"/>
      <c r="B226" s="82" t="str">
        <f>IFERROR(VLOOKUP(A226,'Budget-S&amp;U Codes Lookup'!$A$7:$B$550,2,FALSE),"")</f>
        <v/>
      </c>
      <c r="C226" s="992"/>
      <c r="D226" s="118"/>
      <c r="E226" s="131"/>
      <c r="F226" s="124"/>
      <c r="G226" s="124"/>
      <c r="H226" s="125">
        <f t="shared" si="3"/>
        <v>0</v>
      </c>
      <c r="I226" s="191"/>
      <c r="J226" s="268"/>
      <c r="K226" s="182" t="str">
        <f>IFERROR(VLOOKUP(A226,'Budget-S&amp;U Codes Lookup'!$A$7:$C$550,3,FALSE),"")</f>
        <v/>
      </c>
      <c r="L226" s="1041"/>
      <c r="M226" s="753"/>
      <c r="N226" s="3" t="str">
        <f>IF(M226="","",VLOOKUP(M226,'Budget-S&amp;U Codes Lookup'!$E$26:$F$45,2,FALSE))</f>
        <v/>
      </c>
      <c r="P226" s="186"/>
    </row>
    <row r="227" spans="1:16">
      <c r="A227" s="751"/>
      <c r="B227" s="82" t="str">
        <f>IFERROR(VLOOKUP(A227,'Budget-S&amp;U Codes Lookup'!$A$7:$B$550,2,FALSE),"")</f>
        <v/>
      </c>
      <c r="C227" s="992"/>
      <c r="D227" s="118"/>
      <c r="E227" s="131"/>
      <c r="F227" s="124"/>
      <c r="G227" s="124"/>
      <c r="H227" s="125">
        <f t="shared" si="3"/>
        <v>0</v>
      </c>
      <c r="I227" s="191"/>
      <c r="J227" s="268"/>
      <c r="K227" s="182" t="str">
        <f>IFERROR(VLOOKUP(A227,'Budget-S&amp;U Codes Lookup'!$A$7:$C$550,3,FALSE),"")</f>
        <v/>
      </c>
      <c r="L227" s="1041"/>
      <c r="M227" s="753"/>
      <c r="N227" s="3" t="str">
        <f>IF(M227="","",VLOOKUP(M227,'Budget-S&amp;U Codes Lookup'!$E$26:$F$45,2,FALSE))</f>
        <v/>
      </c>
      <c r="P227" s="186"/>
    </row>
    <row r="228" spans="1:16">
      <c r="A228" s="751"/>
      <c r="B228" s="82" t="str">
        <f>IFERROR(VLOOKUP(A228,'Budget-S&amp;U Codes Lookup'!$A$7:$B$550,2,FALSE),"")</f>
        <v/>
      </c>
      <c r="C228" s="992"/>
      <c r="D228" s="118"/>
      <c r="E228" s="131"/>
      <c r="F228" s="124"/>
      <c r="G228" s="124"/>
      <c r="H228" s="125">
        <f t="shared" si="3"/>
        <v>0</v>
      </c>
      <c r="I228" s="191"/>
      <c r="J228" s="268"/>
      <c r="K228" s="182" t="str">
        <f>IFERROR(VLOOKUP(A228,'Budget-S&amp;U Codes Lookup'!$A$7:$C$550,3,FALSE),"")</f>
        <v/>
      </c>
      <c r="L228" s="1041"/>
      <c r="M228" s="753"/>
      <c r="N228" s="3" t="str">
        <f>IF(M228="","",VLOOKUP(M228,'Budget-S&amp;U Codes Lookup'!$E$26:$F$45,2,FALSE))</f>
        <v/>
      </c>
      <c r="P228" s="186"/>
    </row>
    <row r="229" spans="1:16">
      <c r="A229" s="751"/>
      <c r="B229" s="82" t="str">
        <f>IFERROR(VLOOKUP(A229,'Budget-S&amp;U Codes Lookup'!$A$7:$B$550,2,FALSE),"")</f>
        <v/>
      </c>
      <c r="C229" s="992"/>
      <c r="D229" s="118"/>
      <c r="E229" s="131"/>
      <c r="F229" s="124"/>
      <c r="G229" s="124"/>
      <c r="H229" s="125">
        <f t="shared" si="3"/>
        <v>0</v>
      </c>
      <c r="I229" s="191"/>
      <c r="J229" s="268"/>
      <c r="K229" s="182" t="str">
        <f>IFERROR(VLOOKUP(A229,'Budget-S&amp;U Codes Lookup'!$A$7:$C$550,3,FALSE),"")</f>
        <v/>
      </c>
      <c r="L229" s="1041"/>
      <c r="M229" s="753"/>
      <c r="N229" s="3" t="str">
        <f>IF(M229="","",VLOOKUP(M229,'Budget-S&amp;U Codes Lookup'!$E$26:$F$45,2,FALSE))</f>
        <v/>
      </c>
      <c r="P229" s="186"/>
    </row>
    <row r="230" spans="1:16">
      <c r="A230" s="751"/>
      <c r="B230" s="82" t="str">
        <f>IFERROR(VLOOKUP(A230,'Budget-S&amp;U Codes Lookup'!$A$7:$B$550,2,FALSE),"")</f>
        <v/>
      </c>
      <c r="C230" s="992"/>
      <c r="D230" s="118"/>
      <c r="E230" s="131"/>
      <c r="F230" s="124"/>
      <c r="G230" s="124"/>
      <c r="H230" s="125">
        <f t="shared" si="3"/>
        <v>0</v>
      </c>
      <c r="I230" s="191"/>
      <c r="J230" s="268"/>
      <c r="K230" s="182" t="str">
        <f>IFERROR(VLOOKUP(A230,'Budget-S&amp;U Codes Lookup'!$A$7:$C$550,3,FALSE),"")</f>
        <v/>
      </c>
      <c r="L230" s="1041"/>
      <c r="M230" s="753"/>
      <c r="N230" s="3" t="str">
        <f>IF(M230="","",VLOOKUP(M230,'Budget-S&amp;U Codes Lookup'!$E$26:$F$45,2,FALSE))</f>
        <v/>
      </c>
      <c r="P230" s="186"/>
    </row>
    <row r="231" spans="1:16">
      <c r="A231" s="751"/>
      <c r="B231" s="82" t="str">
        <f>IFERROR(VLOOKUP(A231,'Budget-S&amp;U Codes Lookup'!$A$7:$B$550,2,FALSE),"")</f>
        <v/>
      </c>
      <c r="C231" s="992"/>
      <c r="D231" s="118"/>
      <c r="E231" s="131"/>
      <c r="F231" s="124"/>
      <c r="G231" s="124"/>
      <c r="H231" s="125">
        <f t="shared" si="3"/>
        <v>0</v>
      </c>
      <c r="I231" s="191"/>
      <c r="J231" s="268"/>
      <c r="K231" s="182" t="str">
        <f>IFERROR(VLOOKUP(A231,'Budget-S&amp;U Codes Lookup'!$A$7:$C$550,3,FALSE),"")</f>
        <v/>
      </c>
      <c r="L231" s="1041"/>
      <c r="M231" s="753"/>
      <c r="N231" s="3" t="str">
        <f>IF(M231="","",VLOOKUP(M231,'Budget-S&amp;U Codes Lookup'!$E$26:$F$45,2,FALSE))</f>
        <v/>
      </c>
      <c r="P231" s="186"/>
    </row>
    <row r="232" spans="1:16">
      <c r="A232" s="751"/>
      <c r="B232" s="82" t="str">
        <f>IFERROR(VLOOKUP(A232,'Budget-S&amp;U Codes Lookup'!$A$7:$B$550,2,FALSE),"")</f>
        <v/>
      </c>
      <c r="C232" s="992"/>
      <c r="D232" s="118"/>
      <c r="E232" s="131"/>
      <c r="F232" s="124"/>
      <c r="G232" s="124"/>
      <c r="H232" s="125">
        <f t="shared" si="3"/>
        <v>0</v>
      </c>
      <c r="I232" s="191"/>
      <c r="J232" s="268"/>
      <c r="K232" s="182" t="str">
        <f>IFERROR(VLOOKUP(A232,'Budget-S&amp;U Codes Lookup'!$A$7:$C$550,3,FALSE),"")</f>
        <v/>
      </c>
      <c r="L232" s="1041"/>
      <c r="M232" s="753"/>
      <c r="N232" s="3" t="str">
        <f>IF(M232="","",VLOOKUP(M232,'Budget-S&amp;U Codes Lookup'!$E$26:$F$45,2,FALSE))</f>
        <v/>
      </c>
      <c r="P232" s="186"/>
    </row>
    <row r="233" spans="1:16">
      <c r="A233" s="751"/>
      <c r="B233" s="82" t="str">
        <f>IFERROR(VLOOKUP(A233,'Budget-S&amp;U Codes Lookup'!$A$7:$B$550,2,FALSE),"")</f>
        <v/>
      </c>
      <c r="C233" s="992"/>
      <c r="D233" s="118"/>
      <c r="E233" s="131"/>
      <c r="F233" s="124"/>
      <c r="G233" s="124"/>
      <c r="H233" s="125">
        <f t="shared" si="3"/>
        <v>0</v>
      </c>
      <c r="I233" s="191"/>
      <c r="J233" s="268"/>
      <c r="K233" s="182" t="str">
        <f>IFERROR(VLOOKUP(A233,'Budget-S&amp;U Codes Lookup'!$A$7:$C$550,3,FALSE),"")</f>
        <v/>
      </c>
      <c r="L233" s="1041"/>
      <c r="M233" s="753"/>
      <c r="N233" s="3" t="str">
        <f>IF(M233="","",VLOOKUP(M233,'Budget-S&amp;U Codes Lookup'!$E$26:$F$45,2,FALSE))</f>
        <v/>
      </c>
      <c r="P233" s="186"/>
    </row>
    <row r="234" spans="1:16">
      <c r="A234" s="751"/>
      <c r="B234" s="82" t="str">
        <f>IFERROR(VLOOKUP(A234,'Budget-S&amp;U Codes Lookup'!$A$7:$B$550,2,FALSE),"")</f>
        <v/>
      </c>
      <c r="C234" s="992"/>
      <c r="D234" s="118"/>
      <c r="E234" s="131"/>
      <c r="F234" s="124"/>
      <c r="G234" s="124"/>
      <c r="H234" s="125">
        <f t="shared" si="3"/>
        <v>0</v>
      </c>
      <c r="I234" s="191"/>
      <c r="J234" s="268"/>
      <c r="K234" s="182" t="str">
        <f>IFERROR(VLOOKUP(A234,'Budget-S&amp;U Codes Lookup'!$A$7:$C$550,3,FALSE),"")</f>
        <v/>
      </c>
      <c r="L234" s="1041"/>
      <c r="M234" s="753"/>
      <c r="N234" s="3" t="str">
        <f>IF(M234="","",VLOOKUP(M234,'Budget-S&amp;U Codes Lookup'!$E$26:$F$45,2,FALSE))</f>
        <v/>
      </c>
      <c r="P234" s="186"/>
    </row>
    <row r="235" spans="1:16">
      <c r="A235" s="751"/>
      <c r="B235" s="82" t="str">
        <f>IFERROR(VLOOKUP(A235,'Budget-S&amp;U Codes Lookup'!$A$7:$B$550,2,FALSE),"")</f>
        <v/>
      </c>
      <c r="C235" s="992"/>
      <c r="D235" s="118"/>
      <c r="E235" s="131"/>
      <c r="F235" s="124"/>
      <c r="G235" s="124"/>
      <c r="H235" s="125">
        <f t="shared" si="3"/>
        <v>0</v>
      </c>
      <c r="I235" s="191"/>
      <c r="J235" s="268"/>
      <c r="K235" s="182" t="str">
        <f>IFERROR(VLOOKUP(A235,'Budget-S&amp;U Codes Lookup'!$A$7:$C$550,3,FALSE),"")</f>
        <v/>
      </c>
      <c r="L235" s="1041"/>
      <c r="M235" s="753"/>
      <c r="N235" s="3" t="str">
        <f>IF(M235="","",VLOOKUP(M235,'Budget-S&amp;U Codes Lookup'!$E$26:$F$45,2,FALSE))</f>
        <v/>
      </c>
      <c r="P235" s="186"/>
    </row>
    <row r="236" spans="1:16">
      <c r="A236" s="751"/>
      <c r="B236" s="82" t="str">
        <f>IFERROR(VLOOKUP(A236,'Budget-S&amp;U Codes Lookup'!$A$7:$B$550,2,FALSE),"")</f>
        <v/>
      </c>
      <c r="C236" s="992"/>
      <c r="D236" s="118"/>
      <c r="E236" s="131"/>
      <c r="F236" s="124"/>
      <c r="G236" s="124"/>
      <c r="H236" s="125">
        <f t="shared" si="3"/>
        <v>0</v>
      </c>
      <c r="I236" s="191"/>
      <c r="J236" s="268"/>
      <c r="K236" s="182" t="str">
        <f>IFERROR(VLOOKUP(A236,'Budget-S&amp;U Codes Lookup'!$A$7:$C$550,3,FALSE),"")</f>
        <v/>
      </c>
      <c r="L236" s="1041"/>
      <c r="M236" s="753"/>
      <c r="N236" s="3" t="str">
        <f>IF(M236="","",VLOOKUP(M236,'Budget-S&amp;U Codes Lookup'!$E$26:$F$45,2,FALSE))</f>
        <v/>
      </c>
      <c r="P236" s="186"/>
    </row>
    <row r="237" spans="1:16">
      <c r="A237" s="751"/>
      <c r="B237" s="82" t="str">
        <f>IFERROR(VLOOKUP(A237,'Budget-S&amp;U Codes Lookup'!$A$7:$B$550,2,FALSE),"")</f>
        <v/>
      </c>
      <c r="C237" s="992"/>
      <c r="D237" s="118"/>
      <c r="E237" s="131"/>
      <c r="F237" s="124"/>
      <c r="G237" s="124"/>
      <c r="H237" s="125">
        <f t="shared" si="3"/>
        <v>0</v>
      </c>
      <c r="I237" s="191"/>
      <c r="J237" s="268"/>
      <c r="K237" s="182" t="str">
        <f>IFERROR(VLOOKUP(A237,'Budget-S&amp;U Codes Lookup'!$A$7:$C$550,3,FALSE),"")</f>
        <v/>
      </c>
      <c r="L237" s="1041"/>
      <c r="M237" s="753"/>
      <c r="N237" s="3" t="str">
        <f>IF(M237="","",VLOOKUP(M237,'Budget-S&amp;U Codes Lookup'!$E$26:$F$45,2,FALSE))</f>
        <v/>
      </c>
      <c r="P237" s="186"/>
    </row>
    <row r="238" spans="1:16">
      <c r="A238" s="751"/>
      <c r="B238" s="82" t="str">
        <f>IFERROR(VLOOKUP(A238,'Budget-S&amp;U Codes Lookup'!$A$7:$B$550,2,FALSE),"")</f>
        <v/>
      </c>
      <c r="C238" s="992"/>
      <c r="D238" s="118"/>
      <c r="E238" s="131"/>
      <c r="F238" s="124"/>
      <c r="G238" s="124"/>
      <c r="H238" s="125">
        <f t="shared" si="3"/>
        <v>0</v>
      </c>
      <c r="I238" s="191"/>
      <c r="J238" s="268"/>
      <c r="K238" s="182" t="str">
        <f>IFERROR(VLOOKUP(A238,'Budget-S&amp;U Codes Lookup'!$A$7:$C$550,3,FALSE),"")</f>
        <v/>
      </c>
      <c r="L238" s="1041"/>
      <c r="M238" s="753"/>
      <c r="N238" s="3" t="str">
        <f>IF(M238="","",VLOOKUP(M238,'Budget-S&amp;U Codes Lookup'!$E$26:$F$45,2,FALSE))</f>
        <v/>
      </c>
      <c r="P238" s="186"/>
    </row>
    <row r="239" spans="1:16">
      <c r="A239" s="751"/>
      <c r="B239" s="82" t="str">
        <f>IFERROR(VLOOKUP(A239,'Budget-S&amp;U Codes Lookup'!$A$7:$B$550,2,FALSE),"")</f>
        <v/>
      </c>
      <c r="C239" s="992"/>
      <c r="D239" s="118"/>
      <c r="E239" s="131"/>
      <c r="F239" s="124"/>
      <c r="G239" s="124"/>
      <c r="H239" s="125">
        <f t="shared" si="3"/>
        <v>0</v>
      </c>
      <c r="I239" s="191"/>
      <c r="J239" s="268"/>
      <c r="K239" s="182" t="str">
        <f>IFERROR(VLOOKUP(A239,'Budget-S&amp;U Codes Lookup'!$A$7:$C$550,3,FALSE),"")</f>
        <v/>
      </c>
      <c r="L239" s="1041"/>
      <c r="M239" s="753"/>
      <c r="N239" s="3" t="str">
        <f>IF(M239="","",VLOOKUP(M239,'Budget-S&amp;U Codes Lookup'!$E$26:$F$45,2,FALSE))</f>
        <v/>
      </c>
      <c r="P239" s="186"/>
    </row>
    <row r="240" spans="1:16">
      <c r="A240" s="751"/>
      <c r="B240" s="82" t="str">
        <f>IFERROR(VLOOKUP(A240,'Budget-S&amp;U Codes Lookup'!$A$7:$B$550,2,FALSE),"")</f>
        <v/>
      </c>
      <c r="C240" s="992"/>
      <c r="D240" s="118"/>
      <c r="E240" s="131"/>
      <c r="F240" s="124"/>
      <c r="G240" s="124"/>
      <c r="H240" s="125">
        <f t="shared" si="3"/>
        <v>0</v>
      </c>
      <c r="I240" s="191"/>
      <c r="J240" s="268"/>
      <c r="K240" s="182" t="str">
        <f>IFERROR(VLOOKUP(A240,'Budget-S&amp;U Codes Lookup'!$A$7:$C$550,3,FALSE),"")</f>
        <v/>
      </c>
      <c r="L240" s="1041"/>
      <c r="M240" s="753"/>
      <c r="N240" s="3" t="str">
        <f>IF(M240="","",VLOOKUP(M240,'Budget-S&amp;U Codes Lookup'!$E$26:$F$45,2,FALSE))</f>
        <v/>
      </c>
      <c r="P240" s="186"/>
    </row>
    <row r="241" spans="1:16">
      <c r="A241" s="751"/>
      <c r="B241" s="82" t="str">
        <f>IFERROR(VLOOKUP(A241,'Budget-S&amp;U Codes Lookup'!$A$7:$B$550,2,FALSE),"")</f>
        <v/>
      </c>
      <c r="C241" s="992"/>
      <c r="D241" s="118"/>
      <c r="E241" s="131"/>
      <c r="F241" s="124"/>
      <c r="G241" s="124"/>
      <c r="H241" s="125">
        <f t="shared" si="3"/>
        <v>0</v>
      </c>
      <c r="I241" s="191"/>
      <c r="J241" s="268"/>
      <c r="K241" s="182" t="str">
        <f>IFERROR(VLOOKUP(A241,'Budget-S&amp;U Codes Lookup'!$A$7:$C$550,3,FALSE),"")</f>
        <v/>
      </c>
      <c r="L241" s="1041"/>
      <c r="M241" s="753"/>
      <c r="N241" s="3" t="str">
        <f>IF(M241="","",VLOOKUP(M241,'Budget-S&amp;U Codes Lookup'!$E$26:$F$45,2,FALSE))</f>
        <v/>
      </c>
      <c r="P241" s="186"/>
    </row>
    <row r="242" spans="1:16">
      <c r="A242" s="751"/>
      <c r="B242" s="82" t="str">
        <f>IFERROR(VLOOKUP(A242,'Budget-S&amp;U Codes Lookup'!$A$7:$B$550,2,FALSE),"")</f>
        <v/>
      </c>
      <c r="C242" s="992"/>
      <c r="D242" s="118"/>
      <c r="E242" s="131"/>
      <c r="F242" s="124"/>
      <c r="G242" s="124"/>
      <c r="H242" s="125">
        <f t="shared" si="3"/>
        <v>0</v>
      </c>
      <c r="I242" s="191"/>
      <c r="J242" s="268"/>
      <c r="K242" s="182" t="str">
        <f>IFERROR(VLOOKUP(A242,'Budget-S&amp;U Codes Lookup'!$A$7:$C$550,3,FALSE),"")</f>
        <v/>
      </c>
      <c r="L242" s="1041"/>
      <c r="M242" s="753"/>
      <c r="N242" s="3" t="str">
        <f>IF(M242="","",VLOOKUP(M242,'Budget-S&amp;U Codes Lookup'!$E$26:$F$45,2,FALSE))</f>
        <v/>
      </c>
      <c r="P242" s="186"/>
    </row>
    <row r="243" spans="1:16">
      <c r="A243" s="751"/>
      <c r="B243" s="82" t="str">
        <f>IFERROR(VLOOKUP(A243,'Budget-S&amp;U Codes Lookup'!$A$7:$B$550,2,FALSE),"")</f>
        <v/>
      </c>
      <c r="C243" s="992"/>
      <c r="D243" s="118"/>
      <c r="E243" s="131"/>
      <c r="F243" s="124"/>
      <c r="G243" s="124"/>
      <c r="H243" s="125">
        <f t="shared" si="3"/>
        <v>0</v>
      </c>
      <c r="I243" s="191"/>
      <c r="J243" s="268"/>
      <c r="K243" s="182" t="str">
        <f>IFERROR(VLOOKUP(A243,'Budget-S&amp;U Codes Lookup'!$A$7:$C$550,3,FALSE),"")</f>
        <v/>
      </c>
      <c r="L243" s="1041"/>
      <c r="M243" s="753"/>
      <c r="N243" s="3" t="str">
        <f>IF(M243="","",VLOOKUP(M243,'Budget-S&amp;U Codes Lookup'!$E$26:$F$45,2,FALSE))</f>
        <v/>
      </c>
      <c r="P243" s="186"/>
    </row>
    <row r="244" spans="1:16">
      <c r="A244" s="751"/>
      <c r="B244" s="82" t="str">
        <f>IFERROR(VLOOKUP(A244,'Budget-S&amp;U Codes Lookup'!$A$7:$B$550,2,FALSE),"")</f>
        <v/>
      </c>
      <c r="C244" s="992"/>
      <c r="D244" s="118"/>
      <c r="E244" s="131"/>
      <c r="F244" s="124"/>
      <c r="G244" s="124"/>
      <c r="H244" s="125">
        <f t="shared" si="3"/>
        <v>0</v>
      </c>
      <c r="I244" s="191"/>
      <c r="J244" s="268"/>
      <c r="K244" s="182" t="str">
        <f>IFERROR(VLOOKUP(A244,'Budget-S&amp;U Codes Lookup'!$A$7:$C$550,3,FALSE),"")</f>
        <v/>
      </c>
      <c r="L244" s="1041"/>
      <c r="M244" s="753"/>
      <c r="N244" s="3" t="str">
        <f>IF(M244="","",VLOOKUP(M244,'Budget-S&amp;U Codes Lookup'!$E$26:$F$45,2,FALSE))</f>
        <v/>
      </c>
      <c r="P244" s="186"/>
    </row>
    <row r="245" spans="1:16">
      <c r="A245" s="751"/>
      <c r="B245" s="82" t="str">
        <f>IFERROR(VLOOKUP(A245,'Budget-S&amp;U Codes Lookup'!$A$7:$B$550,2,FALSE),"")</f>
        <v/>
      </c>
      <c r="C245" s="992"/>
      <c r="D245" s="118"/>
      <c r="E245" s="131"/>
      <c r="F245" s="124"/>
      <c r="G245" s="124"/>
      <c r="H245" s="125">
        <f t="shared" si="3"/>
        <v>0</v>
      </c>
      <c r="I245" s="191"/>
      <c r="J245" s="268"/>
      <c r="K245" s="182" t="str">
        <f>IFERROR(VLOOKUP(A245,'Budget-S&amp;U Codes Lookup'!$A$7:$C$550,3,FALSE),"")</f>
        <v/>
      </c>
      <c r="L245" s="1041"/>
      <c r="M245" s="753"/>
      <c r="N245" s="3" t="str">
        <f>IF(M245="","",VLOOKUP(M245,'Budget-S&amp;U Codes Lookup'!$E$26:$F$45,2,FALSE))</f>
        <v/>
      </c>
      <c r="P245" s="186"/>
    </row>
    <row r="246" spans="1:16">
      <c r="A246" s="751"/>
      <c r="B246" s="82" t="str">
        <f>IFERROR(VLOOKUP(A246,'Budget-S&amp;U Codes Lookup'!$A$7:$B$550,2,FALSE),"")</f>
        <v/>
      </c>
      <c r="C246" s="992"/>
      <c r="D246" s="118"/>
      <c r="E246" s="131"/>
      <c r="F246" s="124"/>
      <c r="G246" s="124"/>
      <c r="H246" s="125">
        <f t="shared" si="3"/>
        <v>0</v>
      </c>
      <c r="I246" s="191"/>
      <c r="J246" s="268"/>
      <c r="K246" s="182" t="str">
        <f>IFERROR(VLOOKUP(A246,'Budget-S&amp;U Codes Lookup'!$A$7:$C$550,3,FALSE),"")</f>
        <v/>
      </c>
      <c r="L246" s="1041"/>
      <c r="M246" s="753"/>
      <c r="N246" s="3" t="str">
        <f>IF(M246="","",VLOOKUP(M246,'Budget-S&amp;U Codes Lookup'!$E$26:$F$45,2,FALSE))</f>
        <v/>
      </c>
      <c r="P246" s="186"/>
    </row>
    <row r="247" spans="1:16">
      <c r="A247" s="751"/>
      <c r="B247" s="82" t="str">
        <f>IFERROR(VLOOKUP(A247,'Budget-S&amp;U Codes Lookup'!$A$7:$B$550,2,FALSE),"")</f>
        <v/>
      </c>
      <c r="C247" s="992"/>
      <c r="D247" s="118"/>
      <c r="E247" s="131"/>
      <c r="F247" s="124"/>
      <c r="G247" s="124"/>
      <c r="H247" s="125">
        <f t="shared" si="3"/>
        <v>0</v>
      </c>
      <c r="I247" s="191"/>
      <c r="J247" s="268"/>
      <c r="K247" s="182" t="str">
        <f>IFERROR(VLOOKUP(A247,'Budget-S&amp;U Codes Lookup'!$A$7:$C$550,3,FALSE),"")</f>
        <v/>
      </c>
      <c r="L247" s="1041"/>
      <c r="M247" s="753"/>
      <c r="N247" s="3" t="str">
        <f>IF(M247="","",VLOOKUP(M247,'Budget-S&amp;U Codes Lookup'!$E$26:$F$45,2,FALSE))</f>
        <v/>
      </c>
      <c r="P247" s="186"/>
    </row>
    <row r="248" spans="1:16">
      <c r="A248" s="751"/>
      <c r="B248" s="82" t="str">
        <f>IFERROR(VLOOKUP(A248,'Budget-S&amp;U Codes Lookup'!$A$7:$B$550,2,FALSE),"")</f>
        <v/>
      </c>
      <c r="C248" s="992"/>
      <c r="D248" s="118"/>
      <c r="E248" s="131"/>
      <c r="F248" s="124"/>
      <c r="G248" s="124"/>
      <c r="H248" s="125">
        <f t="shared" si="3"/>
        <v>0</v>
      </c>
      <c r="I248" s="191"/>
      <c r="J248" s="268"/>
      <c r="K248" s="182" t="str">
        <f>IFERROR(VLOOKUP(A248,'Budget-S&amp;U Codes Lookup'!$A$7:$C$550,3,FALSE),"")</f>
        <v/>
      </c>
      <c r="L248" s="1041"/>
      <c r="M248" s="753"/>
      <c r="N248" s="3" t="str">
        <f>IF(M248="","",VLOOKUP(M248,'Budget-S&amp;U Codes Lookup'!$E$26:$F$45,2,FALSE))</f>
        <v/>
      </c>
      <c r="P248" s="186"/>
    </row>
    <row r="249" spans="1:16">
      <c r="A249" s="751"/>
      <c r="B249" s="82" t="str">
        <f>IFERROR(VLOOKUP(A249,'Budget-S&amp;U Codes Lookup'!$A$7:$B$550,2,FALSE),"")</f>
        <v/>
      </c>
      <c r="C249" s="992"/>
      <c r="D249" s="118"/>
      <c r="E249" s="131"/>
      <c r="F249" s="124"/>
      <c r="G249" s="124"/>
      <c r="H249" s="125">
        <f t="shared" si="3"/>
        <v>0</v>
      </c>
      <c r="I249" s="191"/>
      <c r="J249" s="268"/>
      <c r="K249" s="182" t="str">
        <f>IFERROR(VLOOKUP(A249,'Budget-S&amp;U Codes Lookup'!$A$7:$C$550,3,FALSE),"")</f>
        <v/>
      </c>
      <c r="L249" s="1041"/>
      <c r="M249" s="753"/>
      <c r="N249" s="3" t="str">
        <f>IF(M249="","",VLOOKUP(M249,'Budget-S&amp;U Codes Lookup'!$E$26:$F$45,2,FALSE))</f>
        <v/>
      </c>
      <c r="P249" s="186"/>
    </row>
    <row r="250" spans="1:16">
      <c r="A250" s="751"/>
      <c r="B250" s="82" t="str">
        <f>IFERROR(VLOOKUP(A250,'Budget-S&amp;U Codes Lookup'!$A$7:$B$550,2,FALSE),"")</f>
        <v/>
      </c>
      <c r="C250" s="992"/>
      <c r="D250" s="118"/>
      <c r="E250" s="131"/>
      <c r="F250" s="124"/>
      <c r="G250" s="124"/>
      <c r="H250" s="125">
        <f t="shared" si="3"/>
        <v>0</v>
      </c>
      <c r="I250" s="191"/>
      <c r="J250" s="268"/>
      <c r="K250" s="182" t="str">
        <f>IFERROR(VLOOKUP(A250,'Budget-S&amp;U Codes Lookup'!$A$7:$C$550,3,FALSE),"")</f>
        <v/>
      </c>
      <c r="L250" s="1041"/>
      <c r="M250" s="753"/>
      <c r="N250" s="3" t="str">
        <f>IF(M250="","",VLOOKUP(M250,'Budget-S&amp;U Codes Lookup'!$E$26:$F$45,2,FALSE))</f>
        <v/>
      </c>
      <c r="P250" s="186"/>
    </row>
    <row r="251" spans="1:16">
      <c r="A251" s="751"/>
      <c r="B251" s="82" t="str">
        <f>IFERROR(VLOOKUP(A251,'Budget-S&amp;U Codes Lookup'!$A$7:$B$550,2,FALSE),"")</f>
        <v/>
      </c>
      <c r="C251" s="992"/>
      <c r="D251" s="118"/>
      <c r="E251" s="131"/>
      <c r="F251" s="124"/>
      <c r="G251" s="124"/>
      <c r="H251" s="125">
        <f t="shared" si="3"/>
        <v>0</v>
      </c>
      <c r="I251" s="191"/>
      <c r="J251" s="268"/>
      <c r="K251" s="182" t="str">
        <f>IFERROR(VLOOKUP(A251,'Budget-S&amp;U Codes Lookup'!$A$7:$C$550,3,FALSE),"")</f>
        <v/>
      </c>
      <c r="L251" s="1041"/>
      <c r="M251" s="753"/>
      <c r="N251" s="3" t="str">
        <f>IF(M251="","",VLOOKUP(M251,'Budget-S&amp;U Codes Lookup'!$E$26:$F$45,2,FALSE))</f>
        <v/>
      </c>
      <c r="P251" s="186"/>
    </row>
    <row r="252" spans="1:16">
      <c r="A252" s="751"/>
      <c r="B252" s="82" t="str">
        <f>IFERROR(VLOOKUP(A252,'Budget-S&amp;U Codes Lookup'!$A$7:$B$550,2,FALSE),"")</f>
        <v/>
      </c>
      <c r="C252" s="992"/>
      <c r="D252" s="118"/>
      <c r="E252" s="131"/>
      <c r="F252" s="124"/>
      <c r="G252" s="124"/>
      <c r="H252" s="125">
        <f t="shared" si="3"/>
        <v>0</v>
      </c>
      <c r="I252" s="191"/>
      <c r="J252" s="268"/>
      <c r="K252" s="182" t="str">
        <f>IFERROR(VLOOKUP(A252,'Budget-S&amp;U Codes Lookup'!$A$7:$C$550,3,FALSE),"")</f>
        <v/>
      </c>
      <c r="L252" s="1041"/>
      <c r="M252" s="753"/>
      <c r="N252" s="3" t="str">
        <f>IF(M252="","",VLOOKUP(M252,'Budget-S&amp;U Codes Lookup'!$E$26:$F$45,2,FALSE))</f>
        <v/>
      </c>
      <c r="P252" s="186"/>
    </row>
    <row r="253" spans="1:16">
      <c r="A253" s="751"/>
      <c r="B253" s="82" t="str">
        <f>IFERROR(VLOOKUP(A253,'Budget-S&amp;U Codes Lookup'!$A$7:$B$550,2,FALSE),"")</f>
        <v/>
      </c>
      <c r="C253" s="992"/>
      <c r="D253" s="118"/>
      <c r="E253" s="131"/>
      <c r="F253" s="124"/>
      <c r="G253" s="124"/>
      <c r="H253" s="125">
        <f t="shared" si="3"/>
        <v>0</v>
      </c>
      <c r="I253" s="191"/>
      <c r="J253" s="268"/>
      <c r="K253" s="182" t="str">
        <f>IFERROR(VLOOKUP(A253,'Budget-S&amp;U Codes Lookup'!$A$7:$C$550,3,FALSE),"")</f>
        <v/>
      </c>
      <c r="L253" s="1041"/>
      <c r="M253" s="753"/>
      <c r="N253" s="3" t="str">
        <f>IF(M253="","",VLOOKUP(M253,'Budget-S&amp;U Codes Lookup'!$E$26:$F$45,2,FALSE))</f>
        <v/>
      </c>
      <c r="P253" s="186"/>
    </row>
    <row r="254" spans="1:16">
      <c r="A254" s="751"/>
      <c r="B254" s="82" t="str">
        <f>IFERROR(VLOOKUP(A254,'Budget-S&amp;U Codes Lookup'!$A$7:$B$550,2,FALSE),"")</f>
        <v/>
      </c>
      <c r="C254" s="992"/>
      <c r="D254" s="118"/>
      <c r="E254" s="131"/>
      <c r="F254" s="124"/>
      <c r="G254" s="124"/>
      <c r="H254" s="125">
        <f t="shared" si="3"/>
        <v>0</v>
      </c>
      <c r="I254" s="191"/>
      <c r="J254" s="268"/>
      <c r="K254" s="182" t="str">
        <f>IFERROR(VLOOKUP(A254,'Budget-S&amp;U Codes Lookup'!$A$7:$C$550,3,FALSE),"")</f>
        <v/>
      </c>
      <c r="L254" s="1041"/>
      <c r="M254" s="753"/>
      <c r="N254" s="3" t="str">
        <f>IF(M254="","",VLOOKUP(M254,'Budget-S&amp;U Codes Lookup'!$E$26:$F$45,2,FALSE))</f>
        <v/>
      </c>
      <c r="P254" s="186"/>
    </row>
    <row r="255" spans="1:16">
      <c r="A255" s="751"/>
      <c r="B255" s="82" t="str">
        <f>IFERROR(VLOOKUP(A255,'Budget-S&amp;U Codes Lookup'!$A$7:$B$550,2,FALSE),"")</f>
        <v/>
      </c>
      <c r="C255" s="992"/>
      <c r="D255" s="118"/>
      <c r="E255" s="131"/>
      <c r="F255" s="124"/>
      <c r="G255" s="124"/>
      <c r="H255" s="125">
        <f t="shared" si="3"/>
        <v>0</v>
      </c>
      <c r="I255" s="191"/>
      <c r="J255" s="268"/>
      <c r="K255" s="182" t="str">
        <f>IFERROR(VLOOKUP(A255,'Budget-S&amp;U Codes Lookup'!$A$7:$C$550,3,FALSE),"")</f>
        <v/>
      </c>
      <c r="L255" s="1041"/>
      <c r="M255" s="753"/>
      <c r="N255" s="3" t="str">
        <f>IF(M255="","",VLOOKUP(M255,'Budget-S&amp;U Codes Lookup'!$E$26:$F$45,2,FALSE))</f>
        <v/>
      </c>
      <c r="P255" s="186"/>
    </row>
    <row r="256" spans="1:16">
      <c r="A256" s="751"/>
      <c r="B256" s="82" t="str">
        <f>IFERROR(VLOOKUP(A256,'Budget-S&amp;U Codes Lookup'!$A$7:$B$550,2,FALSE),"")</f>
        <v/>
      </c>
      <c r="C256" s="992"/>
      <c r="D256" s="118"/>
      <c r="E256" s="131"/>
      <c r="F256" s="124"/>
      <c r="G256" s="124"/>
      <c r="H256" s="125">
        <f t="shared" si="3"/>
        <v>0</v>
      </c>
      <c r="I256" s="191"/>
      <c r="J256" s="268"/>
      <c r="K256" s="182" t="str">
        <f>IFERROR(VLOOKUP(A256,'Budget-S&amp;U Codes Lookup'!$A$7:$C$550,3,FALSE),"")</f>
        <v/>
      </c>
      <c r="L256" s="1041"/>
      <c r="M256" s="753"/>
      <c r="N256" s="3" t="str">
        <f>IF(M256="","",VLOOKUP(M256,'Budget-S&amp;U Codes Lookup'!$E$26:$F$45,2,FALSE))</f>
        <v/>
      </c>
      <c r="P256" s="186"/>
    </row>
    <row r="257" spans="1:16">
      <c r="A257" s="751"/>
      <c r="B257" s="82" t="str">
        <f>IFERROR(VLOOKUP(A257,'Budget-S&amp;U Codes Lookup'!$A$7:$B$550,2,FALSE),"")</f>
        <v/>
      </c>
      <c r="C257" s="992"/>
      <c r="D257" s="118"/>
      <c r="E257" s="131"/>
      <c r="F257" s="124"/>
      <c r="G257" s="124"/>
      <c r="H257" s="125">
        <f t="shared" si="3"/>
        <v>0</v>
      </c>
      <c r="I257" s="191"/>
      <c r="J257" s="268"/>
      <c r="K257" s="182" t="str">
        <f>IFERROR(VLOOKUP(A257,'Budget-S&amp;U Codes Lookup'!$A$7:$C$550,3,FALSE),"")</f>
        <v/>
      </c>
      <c r="L257" s="1041"/>
      <c r="M257" s="753"/>
      <c r="N257" s="3" t="str">
        <f>IF(M257="","",VLOOKUP(M257,'Budget-S&amp;U Codes Lookup'!$E$26:$F$45,2,FALSE))</f>
        <v/>
      </c>
      <c r="P257" s="186"/>
    </row>
    <row r="258" spans="1:16">
      <c r="A258" s="751"/>
      <c r="B258" s="82" t="str">
        <f>IFERROR(VLOOKUP(A258,'Budget-S&amp;U Codes Lookup'!$A$7:$B$550,2,FALSE),"")</f>
        <v/>
      </c>
      <c r="C258" s="992"/>
      <c r="D258" s="123"/>
      <c r="E258" s="131"/>
      <c r="F258" s="124"/>
      <c r="G258" s="124"/>
      <c r="H258" s="125">
        <f t="shared" si="3"/>
        <v>0</v>
      </c>
      <c r="I258" s="191"/>
      <c r="J258" s="268"/>
      <c r="K258" s="182" t="str">
        <f>IFERROR(VLOOKUP(A258,'Budget-S&amp;U Codes Lookup'!$A$7:$C$550,3,FALSE),"")</f>
        <v/>
      </c>
      <c r="L258" s="1041"/>
      <c r="M258" s="753"/>
      <c r="N258" s="3" t="str">
        <f>IF(M258="","",VLOOKUP(M258,'Budget-S&amp;U Codes Lookup'!$E$26:$F$45,2,FALSE))</f>
        <v/>
      </c>
      <c r="P258" s="186"/>
    </row>
    <row r="259" spans="1:16">
      <c r="A259" s="751"/>
      <c r="B259" s="82" t="str">
        <f>IFERROR(VLOOKUP(A259,'Budget-S&amp;U Codes Lookup'!$A$7:$B$550,2,FALSE),"")</f>
        <v/>
      </c>
      <c r="C259" s="992"/>
      <c r="D259" s="118"/>
      <c r="E259" s="131"/>
      <c r="F259" s="124"/>
      <c r="G259" s="124"/>
      <c r="H259" s="125">
        <f t="shared" si="3"/>
        <v>0</v>
      </c>
      <c r="I259" s="191"/>
      <c r="J259" s="268"/>
      <c r="K259" s="182" t="str">
        <f>IFERROR(VLOOKUP(A259,'Budget-S&amp;U Codes Lookup'!$A$7:$C$550,3,FALSE),"")</f>
        <v/>
      </c>
      <c r="L259" s="1041"/>
      <c r="M259" s="753"/>
      <c r="N259" s="3" t="str">
        <f>IF(M259="","",VLOOKUP(M259,'Budget-S&amp;U Codes Lookup'!$E$26:$F$45,2,FALSE))</f>
        <v/>
      </c>
      <c r="P259" s="186"/>
    </row>
    <row r="260" spans="1:16">
      <c r="A260" s="751"/>
      <c r="B260" s="82" t="str">
        <f>IFERROR(VLOOKUP(A260,'Budget-S&amp;U Codes Lookup'!$A$7:$B$550,2,FALSE),"")</f>
        <v/>
      </c>
      <c r="C260" s="992"/>
      <c r="D260" s="118"/>
      <c r="E260" s="131"/>
      <c r="F260" s="124"/>
      <c r="G260" s="124"/>
      <c r="H260" s="125">
        <f t="shared" si="3"/>
        <v>0</v>
      </c>
      <c r="I260" s="191"/>
      <c r="J260" s="268"/>
      <c r="K260" s="182" t="str">
        <f>IFERROR(VLOOKUP(A260,'Budget-S&amp;U Codes Lookup'!$A$7:$C$550,3,FALSE),"")</f>
        <v/>
      </c>
      <c r="L260" s="1041"/>
      <c r="M260" s="753"/>
      <c r="N260" s="3" t="str">
        <f>IF(M260="","",VLOOKUP(M260,'Budget-S&amp;U Codes Lookup'!$E$26:$F$45,2,FALSE))</f>
        <v/>
      </c>
      <c r="P260" s="186"/>
    </row>
    <row r="261" spans="1:16">
      <c r="A261" s="751"/>
      <c r="B261" s="82" t="str">
        <f>IFERROR(VLOOKUP(A261,'Budget-S&amp;U Codes Lookup'!$A$7:$B$550,2,FALSE),"")</f>
        <v/>
      </c>
      <c r="C261" s="992"/>
      <c r="D261" s="118"/>
      <c r="E261" s="131"/>
      <c r="F261" s="124"/>
      <c r="G261" s="124"/>
      <c r="H261" s="125">
        <f t="shared" si="3"/>
        <v>0</v>
      </c>
      <c r="I261" s="191"/>
      <c r="J261" s="268"/>
      <c r="K261" s="182" t="str">
        <f>IFERROR(VLOOKUP(A261,'Budget-S&amp;U Codes Lookup'!$A$7:$C$550,3,FALSE),"")</f>
        <v/>
      </c>
      <c r="L261" s="1041"/>
      <c r="M261" s="753"/>
      <c r="N261" s="3" t="str">
        <f>IF(M261="","",VLOOKUP(M261,'Budget-S&amp;U Codes Lookup'!$E$26:$F$45,2,FALSE))</f>
        <v/>
      </c>
      <c r="P261" s="186"/>
    </row>
    <row r="262" spans="1:16">
      <c r="A262" s="751"/>
      <c r="B262" s="82" t="str">
        <f>IFERROR(VLOOKUP(A262,'Budget-S&amp;U Codes Lookup'!$A$7:$B$550,2,FALSE),"")</f>
        <v/>
      </c>
      <c r="C262" s="992"/>
      <c r="D262" s="118"/>
      <c r="E262" s="131"/>
      <c r="F262" s="124"/>
      <c r="G262" s="124"/>
      <c r="H262" s="125">
        <f t="shared" si="3"/>
        <v>0</v>
      </c>
      <c r="I262" s="191"/>
      <c r="J262" s="268"/>
      <c r="K262" s="182" t="str">
        <f>IFERROR(VLOOKUP(A262,'Budget-S&amp;U Codes Lookup'!$A$7:$C$550,3,FALSE),"")</f>
        <v/>
      </c>
      <c r="L262" s="1041"/>
      <c r="M262" s="753"/>
      <c r="N262" s="3" t="str">
        <f>IF(M262="","",VLOOKUP(M262,'Budget-S&amp;U Codes Lookup'!$E$26:$F$45,2,FALSE))</f>
        <v/>
      </c>
      <c r="P262" s="186"/>
    </row>
    <row r="263" spans="1:16">
      <c r="A263" s="751"/>
      <c r="B263" s="82" t="str">
        <f>IFERROR(VLOOKUP(A263,'Budget-S&amp;U Codes Lookup'!$A$7:$B$550,2,FALSE),"")</f>
        <v/>
      </c>
      <c r="C263" s="992"/>
      <c r="D263" s="118"/>
      <c r="E263" s="131"/>
      <c r="F263" s="124"/>
      <c r="G263" s="124"/>
      <c r="H263" s="125">
        <f t="shared" si="3"/>
        <v>0</v>
      </c>
      <c r="I263" s="191"/>
      <c r="J263" s="268"/>
      <c r="K263" s="182" t="str">
        <f>IFERROR(VLOOKUP(A263,'Budget-S&amp;U Codes Lookup'!$A$7:$C$550,3,FALSE),"")</f>
        <v/>
      </c>
      <c r="L263" s="1041"/>
      <c r="M263" s="753"/>
      <c r="N263" s="3" t="str">
        <f>IF(M263="","",VLOOKUP(M263,'Budget-S&amp;U Codes Lookup'!$E$26:$F$45,2,FALSE))</f>
        <v/>
      </c>
      <c r="P263" s="186"/>
    </row>
    <row r="264" spans="1:16">
      <c r="A264" s="751"/>
      <c r="B264" s="82" t="str">
        <f>IFERROR(VLOOKUP(A264,'Budget-S&amp;U Codes Lookup'!$A$7:$B$550,2,FALSE),"")</f>
        <v/>
      </c>
      <c r="C264" s="992"/>
      <c r="D264" s="118"/>
      <c r="E264" s="131"/>
      <c r="F264" s="124"/>
      <c r="G264" s="124"/>
      <c r="H264" s="125">
        <f t="shared" si="3"/>
        <v>0</v>
      </c>
      <c r="I264" s="191"/>
      <c r="J264" s="268"/>
      <c r="K264" s="182" t="str">
        <f>IFERROR(VLOOKUP(A264,'Budget-S&amp;U Codes Lookup'!$A$7:$C$550,3,FALSE),"")</f>
        <v/>
      </c>
      <c r="L264" s="1041"/>
      <c r="M264" s="753"/>
      <c r="N264" s="3" t="str">
        <f>IF(M264="","",VLOOKUP(M264,'Budget-S&amp;U Codes Lookup'!$E$26:$F$45,2,FALSE))</f>
        <v/>
      </c>
      <c r="P264" s="186"/>
    </row>
    <row r="265" spans="1:16">
      <c r="A265" s="751"/>
      <c r="B265" s="82" t="str">
        <f>IFERROR(VLOOKUP(A265,'Budget-S&amp;U Codes Lookup'!$A$7:$B$550,2,FALSE),"")</f>
        <v/>
      </c>
      <c r="C265" s="992"/>
      <c r="D265" s="118"/>
      <c r="E265" s="131"/>
      <c r="F265" s="124"/>
      <c r="G265" s="124"/>
      <c r="H265" s="125">
        <f t="shared" si="3"/>
        <v>0</v>
      </c>
      <c r="I265" s="191"/>
      <c r="J265" s="268"/>
      <c r="K265" s="182" t="str">
        <f>IFERROR(VLOOKUP(A265,'Budget-S&amp;U Codes Lookup'!$A$7:$C$550,3,FALSE),"")</f>
        <v/>
      </c>
      <c r="L265" s="1041"/>
      <c r="M265" s="753"/>
      <c r="N265" s="3" t="str">
        <f>IF(M265="","",VLOOKUP(M265,'Budget-S&amp;U Codes Lookup'!$E$26:$F$45,2,FALSE))</f>
        <v/>
      </c>
      <c r="P265" s="186"/>
    </row>
    <row r="266" spans="1:16">
      <c r="A266" s="751"/>
      <c r="B266" s="82" t="str">
        <f>IFERROR(VLOOKUP(A266,'Budget-S&amp;U Codes Lookup'!$A$7:$B$550,2,FALSE),"")</f>
        <v/>
      </c>
      <c r="C266" s="992"/>
      <c r="D266" s="118"/>
      <c r="E266" s="131"/>
      <c r="F266" s="124"/>
      <c r="G266" s="124"/>
      <c r="H266" s="125">
        <f t="shared" ref="H266:H329" si="4">F266-G266</f>
        <v>0</v>
      </c>
      <c r="I266" s="191"/>
      <c r="J266" s="268"/>
      <c r="K266" s="182" t="str">
        <f>IFERROR(VLOOKUP(A266,'Budget-S&amp;U Codes Lookup'!$A$7:$C$550,3,FALSE),"")</f>
        <v/>
      </c>
      <c r="L266" s="1041"/>
      <c r="M266" s="753"/>
      <c r="N266" s="3" t="str">
        <f>IF(M266="","",VLOOKUP(M266,'Budget-S&amp;U Codes Lookup'!$E$26:$F$45,2,FALSE))</f>
        <v/>
      </c>
      <c r="P266" s="186"/>
    </row>
    <row r="267" spans="1:16">
      <c r="A267" s="751"/>
      <c r="B267" s="82" t="str">
        <f>IFERROR(VLOOKUP(A267,'Budget-S&amp;U Codes Lookup'!$A$7:$B$550,2,FALSE),"")</f>
        <v/>
      </c>
      <c r="C267" s="992"/>
      <c r="D267" s="118"/>
      <c r="E267" s="131"/>
      <c r="F267" s="124"/>
      <c r="G267" s="124"/>
      <c r="H267" s="125">
        <f t="shared" si="4"/>
        <v>0</v>
      </c>
      <c r="I267" s="191"/>
      <c r="J267" s="268"/>
      <c r="K267" s="182" t="str">
        <f>IFERROR(VLOOKUP(A267,'Budget-S&amp;U Codes Lookup'!$A$7:$C$550,3,FALSE),"")</f>
        <v/>
      </c>
      <c r="L267" s="1041"/>
      <c r="M267" s="753"/>
      <c r="N267" s="3" t="str">
        <f>IF(M267="","",VLOOKUP(M267,'Budget-S&amp;U Codes Lookup'!$E$26:$F$45,2,FALSE))</f>
        <v/>
      </c>
      <c r="P267" s="186"/>
    </row>
    <row r="268" spans="1:16">
      <c r="A268" s="751"/>
      <c r="B268" s="82" t="str">
        <f>IFERROR(VLOOKUP(A268,'Budget-S&amp;U Codes Lookup'!$A$7:$B$550,2,FALSE),"")</f>
        <v/>
      </c>
      <c r="C268" s="992"/>
      <c r="D268" s="118"/>
      <c r="E268" s="131"/>
      <c r="F268" s="124"/>
      <c r="G268" s="124"/>
      <c r="H268" s="125">
        <f t="shared" si="4"/>
        <v>0</v>
      </c>
      <c r="I268" s="191"/>
      <c r="J268" s="268"/>
      <c r="K268" s="182" t="str">
        <f>IFERROR(VLOOKUP(A268,'Budget-S&amp;U Codes Lookup'!$A$7:$C$550,3,FALSE),"")</f>
        <v/>
      </c>
      <c r="L268" s="1041"/>
      <c r="M268" s="753"/>
      <c r="N268" s="3" t="str">
        <f>IF(M268="","",VLOOKUP(M268,'Budget-S&amp;U Codes Lookup'!$E$26:$F$45,2,FALSE))</f>
        <v/>
      </c>
      <c r="P268" s="186"/>
    </row>
    <row r="269" spans="1:16">
      <c r="A269" s="751"/>
      <c r="B269" s="82" t="str">
        <f>IFERROR(VLOOKUP(A269,'Budget-S&amp;U Codes Lookup'!$A$7:$B$550,2,FALSE),"")</f>
        <v/>
      </c>
      <c r="C269" s="992"/>
      <c r="D269" s="118"/>
      <c r="E269" s="131"/>
      <c r="F269" s="124"/>
      <c r="G269" s="124"/>
      <c r="H269" s="125">
        <f t="shared" si="4"/>
        <v>0</v>
      </c>
      <c r="I269" s="191"/>
      <c r="J269" s="268"/>
      <c r="K269" s="182" t="str">
        <f>IFERROR(VLOOKUP(A269,'Budget-S&amp;U Codes Lookup'!$A$7:$C$550,3,FALSE),"")</f>
        <v/>
      </c>
      <c r="L269" s="1041"/>
      <c r="M269" s="753"/>
      <c r="N269" s="3" t="str">
        <f>IF(M269="","",VLOOKUP(M269,'Budget-S&amp;U Codes Lookup'!$E$26:$F$45,2,FALSE))</f>
        <v/>
      </c>
      <c r="P269" s="186"/>
    </row>
    <row r="270" spans="1:16">
      <c r="A270" s="751"/>
      <c r="B270" s="82" t="str">
        <f>IFERROR(VLOOKUP(A270,'Budget-S&amp;U Codes Lookup'!$A$7:$B$550,2,FALSE),"")</f>
        <v/>
      </c>
      <c r="C270" s="992"/>
      <c r="D270" s="118"/>
      <c r="E270" s="131"/>
      <c r="F270" s="124"/>
      <c r="G270" s="124"/>
      <c r="H270" s="125">
        <f t="shared" si="4"/>
        <v>0</v>
      </c>
      <c r="I270" s="191"/>
      <c r="J270" s="268"/>
      <c r="K270" s="182" t="str">
        <f>IFERROR(VLOOKUP(A270,'Budget-S&amp;U Codes Lookup'!$A$7:$C$550,3,FALSE),"")</f>
        <v/>
      </c>
      <c r="L270" s="1041"/>
      <c r="M270" s="753"/>
      <c r="N270" s="3" t="str">
        <f>IF(M270="","",VLOOKUP(M270,'Budget-S&amp;U Codes Lookup'!$E$26:$F$45,2,FALSE))</f>
        <v/>
      </c>
      <c r="P270" s="186"/>
    </row>
    <row r="271" spans="1:16">
      <c r="A271" s="751"/>
      <c r="B271" s="82" t="str">
        <f>IFERROR(VLOOKUP(A271,'Budget-S&amp;U Codes Lookup'!$A$7:$B$550,2,FALSE),"")</f>
        <v/>
      </c>
      <c r="C271" s="992"/>
      <c r="D271" s="118"/>
      <c r="E271" s="131"/>
      <c r="F271" s="124"/>
      <c r="G271" s="124"/>
      <c r="H271" s="125">
        <f t="shared" si="4"/>
        <v>0</v>
      </c>
      <c r="I271" s="191"/>
      <c r="J271" s="268"/>
      <c r="K271" s="182" t="str">
        <f>IFERROR(VLOOKUP(A271,'Budget-S&amp;U Codes Lookup'!$A$7:$C$550,3,FALSE),"")</f>
        <v/>
      </c>
      <c r="L271" s="1041"/>
      <c r="M271" s="753"/>
      <c r="N271" s="3" t="str">
        <f>IF(M271="","",VLOOKUP(M271,'Budget-S&amp;U Codes Lookup'!$E$26:$F$45,2,FALSE))</f>
        <v/>
      </c>
      <c r="P271" s="186"/>
    </row>
    <row r="272" spans="1:16">
      <c r="A272" s="751"/>
      <c r="B272" s="82" t="str">
        <f>IFERROR(VLOOKUP(A272,'Budget-S&amp;U Codes Lookup'!$A$7:$B$550,2,FALSE),"")</f>
        <v/>
      </c>
      <c r="C272" s="992"/>
      <c r="D272" s="118"/>
      <c r="E272" s="131"/>
      <c r="F272" s="124"/>
      <c r="G272" s="124"/>
      <c r="H272" s="125">
        <f t="shared" si="4"/>
        <v>0</v>
      </c>
      <c r="I272" s="191"/>
      <c r="J272" s="268"/>
      <c r="K272" s="182" t="str">
        <f>IFERROR(VLOOKUP(A272,'Budget-S&amp;U Codes Lookup'!$A$7:$C$550,3,FALSE),"")</f>
        <v/>
      </c>
      <c r="L272" s="1041"/>
      <c r="M272" s="753"/>
      <c r="N272" s="3" t="str">
        <f>IF(M272="","",VLOOKUP(M272,'Budget-S&amp;U Codes Lookup'!$E$26:$F$45,2,FALSE))</f>
        <v/>
      </c>
      <c r="P272" s="186"/>
    </row>
    <row r="273" spans="1:16">
      <c r="A273" s="751"/>
      <c r="B273" s="82" t="str">
        <f>IFERROR(VLOOKUP(A273,'Budget-S&amp;U Codes Lookup'!$A$7:$B$550,2,FALSE),"")</f>
        <v/>
      </c>
      <c r="C273" s="992"/>
      <c r="D273" s="118"/>
      <c r="E273" s="131"/>
      <c r="F273" s="124"/>
      <c r="G273" s="124"/>
      <c r="H273" s="125">
        <f t="shared" si="4"/>
        <v>0</v>
      </c>
      <c r="I273" s="191"/>
      <c r="J273" s="268"/>
      <c r="K273" s="182" t="str">
        <f>IFERROR(VLOOKUP(A273,'Budget-S&amp;U Codes Lookup'!$A$7:$C$550,3,FALSE),"")</f>
        <v/>
      </c>
      <c r="L273" s="1041"/>
      <c r="M273" s="753"/>
      <c r="N273" s="3" t="str">
        <f>IF(M273="","",VLOOKUP(M273,'Budget-S&amp;U Codes Lookup'!$E$26:$F$45,2,FALSE))</f>
        <v/>
      </c>
      <c r="P273" s="186"/>
    </row>
    <row r="274" spans="1:16">
      <c r="A274" s="751"/>
      <c r="B274" s="82" t="str">
        <f>IFERROR(VLOOKUP(A274,'Budget-S&amp;U Codes Lookup'!$A$7:$B$550,2,FALSE),"")</f>
        <v/>
      </c>
      <c r="C274" s="992"/>
      <c r="D274" s="118"/>
      <c r="E274" s="131"/>
      <c r="F274" s="124"/>
      <c r="G274" s="124"/>
      <c r="H274" s="125">
        <f t="shared" si="4"/>
        <v>0</v>
      </c>
      <c r="I274" s="191"/>
      <c r="J274" s="268"/>
      <c r="K274" s="182" t="str">
        <f>IFERROR(VLOOKUP(A274,'Budget-S&amp;U Codes Lookup'!$A$7:$C$550,3,FALSE),"")</f>
        <v/>
      </c>
      <c r="L274" s="1041"/>
      <c r="M274" s="753"/>
      <c r="N274" s="3" t="str">
        <f>IF(M274="","",VLOOKUP(M274,'Budget-S&amp;U Codes Lookup'!$E$26:$F$45,2,FALSE))</f>
        <v/>
      </c>
      <c r="P274" s="186"/>
    </row>
    <row r="275" spans="1:16">
      <c r="A275" s="751"/>
      <c r="B275" s="82" t="str">
        <f>IFERROR(VLOOKUP(A275,'Budget-S&amp;U Codes Lookup'!$A$7:$B$550,2,FALSE),"")</f>
        <v/>
      </c>
      <c r="C275" s="992"/>
      <c r="D275" s="118"/>
      <c r="E275" s="131"/>
      <c r="F275" s="124"/>
      <c r="G275" s="124"/>
      <c r="H275" s="125">
        <f t="shared" si="4"/>
        <v>0</v>
      </c>
      <c r="I275" s="191"/>
      <c r="J275" s="268"/>
      <c r="K275" s="182" t="str">
        <f>IFERROR(VLOOKUP(A275,'Budget-S&amp;U Codes Lookup'!$A$7:$C$550,3,FALSE),"")</f>
        <v/>
      </c>
      <c r="L275" s="1041"/>
      <c r="M275" s="753"/>
      <c r="N275" s="3" t="str">
        <f>IF(M275="","",VLOOKUP(M275,'Budget-S&amp;U Codes Lookup'!$E$26:$F$45,2,FALSE))</f>
        <v/>
      </c>
      <c r="P275" s="186"/>
    </row>
    <row r="276" spans="1:16">
      <c r="A276" s="751"/>
      <c r="B276" s="82" t="str">
        <f>IFERROR(VLOOKUP(A276,'Budget-S&amp;U Codes Lookup'!$A$7:$B$550,2,FALSE),"")</f>
        <v/>
      </c>
      <c r="C276" s="992"/>
      <c r="D276" s="118"/>
      <c r="E276" s="131"/>
      <c r="F276" s="124"/>
      <c r="G276" s="124"/>
      <c r="H276" s="125">
        <f t="shared" si="4"/>
        <v>0</v>
      </c>
      <c r="I276" s="191"/>
      <c r="J276" s="268"/>
      <c r="K276" s="182" t="str">
        <f>IFERROR(VLOOKUP(A276,'Budget-S&amp;U Codes Lookup'!$A$7:$C$550,3,FALSE),"")</f>
        <v/>
      </c>
      <c r="L276" s="1041"/>
      <c r="M276" s="753"/>
      <c r="N276" s="3" t="str">
        <f>IF(M276="","",VLOOKUP(M276,'Budget-S&amp;U Codes Lookup'!$E$26:$F$45,2,FALSE))</f>
        <v/>
      </c>
      <c r="P276" s="186"/>
    </row>
    <row r="277" spans="1:16">
      <c r="A277" s="751"/>
      <c r="B277" s="82" t="str">
        <f>IFERROR(VLOOKUP(A277,'Budget-S&amp;U Codes Lookup'!$A$7:$B$550,2,FALSE),"")</f>
        <v/>
      </c>
      <c r="C277" s="992"/>
      <c r="D277" s="118"/>
      <c r="E277" s="131"/>
      <c r="F277" s="124"/>
      <c r="G277" s="124"/>
      <c r="H277" s="125">
        <f t="shared" si="4"/>
        <v>0</v>
      </c>
      <c r="I277" s="191"/>
      <c r="J277" s="268"/>
      <c r="K277" s="182" t="str">
        <f>IFERROR(VLOOKUP(A277,'Budget-S&amp;U Codes Lookup'!$A$7:$C$550,3,FALSE),"")</f>
        <v/>
      </c>
      <c r="L277" s="1041"/>
      <c r="M277" s="753"/>
      <c r="N277" s="3" t="str">
        <f>IF(M277="","",VLOOKUP(M277,'Budget-S&amp;U Codes Lookup'!$E$26:$F$45,2,FALSE))</f>
        <v/>
      </c>
      <c r="P277" s="186"/>
    </row>
    <row r="278" spans="1:16">
      <c r="A278" s="751"/>
      <c r="B278" s="82" t="str">
        <f>IFERROR(VLOOKUP(A278,'Budget-S&amp;U Codes Lookup'!$A$7:$B$550,2,FALSE),"")</f>
        <v/>
      </c>
      <c r="C278" s="992"/>
      <c r="D278" s="118"/>
      <c r="E278" s="131"/>
      <c r="F278" s="124"/>
      <c r="G278" s="124"/>
      <c r="H278" s="125">
        <f t="shared" si="4"/>
        <v>0</v>
      </c>
      <c r="I278" s="191"/>
      <c r="J278" s="268"/>
      <c r="K278" s="182" t="str">
        <f>IFERROR(VLOOKUP(A278,'Budget-S&amp;U Codes Lookup'!$A$7:$C$550,3,FALSE),"")</f>
        <v/>
      </c>
      <c r="L278" s="1041"/>
      <c r="M278" s="753"/>
      <c r="N278" s="3" t="str">
        <f>IF(M278="","",VLOOKUP(M278,'Budget-S&amp;U Codes Lookup'!$E$26:$F$45,2,FALSE))</f>
        <v/>
      </c>
      <c r="P278" s="186"/>
    </row>
    <row r="279" spans="1:16">
      <c r="A279" s="751"/>
      <c r="B279" s="82" t="str">
        <f>IFERROR(VLOOKUP(A279,'Budget-S&amp;U Codes Lookup'!$A$7:$B$550,2,FALSE),"")</f>
        <v/>
      </c>
      <c r="C279" s="992"/>
      <c r="D279" s="118"/>
      <c r="E279" s="131"/>
      <c r="F279" s="124"/>
      <c r="G279" s="124"/>
      <c r="H279" s="125">
        <f t="shared" si="4"/>
        <v>0</v>
      </c>
      <c r="I279" s="191"/>
      <c r="J279" s="268"/>
      <c r="K279" s="182" t="str">
        <f>IFERROR(VLOOKUP(A279,'Budget-S&amp;U Codes Lookup'!$A$7:$C$550,3,FALSE),"")</f>
        <v/>
      </c>
      <c r="L279" s="1041"/>
      <c r="M279" s="753"/>
      <c r="N279" s="3" t="str">
        <f>IF(M279="","",VLOOKUP(M279,'Budget-S&amp;U Codes Lookup'!$E$26:$F$45,2,FALSE))</f>
        <v/>
      </c>
      <c r="P279" s="186"/>
    </row>
    <row r="280" spans="1:16">
      <c r="A280" s="751"/>
      <c r="B280" s="82" t="str">
        <f>IFERROR(VLOOKUP(A280,'Budget-S&amp;U Codes Lookup'!$A$7:$B$550,2,FALSE),"")</f>
        <v/>
      </c>
      <c r="C280" s="992"/>
      <c r="D280" s="118"/>
      <c r="E280" s="131"/>
      <c r="F280" s="124"/>
      <c r="G280" s="124"/>
      <c r="H280" s="125">
        <f t="shared" si="4"/>
        <v>0</v>
      </c>
      <c r="I280" s="191"/>
      <c r="J280" s="268"/>
      <c r="K280" s="182" t="str">
        <f>IFERROR(VLOOKUP(A280,'Budget-S&amp;U Codes Lookup'!$A$7:$C$550,3,FALSE),"")</f>
        <v/>
      </c>
      <c r="L280" s="1041"/>
      <c r="M280" s="753"/>
      <c r="N280" s="3" t="str">
        <f>IF(M280="","",VLOOKUP(M280,'Budget-S&amp;U Codes Lookup'!$E$26:$F$45,2,FALSE))</f>
        <v/>
      </c>
      <c r="P280" s="186"/>
    </row>
    <row r="281" spans="1:16">
      <c r="A281" s="751"/>
      <c r="B281" s="82" t="str">
        <f>IFERROR(VLOOKUP(A281,'Budget-S&amp;U Codes Lookup'!$A$7:$B$550,2,FALSE),"")</f>
        <v/>
      </c>
      <c r="C281" s="992"/>
      <c r="D281" s="118"/>
      <c r="E281" s="131"/>
      <c r="F281" s="124"/>
      <c r="G281" s="124"/>
      <c r="H281" s="125">
        <f t="shared" si="4"/>
        <v>0</v>
      </c>
      <c r="I281" s="191"/>
      <c r="J281" s="268"/>
      <c r="K281" s="182" t="str">
        <f>IFERROR(VLOOKUP(A281,'Budget-S&amp;U Codes Lookup'!$A$7:$C$550,3,FALSE),"")</f>
        <v/>
      </c>
      <c r="L281" s="1041"/>
      <c r="M281" s="753"/>
      <c r="N281" s="3" t="str">
        <f>IF(M281="","",VLOOKUP(M281,'Budget-S&amp;U Codes Lookup'!$E$26:$F$45,2,FALSE))</f>
        <v/>
      </c>
      <c r="P281" s="186"/>
    </row>
    <row r="282" spans="1:16">
      <c r="A282" s="751"/>
      <c r="B282" s="82" t="str">
        <f>IFERROR(VLOOKUP(A282,'Budget-S&amp;U Codes Lookup'!$A$7:$B$550,2,FALSE),"")</f>
        <v/>
      </c>
      <c r="C282" s="992"/>
      <c r="D282" s="118"/>
      <c r="E282" s="131"/>
      <c r="F282" s="124"/>
      <c r="G282" s="124"/>
      <c r="H282" s="125">
        <f t="shared" si="4"/>
        <v>0</v>
      </c>
      <c r="I282" s="191"/>
      <c r="J282" s="268"/>
      <c r="K282" s="182" t="str">
        <f>IFERROR(VLOOKUP(A282,'Budget-S&amp;U Codes Lookup'!$A$7:$C$550,3,FALSE),"")</f>
        <v/>
      </c>
      <c r="L282" s="1041"/>
      <c r="M282" s="753"/>
      <c r="N282" s="3" t="str">
        <f>IF(M282="","",VLOOKUP(M282,'Budget-S&amp;U Codes Lookup'!$E$26:$F$45,2,FALSE))</f>
        <v/>
      </c>
      <c r="P282" s="186"/>
    </row>
    <row r="283" spans="1:16">
      <c r="A283" s="751"/>
      <c r="B283" s="82" t="str">
        <f>IFERROR(VLOOKUP(A283,'Budget-S&amp;U Codes Lookup'!$A$7:$B$550,2,FALSE),"")</f>
        <v/>
      </c>
      <c r="C283" s="992"/>
      <c r="D283" s="118"/>
      <c r="E283" s="131"/>
      <c r="F283" s="124"/>
      <c r="G283" s="124"/>
      <c r="H283" s="125">
        <f t="shared" si="4"/>
        <v>0</v>
      </c>
      <c r="I283" s="191"/>
      <c r="J283" s="268"/>
      <c r="K283" s="182" t="str">
        <f>IFERROR(VLOOKUP(A283,'Budget-S&amp;U Codes Lookup'!$A$7:$C$550,3,FALSE),"")</f>
        <v/>
      </c>
      <c r="L283" s="1041"/>
      <c r="M283" s="753"/>
      <c r="N283" s="3" t="str">
        <f>IF(M283="","",VLOOKUP(M283,'Budget-S&amp;U Codes Lookup'!$E$26:$F$45,2,FALSE))</f>
        <v/>
      </c>
      <c r="P283" s="186"/>
    </row>
    <row r="284" spans="1:16">
      <c r="A284" s="751"/>
      <c r="B284" s="82" t="str">
        <f>IFERROR(VLOOKUP(A284,'Budget-S&amp;U Codes Lookup'!$A$7:$B$550,2,FALSE),"")</f>
        <v/>
      </c>
      <c r="C284" s="992"/>
      <c r="D284" s="118"/>
      <c r="E284" s="131"/>
      <c r="F284" s="124"/>
      <c r="G284" s="124"/>
      <c r="H284" s="125">
        <f t="shared" si="4"/>
        <v>0</v>
      </c>
      <c r="I284" s="191"/>
      <c r="J284" s="268"/>
      <c r="K284" s="182" t="str">
        <f>IFERROR(VLOOKUP(A284,'Budget-S&amp;U Codes Lookup'!$A$7:$C$550,3,FALSE),"")</f>
        <v/>
      </c>
      <c r="L284" s="1041"/>
      <c r="M284" s="753"/>
      <c r="N284" s="3" t="str">
        <f>IF(M284="","",VLOOKUP(M284,'Budget-S&amp;U Codes Lookup'!$E$26:$F$45,2,FALSE))</f>
        <v/>
      </c>
      <c r="P284" s="186"/>
    </row>
    <row r="285" spans="1:16">
      <c r="A285" s="751"/>
      <c r="B285" s="82" t="str">
        <f>IFERROR(VLOOKUP(A285,'Budget-S&amp;U Codes Lookup'!$A$7:$B$550,2,FALSE),"")</f>
        <v/>
      </c>
      <c r="C285" s="992"/>
      <c r="D285" s="118"/>
      <c r="E285" s="131"/>
      <c r="F285" s="124"/>
      <c r="G285" s="124"/>
      <c r="H285" s="125">
        <f t="shared" si="4"/>
        <v>0</v>
      </c>
      <c r="I285" s="191"/>
      <c r="J285" s="268"/>
      <c r="K285" s="182" t="str">
        <f>IFERROR(VLOOKUP(A285,'Budget-S&amp;U Codes Lookup'!$A$7:$C$550,3,FALSE),"")</f>
        <v/>
      </c>
      <c r="L285" s="1041"/>
      <c r="M285" s="753"/>
      <c r="N285" s="3" t="str">
        <f>IF(M285="","",VLOOKUP(M285,'Budget-S&amp;U Codes Lookup'!$E$26:$F$45,2,FALSE))</f>
        <v/>
      </c>
      <c r="P285" s="186"/>
    </row>
    <row r="286" spans="1:16">
      <c r="A286" s="751"/>
      <c r="B286" s="82" t="str">
        <f>IFERROR(VLOOKUP(A286,'Budget-S&amp;U Codes Lookup'!$A$7:$B$550,2,FALSE),"")</f>
        <v/>
      </c>
      <c r="C286" s="992"/>
      <c r="D286" s="118"/>
      <c r="E286" s="131"/>
      <c r="F286" s="124"/>
      <c r="G286" s="124"/>
      <c r="H286" s="125">
        <f t="shared" si="4"/>
        <v>0</v>
      </c>
      <c r="I286" s="191"/>
      <c r="J286" s="268"/>
      <c r="K286" s="182" t="str">
        <f>IFERROR(VLOOKUP(A286,'Budget-S&amp;U Codes Lookup'!$A$7:$C$550,3,FALSE),"")</f>
        <v/>
      </c>
      <c r="L286" s="1041"/>
      <c r="M286" s="753"/>
      <c r="N286" s="3" t="str">
        <f>IF(M286="","",VLOOKUP(M286,'Budget-S&amp;U Codes Lookup'!$E$26:$F$45,2,FALSE))</f>
        <v/>
      </c>
      <c r="P286" s="186"/>
    </row>
    <row r="287" spans="1:16">
      <c r="A287" s="751"/>
      <c r="B287" s="82" t="str">
        <f>IFERROR(VLOOKUP(A287,'Budget-S&amp;U Codes Lookup'!$A$7:$B$550,2,FALSE),"")</f>
        <v/>
      </c>
      <c r="C287" s="992"/>
      <c r="D287" s="118"/>
      <c r="E287" s="131"/>
      <c r="F287" s="124"/>
      <c r="G287" s="124"/>
      <c r="H287" s="125">
        <f t="shared" si="4"/>
        <v>0</v>
      </c>
      <c r="I287" s="191"/>
      <c r="J287" s="268"/>
      <c r="K287" s="182" t="str">
        <f>IFERROR(VLOOKUP(A287,'Budget-S&amp;U Codes Lookup'!$A$7:$C$550,3,FALSE),"")</f>
        <v/>
      </c>
      <c r="L287" s="1041"/>
      <c r="M287" s="753"/>
      <c r="N287" s="3" t="str">
        <f>IF(M287="","",VLOOKUP(M287,'Budget-S&amp;U Codes Lookup'!$E$26:$F$45,2,FALSE))</f>
        <v/>
      </c>
      <c r="P287" s="186"/>
    </row>
    <row r="288" spans="1:16">
      <c r="A288" s="751"/>
      <c r="B288" s="82" t="str">
        <f>IFERROR(VLOOKUP(A288,'Budget-S&amp;U Codes Lookup'!$A$7:$B$550,2,FALSE),"")</f>
        <v/>
      </c>
      <c r="C288" s="992"/>
      <c r="D288" s="118"/>
      <c r="E288" s="131"/>
      <c r="F288" s="124"/>
      <c r="G288" s="124"/>
      <c r="H288" s="125">
        <f t="shared" si="4"/>
        <v>0</v>
      </c>
      <c r="I288" s="191"/>
      <c r="J288" s="268"/>
      <c r="K288" s="182" t="str">
        <f>IFERROR(VLOOKUP(A288,'Budget-S&amp;U Codes Lookup'!$A$7:$C$550,3,FALSE),"")</f>
        <v/>
      </c>
      <c r="L288" s="1041"/>
      <c r="M288" s="753"/>
      <c r="N288" s="3" t="str">
        <f>IF(M288="","",VLOOKUP(M288,'Budget-S&amp;U Codes Lookup'!$E$26:$F$45,2,FALSE))</f>
        <v/>
      </c>
      <c r="P288" s="186"/>
    </row>
    <row r="289" spans="1:16">
      <c r="A289" s="751"/>
      <c r="B289" s="82" t="str">
        <f>IFERROR(VLOOKUP(A289,'Budget-S&amp;U Codes Lookup'!$A$7:$B$550,2,FALSE),"")</f>
        <v/>
      </c>
      <c r="C289" s="992"/>
      <c r="D289" s="118"/>
      <c r="E289" s="131"/>
      <c r="F289" s="124"/>
      <c r="G289" s="124"/>
      <c r="H289" s="125">
        <f t="shared" si="4"/>
        <v>0</v>
      </c>
      <c r="I289" s="191"/>
      <c r="J289" s="268"/>
      <c r="K289" s="182" t="str">
        <f>IFERROR(VLOOKUP(A289,'Budget-S&amp;U Codes Lookup'!$A$7:$C$550,3,FALSE),"")</f>
        <v/>
      </c>
      <c r="L289" s="1041"/>
      <c r="M289" s="753"/>
      <c r="N289" s="3" t="str">
        <f>IF(M289="","",VLOOKUP(M289,'Budget-S&amp;U Codes Lookup'!$E$26:$F$45,2,FALSE))</f>
        <v/>
      </c>
      <c r="P289" s="186"/>
    </row>
    <row r="290" spans="1:16">
      <c r="A290" s="751"/>
      <c r="B290" s="82" t="str">
        <f>IFERROR(VLOOKUP(A290,'Budget-S&amp;U Codes Lookup'!$A$7:$B$550,2,FALSE),"")</f>
        <v/>
      </c>
      <c r="C290" s="992"/>
      <c r="D290" s="118"/>
      <c r="E290" s="131"/>
      <c r="F290" s="124"/>
      <c r="G290" s="124"/>
      <c r="H290" s="125">
        <f t="shared" si="4"/>
        <v>0</v>
      </c>
      <c r="I290" s="191"/>
      <c r="J290" s="268"/>
      <c r="K290" s="182" t="str">
        <f>IFERROR(VLOOKUP(A290,'Budget-S&amp;U Codes Lookup'!$A$7:$C$550,3,FALSE),"")</f>
        <v/>
      </c>
      <c r="L290" s="1041"/>
      <c r="M290" s="753"/>
      <c r="N290" s="3" t="str">
        <f>IF(M290="","",VLOOKUP(M290,'Budget-S&amp;U Codes Lookup'!$E$26:$F$45,2,FALSE))</f>
        <v/>
      </c>
      <c r="P290" s="186"/>
    </row>
    <row r="291" spans="1:16">
      <c r="A291" s="751"/>
      <c r="B291" s="82" t="str">
        <f>IFERROR(VLOOKUP(A291,'Budget-S&amp;U Codes Lookup'!$A$7:$B$550,2,FALSE),"")</f>
        <v/>
      </c>
      <c r="C291" s="992"/>
      <c r="D291" s="118"/>
      <c r="E291" s="131"/>
      <c r="F291" s="124"/>
      <c r="G291" s="124"/>
      <c r="H291" s="125">
        <f t="shared" si="4"/>
        <v>0</v>
      </c>
      <c r="I291" s="191"/>
      <c r="J291" s="268"/>
      <c r="K291" s="182" t="str">
        <f>IFERROR(VLOOKUP(A291,'Budget-S&amp;U Codes Lookup'!$A$7:$C$550,3,FALSE),"")</f>
        <v/>
      </c>
      <c r="L291" s="1041"/>
      <c r="M291" s="753"/>
      <c r="N291" s="3" t="str">
        <f>IF(M291="","",VLOOKUP(M291,'Budget-S&amp;U Codes Lookup'!$E$26:$F$45,2,FALSE))</f>
        <v/>
      </c>
      <c r="P291" s="186"/>
    </row>
    <row r="292" spans="1:16">
      <c r="A292" s="751"/>
      <c r="B292" s="82" t="str">
        <f>IFERROR(VLOOKUP(A292,'Budget-S&amp;U Codes Lookup'!$A$7:$B$550,2,FALSE),"")</f>
        <v/>
      </c>
      <c r="C292" s="992"/>
      <c r="D292" s="118"/>
      <c r="E292" s="131"/>
      <c r="F292" s="124"/>
      <c r="G292" s="124"/>
      <c r="H292" s="125">
        <f t="shared" si="4"/>
        <v>0</v>
      </c>
      <c r="I292" s="191"/>
      <c r="J292" s="268"/>
      <c r="K292" s="182" t="str">
        <f>IFERROR(VLOOKUP(A292,'Budget-S&amp;U Codes Lookup'!$A$7:$C$550,3,FALSE),"")</f>
        <v/>
      </c>
      <c r="L292" s="1041"/>
      <c r="M292" s="753"/>
      <c r="N292" s="3" t="str">
        <f>IF(M292="","",VLOOKUP(M292,'Budget-S&amp;U Codes Lookup'!$E$26:$F$45,2,FALSE))</f>
        <v/>
      </c>
      <c r="P292" s="186"/>
    </row>
    <row r="293" spans="1:16">
      <c r="A293" s="751"/>
      <c r="B293" s="82" t="str">
        <f>IFERROR(VLOOKUP(A293,'Budget-S&amp;U Codes Lookup'!$A$7:$B$550,2,FALSE),"")</f>
        <v/>
      </c>
      <c r="C293" s="992"/>
      <c r="D293" s="118"/>
      <c r="E293" s="131"/>
      <c r="F293" s="124"/>
      <c r="G293" s="124"/>
      <c r="H293" s="125">
        <f t="shared" si="4"/>
        <v>0</v>
      </c>
      <c r="I293" s="191"/>
      <c r="J293" s="268"/>
      <c r="K293" s="182" t="str">
        <f>IFERROR(VLOOKUP(A293,'Budget-S&amp;U Codes Lookup'!$A$7:$C$550,3,FALSE),"")</f>
        <v/>
      </c>
      <c r="L293" s="1041"/>
      <c r="M293" s="753"/>
      <c r="N293" s="3" t="str">
        <f>IF(M293="","",VLOOKUP(M293,'Budget-S&amp;U Codes Lookup'!$E$26:$F$45,2,FALSE))</f>
        <v/>
      </c>
      <c r="P293" s="186"/>
    </row>
    <row r="294" spans="1:16">
      <c r="A294" s="751"/>
      <c r="B294" s="82" t="str">
        <f>IFERROR(VLOOKUP(A294,'Budget-S&amp;U Codes Lookup'!$A$7:$B$550,2,FALSE),"")</f>
        <v/>
      </c>
      <c r="C294" s="992"/>
      <c r="D294" s="118"/>
      <c r="E294" s="131"/>
      <c r="F294" s="124"/>
      <c r="G294" s="124"/>
      <c r="H294" s="125">
        <f t="shared" si="4"/>
        <v>0</v>
      </c>
      <c r="I294" s="191"/>
      <c r="J294" s="268"/>
      <c r="K294" s="182" t="str">
        <f>IFERROR(VLOOKUP(A294,'Budget-S&amp;U Codes Lookup'!$A$7:$C$550,3,FALSE),"")</f>
        <v/>
      </c>
      <c r="L294" s="1041"/>
      <c r="M294" s="753"/>
      <c r="N294" s="3" t="str">
        <f>IF(M294="","",VLOOKUP(M294,'Budget-S&amp;U Codes Lookup'!$E$26:$F$45,2,FALSE))</f>
        <v/>
      </c>
      <c r="P294" s="186"/>
    </row>
    <row r="295" spans="1:16">
      <c r="A295" s="751"/>
      <c r="B295" s="82" t="str">
        <f>IFERROR(VLOOKUP(A295,'Budget-S&amp;U Codes Lookup'!$A$7:$B$550,2,FALSE),"")</f>
        <v/>
      </c>
      <c r="C295" s="992"/>
      <c r="D295" s="118"/>
      <c r="E295" s="131"/>
      <c r="F295" s="124"/>
      <c r="G295" s="124"/>
      <c r="H295" s="125">
        <f t="shared" si="4"/>
        <v>0</v>
      </c>
      <c r="I295" s="191"/>
      <c r="J295" s="268"/>
      <c r="K295" s="182" t="str">
        <f>IFERROR(VLOOKUP(A295,'Budget-S&amp;U Codes Lookup'!$A$7:$C$550,3,FALSE),"")</f>
        <v/>
      </c>
      <c r="L295" s="1041"/>
      <c r="M295" s="753"/>
      <c r="N295" s="3" t="str">
        <f>IF(M295="","",VLOOKUP(M295,'Budget-S&amp;U Codes Lookup'!$E$26:$F$45,2,FALSE))</f>
        <v/>
      </c>
      <c r="P295" s="186"/>
    </row>
    <row r="296" spans="1:16">
      <c r="A296" s="751"/>
      <c r="B296" s="82" t="str">
        <f>IFERROR(VLOOKUP(A296,'Budget-S&amp;U Codes Lookup'!$A$7:$B$550,2,FALSE),"")</f>
        <v/>
      </c>
      <c r="C296" s="992"/>
      <c r="D296" s="118"/>
      <c r="E296" s="131"/>
      <c r="F296" s="124"/>
      <c r="G296" s="124"/>
      <c r="H296" s="125">
        <f t="shared" si="4"/>
        <v>0</v>
      </c>
      <c r="I296" s="191"/>
      <c r="J296" s="268"/>
      <c r="K296" s="182" t="str">
        <f>IFERROR(VLOOKUP(A296,'Budget-S&amp;U Codes Lookup'!$A$7:$C$550,3,FALSE),"")</f>
        <v/>
      </c>
      <c r="L296" s="1041"/>
      <c r="M296" s="753"/>
      <c r="N296" s="3" t="str">
        <f>IF(M296="","",VLOOKUP(M296,'Budget-S&amp;U Codes Lookup'!$E$26:$F$45,2,FALSE))</f>
        <v/>
      </c>
      <c r="P296" s="186"/>
    </row>
    <row r="297" spans="1:16">
      <c r="A297" s="751"/>
      <c r="B297" s="82" t="str">
        <f>IFERROR(VLOOKUP(A297,'Budget-S&amp;U Codes Lookup'!$A$7:$B$550,2,FALSE),"")</f>
        <v/>
      </c>
      <c r="C297" s="992"/>
      <c r="D297" s="118"/>
      <c r="E297" s="131"/>
      <c r="F297" s="124"/>
      <c r="G297" s="124"/>
      <c r="H297" s="125">
        <f t="shared" si="4"/>
        <v>0</v>
      </c>
      <c r="I297" s="191"/>
      <c r="J297" s="268"/>
      <c r="K297" s="182" t="str">
        <f>IFERROR(VLOOKUP(A297,'Budget-S&amp;U Codes Lookup'!$A$7:$C$550,3,FALSE),"")</f>
        <v/>
      </c>
      <c r="L297" s="1041"/>
      <c r="M297" s="753"/>
      <c r="N297" s="3" t="str">
        <f>IF(M297="","",VLOOKUP(M297,'Budget-S&amp;U Codes Lookup'!$E$26:$F$45,2,FALSE))</f>
        <v/>
      </c>
      <c r="P297" s="186"/>
    </row>
    <row r="298" spans="1:16">
      <c r="A298" s="751"/>
      <c r="B298" s="82" t="str">
        <f>IFERROR(VLOOKUP(A298,'Budget-S&amp;U Codes Lookup'!$A$7:$B$550,2,FALSE),"")</f>
        <v/>
      </c>
      <c r="C298" s="992"/>
      <c r="D298" s="118"/>
      <c r="E298" s="131"/>
      <c r="F298" s="124"/>
      <c r="G298" s="124"/>
      <c r="H298" s="125">
        <f t="shared" si="4"/>
        <v>0</v>
      </c>
      <c r="I298" s="191"/>
      <c r="J298" s="268"/>
      <c r="K298" s="182" t="str">
        <f>IFERROR(VLOOKUP(A298,'Budget-S&amp;U Codes Lookup'!$A$7:$C$550,3,FALSE),"")</f>
        <v/>
      </c>
      <c r="L298" s="1041"/>
      <c r="M298" s="753"/>
      <c r="N298" s="3" t="str">
        <f>IF(M298="","",VLOOKUP(M298,'Budget-S&amp;U Codes Lookup'!$E$26:$F$45,2,FALSE))</f>
        <v/>
      </c>
      <c r="P298" s="186"/>
    </row>
    <row r="299" spans="1:16">
      <c r="A299" s="751"/>
      <c r="B299" s="82" t="str">
        <f>IFERROR(VLOOKUP(A299,'Budget-S&amp;U Codes Lookup'!$A$7:$B$550,2,FALSE),"")</f>
        <v/>
      </c>
      <c r="C299" s="992"/>
      <c r="D299" s="118"/>
      <c r="E299" s="131"/>
      <c r="F299" s="124"/>
      <c r="G299" s="124"/>
      <c r="H299" s="125">
        <f t="shared" si="4"/>
        <v>0</v>
      </c>
      <c r="I299" s="191"/>
      <c r="J299" s="268"/>
      <c r="K299" s="182" t="str">
        <f>IFERROR(VLOOKUP(A299,'Budget-S&amp;U Codes Lookup'!$A$7:$C$550,3,FALSE),"")</f>
        <v/>
      </c>
      <c r="L299" s="1041"/>
      <c r="M299" s="753"/>
      <c r="N299" s="3" t="str">
        <f>IF(M299="","",VLOOKUP(M299,'Budget-S&amp;U Codes Lookup'!$E$26:$F$45,2,FALSE))</f>
        <v/>
      </c>
      <c r="P299" s="186"/>
    </row>
    <row r="300" spans="1:16">
      <c r="A300" s="751"/>
      <c r="B300" s="82" t="str">
        <f>IFERROR(VLOOKUP(A300,'Budget-S&amp;U Codes Lookup'!$A$7:$B$550,2,FALSE),"")</f>
        <v/>
      </c>
      <c r="C300" s="992"/>
      <c r="D300" s="118"/>
      <c r="E300" s="131"/>
      <c r="F300" s="124"/>
      <c r="G300" s="124"/>
      <c r="H300" s="125">
        <f t="shared" si="4"/>
        <v>0</v>
      </c>
      <c r="I300" s="191"/>
      <c r="J300" s="268"/>
      <c r="K300" s="182" t="str">
        <f>IFERROR(VLOOKUP(A300,'Budget-S&amp;U Codes Lookup'!$A$7:$C$550,3,FALSE),"")</f>
        <v/>
      </c>
      <c r="L300" s="1041"/>
      <c r="M300" s="753"/>
      <c r="N300" s="3" t="str">
        <f>IF(M300="","",VLOOKUP(M300,'Budget-S&amp;U Codes Lookup'!$E$26:$F$45,2,FALSE))</f>
        <v/>
      </c>
      <c r="P300" s="186"/>
    </row>
    <row r="301" spans="1:16">
      <c r="A301" s="751"/>
      <c r="B301" s="82" t="str">
        <f>IFERROR(VLOOKUP(A301,'Budget-S&amp;U Codes Lookup'!$A$7:$B$550,2,FALSE),"")</f>
        <v/>
      </c>
      <c r="C301" s="992"/>
      <c r="D301" s="118"/>
      <c r="E301" s="131"/>
      <c r="F301" s="124"/>
      <c r="G301" s="124"/>
      <c r="H301" s="125">
        <f t="shared" si="4"/>
        <v>0</v>
      </c>
      <c r="I301" s="191"/>
      <c r="J301" s="268"/>
      <c r="K301" s="182" t="str">
        <f>IFERROR(VLOOKUP(A301,'Budget-S&amp;U Codes Lookup'!$A$7:$C$550,3,FALSE),"")</f>
        <v/>
      </c>
      <c r="L301" s="1041"/>
      <c r="M301" s="754"/>
      <c r="N301" s="3" t="str">
        <f>IF(M301="","",VLOOKUP(M301,'Budget-S&amp;U Codes Lookup'!$E$26:$F$45,2,FALSE))</f>
        <v/>
      </c>
      <c r="P301" s="186"/>
    </row>
    <row r="302" spans="1:16">
      <c r="A302" s="751"/>
      <c r="B302" s="82" t="str">
        <f>IFERROR(VLOOKUP(A302,'Budget-S&amp;U Codes Lookup'!$A$7:$B$550,2,FALSE),"")</f>
        <v/>
      </c>
      <c r="C302" s="992"/>
      <c r="D302" s="118"/>
      <c r="E302" s="131"/>
      <c r="F302" s="124"/>
      <c r="G302" s="124"/>
      <c r="H302" s="125">
        <f t="shared" si="4"/>
        <v>0</v>
      </c>
      <c r="I302" s="191"/>
      <c r="J302" s="268"/>
      <c r="K302" s="182" t="str">
        <f>IFERROR(VLOOKUP(A302,'Budget-S&amp;U Codes Lookup'!$A$7:$C$550,3,FALSE),"")</f>
        <v/>
      </c>
      <c r="L302" s="1041"/>
      <c r="M302" s="753"/>
      <c r="N302" s="3" t="str">
        <f>IF(M302="","",VLOOKUP(M302,'Budget-S&amp;U Codes Lookup'!$E$26:$F$45,2,FALSE))</f>
        <v/>
      </c>
      <c r="P302" s="186"/>
    </row>
    <row r="303" spans="1:16">
      <c r="A303" s="751"/>
      <c r="B303" s="82" t="str">
        <f>IFERROR(VLOOKUP(A303,'Budget-S&amp;U Codes Lookup'!$A$7:$B$550,2,FALSE),"")</f>
        <v/>
      </c>
      <c r="C303" s="992"/>
      <c r="D303" s="118"/>
      <c r="E303" s="131"/>
      <c r="F303" s="124"/>
      <c r="G303" s="124"/>
      <c r="H303" s="125">
        <f t="shared" si="4"/>
        <v>0</v>
      </c>
      <c r="I303" s="191"/>
      <c r="J303" s="268"/>
      <c r="K303" s="182" t="str">
        <f>IFERROR(VLOOKUP(A303,'Budget-S&amp;U Codes Lookup'!$A$7:$C$550,3,FALSE),"")</f>
        <v/>
      </c>
      <c r="L303" s="1041"/>
      <c r="M303" s="753"/>
      <c r="N303" s="3" t="str">
        <f>IF(M303="","",VLOOKUP(M303,'Budget-S&amp;U Codes Lookup'!$E$26:$F$45,2,FALSE))</f>
        <v/>
      </c>
      <c r="P303" s="186"/>
    </row>
    <row r="304" spans="1:16">
      <c r="A304" s="751"/>
      <c r="B304" s="82" t="str">
        <f>IFERROR(VLOOKUP(A304,'Budget-S&amp;U Codes Lookup'!$A$7:$B$550,2,FALSE),"")</f>
        <v/>
      </c>
      <c r="C304" s="992"/>
      <c r="D304" s="118"/>
      <c r="E304" s="131"/>
      <c r="F304" s="124"/>
      <c r="G304" s="124"/>
      <c r="H304" s="125">
        <f t="shared" si="4"/>
        <v>0</v>
      </c>
      <c r="I304" s="191"/>
      <c r="J304" s="268"/>
      <c r="K304" s="182" t="str">
        <f>IFERROR(VLOOKUP(A304,'Budget-S&amp;U Codes Lookup'!$A$7:$C$550,3,FALSE),"")</f>
        <v/>
      </c>
      <c r="L304" s="1041"/>
      <c r="M304" s="753"/>
      <c r="N304" s="3" t="str">
        <f>IF(M304="","",VLOOKUP(M304,'Budget-S&amp;U Codes Lookup'!$E$26:$F$45,2,FALSE))</f>
        <v/>
      </c>
      <c r="P304" s="186"/>
    </row>
    <row r="305" spans="1:16">
      <c r="A305" s="751"/>
      <c r="B305" s="82" t="str">
        <f>IFERROR(VLOOKUP(A305,'Budget-S&amp;U Codes Lookup'!$A$7:$B$550,2,FALSE),"")</f>
        <v/>
      </c>
      <c r="C305" s="992"/>
      <c r="D305" s="118"/>
      <c r="E305" s="131"/>
      <c r="F305" s="124"/>
      <c r="G305" s="124"/>
      <c r="H305" s="125">
        <f t="shared" si="4"/>
        <v>0</v>
      </c>
      <c r="I305" s="191"/>
      <c r="J305" s="268"/>
      <c r="K305" s="182" t="str">
        <f>IFERROR(VLOOKUP(A305,'Budget-S&amp;U Codes Lookup'!$A$7:$C$550,3,FALSE),"")</f>
        <v/>
      </c>
      <c r="L305" s="1041"/>
      <c r="M305" s="753"/>
      <c r="N305" s="3" t="str">
        <f>IF(M305="","",VLOOKUP(M305,'Budget-S&amp;U Codes Lookup'!$E$26:$F$45,2,FALSE))</f>
        <v/>
      </c>
      <c r="P305" s="186"/>
    </row>
    <row r="306" spans="1:16">
      <c r="A306" s="751"/>
      <c r="B306" s="82" t="str">
        <f>IFERROR(VLOOKUP(A306,'Budget-S&amp;U Codes Lookup'!$A$7:$B$550,2,FALSE),"")</f>
        <v/>
      </c>
      <c r="C306" s="992"/>
      <c r="D306" s="118"/>
      <c r="E306" s="131"/>
      <c r="F306" s="124"/>
      <c r="G306" s="124"/>
      <c r="H306" s="125">
        <f t="shared" si="4"/>
        <v>0</v>
      </c>
      <c r="I306" s="191"/>
      <c r="J306" s="268"/>
      <c r="K306" s="182" t="str">
        <f>IFERROR(VLOOKUP(A306,'Budget-S&amp;U Codes Lookup'!$A$7:$C$550,3,FALSE),"")</f>
        <v/>
      </c>
      <c r="L306" s="1041"/>
      <c r="M306" s="753"/>
      <c r="N306" s="3" t="str">
        <f>IF(M306="","",VLOOKUP(M306,'Budget-S&amp;U Codes Lookup'!$E$26:$F$45,2,FALSE))</f>
        <v/>
      </c>
      <c r="P306" s="186"/>
    </row>
    <row r="307" spans="1:16">
      <c r="A307" s="751"/>
      <c r="B307" s="82" t="str">
        <f>IFERROR(VLOOKUP(A307,'Budget-S&amp;U Codes Lookup'!$A$7:$B$550,2,FALSE),"")</f>
        <v/>
      </c>
      <c r="C307" s="992"/>
      <c r="D307" s="118"/>
      <c r="E307" s="131"/>
      <c r="F307" s="124"/>
      <c r="G307" s="124"/>
      <c r="H307" s="125">
        <f t="shared" si="4"/>
        <v>0</v>
      </c>
      <c r="I307" s="191"/>
      <c r="J307" s="268"/>
      <c r="K307" s="182" t="str">
        <f>IFERROR(VLOOKUP(A307,'Budget-S&amp;U Codes Lookup'!$A$7:$C$550,3,FALSE),"")</f>
        <v/>
      </c>
      <c r="L307" s="1041"/>
      <c r="M307" s="753"/>
      <c r="N307" s="3" t="str">
        <f>IF(M307="","",VLOOKUP(M307,'Budget-S&amp;U Codes Lookup'!$E$26:$F$45,2,FALSE))</f>
        <v/>
      </c>
      <c r="P307" s="186"/>
    </row>
    <row r="308" spans="1:16">
      <c r="A308" s="751"/>
      <c r="B308" s="82" t="str">
        <f>IFERROR(VLOOKUP(A308,'Budget-S&amp;U Codes Lookup'!$A$7:$B$550,2,FALSE),"")</f>
        <v/>
      </c>
      <c r="C308" s="992"/>
      <c r="D308" s="118"/>
      <c r="E308" s="131"/>
      <c r="F308" s="124"/>
      <c r="G308" s="124"/>
      <c r="H308" s="125">
        <f t="shared" si="4"/>
        <v>0</v>
      </c>
      <c r="I308" s="191"/>
      <c r="J308" s="268"/>
      <c r="K308" s="182" t="str">
        <f>IFERROR(VLOOKUP(A308,'Budget-S&amp;U Codes Lookup'!$A$7:$C$550,3,FALSE),"")</f>
        <v/>
      </c>
      <c r="L308" s="1041"/>
      <c r="M308" s="753"/>
      <c r="N308" s="3" t="str">
        <f>IF(M308="","",VLOOKUP(M308,'Budget-S&amp;U Codes Lookup'!$E$26:$F$45,2,FALSE))</f>
        <v/>
      </c>
      <c r="P308" s="186"/>
    </row>
    <row r="309" spans="1:16">
      <c r="A309" s="751"/>
      <c r="B309" s="82" t="str">
        <f>IFERROR(VLOOKUP(A309,'Budget-S&amp;U Codes Lookup'!$A$7:$B$550,2,FALSE),"")</f>
        <v/>
      </c>
      <c r="C309" s="992"/>
      <c r="D309" s="118"/>
      <c r="E309" s="131"/>
      <c r="F309" s="124"/>
      <c r="G309" s="124"/>
      <c r="H309" s="125">
        <f t="shared" si="4"/>
        <v>0</v>
      </c>
      <c r="I309" s="191"/>
      <c r="J309" s="268"/>
      <c r="K309" s="182" t="str">
        <f>IFERROR(VLOOKUP(A309,'Budget-S&amp;U Codes Lookup'!$A$7:$C$550,3,FALSE),"")</f>
        <v/>
      </c>
      <c r="L309" s="1041"/>
      <c r="M309" s="753"/>
      <c r="N309" s="3" t="str">
        <f>IF(M309="","",VLOOKUP(M309,'Budget-S&amp;U Codes Lookup'!$E$26:$F$45,2,FALSE))</f>
        <v/>
      </c>
      <c r="P309" s="186"/>
    </row>
    <row r="310" spans="1:16">
      <c r="A310" s="751"/>
      <c r="B310" s="82" t="str">
        <f>IFERROR(VLOOKUP(A310,'Budget-S&amp;U Codes Lookup'!$A$7:$B$550,2,FALSE),"")</f>
        <v/>
      </c>
      <c r="C310" s="992"/>
      <c r="D310" s="118"/>
      <c r="E310" s="131"/>
      <c r="F310" s="124"/>
      <c r="G310" s="124"/>
      <c r="H310" s="125">
        <f t="shared" si="4"/>
        <v>0</v>
      </c>
      <c r="I310" s="191"/>
      <c r="J310" s="268"/>
      <c r="K310" s="182" t="str">
        <f>IFERROR(VLOOKUP(A310,'Budget-S&amp;U Codes Lookup'!$A$7:$C$550,3,FALSE),"")</f>
        <v/>
      </c>
      <c r="L310" s="1041"/>
      <c r="M310" s="753"/>
      <c r="N310" s="3" t="str">
        <f>IF(M310="","",VLOOKUP(M310,'Budget-S&amp;U Codes Lookup'!$E$26:$F$45,2,FALSE))</f>
        <v/>
      </c>
      <c r="P310" s="186"/>
    </row>
    <row r="311" spans="1:16">
      <c r="A311" s="751"/>
      <c r="B311" s="82" t="str">
        <f>IFERROR(VLOOKUP(A311,'Budget-S&amp;U Codes Lookup'!$A$7:$B$550,2,FALSE),"")</f>
        <v/>
      </c>
      <c r="C311" s="992"/>
      <c r="D311" s="118"/>
      <c r="E311" s="131"/>
      <c r="F311" s="124"/>
      <c r="G311" s="124"/>
      <c r="H311" s="125">
        <f t="shared" si="4"/>
        <v>0</v>
      </c>
      <c r="I311" s="191"/>
      <c r="J311" s="268"/>
      <c r="K311" s="182" t="str">
        <f>IFERROR(VLOOKUP(A311,'Budget-S&amp;U Codes Lookup'!$A$7:$C$550,3,FALSE),"")</f>
        <v/>
      </c>
      <c r="L311" s="1041"/>
      <c r="M311" s="753"/>
      <c r="N311" s="3" t="str">
        <f>IF(M311="","",VLOOKUP(M311,'Budget-S&amp;U Codes Lookup'!$E$26:$F$45,2,FALSE))</f>
        <v/>
      </c>
      <c r="P311" s="186"/>
    </row>
    <row r="312" spans="1:16">
      <c r="A312" s="751"/>
      <c r="B312" s="82" t="str">
        <f>IFERROR(VLOOKUP(A312,'Budget-S&amp;U Codes Lookup'!$A$7:$B$550,2,FALSE),"")</f>
        <v/>
      </c>
      <c r="C312" s="992"/>
      <c r="D312" s="118"/>
      <c r="E312" s="131"/>
      <c r="F312" s="124"/>
      <c r="G312" s="124"/>
      <c r="H312" s="125">
        <f t="shared" si="4"/>
        <v>0</v>
      </c>
      <c r="I312" s="191"/>
      <c r="J312" s="268"/>
      <c r="K312" s="182" t="str">
        <f>IFERROR(VLOOKUP(A312,'Budget-S&amp;U Codes Lookup'!$A$7:$C$550,3,FALSE),"")</f>
        <v/>
      </c>
      <c r="L312" s="1041"/>
      <c r="M312" s="753"/>
      <c r="N312" s="3" t="str">
        <f>IF(M312="","",VLOOKUP(M312,'Budget-S&amp;U Codes Lookup'!$E$26:$F$45,2,FALSE))</f>
        <v/>
      </c>
      <c r="P312" s="186"/>
    </row>
    <row r="313" spans="1:16">
      <c r="A313" s="751"/>
      <c r="B313" s="82" t="str">
        <f>IFERROR(VLOOKUP(A313,'Budget-S&amp;U Codes Lookup'!$A$7:$B$550,2,FALSE),"")</f>
        <v/>
      </c>
      <c r="C313" s="992"/>
      <c r="D313" s="118"/>
      <c r="E313" s="131"/>
      <c r="F313" s="124"/>
      <c r="G313" s="124"/>
      <c r="H313" s="125">
        <f t="shared" si="4"/>
        <v>0</v>
      </c>
      <c r="I313" s="191"/>
      <c r="J313" s="268"/>
      <c r="K313" s="182" t="str">
        <f>IFERROR(VLOOKUP(A313,'Budget-S&amp;U Codes Lookup'!$A$7:$C$550,3,FALSE),"")</f>
        <v/>
      </c>
      <c r="L313" s="1041"/>
      <c r="M313" s="753"/>
      <c r="N313" s="3" t="str">
        <f>IF(M313="","",VLOOKUP(M313,'Budget-S&amp;U Codes Lookup'!$E$26:$F$45,2,FALSE))</f>
        <v/>
      </c>
      <c r="P313" s="186"/>
    </row>
    <row r="314" spans="1:16">
      <c r="A314" s="751"/>
      <c r="B314" s="82" t="str">
        <f>IFERROR(VLOOKUP(A314,'Budget-S&amp;U Codes Lookup'!$A$7:$B$550,2,FALSE),"")</f>
        <v/>
      </c>
      <c r="C314" s="992"/>
      <c r="D314" s="118"/>
      <c r="E314" s="131"/>
      <c r="F314" s="124"/>
      <c r="G314" s="124"/>
      <c r="H314" s="125">
        <f t="shared" si="4"/>
        <v>0</v>
      </c>
      <c r="I314" s="191"/>
      <c r="J314" s="268"/>
      <c r="K314" s="182" t="str">
        <f>IFERROR(VLOOKUP(A314,'Budget-S&amp;U Codes Lookup'!$A$7:$C$550,3,FALSE),"")</f>
        <v/>
      </c>
      <c r="L314" s="1041"/>
      <c r="M314" s="753"/>
      <c r="N314" s="3" t="str">
        <f>IF(M314="","",VLOOKUP(M314,'Budget-S&amp;U Codes Lookup'!$E$26:$F$45,2,FALSE))</f>
        <v/>
      </c>
      <c r="P314" s="186"/>
    </row>
    <row r="315" spans="1:16">
      <c r="A315" s="751"/>
      <c r="B315" s="82" t="str">
        <f>IFERROR(VLOOKUP(A315,'Budget-S&amp;U Codes Lookup'!$A$7:$B$550,2,FALSE),"")</f>
        <v/>
      </c>
      <c r="C315" s="992"/>
      <c r="D315" s="118"/>
      <c r="E315" s="131"/>
      <c r="F315" s="124"/>
      <c r="G315" s="124"/>
      <c r="H315" s="125">
        <f t="shared" si="4"/>
        <v>0</v>
      </c>
      <c r="I315" s="191"/>
      <c r="J315" s="268"/>
      <c r="K315" s="182" t="str">
        <f>IFERROR(VLOOKUP(A315,'Budget-S&amp;U Codes Lookup'!$A$7:$C$550,3,FALSE),"")</f>
        <v/>
      </c>
      <c r="L315" s="1041"/>
      <c r="M315" s="753"/>
      <c r="N315" s="3" t="str">
        <f>IF(M315="","",VLOOKUP(M315,'Budget-S&amp;U Codes Lookup'!$E$26:$F$45,2,FALSE))</f>
        <v/>
      </c>
      <c r="P315" s="186"/>
    </row>
    <row r="316" spans="1:16">
      <c r="A316" s="751"/>
      <c r="B316" s="82" t="str">
        <f>IFERROR(VLOOKUP(A316,'Budget-S&amp;U Codes Lookup'!$A$7:$B$550,2,FALSE),"")</f>
        <v/>
      </c>
      <c r="C316" s="992"/>
      <c r="D316" s="118"/>
      <c r="E316" s="131"/>
      <c r="F316" s="124"/>
      <c r="G316" s="124"/>
      <c r="H316" s="125">
        <f t="shared" si="4"/>
        <v>0</v>
      </c>
      <c r="I316" s="191"/>
      <c r="J316" s="268"/>
      <c r="K316" s="182" t="str">
        <f>IFERROR(VLOOKUP(A316,'Budget-S&amp;U Codes Lookup'!$A$7:$C$550,3,FALSE),"")</f>
        <v/>
      </c>
      <c r="L316" s="1041"/>
      <c r="M316" s="753"/>
      <c r="N316" s="3" t="str">
        <f>IF(M316="","",VLOOKUP(M316,'Budget-S&amp;U Codes Lookup'!$E$26:$F$45,2,FALSE))</f>
        <v/>
      </c>
      <c r="P316" s="186"/>
    </row>
    <row r="317" spans="1:16">
      <c r="A317" s="751"/>
      <c r="B317" s="82" t="str">
        <f>IFERROR(VLOOKUP(A317,'Budget-S&amp;U Codes Lookup'!$A$7:$B$550,2,FALSE),"")</f>
        <v/>
      </c>
      <c r="C317" s="992"/>
      <c r="D317" s="118"/>
      <c r="E317" s="131"/>
      <c r="F317" s="124"/>
      <c r="G317" s="124"/>
      <c r="H317" s="125">
        <f t="shared" si="4"/>
        <v>0</v>
      </c>
      <c r="I317" s="191"/>
      <c r="J317" s="268"/>
      <c r="K317" s="182" t="str">
        <f>IFERROR(VLOOKUP(A317,'Budget-S&amp;U Codes Lookup'!$A$7:$C$550,3,FALSE),"")</f>
        <v/>
      </c>
      <c r="L317" s="1041"/>
      <c r="M317" s="753"/>
      <c r="N317" s="3" t="str">
        <f>IF(M317="","",VLOOKUP(M317,'Budget-S&amp;U Codes Lookup'!$E$26:$F$45,2,FALSE))</f>
        <v/>
      </c>
      <c r="P317" s="186"/>
    </row>
    <row r="318" spans="1:16">
      <c r="A318" s="751"/>
      <c r="B318" s="82" t="str">
        <f>IFERROR(VLOOKUP(A318,'Budget-S&amp;U Codes Lookup'!$A$7:$B$550,2,FALSE),"")</f>
        <v/>
      </c>
      <c r="C318" s="992"/>
      <c r="D318" s="118"/>
      <c r="E318" s="131"/>
      <c r="F318" s="124"/>
      <c r="G318" s="124"/>
      <c r="H318" s="125">
        <f t="shared" si="4"/>
        <v>0</v>
      </c>
      <c r="I318" s="191"/>
      <c r="J318" s="268"/>
      <c r="K318" s="182" t="str">
        <f>IFERROR(VLOOKUP(A318,'Budget-S&amp;U Codes Lookup'!$A$7:$C$550,3,FALSE),"")</f>
        <v/>
      </c>
      <c r="L318" s="1041"/>
      <c r="M318" s="753"/>
      <c r="N318" s="3" t="str">
        <f>IF(M318="","",VLOOKUP(M318,'Budget-S&amp;U Codes Lookup'!$E$26:$F$45,2,FALSE))</f>
        <v/>
      </c>
      <c r="P318" s="186"/>
    </row>
    <row r="319" spans="1:16">
      <c r="A319" s="751"/>
      <c r="B319" s="82" t="str">
        <f>IFERROR(VLOOKUP(A319,'Budget-S&amp;U Codes Lookup'!$A$7:$B$550,2,FALSE),"")</f>
        <v/>
      </c>
      <c r="C319" s="992"/>
      <c r="D319" s="118"/>
      <c r="E319" s="131"/>
      <c r="F319" s="124"/>
      <c r="G319" s="124"/>
      <c r="H319" s="125">
        <f t="shared" si="4"/>
        <v>0</v>
      </c>
      <c r="I319" s="191"/>
      <c r="J319" s="268"/>
      <c r="K319" s="182" t="str">
        <f>IFERROR(VLOOKUP(A319,'Budget-S&amp;U Codes Lookup'!$A$7:$C$550,3,FALSE),"")</f>
        <v/>
      </c>
      <c r="L319" s="1041"/>
      <c r="M319" s="753"/>
      <c r="N319" s="3" t="str">
        <f>IF(M319="","",VLOOKUP(M319,'Budget-S&amp;U Codes Lookup'!$E$26:$F$45,2,FALSE))</f>
        <v/>
      </c>
      <c r="P319" s="186"/>
    </row>
    <row r="320" spans="1:16">
      <c r="A320" s="751"/>
      <c r="B320" s="82" t="str">
        <f>IFERROR(VLOOKUP(A320,'Budget-S&amp;U Codes Lookup'!$A$7:$B$550,2,FALSE),"")</f>
        <v/>
      </c>
      <c r="C320" s="992"/>
      <c r="D320" s="118"/>
      <c r="E320" s="131"/>
      <c r="F320" s="124"/>
      <c r="G320" s="124"/>
      <c r="H320" s="125">
        <f t="shared" si="4"/>
        <v>0</v>
      </c>
      <c r="I320" s="191"/>
      <c r="J320" s="268"/>
      <c r="K320" s="182" t="str">
        <f>IFERROR(VLOOKUP(A320,'Budget-S&amp;U Codes Lookup'!$A$7:$C$550,3,FALSE),"")</f>
        <v/>
      </c>
      <c r="L320" s="1041"/>
      <c r="M320" s="753"/>
      <c r="N320" s="3" t="str">
        <f>IF(M320="","",VLOOKUP(M320,'Budget-S&amp;U Codes Lookup'!$E$26:$F$45,2,FALSE))</f>
        <v/>
      </c>
      <c r="P320" s="186"/>
    </row>
    <row r="321" spans="1:16">
      <c r="A321" s="751"/>
      <c r="B321" s="82" t="str">
        <f>IFERROR(VLOOKUP(A321,'Budget-S&amp;U Codes Lookup'!$A$7:$B$550,2,FALSE),"")</f>
        <v/>
      </c>
      <c r="C321" s="992"/>
      <c r="D321" s="118"/>
      <c r="E321" s="131"/>
      <c r="F321" s="124"/>
      <c r="G321" s="124"/>
      <c r="H321" s="125">
        <f t="shared" si="4"/>
        <v>0</v>
      </c>
      <c r="I321" s="191"/>
      <c r="J321" s="268"/>
      <c r="K321" s="182" t="str">
        <f>IFERROR(VLOOKUP(A321,'Budget-S&amp;U Codes Lookup'!$A$7:$C$550,3,FALSE),"")</f>
        <v/>
      </c>
      <c r="L321" s="1041"/>
      <c r="M321" s="753"/>
      <c r="N321" s="3" t="str">
        <f>IF(M321="","",VLOOKUP(M321,'Budget-S&amp;U Codes Lookup'!$E$26:$F$45,2,FALSE))</f>
        <v/>
      </c>
      <c r="P321" s="186"/>
    </row>
    <row r="322" spans="1:16">
      <c r="A322" s="751"/>
      <c r="B322" s="82" t="str">
        <f>IFERROR(VLOOKUP(A322,'Budget-S&amp;U Codes Lookup'!$A$7:$B$550,2,FALSE),"")</f>
        <v/>
      </c>
      <c r="C322" s="992"/>
      <c r="D322" s="118"/>
      <c r="E322" s="131"/>
      <c r="F322" s="124"/>
      <c r="G322" s="124"/>
      <c r="H322" s="125">
        <f t="shared" si="4"/>
        <v>0</v>
      </c>
      <c r="I322" s="191"/>
      <c r="J322" s="268"/>
      <c r="K322" s="182" t="str">
        <f>IFERROR(VLOOKUP(A322,'Budget-S&amp;U Codes Lookup'!$A$7:$C$550,3,FALSE),"")</f>
        <v/>
      </c>
      <c r="L322" s="1041"/>
      <c r="M322" s="753"/>
      <c r="N322" s="3" t="str">
        <f>IF(M322="","",VLOOKUP(M322,'Budget-S&amp;U Codes Lookup'!$E$26:$F$45,2,FALSE))</f>
        <v/>
      </c>
      <c r="P322" s="186"/>
    </row>
    <row r="323" spans="1:16">
      <c r="A323" s="751"/>
      <c r="B323" s="82" t="str">
        <f>IFERROR(VLOOKUP(A323,'Budget-S&amp;U Codes Lookup'!$A$7:$B$550,2,FALSE),"")</f>
        <v/>
      </c>
      <c r="C323" s="992"/>
      <c r="D323" s="123"/>
      <c r="E323" s="131"/>
      <c r="F323" s="124"/>
      <c r="G323" s="124"/>
      <c r="H323" s="125">
        <f t="shared" si="4"/>
        <v>0</v>
      </c>
      <c r="I323" s="191"/>
      <c r="J323" s="268"/>
      <c r="K323" s="182" t="str">
        <f>IFERROR(VLOOKUP(A323,'Budget-S&amp;U Codes Lookup'!$A$7:$C$550,3,FALSE),"")</f>
        <v/>
      </c>
      <c r="L323" s="1041"/>
      <c r="M323" s="753"/>
      <c r="N323" s="3" t="str">
        <f>IF(M323="","",VLOOKUP(M323,'Budget-S&amp;U Codes Lookup'!$E$26:$F$45,2,FALSE))</f>
        <v/>
      </c>
      <c r="P323" s="186"/>
    </row>
    <row r="324" spans="1:16">
      <c r="A324" s="751"/>
      <c r="B324" s="82" t="str">
        <f>IFERROR(VLOOKUP(A324,'Budget-S&amp;U Codes Lookup'!$A$7:$B$550,2,FALSE),"")</f>
        <v/>
      </c>
      <c r="C324" s="992"/>
      <c r="D324" s="118"/>
      <c r="E324" s="131"/>
      <c r="F324" s="124"/>
      <c r="G324" s="124"/>
      <c r="H324" s="125">
        <f t="shared" si="4"/>
        <v>0</v>
      </c>
      <c r="I324" s="191"/>
      <c r="J324" s="268"/>
      <c r="K324" s="182" t="str">
        <f>IFERROR(VLOOKUP(A324,'Budget-S&amp;U Codes Lookup'!$A$7:$C$550,3,FALSE),"")</f>
        <v/>
      </c>
      <c r="L324" s="1041"/>
      <c r="M324" s="753"/>
      <c r="N324" s="3" t="str">
        <f>IF(M324="","",VLOOKUP(M324,'Budget-S&amp;U Codes Lookup'!$E$26:$F$45,2,FALSE))</f>
        <v/>
      </c>
      <c r="P324" s="186"/>
    </row>
    <row r="325" spans="1:16">
      <c r="A325" s="751"/>
      <c r="B325" s="82" t="str">
        <f>IFERROR(VLOOKUP(A325,'Budget-S&amp;U Codes Lookup'!$A$7:$B$550,2,FALSE),"")</f>
        <v/>
      </c>
      <c r="C325" s="992"/>
      <c r="D325" s="118"/>
      <c r="E325" s="131"/>
      <c r="F325" s="124"/>
      <c r="G325" s="124"/>
      <c r="H325" s="125">
        <f t="shared" si="4"/>
        <v>0</v>
      </c>
      <c r="I325" s="191"/>
      <c r="J325" s="268"/>
      <c r="K325" s="182" t="str">
        <f>IFERROR(VLOOKUP(A325,'Budget-S&amp;U Codes Lookup'!$A$7:$C$550,3,FALSE),"")</f>
        <v/>
      </c>
      <c r="L325" s="1041"/>
      <c r="M325" s="753"/>
      <c r="N325" s="3" t="str">
        <f>IF(M325="","",VLOOKUP(M325,'Budget-S&amp;U Codes Lookup'!$E$26:$F$45,2,FALSE))</f>
        <v/>
      </c>
      <c r="P325" s="186"/>
    </row>
    <row r="326" spans="1:16">
      <c r="A326" s="751"/>
      <c r="B326" s="82" t="str">
        <f>IFERROR(VLOOKUP(A326,'Budget-S&amp;U Codes Lookup'!$A$7:$B$550,2,FALSE),"")</f>
        <v/>
      </c>
      <c r="C326" s="992"/>
      <c r="D326" s="118"/>
      <c r="E326" s="131"/>
      <c r="F326" s="124"/>
      <c r="G326" s="124"/>
      <c r="H326" s="125">
        <f t="shared" si="4"/>
        <v>0</v>
      </c>
      <c r="I326" s="191"/>
      <c r="J326" s="268"/>
      <c r="K326" s="182" t="str">
        <f>IFERROR(VLOOKUP(A326,'Budget-S&amp;U Codes Lookup'!$A$7:$C$550,3,FALSE),"")</f>
        <v/>
      </c>
      <c r="L326" s="1041"/>
      <c r="M326" s="753"/>
      <c r="N326" s="3" t="str">
        <f>IF(M326="","",VLOOKUP(M326,'Budget-S&amp;U Codes Lookup'!$E$26:$F$45,2,FALSE))</f>
        <v/>
      </c>
      <c r="P326" s="186"/>
    </row>
    <row r="327" spans="1:16">
      <c r="A327" s="751"/>
      <c r="B327" s="82" t="str">
        <f>IFERROR(VLOOKUP(A327,'Budget-S&amp;U Codes Lookup'!$A$7:$B$550,2,FALSE),"")</f>
        <v/>
      </c>
      <c r="C327" s="992"/>
      <c r="D327" s="118"/>
      <c r="E327" s="131"/>
      <c r="F327" s="124"/>
      <c r="G327" s="124"/>
      <c r="H327" s="125">
        <f t="shared" si="4"/>
        <v>0</v>
      </c>
      <c r="I327" s="191"/>
      <c r="J327" s="268"/>
      <c r="K327" s="182" t="str">
        <f>IFERROR(VLOOKUP(A327,'Budget-S&amp;U Codes Lookup'!$A$7:$C$550,3,FALSE),"")</f>
        <v/>
      </c>
      <c r="L327" s="1041"/>
      <c r="M327" s="753"/>
      <c r="N327" s="3" t="str">
        <f>IF(M327="","",VLOOKUP(M327,'Budget-S&amp;U Codes Lookup'!$E$26:$F$45,2,FALSE))</f>
        <v/>
      </c>
      <c r="P327" s="186"/>
    </row>
    <row r="328" spans="1:16">
      <c r="A328" s="751"/>
      <c r="B328" s="82" t="str">
        <f>IFERROR(VLOOKUP(A328,'Budget-S&amp;U Codes Lookup'!$A$7:$B$550,2,FALSE),"")</f>
        <v/>
      </c>
      <c r="C328" s="992"/>
      <c r="D328" s="123"/>
      <c r="E328" s="131"/>
      <c r="F328" s="124"/>
      <c r="G328" s="124"/>
      <c r="H328" s="125">
        <f t="shared" si="4"/>
        <v>0</v>
      </c>
      <c r="I328" s="191"/>
      <c r="J328" s="268"/>
      <c r="K328" s="182" t="str">
        <f>IFERROR(VLOOKUP(A328,'Budget-S&amp;U Codes Lookup'!$A$7:$C$550,3,FALSE),"")</f>
        <v/>
      </c>
      <c r="L328" s="1041"/>
      <c r="M328" s="753"/>
      <c r="N328" s="3" t="str">
        <f>IF(M328="","",VLOOKUP(M328,'Budget-S&amp;U Codes Lookup'!$E$26:$F$45,2,FALSE))</f>
        <v/>
      </c>
      <c r="P328" s="186"/>
    </row>
    <row r="329" spans="1:16">
      <c r="A329" s="751"/>
      <c r="B329" s="82" t="str">
        <f>IFERROR(VLOOKUP(A329,'Budget-S&amp;U Codes Lookup'!$A$7:$B$550,2,FALSE),"")</f>
        <v/>
      </c>
      <c r="C329" s="992"/>
      <c r="D329" s="118"/>
      <c r="E329" s="131"/>
      <c r="F329" s="124"/>
      <c r="G329" s="124"/>
      <c r="H329" s="125">
        <f t="shared" si="4"/>
        <v>0</v>
      </c>
      <c r="I329" s="191"/>
      <c r="J329" s="268"/>
      <c r="K329" s="182" t="str">
        <f>IFERROR(VLOOKUP(A329,'Budget-S&amp;U Codes Lookup'!$A$7:$C$550,3,FALSE),"")</f>
        <v/>
      </c>
      <c r="L329" s="1041"/>
      <c r="M329" s="753"/>
      <c r="N329" s="3" t="str">
        <f>IF(M329="","",VLOOKUP(M329,'Budget-S&amp;U Codes Lookup'!$E$26:$F$45,2,FALSE))</f>
        <v/>
      </c>
      <c r="P329" s="186"/>
    </row>
    <row r="330" spans="1:16">
      <c r="A330" s="751"/>
      <c r="B330" s="82" t="str">
        <f>IFERROR(VLOOKUP(A330,'Budget-S&amp;U Codes Lookup'!$A$7:$B$550,2,FALSE),"")</f>
        <v/>
      </c>
      <c r="C330" s="992"/>
      <c r="D330" s="118"/>
      <c r="E330" s="131"/>
      <c r="F330" s="124"/>
      <c r="G330" s="124"/>
      <c r="H330" s="125">
        <f t="shared" ref="H330:H393" si="5">F330-G330</f>
        <v>0</v>
      </c>
      <c r="I330" s="191"/>
      <c r="J330" s="268"/>
      <c r="K330" s="182" t="str">
        <f>IFERROR(VLOOKUP(A330,'Budget-S&amp;U Codes Lookup'!$A$7:$C$550,3,FALSE),"")</f>
        <v/>
      </c>
      <c r="L330" s="1041"/>
      <c r="M330" s="753"/>
      <c r="N330" s="3" t="str">
        <f>IF(M330="","",VLOOKUP(M330,'Budget-S&amp;U Codes Lookup'!$E$26:$F$45,2,FALSE))</f>
        <v/>
      </c>
      <c r="P330" s="186"/>
    </row>
    <row r="331" spans="1:16">
      <c r="A331" s="751"/>
      <c r="B331" s="82" t="str">
        <f>IFERROR(VLOOKUP(A331,'Budget-S&amp;U Codes Lookup'!$A$7:$B$550,2,FALSE),"")</f>
        <v/>
      </c>
      <c r="C331" s="992"/>
      <c r="D331" s="118"/>
      <c r="E331" s="131"/>
      <c r="F331" s="124"/>
      <c r="G331" s="124"/>
      <c r="H331" s="125">
        <f t="shared" si="5"/>
        <v>0</v>
      </c>
      <c r="I331" s="191"/>
      <c r="J331" s="268"/>
      <c r="K331" s="182" t="str">
        <f>IFERROR(VLOOKUP(A331,'Budget-S&amp;U Codes Lookup'!$A$7:$C$550,3,FALSE),"")</f>
        <v/>
      </c>
      <c r="L331" s="1041"/>
      <c r="M331" s="753"/>
      <c r="N331" s="3" t="str">
        <f>IF(M331="","",VLOOKUP(M331,'Budget-S&amp;U Codes Lookup'!$E$26:$F$45,2,FALSE))</f>
        <v/>
      </c>
      <c r="P331" s="186"/>
    </row>
    <row r="332" spans="1:16">
      <c r="A332" s="751"/>
      <c r="B332" s="82" t="str">
        <f>IFERROR(VLOOKUP(A332,'Budget-S&amp;U Codes Lookup'!$A$7:$B$550,2,FALSE),"")</f>
        <v/>
      </c>
      <c r="C332" s="992"/>
      <c r="D332" s="118"/>
      <c r="E332" s="131"/>
      <c r="F332" s="124"/>
      <c r="G332" s="124"/>
      <c r="H332" s="125">
        <f t="shared" si="5"/>
        <v>0</v>
      </c>
      <c r="I332" s="191"/>
      <c r="J332" s="268"/>
      <c r="K332" s="182" t="str">
        <f>IFERROR(VLOOKUP(A332,'Budget-S&amp;U Codes Lookup'!$A$7:$C$550,3,FALSE),"")</f>
        <v/>
      </c>
      <c r="L332" s="1041"/>
      <c r="M332" s="753"/>
      <c r="N332" s="3" t="str">
        <f>IF(M332="","",VLOOKUP(M332,'Budget-S&amp;U Codes Lookup'!$E$26:$F$45,2,FALSE))</f>
        <v/>
      </c>
      <c r="P332" s="186"/>
    </row>
    <row r="333" spans="1:16">
      <c r="A333" s="751"/>
      <c r="B333" s="82" t="str">
        <f>IFERROR(VLOOKUP(A333,'Budget-S&amp;U Codes Lookup'!$A$7:$B$550,2,FALSE),"")</f>
        <v/>
      </c>
      <c r="C333" s="992"/>
      <c r="D333" s="118"/>
      <c r="E333" s="131"/>
      <c r="F333" s="124"/>
      <c r="G333" s="124"/>
      <c r="H333" s="125">
        <f t="shared" si="5"/>
        <v>0</v>
      </c>
      <c r="I333" s="191"/>
      <c r="J333" s="268"/>
      <c r="K333" s="182" t="str">
        <f>IFERROR(VLOOKUP(A333,'Budget-S&amp;U Codes Lookup'!$A$7:$C$550,3,FALSE),"")</f>
        <v/>
      </c>
      <c r="L333" s="1041"/>
      <c r="M333" s="753"/>
      <c r="N333" s="3" t="str">
        <f>IF(M333="","",VLOOKUP(M333,'Budget-S&amp;U Codes Lookup'!$E$26:$F$45,2,FALSE))</f>
        <v/>
      </c>
      <c r="P333" s="186"/>
    </row>
    <row r="334" spans="1:16">
      <c r="A334" s="751"/>
      <c r="B334" s="82" t="str">
        <f>IFERROR(VLOOKUP(A334,'Budget-S&amp;U Codes Lookup'!$A$7:$B$550,2,FALSE),"")</f>
        <v/>
      </c>
      <c r="C334" s="992"/>
      <c r="D334" s="118"/>
      <c r="E334" s="131"/>
      <c r="F334" s="124"/>
      <c r="G334" s="124"/>
      <c r="H334" s="125">
        <f t="shared" si="5"/>
        <v>0</v>
      </c>
      <c r="I334" s="191"/>
      <c r="J334" s="268"/>
      <c r="K334" s="182" t="str">
        <f>IFERROR(VLOOKUP(A334,'Budget-S&amp;U Codes Lookup'!$A$7:$C$550,3,FALSE),"")</f>
        <v/>
      </c>
      <c r="L334" s="1041"/>
      <c r="M334" s="753"/>
      <c r="N334" s="3" t="str">
        <f>IF(M334="","",VLOOKUP(M334,'Budget-S&amp;U Codes Lookup'!$E$26:$F$45,2,FALSE))</f>
        <v/>
      </c>
      <c r="P334" s="186"/>
    </row>
    <row r="335" spans="1:16">
      <c r="A335" s="751"/>
      <c r="B335" s="82" t="str">
        <f>IFERROR(VLOOKUP(A335,'Budget-S&amp;U Codes Lookup'!$A$7:$B$550,2,FALSE),"")</f>
        <v/>
      </c>
      <c r="C335" s="992"/>
      <c r="D335" s="118"/>
      <c r="E335" s="131"/>
      <c r="F335" s="124"/>
      <c r="G335" s="124"/>
      <c r="H335" s="125">
        <f t="shared" si="5"/>
        <v>0</v>
      </c>
      <c r="I335" s="191"/>
      <c r="J335" s="268"/>
      <c r="K335" s="182" t="str">
        <f>IFERROR(VLOOKUP(A335,'Budget-S&amp;U Codes Lookup'!$A$7:$C$550,3,FALSE),"")</f>
        <v/>
      </c>
      <c r="L335" s="1041"/>
      <c r="M335" s="753"/>
      <c r="N335" s="3" t="str">
        <f>IF(M335="","",VLOOKUP(M335,'Budget-S&amp;U Codes Lookup'!$E$26:$F$45,2,FALSE))</f>
        <v/>
      </c>
      <c r="P335" s="186"/>
    </row>
    <row r="336" spans="1:16">
      <c r="A336" s="751"/>
      <c r="B336" s="82" t="str">
        <f>IFERROR(VLOOKUP(A336,'Budget-S&amp;U Codes Lookup'!$A$7:$B$550,2,FALSE),"")</f>
        <v/>
      </c>
      <c r="C336" s="992"/>
      <c r="D336" s="118"/>
      <c r="E336" s="131"/>
      <c r="F336" s="124"/>
      <c r="G336" s="124"/>
      <c r="H336" s="125">
        <f t="shared" si="5"/>
        <v>0</v>
      </c>
      <c r="I336" s="191"/>
      <c r="J336" s="268"/>
      <c r="K336" s="182" t="str">
        <f>IFERROR(VLOOKUP(A336,'Budget-S&amp;U Codes Lookup'!$A$7:$C$550,3,FALSE),"")</f>
        <v/>
      </c>
      <c r="L336" s="1041"/>
      <c r="M336" s="753"/>
      <c r="N336" s="3" t="str">
        <f>IF(M336="","",VLOOKUP(M336,'Budget-S&amp;U Codes Lookup'!$E$26:$F$45,2,FALSE))</f>
        <v/>
      </c>
      <c r="P336" s="186"/>
    </row>
    <row r="337" spans="1:16">
      <c r="A337" s="751"/>
      <c r="B337" s="82" t="str">
        <f>IFERROR(VLOOKUP(A337,'Budget-S&amp;U Codes Lookup'!$A$7:$B$550,2,FALSE),"")</f>
        <v/>
      </c>
      <c r="C337" s="992"/>
      <c r="D337" s="118"/>
      <c r="E337" s="131"/>
      <c r="F337" s="124"/>
      <c r="G337" s="124"/>
      <c r="H337" s="125">
        <f t="shared" si="5"/>
        <v>0</v>
      </c>
      <c r="I337" s="191"/>
      <c r="J337" s="268"/>
      <c r="K337" s="182" t="str">
        <f>IFERROR(VLOOKUP(A337,'Budget-S&amp;U Codes Lookup'!$A$7:$C$550,3,FALSE),"")</f>
        <v/>
      </c>
      <c r="L337" s="1041"/>
      <c r="M337" s="753"/>
      <c r="N337" s="3" t="str">
        <f>IF(M337="","",VLOOKUP(M337,'Budget-S&amp;U Codes Lookup'!$E$26:$F$45,2,FALSE))</f>
        <v/>
      </c>
      <c r="P337" s="186"/>
    </row>
    <row r="338" spans="1:16">
      <c r="A338" s="751"/>
      <c r="B338" s="82" t="str">
        <f>IFERROR(VLOOKUP(A338,'Budget-S&amp;U Codes Lookup'!$A$7:$B$550,2,FALSE),"")</f>
        <v/>
      </c>
      <c r="C338" s="992"/>
      <c r="D338" s="118"/>
      <c r="E338" s="131"/>
      <c r="F338" s="124"/>
      <c r="G338" s="124"/>
      <c r="H338" s="125">
        <f t="shared" si="5"/>
        <v>0</v>
      </c>
      <c r="I338" s="191"/>
      <c r="J338" s="268"/>
      <c r="K338" s="182" t="str">
        <f>IFERROR(VLOOKUP(A338,'Budget-S&amp;U Codes Lookup'!$A$7:$C$550,3,FALSE),"")</f>
        <v/>
      </c>
      <c r="L338" s="1041"/>
      <c r="M338" s="753"/>
      <c r="N338" s="3" t="str">
        <f>IF(M338="","",VLOOKUP(M338,'Budget-S&amp;U Codes Lookup'!$E$26:$F$45,2,FALSE))</f>
        <v/>
      </c>
      <c r="P338" s="186"/>
    </row>
    <row r="339" spans="1:16">
      <c r="A339" s="751"/>
      <c r="B339" s="82" t="str">
        <f>IFERROR(VLOOKUP(A339,'Budget-S&amp;U Codes Lookup'!$A$7:$B$550,2,FALSE),"")</f>
        <v/>
      </c>
      <c r="C339" s="992"/>
      <c r="D339" s="118"/>
      <c r="E339" s="131"/>
      <c r="F339" s="124"/>
      <c r="G339" s="124"/>
      <c r="H339" s="125">
        <f t="shared" si="5"/>
        <v>0</v>
      </c>
      <c r="I339" s="191"/>
      <c r="J339" s="268"/>
      <c r="K339" s="182" t="str">
        <f>IFERROR(VLOOKUP(A339,'Budget-S&amp;U Codes Lookup'!$A$7:$C$550,3,FALSE),"")</f>
        <v/>
      </c>
      <c r="L339" s="1041"/>
      <c r="M339" s="753"/>
      <c r="N339" s="3" t="str">
        <f>IF(M339="","",VLOOKUP(M339,'Budget-S&amp;U Codes Lookup'!$E$26:$F$45,2,FALSE))</f>
        <v/>
      </c>
      <c r="P339" s="186"/>
    </row>
    <row r="340" spans="1:16">
      <c r="A340" s="751"/>
      <c r="B340" s="82" t="str">
        <f>IFERROR(VLOOKUP(A340,'Budget-S&amp;U Codes Lookup'!$A$7:$B$550,2,FALSE),"")</f>
        <v/>
      </c>
      <c r="C340" s="992"/>
      <c r="D340" s="118"/>
      <c r="E340" s="131"/>
      <c r="F340" s="124"/>
      <c r="G340" s="124"/>
      <c r="H340" s="125">
        <f t="shared" si="5"/>
        <v>0</v>
      </c>
      <c r="I340" s="191"/>
      <c r="J340" s="268"/>
      <c r="K340" s="182" t="str">
        <f>IFERROR(VLOOKUP(A340,'Budget-S&amp;U Codes Lookup'!$A$7:$C$550,3,FALSE),"")</f>
        <v/>
      </c>
      <c r="L340" s="1041"/>
      <c r="M340" s="753"/>
      <c r="N340" s="3" t="str">
        <f>IF(M340="","",VLOOKUP(M340,'Budget-S&amp;U Codes Lookup'!$E$26:$F$45,2,FALSE))</f>
        <v/>
      </c>
      <c r="P340" s="186"/>
    </row>
    <row r="341" spans="1:16">
      <c r="A341" s="751"/>
      <c r="B341" s="82" t="str">
        <f>IFERROR(VLOOKUP(A341,'Budget-S&amp;U Codes Lookup'!$A$7:$B$550,2,FALSE),"")</f>
        <v/>
      </c>
      <c r="C341" s="992"/>
      <c r="D341" s="118"/>
      <c r="E341" s="131"/>
      <c r="F341" s="124"/>
      <c r="G341" s="124"/>
      <c r="H341" s="125">
        <f t="shared" si="5"/>
        <v>0</v>
      </c>
      <c r="I341" s="191"/>
      <c r="J341" s="268"/>
      <c r="K341" s="182" t="str">
        <f>IFERROR(VLOOKUP(A341,'Budget-S&amp;U Codes Lookup'!$A$7:$C$550,3,FALSE),"")</f>
        <v/>
      </c>
      <c r="L341" s="1041"/>
      <c r="M341" s="753"/>
      <c r="N341" s="3" t="str">
        <f>IF(M341="","",VLOOKUP(M341,'Budget-S&amp;U Codes Lookup'!$E$26:$F$45,2,FALSE))</f>
        <v/>
      </c>
      <c r="P341" s="186"/>
    </row>
    <row r="342" spans="1:16">
      <c r="A342" s="751"/>
      <c r="B342" s="82" t="str">
        <f>IFERROR(VLOOKUP(A342,'Budget-S&amp;U Codes Lookup'!$A$7:$B$550,2,FALSE),"")</f>
        <v/>
      </c>
      <c r="C342" s="992"/>
      <c r="D342" s="118"/>
      <c r="E342" s="131"/>
      <c r="F342" s="124"/>
      <c r="G342" s="124"/>
      <c r="H342" s="125">
        <f t="shared" si="5"/>
        <v>0</v>
      </c>
      <c r="I342" s="191"/>
      <c r="J342" s="268"/>
      <c r="K342" s="182" t="str">
        <f>IFERROR(VLOOKUP(A342,'Budget-S&amp;U Codes Lookup'!$A$7:$C$550,3,FALSE),"")</f>
        <v/>
      </c>
      <c r="L342" s="1041"/>
      <c r="M342" s="753"/>
      <c r="N342" s="3" t="str">
        <f>IF(M342="","",VLOOKUP(M342,'Budget-S&amp;U Codes Lookup'!$E$26:$F$45,2,FALSE))</f>
        <v/>
      </c>
      <c r="P342" s="186"/>
    </row>
    <row r="343" spans="1:16">
      <c r="A343" s="751"/>
      <c r="B343" s="82" t="str">
        <f>IFERROR(VLOOKUP(A343,'Budget-S&amp;U Codes Lookup'!$A$7:$B$550,2,FALSE),"")</f>
        <v/>
      </c>
      <c r="C343" s="992"/>
      <c r="D343" s="118"/>
      <c r="E343" s="131"/>
      <c r="F343" s="124"/>
      <c r="G343" s="124"/>
      <c r="H343" s="125">
        <f t="shared" si="5"/>
        <v>0</v>
      </c>
      <c r="I343" s="191"/>
      <c r="J343" s="268"/>
      <c r="K343" s="182" t="str">
        <f>IFERROR(VLOOKUP(A343,'Budget-S&amp;U Codes Lookup'!$A$7:$C$550,3,FALSE),"")</f>
        <v/>
      </c>
      <c r="L343" s="1041"/>
      <c r="M343" s="753"/>
      <c r="N343" s="3" t="str">
        <f>IF(M343="","",VLOOKUP(M343,'Budget-S&amp;U Codes Lookup'!$E$26:$F$45,2,FALSE))</f>
        <v/>
      </c>
      <c r="P343" s="186"/>
    </row>
    <row r="344" spans="1:16">
      <c r="A344" s="751"/>
      <c r="B344" s="82" t="str">
        <f>IFERROR(VLOOKUP(A344,'Budget-S&amp;U Codes Lookup'!$A$7:$B$550,2,FALSE),"")</f>
        <v/>
      </c>
      <c r="C344" s="992"/>
      <c r="D344" s="118"/>
      <c r="E344" s="131"/>
      <c r="F344" s="124"/>
      <c r="G344" s="124"/>
      <c r="H344" s="125">
        <f t="shared" si="5"/>
        <v>0</v>
      </c>
      <c r="I344" s="191"/>
      <c r="J344" s="268"/>
      <c r="K344" s="182" t="str">
        <f>IFERROR(VLOOKUP(A344,'Budget-S&amp;U Codes Lookup'!$A$7:$C$550,3,FALSE),"")</f>
        <v/>
      </c>
      <c r="L344" s="1041"/>
      <c r="M344" s="753"/>
      <c r="N344" s="3" t="str">
        <f>IF(M344="","",VLOOKUP(M344,'Budget-S&amp;U Codes Lookup'!$E$26:$F$45,2,FALSE))</f>
        <v/>
      </c>
      <c r="P344" s="186"/>
    </row>
    <row r="345" spans="1:16">
      <c r="A345" s="751"/>
      <c r="B345" s="82" t="str">
        <f>IFERROR(VLOOKUP(A345,'Budget-S&amp;U Codes Lookup'!$A$7:$B$550,2,FALSE),"")</f>
        <v/>
      </c>
      <c r="C345" s="992"/>
      <c r="D345" s="118"/>
      <c r="E345" s="131"/>
      <c r="F345" s="124"/>
      <c r="G345" s="124"/>
      <c r="H345" s="125">
        <f t="shared" si="5"/>
        <v>0</v>
      </c>
      <c r="I345" s="191"/>
      <c r="J345" s="268"/>
      <c r="K345" s="182" t="str">
        <f>IFERROR(VLOOKUP(A345,'Budget-S&amp;U Codes Lookup'!$A$7:$C$550,3,FALSE),"")</f>
        <v/>
      </c>
      <c r="L345" s="1041"/>
      <c r="M345" s="753"/>
      <c r="N345" s="3" t="str">
        <f>IF(M345="","",VLOOKUP(M345,'Budget-S&amp;U Codes Lookup'!$E$26:$F$45,2,FALSE))</f>
        <v/>
      </c>
      <c r="P345" s="186"/>
    </row>
    <row r="346" spans="1:16">
      <c r="A346" s="751"/>
      <c r="B346" s="82" t="str">
        <f>IFERROR(VLOOKUP(A346,'Budget-S&amp;U Codes Lookup'!$A$7:$B$550,2,FALSE),"")</f>
        <v/>
      </c>
      <c r="C346" s="992"/>
      <c r="D346" s="118"/>
      <c r="E346" s="131"/>
      <c r="F346" s="124"/>
      <c r="G346" s="124"/>
      <c r="H346" s="125">
        <f t="shared" si="5"/>
        <v>0</v>
      </c>
      <c r="I346" s="191"/>
      <c r="J346" s="268"/>
      <c r="K346" s="182" t="str">
        <f>IFERROR(VLOOKUP(A346,'Budget-S&amp;U Codes Lookup'!$A$7:$C$550,3,FALSE),"")</f>
        <v/>
      </c>
      <c r="L346" s="1041"/>
      <c r="M346" s="753"/>
      <c r="N346" s="3" t="str">
        <f>IF(M346="","",VLOOKUP(M346,'Budget-S&amp;U Codes Lookup'!$E$26:$F$45,2,FALSE))</f>
        <v/>
      </c>
      <c r="P346" s="186"/>
    </row>
    <row r="347" spans="1:16">
      <c r="A347" s="751"/>
      <c r="B347" s="82" t="str">
        <f>IFERROR(VLOOKUP(A347,'Budget-S&amp;U Codes Lookup'!$A$7:$B$550,2,FALSE),"")</f>
        <v/>
      </c>
      <c r="C347" s="992"/>
      <c r="D347" s="118"/>
      <c r="E347" s="131"/>
      <c r="F347" s="124"/>
      <c r="G347" s="124"/>
      <c r="H347" s="125">
        <f t="shared" si="5"/>
        <v>0</v>
      </c>
      <c r="I347" s="191"/>
      <c r="J347" s="268"/>
      <c r="K347" s="182" t="str">
        <f>IFERROR(VLOOKUP(A347,'Budget-S&amp;U Codes Lookup'!$A$7:$C$550,3,FALSE),"")</f>
        <v/>
      </c>
      <c r="L347" s="1041"/>
      <c r="M347" s="753"/>
      <c r="N347" s="3" t="str">
        <f>IF(M347="","",VLOOKUP(M347,'Budget-S&amp;U Codes Lookup'!$E$26:$F$45,2,FALSE))</f>
        <v/>
      </c>
      <c r="P347" s="186"/>
    </row>
    <row r="348" spans="1:16">
      <c r="A348" s="751"/>
      <c r="B348" s="82" t="str">
        <f>IFERROR(VLOOKUP(A348,'Budget-S&amp;U Codes Lookup'!$A$7:$B$550,2,FALSE),"")</f>
        <v/>
      </c>
      <c r="C348" s="992"/>
      <c r="D348" s="118"/>
      <c r="E348" s="131"/>
      <c r="F348" s="124"/>
      <c r="G348" s="124"/>
      <c r="H348" s="125">
        <f t="shared" si="5"/>
        <v>0</v>
      </c>
      <c r="I348" s="191"/>
      <c r="J348" s="268"/>
      <c r="K348" s="182" t="str">
        <f>IFERROR(VLOOKUP(A348,'Budget-S&amp;U Codes Lookup'!$A$7:$C$550,3,FALSE),"")</f>
        <v/>
      </c>
      <c r="L348" s="1041"/>
      <c r="M348" s="753"/>
      <c r="N348" s="3" t="str">
        <f>IF(M348="","",VLOOKUP(M348,'Budget-S&amp;U Codes Lookup'!$E$26:$F$45,2,FALSE))</f>
        <v/>
      </c>
      <c r="P348" s="186"/>
    </row>
    <row r="349" spans="1:16">
      <c r="A349" s="751"/>
      <c r="B349" s="82" t="str">
        <f>IFERROR(VLOOKUP(A349,'Budget-S&amp;U Codes Lookup'!$A$7:$B$550,2,FALSE),"")</f>
        <v/>
      </c>
      <c r="C349" s="992"/>
      <c r="D349" s="118"/>
      <c r="E349" s="131"/>
      <c r="F349" s="124"/>
      <c r="G349" s="124"/>
      <c r="H349" s="125">
        <f t="shared" si="5"/>
        <v>0</v>
      </c>
      <c r="I349" s="191"/>
      <c r="J349" s="268"/>
      <c r="K349" s="182" t="str">
        <f>IFERROR(VLOOKUP(A349,'Budget-S&amp;U Codes Lookup'!$A$7:$C$550,3,FALSE),"")</f>
        <v/>
      </c>
      <c r="L349" s="1041"/>
      <c r="M349" s="753"/>
      <c r="N349" s="3" t="str">
        <f>IF(M349="","",VLOOKUP(M349,'Budget-S&amp;U Codes Lookup'!$E$26:$F$45,2,FALSE))</f>
        <v/>
      </c>
      <c r="P349" s="186"/>
    </row>
    <row r="350" spans="1:16">
      <c r="A350" s="751"/>
      <c r="B350" s="82" t="str">
        <f>IFERROR(VLOOKUP(A350,'Budget-S&amp;U Codes Lookup'!$A$7:$B$550,2,FALSE),"")</f>
        <v/>
      </c>
      <c r="C350" s="992"/>
      <c r="D350" s="118"/>
      <c r="E350" s="131"/>
      <c r="F350" s="124"/>
      <c r="G350" s="124"/>
      <c r="H350" s="125">
        <f t="shared" si="5"/>
        <v>0</v>
      </c>
      <c r="I350" s="191"/>
      <c r="J350" s="268"/>
      <c r="K350" s="182" t="str">
        <f>IFERROR(VLOOKUP(A350,'Budget-S&amp;U Codes Lookup'!$A$7:$C$550,3,FALSE),"")</f>
        <v/>
      </c>
      <c r="L350" s="1041"/>
      <c r="M350" s="753"/>
      <c r="N350" s="3" t="str">
        <f>IF(M350="","",VLOOKUP(M350,'Budget-S&amp;U Codes Lookup'!$E$26:$F$45,2,FALSE))</f>
        <v/>
      </c>
      <c r="P350" s="186"/>
    </row>
    <row r="351" spans="1:16">
      <c r="A351" s="751"/>
      <c r="B351" s="82" t="str">
        <f>IFERROR(VLOOKUP(A351,'Budget-S&amp;U Codes Lookup'!$A$7:$B$550,2,FALSE),"")</f>
        <v/>
      </c>
      <c r="C351" s="992"/>
      <c r="D351" s="118"/>
      <c r="E351" s="131"/>
      <c r="F351" s="124"/>
      <c r="G351" s="124"/>
      <c r="H351" s="125">
        <f t="shared" si="5"/>
        <v>0</v>
      </c>
      <c r="I351" s="191"/>
      <c r="J351" s="268"/>
      <c r="K351" s="182" t="str">
        <f>IFERROR(VLOOKUP(A351,'Budget-S&amp;U Codes Lookup'!$A$7:$C$550,3,FALSE),"")</f>
        <v/>
      </c>
      <c r="L351" s="1041"/>
      <c r="M351" s="753"/>
      <c r="N351" s="3" t="str">
        <f>IF(M351="","",VLOOKUP(M351,'Budget-S&amp;U Codes Lookup'!$E$26:$F$45,2,FALSE))</f>
        <v/>
      </c>
      <c r="P351" s="186"/>
    </row>
    <row r="352" spans="1:16">
      <c r="A352" s="751"/>
      <c r="B352" s="82" t="str">
        <f>IFERROR(VLOOKUP(A352,'Budget-S&amp;U Codes Lookup'!$A$7:$B$550,2,FALSE),"")</f>
        <v/>
      </c>
      <c r="C352" s="992"/>
      <c r="D352" s="118"/>
      <c r="E352" s="131"/>
      <c r="F352" s="124"/>
      <c r="G352" s="124"/>
      <c r="H352" s="125">
        <f t="shared" si="5"/>
        <v>0</v>
      </c>
      <c r="I352" s="191"/>
      <c r="J352" s="268"/>
      <c r="K352" s="182" t="str">
        <f>IFERROR(VLOOKUP(A352,'Budget-S&amp;U Codes Lookup'!$A$7:$C$550,3,FALSE),"")</f>
        <v/>
      </c>
      <c r="L352" s="1041"/>
      <c r="M352" s="753"/>
      <c r="N352" s="3" t="str">
        <f>IF(M352="","",VLOOKUP(M352,'Budget-S&amp;U Codes Lookup'!$E$26:$F$45,2,FALSE))</f>
        <v/>
      </c>
      <c r="P352" s="186"/>
    </row>
    <row r="353" spans="1:16">
      <c r="A353" s="751"/>
      <c r="B353" s="82" t="str">
        <f>IFERROR(VLOOKUP(A353,'Budget-S&amp;U Codes Lookup'!$A$7:$B$550,2,FALSE),"")</f>
        <v/>
      </c>
      <c r="C353" s="992"/>
      <c r="D353" s="118"/>
      <c r="E353" s="131"/>
      <c r="F353" s="124"/>
      <c r="G353" s="124"/>
      <c r="H353" s="125">
        <f t="shared" si="5"/>
        <v>0</v>
      </c>
      <c r="I353" s="191"/>
      <c r="J353" s="268"/>
      <c r="K353" s="182" t="str">
        <f>IFERROR(VLOOKUP(A353,'Budget-S&amp;U Codes Lookup'!$A$7:$C$550,3,FALSE),"")</f>
        <v/>
      </c>
      <c r="L353" s="1041"/>
      <c r="M353" s="753"/>
      <c r="N353" s="3" t="str">
        <f>IF(M353="","",VLOOKUP(M353,'Budget-S&amp;U Codes Lookup'!$E$26:$F$45,2,FALSE))</f>
        <v/>
      </c>
      <c r="P353" s="186"/>
    </row>
    <row r="354" spans="1:16">
      <c r="A354" s="751"/>
      <c r="B354" s="82" t="str">
        <f>IFERROR(VLOOKUP(A354,'Budget-S&amp;U Codes Lookup'!$A$7:$B$550,2,FALSE),"")</f>
        <v/>
      </c>
      <c r="C354" s="992"/>
      <c r="D354" s="118"/>
      <c r="E354" s="131"/>
      <c r="F354" s="124"/>
      <c r="G354" s="124"/>
      <c r="H354" s="125">
        <f t="shared" si="5"/>
        <v>0</v>
      </c>
      <c r="I354" s="191"/>
      <c r="J354" s="268"/>
      <c r="K354" s="182" t="str">
        <f>IFERROR(VLOOKUP(A354,'Budget-S&amp;U Codes Lookup'!$A$7:$C$550,3,FALSE),"")</f>
        <v/>
      </c>
      <c r="L354" s="1041"/>
      <c r="M354" s="753"/>
      <c r="N354" s="3" t="str">
        <f>IF(M354="","",VLOOKUP(M354,'Budget-S&amp;U Codes Lookup'!$E$26:$F$45,2,FALSE))</f>
        <v/>
      </c>
      <c r="P354" s="186"/>
    </row>
    <row r="355" spans="1:16">
      <c r="A355" s="751"/>
      <c r="B355" s="82" t="str">
        <f>IFERROR(VLOOKUP(A355,'Budget-S&amp;U Codes Lookup'!$A$7:$B$550,2,FALSE),"")</f>
        <v/>
      </c>
      <c r="C355" s="992"/>
      <c r="D355" s="118"/>
      <c r="E355" s="131"/>
      <c r="F355" s="124"/>
      <c r="G355" s="124"/>
      <c r="H355" s="125">
        <f t="shared" si="5"/>
        <v>0</v>
      </c>
      <c r="I355" s="191"/>
      <c r="J355" s="268"/>
      <c r="K355" s="182" t="str">
        <f>IFERROR(VLOOKUP(A355,'Budget-S&amp;U Codes Lookup'!$A$7:$C$550,3,FALSE),"")</f>
        <v/>
      </c>
      <c r="L355" s="1041"/>
      <c r="M355" s="753"/>
      <c r="N355" s="3" t="str">
        <f>IF(M355="","",VLOOKUP(M355,'Budget-S&amp;U Codes Lookup'!$E$26:$F$45,2,FALSE))</f>
        <v/>
      </c>
      <c r="P355" s="186"/>
    </row>
    <row r="356" spans="1:16">
      <c r="A356" s="751"/>
      <c r="B356" s="82" t="str">
        <f>IFERROR(VLOOKUP(A356,'Budget-S&amp;U Codes Lookup'!$A$7:$B$550,2,FALSE),"")</f>
        <v/>
      </c>
      <c r="C356" s="992"/>
      <c r="D356" s="118"/>
      <c r="E356" s="131"/>
      <c r="F356" s="124"/>
      <c r="G356" s="124"/>
      <c r="H356" s="125">
        <f t="shared" si="5"/>
        <v>0</v>
      </c>
      <c r="I356" s="191"/>
      <c r="J356" s="268"/>
      <c r="K356" s="182" t="str">
        <f>IFERROR(VLOOKUP(A356,'Budget-S&amp;U Codes Lookup'!$A$7:$C$550,3,FALSE),"")</f>
        <v/>
      </c>
      <c r="L356" s="1041"/>
      <c r="M356" s="753"/>
      <c r="N356" s="3" t="str">
        <f>IF(M356="","",VLOOKUP(M356,'Budget-S&amp;U Codes Lookup'!$E$26:$F$45,2,FALSE))</f>
        <v/>
      </c>
      <c r="P356" s="186"/>
    </row>
    <row r="357" spans="1:16">
      <c r="A357" s="751"/>
      <c r="B357" s="82" t="str">
        <f>IFERROR(VLOOKUP(A357,'Budget-S&amp;U Codes Lookup'!$A$7:$B$550,2,FALSE),"")</f>
        <v/>
      </c>
      <c r="C357" s="992"/>
      <c r="D357" s="118"/>
      <c r="E357" s="131"/>
      <c r="F357" s="124"/>
      <c r="G357" s="124"/>
      <c r="H357" s="125">
        <f t="shared" si="5"/>
        <v>0</v>
      </c>
      <c r="I357" s="191"/>
      <c r="J357" s="268"/>
      <c r="K357" s="182" t="str">
        <f>IFERROR(VLOOKUP(A357,'Budget-S&amp;U Codes Lookup'!$A$7:$C$550,3,FALSE),"")</f>
        <v/>
      </c>
      <c r="L357" s="1041"/>
      <c r="M357" s="753"/>
      <c r="N357" s="3" t="str">
        <f>IF(M357="","",VLOOKUP(M357,'Budget-S&amp;U Codes Lookup'!$E$26:$F$45,2,FALSE))</f>
        <v/>
      </c>
      <c r="P357" s="186"/>
    </row>
    <row r="358" spans="1:16">
      <c r="A358" s="751"/>
      <c r="B358" s="82" t="str">
        <f>IFERROR(VLOOKUP(A358,'Budget-S&amp;U Codes Lookup'!$A$7:$B$550,2,FALSE),"")</f>
        <v/>
      </c>
      <c r="C358" s="992"/>
      <c r="D358" s="118"/>
      <c r="E358" s="131"/>
      <c r="F358" s="124"/>
      <c r="G358" s="124"/>
      <c r="H358" s="125">
        <f t="shared" si="5"/>
        <v>0</v>
      </c>
      <c r="I358" s="191"/>
      <c r="J358" s="268"/>
      <c r="K358" s="182" t="str">
        <f>IFERROR(VLOOKUP(A358,'Budget-S&amp;U Codes Lookup'!$A$7:$C$550,3,FALSE),"")</f>
        <v/>
      </c>
      <c r="L358" s="1041"/>
      <c r="M358" s="753"/>
      <c r="N358" s="3" t="str">
        <f>IF(M358="","",VLOOKUP(M358,'Budget-S&amp;U Codes Lookup'!$E$26:$F$45,2,FALSE))</f>
        <v/>
      </c>
      <c r="P358" s="186"/>
    </row>
    <row r="359" spans="1:16">
      <c r="A359" s="751"/>
      <c r="B359" s="82" t="str">
        <f>IFERROR(VLOOKUP(A359,'Budget-S&amp;U Codes Lookup'!$A$7:$B$550,2,FALSE),"")</f>
        <v/>
      </c>
      <c r="C359" s="992"/>
      <c r="D359" s="118"/>
      <c r="E359" s="131"/>
      <c r="F359" s="124"/>
      <c r="G359" s="124"/>
      <c r="H359" s="125">
        <f t="shared" si="5"/>
        <v>0</v>
      </c>
      <c r="I359" s="191"/>
      <c r="J359" s="268"/>
      <c r="K359" s="182" t="str">
        <f>IFERROR(VLOOKUP(A359,'Budget-S&amp;U Codes Lookup'!$A$7:$C$550,3,FALSE),"")</f>
        <v/>
      </c>
      <c r="L359" s="1042"/>
      <c r="M359" s="753"/>
      <c r="N359" s="3" t="str">
        <f>IF(M359="","",VLOOKUP(M359,'Budget-S&amp;U Codes Lookup'!$E$26:$F$45,2,FALSE))</f>
        <v/>
      </c>
      <c r="P359" s="186"/>
    </row>
    <row r="360" spans="1:16">
      <c r="A360" s="751"/>
      <c r="B360" s="82" t="str">
        <f>IFERROR(VLOOKUP(A360,'Budget-S&amp;U Codes Lookup'!$A$7:$B$550,2,FALSE),"")</f>
        <v/>
      </c>
      <c r="C360" s="992"/>
      <c r="D360" s="118"/>
      <c r="E360" s="131"/>
      <c r="F360" s="124"/>
      <c r="G360" s="124"/>
      <c r="H360" s="125">
        <f t="shared" si="5"/>
        <v>0</v>
      </c>
      <c r="I360" s="191"/>
      <c r="J360" s="268"/>
      <c r="K360" s="182" t="str">
        <f>IFERROR(VLOOKUP(A360,'Budget-S&amp;U Codes Lookup'!$A$7:$C$550,3,FALSE),"")</f>
        <v/>
      </c>
      <c r="L360" s="1041"/>
      <c r="M360" s="753"/>
      <c r="N360" s="3" t="str">
        <f>IF(M360="","",VLOOKUP(M360,'Budget-S&amp;U Codes Lookup'!$E$26:$F$45,2,FALSE))</f>
        <v/>
      </c>
      <c r="P360" s="186"/>
    </row>
    <row r="361" spans="1:16">
      <c r="A361" s="751"/>
      <c r="B361" s="82" t="str">
        <f>IFERROR(VLOOKUP(A361,'Budget-S&amp;U Codes Lookup'!$A$7:$B$550,2,FALSE),"")</f>
        <v/>
      </c>
      <c r="C361" s="992"/>
      <c r="D361" s="118"/>
      <c r="E361" s="131"/>
      <c r="F361" s="124"/>
      <c r="G361" s="124"/>
      <c r="H361" s="125">
        <f t="shared" si="5"/>
        <v>0</v>
      </c>
      <c r="I361" s="191"/>
      <c r="J361" s="268"/>
      <c r="K361" s="182" t="str">
        <f>IFERROR(VLOOKUP(A361,'Budget-S&amp;U Codes Lookup'!$A$7:$C$550,3,FALSE),"")</f>
        <v/>
      </c>
      <c r="L361" s="1041"/>
      <c r="M361" s="753"/>
      <c r="N361" s="3" t="str">
        <f>IF(M361="","",VLOOKUP(M361,'Budget-S&amp;U Codes Lookup'!$E$26:$F$45,2,FALSE))</f>
        <v/>
      </c>
      <c r="P361" s="186"/>
    </row>
    <row r="362" spans="1:16">
      <c r="A362" s="751"/>
      <c r="B362" s="82" t="str">
        <f>IFERROR(VLOOKUP(A362,'Budget-S&amp;U Codes Lookup'!$A$7:$B$550,2,FALSE),"")</f>
        <v/>
      </c>
      <c r="C362" s="992"/>
      <c r="D362" s="118"/>
      <c r="E362" s="131"/>
      <c r="F362" s="124"/>
      <c r="G362" s="124"/>
      <c r="H362" s="125">
        <f t="shared" si="5"/>
        <v>0</v>
      </c>
      <c r="I362" s="191"/>
      <c r="J362" s="268"/>
      <c r="K362" s="182" t="str">
        <f>IFERROR(VLOOKUP(A362,'Budget-S&amp;U Codes Lookup'!$A$7:$C$550,3,FALSE),"")</f>
        <v/>
      </c>
      <c r="L362" s="1041"/>
      <c r="M362" s="753"/>
      <c r="N362" s="3" t="str">
        <f>IF(M362="","",VLOOKUP(M362,'Budget-S&amp;U Codes Lookup'!$E$26:$F$45,2,FALSE))</f>
        <v/>
      </c>
      <c r="P362" s="186"/>
    </row>
    <row r="363" spans="1:16">
      <c r="A363" s="751"/>
      <c r="B363" s="82" t="str">
        <f>IFERROR(VLOOKUP(A363,'Budget-S&amp;U Codes Lookup'!$A$7:$B$550,2,FALSE),"")</f>
        <v/>
      </c>
      <c r="C363" s="992"/>
      <c r="D363" s="118"/>
      <c r="E363" s="131"/>
      <c r="F363" s="124"/>
      <c r="G363" s="124"/>
      <c r="H363" s="125">
        <f t="shared" si="5"/>
        <v>0</v>
      </c>
      <c r="I363" s="191"/>
      <c r="J363" s="268"/>
      <c r="K363" s="182" t="str">
        <f>IFERROR(VLOOKUP(A363,'Budget-S&amp;U Codes Lookup'!$A$7:$C$550,3,FALSE),"")</f>
        <v/>
      </c>
      <c r="L363" s="1041"/>
      <c r="M363" s="753"/>
      <c r="N363" s="3" t="str">
        <f>IF(M363="","",VLOOKUP(M363,'Budget-S&amp;U Codes Lookup'!$E$26:$F$45,2,FALSE))</f>
        <v/>
      </c>
      <c r="P363" s="186"/>
    </row>
    <row r="364" spans="1:16">
      <c r="A364" s="751"/>
      <c r="B364" s="82" t="str">
        <f>IFERROR(VLOOKUP(A364,'Budget-S&amp;U Codes Lookup'!$A$7:$B$550,2,FALSE),"")</f>
        <v/>
      </c>
      <c r="C364" s="992"/>
      <c r="D364" s="118"/>
      <c r="E364" s="131"/>
      <c r="F364" s="124"/>
      <c r="G364" s="124"/>
      <c r="H364" s="125">
        <f t="shared" si="5"/>
        <v>0</v>
      </c>
      <c r="I364" s="191"/>
      <c r="J364" s="268"/>
      <c r="K364" s="182" t="str">
        <f>IFERROR(VLOOKUP(A364,'Budget-S&amp;U Codes Lookup'!$A$7:$C$550,3,FALSE),"")</f>
        <v/>
      </c>
      <c r="L364" s="1041"/>
      <c r="M364" s="753"/>
      <c r="N364" s="3" t="str">
        <f>IF(M364="","",VLOOKUP(M364,'Budget-S&amp;U Codes Lookup'!$E$26:$F$45,2,FALSE))</f>
        <v/>
      </c>
      <c r="P364" s="186"/>
    </row>
    <row r="365" spans="1:16">
      <c r="A365" s="751"/>
      <c r="B365" s="82" t="str">
        <f>IFERROR(VLOOKUP(A365,'Budget-S&amp;U Codes Lookup'!$A$7:$B$550,2,FALSE),"")</f>
        <v/>
      </c>
      <c r="C365" s="992"/>
      <c r="D365" s="118"/>
      <c r="E365" s="131"/>
      <c r="F365" s="124"/>
      <c r="G365" s="124"/>
      <c r="H365" s="125">
        <f t="shared" si="5"/>
        <v>0</v>
      </c>
      <c r="I365" s="191"/>
      <c r="J365" s="268"/>
      <c r="K365" s="182" t="str">
        <f>IFERROR(VLOOKUP(A365,'Budget-S&amp;U Codes Lookup'!$A$7:$C$550,3,FALSE),"")</f>
        <v/>
      </c>
      <c r="L365" s="1041"/>
      <c r="M365" s="753"/>
      <c r="N365" s="3" t="str">
        <f>IF(M365="","",VLOOKUP(M365,'Budget-S&amp;U Codes Lookup'!$E$26:$F$45,2,FALSE))</f>
        <v/>
      </c>
      <c r="P365" s="186"/>
    </row>
    <row r="366" spans="1:16">
      <c r="A366" s="751"/>
      <c r="B366" s="82" t="str">
        <f>IFERROR(VLOOKUP(A366,'Budget-S&amp;U Codes Lookup'!$A$7:$B$550,2,FALSE),"")</f>
        <v/>
      </c>
      <c r="C366" s="992"/>
      <c r="D366" s="118"/>
      <c r="E366" s="131"/>
      <c r="F366" s="124"/>
      <c r="G366" s="124"/>
      <c r="H366" s="125">
        <f t="shared" si="5"/>
        <v>0</v>
      </c>
      <c r="I366" s="191"/>
      <c r="J366" s="268"/>
      <c r="K366" s="182" t="str">
        <f>IFERROR(VLOOKUP(A366,'Budget-S&amp;U Codes Lookup'!$A$7:$C$550,3,FALSE),"")</f>
        <v/>
      </c>
      <c r="L366" s="1041"/>
      <c r="M366" s="753"/>
      <c r="N366" s="3" t="str">
        <f>IF(M366="","",VLOOKUP(M366,'Budget-S&amp;U Codes Lookup'!$E$26:$F$45,2,FALSE))</f>
        <v/>
      </c>
      <c r="P366" s="186"/>
    </row>
    <row r="367" spans="1:16">
      <c r="A367" s="751"/>
      <c r="B367" s="82" t="str">
        <f>IFERROR(VLOOKUP(A367,'Budget-S&amp;U Codes Lookup'!$A$7:$B$550,2,FALSE),"")</f>
        <v/>
      </c>
      <c r="C367" s="992"/>
      <c r="D367" s="118"/>
      <c r="E367" s="131"/>
      <c r="F367" s="124"/>
      <c r="G367" s="124"/>
      <c r="H367" s="125">
        <f t="shared" si="5"/>
        <v>0</v>
      </c>
      <c r="I367" s="191"/>
      <c r="J367" s="268"/>
      <c r="K367" s="182" t="str">
        <f>IFERROR(VLOOKUP(A367,'Budget-S&amp;U Codes Lookup'!$A$7:$C$550,3,FALSE),"")</f>
        <v/>
      </c>
      <c r="L367" s="1041"/>
      <c r="M367" s="753"/>
      <c r="N367" s="3" t="str">
        <f>IF(M367="","",VLOOKUP(M367,'Budget-S&amp;U Codes Lookup'!$E$26:$F$45,2,FALSE))</f>
        <v/>
      </c>
      <c r="P367" s="186"/>
    </row>
    <row r="368" spans="1:16">
      <c r="A368" s="751"/>
      <c r="B368" s="82" t="str">
        <f>IFERROR(VLOOKUP(A368,'Budget-S&amp;U Codes Lookup'!$A$7:$B$550,2,FALSE),"")</f>
        <v/>
      </c>
      <c r="C368" s="992"/>
      <c r="D368" s="118"/>
      <c r="E368" s="131"/>
      <c r="F368" s="124"/>
      <c r="G368" s="124"/>
      <c r="H368" s="125">
        <f t="shared" si="5"/>
        <v>0</v>
      </c>
      <c r="I368" s="191"/>
      <c r="J368" s="268"/>
      <c r="K368" s="182" t="str">
        <f>IFERROR(VLOOKUP(A368,'Budget-S&amp;U Codes Lookup'!$A$7:$C$550,3,FALSE),"")</f>
        <v/>
      </c>
      <c r="L368" s="1041"/>
      <c r="M368" s="753"/>
      <c r="N368" s="3" t="str">
        <f>IF(M368="","",VLOOKUP(M368,'Budget-S&amp;U Codes Lookup'!$E$26:$F$45,2,FALSE))</f>
        <v/>
      </c>
      <c r="P368" s="186"/>
    </row>
    <row r="369" spans="1:16">
      <c r="A369" s="751"/>
      <c r="B369" s="82" t="str">
        <f>IFERROR(VLOOKUP(A369,'Budget-S&amp;U Codes Lookup'!$A$7:$B$550,2,FALSE),"")</f>
        <v/>
      </c>
      <c r="C369" s="992"/>
      <c r="D369" s="118"/>
      <c r="E369" s="131"/>
      <c r="F369" s="124"/>
      <c r="G369" s="124"/>
      <c r="H369" s="125">
        <f t="shared" si="5"/>
        <v>0</v>
      </c>
      <c r="I369" s="191"/>
      <c r="J369" s="268"/>
      <c r="K369" s="182" t="str">
        <f>IFERROR(VLOOKUP(A369,'Budget-S&amp;U Codes Lookup'!$A$7:$C$550,3,FALSE),"")</f>
        <v/>
      </c>
      <c r="L369" s="1041"/>
      <c r="M369" s="753"/>
      <c r="N369" s="3" t="str">
        <f>IF(M369="","",VLOOKUP(M369,'Budget-S&amp;U Codes Lookup'!$E$26:$F$45,2,FALSE))</f>
        <v/>
      </c>
      <c r="P369" s="186"/>
    </row>
    <row r="370" spans="1:16">
      <c r="A370" s="751"/>
      <c r="B370" s="82" t="str">
        <f>IFERROR(VLOOKUP(A370,'Budget-S&amp;U Codes Lookup'!$A$7:$B$550,2,FALSE),"")</f>
        <v/>
      </c>
      <c r="C370" s="992"/>
      <c r="D370" s="118"/>
      <c r="E370" s="131"/>
      <c r="F370" s="124"/>
      <c r="G370" s="124"/>
      <c r="H370" s="125">
        <f t="shared" si="5"/>
        <v>0</v>
      </c>
      <c r="I370" s="191"/>
      <c r="J370" s="268"/>
      <c r="K370" s="182" t="str">
        <f>IFERROR(VLOOKUP(A370,'Budget-S&amp;U Codes Lookup'!$A$7:$C$550,3,FALSE),"")</f>
        <v/>
      </c>
      <c r="L370" s="1041"/>
      <c r="M370" s="753"/>
      <c r="N370" s="3" t="str">
        <f>IF(M370="","",VLOOKUP(M370,'Budget-S&amp;U Codes Lookup'!$E$26:$F$45,2,FALSE))</f>
        <v/>
      </c>
      <c r="P370" s="186"/>
    </row>
    <row r="371" spans="1:16">
      <c r="A371" s="751"/>
      <c r="B371" s="82" t="str">
        <f>IFERROR(VLOOKUP(A371,'Budget-S&amp;U Codes Lookup'!$A$7:$B$550,2,FALSE),"")</f>
        <v/>
      </c>
      <c r="C371" s="992"/>
      <c r="D371" s="118"/>
      <c r="E371" s="131"/>
      <c r="F371" s="124"/>
      <c r="G371" s="124"/>
      <c r="H371" s="125">
        <f t="shared" si="5"/>
        <v>0</v>
      </c>
      <c r="I371" s="191"/>
      <c r="J371" s="268"/>
      <c r="K371" s="182" t="str">
        <f>IFERROR(VLOOKUP(A371,'Budget-S&amp;U Codes Lookup'!$A$7:$C$550,3,FALSE),"")</f>
        <v/>
      </c>
      <c r="L371" s="1041"/>
      <c r="M371" s="753"/>
      <c r="N371" s="3" t="str">
        <f>IF(M371="","",VLOOKUP(M371,'Budget-S&amp;U Codes Lookup'!$E$26:$F$45,2,FALSE))</f>
        <v/>
      </c>
      <c r="P371" s="186"/>
    </row>
    <row r="372" spans="1:16">
      <c r="A372" s="751"/>
      <c r="B372" s="82" t="str">
        <f>IFERROR(VLOOKUP(A372,'Budget-S&amp;U Codes Lookup'!$A$7:$B$550,2,FALSE),"")</f>
        <v/>
      </c>
      <c r="C372" s="992"/>
      <c r="D372" s="118"/>
      <c r="E372" s="131"/>
      <c r="F372" s="124"/>
      <c r="G372" s="124"/>
      <c r="H372" s="125">
        <f t="shared" si="5"/>
        <v>0</v>
      </c>
      <c r="I372" s="191"/>
      <c r="J372" s="268"/>
      <c r="K372" s="182" t="str">
        <f>IFERROR(VLOOKUP(A372,'Budget-S&amp;U Codes Lookup'!$A$7:$C$550,3,FALSE),"")</f>
        <v/>
      </c>
      <c r="L372" s="1041"/>
      <c r="M372" s="753"/>
      <c r="N372" s="3" t="str">
        <f>IF(M372="","",VLOOKUP(M372,'Budget-S&amp;U Codes Lookup'!$E$26:$F$45,2,FALSE))</f>
        <v/>
      </c>
      <c r="P372" s="186"/>
    </row>
    <row r="373" spans="1:16">
      <c r="A373" s="751"/>
      <c r="B373" s="82" t="str">
        <f>IFERROR(VLOOKUP(A373,'Budget-S&amp;U Codes Lookup'!$A$7:$B$550,2,FALSE),"")</f>
        <v/>
      </c>
      <c r="C373" s="992"/>
      <c r="D373" s="123"/>
      <c r="E373" s="131"/>
      <c r="F373" s="124"/>
      <c r="G373" s="124"/>
      <c r="H373" s="125">
        <f t="shared" si="5"/>
        <v>0</v>
      </c>
      <c r="I373" s="191"/>
      <c r="J373" s="268"/>
      <c r="K373" s="182" t="str">
        <f>IFERROR(VLOOKUP(A373,'Budget-S&amp;U Codes Lookup'!$A$7:$C$550,3,FALSE),"")</f>
        <v/>
      </c>
      <c r="L373" s="1041"/>
      <c r="M373" s="753"/>
      <c r="N373" s="3" t="str">
        <f>IF(M373="","",VLOOKUP(M373,'Budget-S&amp;U Codes Lookup'!$E$26:$F$45,2,FALSE))</f>
        <v/>
      </c>
      <c r="P373" s="186"/>
    </row>
    <row r="374" spans="1:16">
      <c r="A374" s="751"/>
      <c r="B374" s="82" t="str">
        <f>IFERROR(VLOOKUP(A374,'Budget-S&amp;U Codes Lookup'!$A$7:$B$550,2,FALSE),"")</f>
        <v/>
      </c>
      <c r="C374" s="992"/>
      <c r="D374" s="118"/>
      <c r="E374" s="131"/>
      <c r="F374" s="124"/>
      <c r="G374" s="124"/>
      <c r="H374" s="125">
        <f t="shared" si="5"/>
        <v>0</v>
      </c>
      <c r="I374" s="191"/>
      <c r="J374" s="268"/>
      <c r="K374" s="182" t="str">
        <f>IFERROR(VLOOKUP(A374,'Budget-S&amp;U Codes Lookup'!$A$7:$C$550,3,FALSE),"")</f>
        <v/>
      </c>
      <c r="L374" s="1041"/>
      <c r="M374" s="753"/>
      <c r="N374" s="3" t="str">
        <f>IF(M374="","",VLOOKUP(M374,'Budget-S&amp;U Codes Lookup'!$E$26:$F$45,2,FALSE))</f>
        <v/>
      </c>
      <c r="P374" s="186"/>
    </row>
    <row r="375" spans="1:16">
      <c r="A375" s="751"/>
      <c r="B375" s="82" t="str">
        <f>IFERROR(VLOOKUP(A375,'Budget-S&amp;U Codes Lookup'!$A$7:$B$550,2,FALSE),"")</f>
        <v/>
      </c>
      <c r="C375" s="992"/>
      <c r="D375" s="118"/>
      <c r="E375" s="131"/>
      <c r="F375" s="124"/>
      <c r="G375" s="124"/>
      <c r="H375" s="125">
        <f t="shared" si="5"/>
        <v>0</v>
      </c>
      <c r="I375" s="191"/>
      <c r="J375" s="268"/>
      <c r="K375" s="182" t="str">
        <f>IFERROR(VLOOKUP(A375,'Budget-S&amp;U Codes Lookup'!$A$7:$C$550,3,FALSE),"")</f>
        <v/>
      </c>
      <c r="L375" s="1041"/>
      <c r="M375" s="753"/>
      <c r="N375" s="3" t="str">
        <f>IF(M375="","",VLOOKUP(M375,'Budget-S&amp;U Codes Lookup'!$E$26:$F$45,2,FALSE))</f>
        <v/>
      </c>
      <c r="P375" s="186"/>
    </row>
    <row r="376" spans="1:16">
      <c r="A376" s="751"/>
      <c r="B376" s="82" t="str">
        <f>IFERROR(VLOOKUP(A376,'Budget-S&amp;U Codes Lookup'!$A$7:$B$550,2,FALSE),"")</f>
        <v/>
      </c>
      <c r="C376" s="992"/>
      <c r="D376" s="118"/>
      <c r="E376" s="131"/>
      <c r="F376" s="124"/>
      <c r="G376" s="124"/>
      <c r="H376" s="125">
        <f t="shared" si="5"/>
        <v>0</v>
      </c>
      <c r="I376" s="191"/>
      <c r="J376" s="268"/>
      <c r="K376" s="182" t="str">
        <f>IFERROR(VLOOKUP(A376,'Budget-S&amp;U Codes Lookup'!$A$7:$C$550,3,FALSE),"")</f>
        <v/>
      </c>
      <c r="L376" s="1041"/>
      <c r="M376" s="754"/>
      <c r="N376" s="3" t="str">
        <f>IF(M376="","",VLOOKUP(M376,'Budget-S&amp;U Codes Lookup'!$E$26:$F$45,2,FALSE))</f>
        <v/>
      </c>
      <c r="P376" s="186"/>
    </row>
    <row r="377" spans="1:16">
      <c r="A377" s="751"/>
      <c r="B377" s="82" t="str">
        <f>IFERROR(VLOOKUP(A377,'Budget-S&amp;U Codes Lookup'!$A$7:$B$550,2,FALSE),"")</f>
        <v/>
      </c>
      <c r="C377" s="992"/>
      <c r="D377" s="118"/>
      <c r="E377" s="131"/>
      <c r="F377" s="124"/>
      <c r="G377" s="124"/>
      <c r="H377" s="125">
        <f t="shared" si="5"/>
        <v>0</v>
      </c>
      <c r="I377" s="191"/>
      <c r="J377" s="268"/>
      <c r="K377" s="182" t="str">
        <f>IFERROR(VLOOKUP(A377,'Budget-S&amp;U Codes Lookup'!$A$7:$C$550,3,FALSE),"")</f>
        <v/>
      </c>
      <c r="L377" s="1041"/>
      <c r="M377" s="753"/>
      <c r="N377" s="3" t="str">
        <f>IF(M377="","",VLOOKUP(M377,'Budget-S&amp;U Codes Lookup'!$E$26:$F$45,2,FALSE))</f>
        <v/>
      </c>
      <c r="P377" s="186"/>
    </row>
    <row r="378" spans="1:16">
      <c r="A378" s="751"/>
      <c r="B378" s="82" t="str">
        <f>IFERROR(VLOOKUP(A378,'Budget-S&amp;U Codes Lookup'!$A$7:$B$550,2,FALSE),"")</f>
        <v/>
      </c>
      <c r="C378" s="992"/>
      <c r="D378" s="118"/>
      <c r="E378" s="131"/>
      <c r="F378" s="124"/>
      <c r="G378" s="124"/>
      <c r="H378" s="125">
        <f t="shared" si="5"/>
        <v>0</v>
      </c>
      <c r="I378" s="191"/>
      <c r="J378" s="268"/>
      <c r="K378" s="182" t="str">
        <f>IFERROR(VLOOKUP(A378,'Budget-S&amp;U Codes Lookup'!$A$7:$C$550,3,FALSE),"")</f>
        <v/>
      </c>
      <c r="L378" s="1041"/>
      <c r="M378" s="753"/>
      <c r="N378" s="3" t="str">
        <f>IF(M378="","",VLOOKUP(M378,'Budget-S&amp;U Codes Lookup'!$E$26:$F$45,2,FALSE))</f>
        <v/>
      </c>
      <c r="P378" s="186"/>
    </row>
    <row r="379" spans="1:16">
      <c r="A379" s="751"/>
      <c r="B379" s="82" t="str">
        <f>IFERROR(VLOOKUP(A379,'Budget-S&amp;U Codes Lookup'!$A$7:$B$550,2,FALSE),"")</f>
        <v/>
      </c>
      <c r="C379" s="992"/>
      <c r="D379" s="118"/>
      <c r="E379" s="131"/>
      <c r="F379" s="124"/>
      <c r="G379" s="124"/>
      <c r="H379" s="125">
        <f t="shared" si="5"/>
        <v>0</v>
      </c>
      <c r="I379" s="191"/>
      <c r="J379" s="268"/>
      <c r="K379" s="182" t="str">
        <f>IFERROR(VLOOKUP(A379,'Budget-S&amp;U Codes Lookup'!$A$7:$C$550,3,FALSE),"")</f>
        <v/>
      </c>
      <c r="L379" s="1041"/>
      <c r="M379" s="753"/>
      <c r="N379" s="3" t="str">
        <f>IF(M379="","",VLOOKUP(M379,'Budget-S&amp;U Codes Lookup'!$E$26:$F$45,2,FALSE))</f>
        <v/>
      </c>
      <c r="P379" s="186"/>
    </row>
    <row r="380" spans="1:16">
      <c r="A380" s="751"/>
      <c r="B380" s="82" t="str">
        <f>IFERROR(VLOOKUP(A380,'Budget-S&amp;U Codes Lookup'!$A$7:$B$550,2,FALSE),"")</f>
        <v/>
      </c>
      <c r="C380" s="992"/>
      <c r="D380" s="118"/>
      <c r="E380" s="131"/>
      <c r="F380" s="124"/>
      <c r="G380" s="124"/>
      <c r="H380" s="125">
        <f t="shared" si="5"/>
        <v>0</v>
      </c>
      <c r="I380" s="191"/>
      <c r="J380" s="268"/>
      <c r="K380" s="182" t="str">
        <f>IFERROR(VLOOKUP(A380,'Budget-S&amp;U Codes Lookup'!$A$7:$C$550,3,FALSE),"")</f>
        <v/>
      </c>
      <c r="L380" s="1041"/>
      <c r="M380" s="753"/>
      <c r="N380" s="3" t="str">
        <f>IF(M380="","",VLOOKUP(M380,'Budget-S&amp;U Codes Lookup'!$E$26:$F$45,2,FALSE))</f>
        <v/>
      </c>
      <c r="P380" s="186"/>
    </row>
    <row r="381" spans="1:16">
      <c r="A381" s="751"/>
      <c r="B381" s="82" t="str">
        <f>IFERROR(VLOOKUP(A381,'Budget-S&amp;U Codes Lookup'!$A$7:$B$550,2,FALSE),"")</f>
        <v/>
      </c>
      <c r="C381" s="992"/>
      <c r="D381" s="118"/>
      <c r="E381" s="131"/>
      <c r="F381" s="124"/>
      <c r="G381" s="124"/>
      <c r="H381" s="125">
        <f t="shared" si="5"/>
        <v>0</v>
      </c>
      <c r="I381" s="191"/>
      <c r="J381" s="268"/>
      <c r="K381" s="182" t="str">
        <f>IFERROR(VLOOKUP(A381,'Budget-S&amp;U Codes Lookup'!$A$7:$C$550,3,FALSE),"")</f>
        <v/>
      </c>
      <c r="L381" s="1041"/>
      <c r="M381" s="753"/>
      <c r="N381" s="3" t="str">
        <f>IF(M381="","",VLOOKUP(M381,'Budget-S&amp;U Codes Lookup'!$E$26:$F$45,2,FALSE))</f>
        <v/>
      </c>
      <c r="P381" s="186"/>
    </row>
    <row r="382" spans="1:16">
      <c r="A382" s="751"/>
      <c r="B382" s="82" t="str">
        <f>IFERROR(VLOOKUP(A382,'Budget-S&amp;U Codes Lookup'!$A$7:$B$550,2,FALSE),"")</f>
        <v/>
      </c>
      <c r="C382" s="992"/>
      <c r="D382" s="118"/>
      <c r="E382" s="131"/>
      <c r="F382" s="124"/>
      <c r="G382" s="124"/>
      <c r="H382" s="125">
        <f t="shared" si="5"/>
        <v>0</v>
      </c>
      <c r="I382" s="191"/>
      <c r="J382" s="268"/>
      <c r="K382" s="182" t="str">
        <f>IFERROR(VLOOKUP(A382,'Budget-S&amp;U Codes Lookup'!$A$7:$C$550,3,FALSE),"")</f>
        <v/>
      </c>
      <c r="L382" s="1041"/>
      <c r="M382" s="753"/>
      <c r="N382" s="3" t="str">
        <f>IF(M382="","",VLOOKUP(M382,'Budget-S&amp;U Codes Lookup'!$E$26:$F$45,2,FALSE))</f>
        <v/>
      </c>
      <c r="P382" s="186"/>
    </row>
    <row r="383" spans="1:16">
      <c r="A383" s="751"/>
      <c r="B383" s="82" t="str">
        <f>IFERROR(VLOOKUP(A383,'Budget-S&amp;U Codes Lookup'!$A$7:$B$550,2,FALSE),"")</f>
        <v/>
      </c>
      <c r="C383" s="992"/>
      <c r="D383" s="118"/>
      <c r="E383" s="131"/>
      <c r="F383" s="124"/>
      <c r="G383" s="124"/>
      <c r="H383" s="125">
        <f t="shared" si="5"/>
        <v>0</v>
      </c>
      <c r="I383" s="191"/>
      <c r="J383" s="268"/>
      <c r="K383" s="182" t="str">
        <f>IFERROR(VLOOKUP(A383,'Budget-S&amp;U Codes Lookup'!$A$7:$C$550,3,FALSE),"")</f>
        <v/>
      </c>
      <c r="L383" s="1042"/>
      <c r="M383" s="754"/>
      <c r="N383" s="3" t="str">
        <f>IF(M383="","",VLOOKUP(M383,'Budget-S&amp;U Codes Lookup'!$E$26:$F$45,2,FALSE))</f>
        <v/>
      </c>
      <c r="P383" s="186"/>
    </row>
    <row r="384" spans="1:16">
      <c r="A384" s="751"/>
      <c r="B384" s="82" t="str">
        <f>IFERROR(VLOOKUP(A384,'Budget-S&amp;U Codes Lookup'!$A$7:$B$550,2,FALSE),"")</f>
        <v/>
      </c>
      <c r="C384" s="992"/>
      <c r="D384" s="118"/>
      <c r="E384" s="131"/>
      <c r="F384" s="124"/>
      <c r="G384" s="124"/>
      <c r="H384" s="125">
        <f t="shared" si="5"/>
        <v>0</v>
      </c>
      <c r="I384" s="191"/>
      <c r="J384" s="268"/>
      <c r="K384" s="182" t="str">
        <f>IFERROR(VLOOKUP(A384,'Budget-S&amp;U Codes Lookup'!$A$7:$C$550,3,FALSE),"")</f>
        <v/>
      </c>
      <c r="L384" s="1041"/>
      <c r="M384" s="753"/>
      <c r="N384" s="3" t="str">
        <f>IF(M384="","",VLOOKUP(M384,'Budget-S&amp;U Codes Lookup'!$E$26:$F$45,2,FALSE))</f>
        <v/>
      </c>
      <c r="P384" s="186"/>
    </row>
    <row r="385" spans="1:16">
      <c r="A385" s="751"/>
      <c r="B385" s="82" t="str">
        <f>IFERROR(VLOOKUP(A385,'Budget-S&amp;U Codes Lookup'!$A$7:$B$550,2,FALSE),"")</f>
        <v/>
      </c>
      <c r="C385" s="992"/>
      <c r="D385" s="118"/>
      <c r="E385" s="131"/>
      <c r="F385" s="124"/>
      <c r="G385" s="124"/>
      <c r="H385" s="125">
        <f t="shared" si="5"/>
        <v>0</v>
      </c>
      <c r="I385" s="191"/>
      <c r="J385" s="268"/>
      <c r="K385" s="182" t="str">
        <f>IFERROR(VLOOKUP(A385,'Budget-S&amp;U Codes Lookup'!$A$7:$C$550,3,FALSE),"")</f>
        <v/>
      </c>
      <c r="L385" s="1041"/>
      <c r="M385" s="753"/>
      <c r="N385" s="3" t="str">
        <f>IF(M385="","",VLOOKUP(M385,'Budget-S&amp;U Codes Lookup'!$E$26:$F$45,2,FALSE))</f>
        <v/>
      </c>
      <c r="P385" s="186"/>
    </row>
    <row r="386" spans="1:16">
      <c r="A386" s="751"/>
      <c r="B386" s="82" t="str">
        <f>IFERROR(VLOOKUP(A386,'Budget-S&amp;U Codes Lookup'!$A$7:$B$550,2,FALSE),"")</f>
        <v/>
      </c>
      <c r="C386" s="992"/>
      <c r="D386" s="118"/>
      <c r="E386" s="131"/>
      <c r="F386" s="124"/>
      <c r="G386" s="124"/>
      <c r="H386" s="125">
        <f t="shared" si="5"/>
        <v>0</v>
      </c>
      <c r="I386" s="191"/>
      <c r="J386" s="268"/>
      <c r="K386" s="182" t="str">
        <f>IFERROR(VLOOKUP(A386,'Budget-S&amp;U Codes Lookup'!$A$7:$C$550,3,FALSE),"")</f>
        <v/>
      </c>
      <c r="L386" s="1041"/>
      <c r="M386" s="753"/>
      <c r="N386" s="3" t="str">
        <f>IF(M386="","",VLOOKUP(M386,'Budget-S&amp;U Codes Lookup'!$E$26:$F$45,2,FALSE))</f>
        <v/>
      </c>
      <c r="P386" s="186"/>
    </row>
    <row r="387" spans="1:16">
      <c r="A387" s="751"/>
      <c r="B387" s="82" t="str">
        <f>IFERROR(VLOOKUP(A387,'Budget-S&amp;U Codes Lookup'!$A$7:$B$550,2,FALSE),"")</f>
        <v/>
      </c>
      <c r="C387" s="992"/>
      <c r="D387" s="118"/>
      <c r="E387" s="131"/>
      <c r="F387" s="124"/>
      <c r="G387" s="124"/>
      <c r="H387" s="125">
        <f t="shared" si="5"/>
        <v>0</v>
      </c>
      <c r="I387" s="191"/>
      <c r="J387" s="268"/>
      <c r="K387" s="182" t="str">
        <f>IFERROR(VLOOKUP(A387,'Budget-S&amp;U Codes Lookup'!$A$7:$C$550,3,FALSE),"")</f>
        <v/>
      </c>
      <c r="L387" s="1041"/>
      <c r="M387" s="753"/>
      <c r="N387" s="3" t="str">
        <f>IF(M387="","",VLOOKUP(M387,'Budget-S&amp;U Codes Lookup'!$E$26:$F$45,2,FALSE))</f>
        <v/>
      </c>
      <c r="P387" s="186"/>
    </row>
    <row r="388" spans="1:16">
      <c r="A388" s="751"/>
      <c r="B388" s="82" t="str">
        <f>IFERROR(VLOOKUP(A388,'Budget-S&amp;U Codes Lookup'!$A$7:$B$550,2,FALSE),"")</f>
        <v/>
      </c>
      <c r="C388" s="992"/>
      <c r="D388" s="118"/>
      <c r="E388" s="131"/>
      <c r="F388" s="124"/>
      <c r="G388" s="124"/>
      <c r="H388" s="125">
        <f t="shared" si="5"/>
        <v>0</v>
      </c>
      <c r="I388" s="191"/>
      <c r="J388" s="268"/>
      <c r="K388" s="182" t="str">
        <f>IFERROR(VLOOKUP(A388,'Budget-S&amp;U Codes Lookup'!$A$7:$C$550,3,FALSE),"")</f>
        <v/>
      </c>
      <c r="L388" s="1041"/>
      <c r="M388" s="753"/>
      <c r="N388" s="3" t="str">
        <f>IF(M388="","",VLOOKUP(M388,'Budget-S&amp;U Codes Lookup'!$E$26:$F$45,2,FALSE))</f>
        <v/>
      </c>
      <c r="P388" s="186"/>
    </row>
    <row r="389" spans="1:16">
      <c r="A389" s="751"/>
      <c r="B389" s="82" t="str">
        <f>IFERROR(VLOOKUP(A389,'Budget-S&amp;U Codes Lookup'!$A$7:$B$550,2,FALSE),"")</f>
        <v/>
      </c>
      <c r="C389" s="992"/>
      <c r="D389" s="118"/>
      <c r="E389" s="131"/>
      <c r="F389" s="124"/>
      <c r="G389" s="124"/>
      <c r="H389" s="125">
        <f t="shared" si="5"/>
        <v>0</v>
      </c>
      <c r="I389" s="191"/>
      <c r="J389" s="268"/>
      <c r="K389" s="182" t="str">
        <f>IFERROR(VLOOKUP(A389,'Budget-S&amp;U Codes Lookup'!$A$7:$C$550,3,FALSE),"")</f>
        <v/>
      </c>
      <c r="L389" s="1041"/>
      <c r="M389" s="753"/>
      <c r="N389" s="3" t="str">
        <f>IF(M389="","",VLOOKUP(M389,'Budget-S&amp;U Codes Lookup'!$E$26:$F$45,2,FALSE))</f>
        <v/>
      </c>
      <c r="P389" s="186"/>
    </row>
    <row r="390" spans="1:16">
      <c r="A390" s="751"/>
      <c r="B390" s="82" t="str">
        <f>IFERROR(VLOOKUP(A390,'Budget-S&amp;U Codes Lookup'!$A$7:$B$550,2,FALSE),"")</f>
        <v/>
      </c>
      <c r="C390" s="992"/>
      <c r="D390" s="118"/>
      <c r="E390" s="131"/>
      <c r="F390" s="124"/>
      <c r="G390" s="124"/>
      <c r="H390" s="125">
        <f t="shared" si="5"/>
        <v>0</v>
      </c>
      <c r="I390" s="191"/>
      <c r="J390" s="268"/>
      <c r="K390" s="182" t="str">
        <f>IFERROR(VLOOKUP(A390,'Budget-S&amp;U Codes Lookup'!$A$7:$C$550,3,FALSE),"")</f>
        <v/>
      </c>
      <c r="L390" s="1041"/>
      <c r="M390" s="753"/>
      <c r="N390" s="3" t="str">
        <f>IF(M390="","",VLOOKUP(M390,'Budget-S&amp;U Codes Lookup'!$E$26:$F$45,2,FALSE))</f>
        <v/>
      </c>
      <c r="P390" s="186"/>
    </row>
    <row r="391" spans="1:16">
      <c r="A391" s="751"/>
      <c r="B391" s="82" t="str">
        <f>IFERROR(VLOOKUP(A391,'Budget-S&amp;U Codes Lookup'!$A$7:$B$550,2,FALSE),"")</f>
        <v/>
      </c>
      <c r="C391" s="992"/>
      <c r="D391" s="118"/>
      <c r="E391" s="131"/>
      <c r="F391" s="124"/>
      <c r="G391" s="124"/>
      <c r="H391" s="125">
        <f t="shared" si="5"/>
        <v>0</v>
      </c>
      <c r="I391" s="191"/>
      <c r="J391" s="268"/>
      <c r="K391" s="182" t="str">
        <f>IFERROR(VLOOKUP(A391,'Budget-S&amp;U Codes Lookup'!$A$7:$C$550,3,FALSE),"")</f>
        <v/>
      </c>
      <c r="L391" s="1041"/>
      <c r="M391" s="753"/>
      <c r="N391" s="3" t="str">
        <f>IF(M391="","",VLOOKUP(M391,'Budget-S&amp;U Codes Lookup'!$E$26:$F$45,2,FALSE))</f>
        <v/>
      </c>
      <c r="P391" s="186"/>
    </row>
    <row r="392" spans="1:16">
      <c r="A392" s="751"/>
      <c r="B392" s="82" t="str">
        <f>IFERROR(VLOOKUP(A392,'Budget-S&amp;U Codes Lookup'!$A$7:$B$550,2,FALSE),"")</f>
        <v/>
      </c>
      <c r="C392" s="992"/>
      <c r="D392" s="118"/>
      <c r="E392" s="131"/>
      <c r="F392" s="124"/>
      <c r="G392" s="124"/>
      <c r="H392" s="125">
        <f t="shared" si="5"/>
        <v>0</v>
      </c>
      <c r="I392" s="191"/>
      <c r="J392" s="268"/>
      <c r="K392" s="182" t="str">
        <f>IFERROR(VLOOKUP(A392,'Budget-S&amp;U Codes Lookup'!$A$7:$C$550,3,FALSE),"")</f>
        <v/>
      </c>
      <c r="L392" s="1041"/>
      <c r="M392" s="753"/>
      <c r="N392" s="3" t="str">
        <f>IF(M392="","",VLOOKUP(M392,'Budget-S&amp;U Codes Lookup'!$E$26:$F$45,2,FALSE))</f>
        <v/>
      </c>
      <c r="P392" s="186"/>
    </row>
    <row r="393" spans="1:16">
      <c r="A393" s="751"/>
      <c r="B393" s="82" t="str">
        <f>IFERROR(VLOOKUP(A393,'Budget-S&amp;U Codes Lookup'!$A$7:$B$550,2,FALSE),"")</f>
        <v/>
      </c>
      <c r="C393" s="992"/>
      <c r="D393" s="118"/>
      <c r="E393" s="131"/>
      <c r="F393" s="124"/>
      <c r="G393" s="124"/>
      <c r="H393" s="125">
        <f t="shared" si="5"/>
        <v>0</v>
      </c>
      <c r="I393" s="191"/>
      <c r="J393" s="268"/>
      <c r="K393" s="182" t="str">
        <f>IFERROR(VLOOKUP(A393,'Budget-S&amp;U Codes Lookup'!$A$7:$C$550,3,FALSE),"")</f>
        <v/>
      </c>
      <c r="L393" s="1041"/>
      <c r="M393" s="753"/>
      <c r="N393" s="3" t="str">
        <f>IF(M393="","",VLOOKUP(M393,'Budget-S&amp;U Codes Lookup'!$E$26:$F$45,2,FALSE))</f>
        <v/>
      </c>
      <c r="P393" s="186"/>
    </row>
    <row r="394" spans="1:16">
      <c r="A394" s="751"/>
      <c r="B394" s="82" t="str">
        <f>IFERROR(VLOOKUP(A394,'Budget-S&amp;U Codes Lookup'!$A$7:$B$550,2,FALSE),"")</f>
        <v/>
      </c>
      <c r="C394" s="992"/>
      <c r="D394" s="118"/>
      <c r="E394" s="131"/>
      <c r="F394" s="124"/>
      <c r="G394" s="124"/>
      <c r="H394" s="125">
        <f t="shared" ref="H394:H457" si="6">F394-G394</f>
        <v>0</v>
      </c>
      <c r="I394" s="191"/>
      <c r="J394" s="268"/>
      <c r="K394" s="182" t="str">
        <f>IFERROR(VLOOKUP(A394,'Budget-S&amp;U Codes Lookup'!$A$7:$C$550,3,FALSE),"")</f>
        <v/>
      </c>
      <c r="L394" s="1041"/>
      <c r="M394" s="753"/>
      <c r="N394" s="3" t="str">
        <f>IF(M394="","",VLOOKUP(M394,'Budget-S&amp;U Codes Lookup'!$E$26:$F$45,2,FALSE))</f>
        <v/>
      </c>
      <c r="P394" s="186"/>
    </row>
    <row r="395" spans="1:16">
      <c r="A395" s="751"/>
      <c r="B395" s="82" t="str">
        <f>IFERROR(VLOOKUP(A395,'Budget-S&amp;U Codes Lookup'!$A$7:$B$550,2,FALSE),"")</f>
        <v/>
      </c>
      <c r="C395" s="992"/>
      <c r="D395" s="118"/>
      <c r="E395" s="131"/>
      <c r="F395" s="124"/>
      <c r="G395" s="124"/>
      <c r="H395" s="125">
        <f t="shared" si="6"/>
        <v>0</v>
      </c>
      <c r="I395" s="191"/>
      <c r="J395" s="268"/>
      <c r="K395" s="182" t="str">
        <f>IFERROR(VLOOKUP(A395,'Budget-S&amp;U Codes Lookup'!$A$7:$C$550,3,FALSE),"")</f>
        <v/>
      </c>
      <c r="L395" s="1041"/>
      <c r="M395" s="753"/>
      <c r="N395" s="3" t="str">
        <f>IF(M395="","",VLOOKUP(M395,'Budget-S&amp;U Codes Lookup'!$E$26:$F$45,2,FALSE))</f>
        <v/>
      </c>
      <c r="P395" s="186"/>
    </row>
    <row r="396" spans="1:16">
      <c r="A396" s="751"/>
      <c r="B396" s="82" t="str">
        <f>IFERROR(VLOOKUP(A396,'Budget-S&amp;U Codes Lookup'!$A$7:$B$550,2,FALSE),"")</f>
        <v/>
      </c>
      <c r="C396" s="992"/>
      <c r="D396" s="118"/>
      <c r="E396" s="131"/>
      <c r="F396" s="124"/>
      <c r="G396" s="124"/>
      <c r="H396" s="125">
        <f t="shared" si="6"/>
        <v>0</v>
      </c>
      <c r="I396" s="191"/>
      <c r="J396" s="268"/>
      <c r="K396" s="182" t="str">
        <f>IFERROR(VLOOKUP(A396,'Budget-S&amp;U Codes Lookup'!$A$7:$C$550,3,FALSE),"")</f>
        <v/>
      </c>
      <c r="L396" s="1041"/>
      <c r="M396" s="753"/>
      <c r="N396" s="3" t="str">
        <f>IF(M396="","",VLOOKUP(M396,'Budget-S&amp;U Codes Lookup'!$E$26:$F$45,2,FALSE))</f>
        <v/>
      </c>
      <c r="P396" s="186"/>
    </row>
    <row r="397" spans="1:16">
      <c r="A397" s="751"/>
      <c r="B397" s="82" t="str">
        <f>IFERROR(VLOOKUP(A397,'Budget-S&amp;U Codes Lookup'!$A$7:$B$550,2,FALSE),"")</f>
        <v/>
      </c>
      <c r="C397" s="992"/>
      <c r="D397" s="118"/>
      <c r="E397" s="131"/>
      <c r="F397" s="124"/>
      <c r="G397" s="124"/>
      <c r="H397" s="125">
        <f t="shared" si="6"/>
        <v>0</v>
      </c>
      <c r="I397" s="191"/>
      <c r="J397" s="268"/>
      <c r="K397" s="182" t="str">
        <f>IFERROR(VLOOKUP(A397,'Budget-S&amp;U Codes Lookup'!$A$7:$C$550,3,FALSE),"")</f>
        <v/>
      </c>
      <c r="L397" s="1041"/>
      <c r="M397" s="753"/>
      <c r="N397" s="3" t="str">
        <f>IF(M397="","",VLOOKUP(M397,'Budget-S&amp;U Codes Lookup'!$E$26:$F$45,2,FALSE))</f>
        <v/>
      </c>
      <c r="P397" s="186"/>
    </row>
    <row r="398" spans="1:16">
      <c r="A398" s="751"/>
      <c r="B398" s="82" t="str">
        <f>IFERROR(VLOOKUP(A398,'Budget-S&amp;U Codes Lookup'!$A$7:$B$550,2,FALSE),"")</f>
        <v/>
      </c>
      <c r="C398" s="992"/>
      <c r="D398" s="118"/>
      <c r="E398" s="131"/>
      <c r="F398" s="124"/>
      <c r="G398" s="124"/>
      <c r="H398" s="125">
        <f t="shared" si="6"/>
        <v>0</v>
      </c>
      <c r="I398" s="191"/>
      <c r="J398" s="268"/>
      <c r="K398" s="182" t="str">
        <f>IFERROR(VLOOKUP(A398,'Budget-S&amp;U Codes Lookup'!$A$7:$C$550,3,FALSE),"")</f>
        <v/>
      </c>
      <c r="L398" s="1041"/>
      <c r="M398" s="753"/>
      <c r="N398" s="3" t="str">
        <f>IF(M398="","",VLOOKUP(M398,'Budget-S&amp;U Codes Lookup'!$E$26:$F$45,2,FALSE))</f>
        <v/>
      </c>
      <c r="P398" s="186"/>
    </row>
    <row r="399" spans="1:16">
      <c r="A399" s="751"/>
      <c r="B399" s="82" t="str">
        <f>IFERROR(VLOOKUP(A399,'Budget-S&amp;U Codes Lookup'!$A$7:$B$550,2,FALSE),"")</f>
        <v/>
      </c>
      <c r="C399" s="992"/>
      <c r="D399" s="118"/>
      <c r="E399" s="131"/>
      <c r="F399" s="124"/>
      <c r="G399" s="124"/>
      <c r="H399" s="125">
        <f t="shared" si="6"/>
        <v>0</v>
      </c>
      <c r="I399" s="191"/>
      <c r="J399" s="268"/>
      <c r="K399" s="182" t="str">
        <f>IFERROR(VLOOKUP(A399,'Budget-S&amp;U Codes Lookup'!$A$7:$C$550,3,FALSE),"")</f>
        <v/>
      </c>
      <c r="L399" s="1041"/>
      <c r="M399" s="753"/>
      <c r="N399" s="3" t="str">
        <f>IF(M399="","",VLOOKUP(M399,'Budget-S&amp;U Codes Lookup'!$E$26:$F$45,2,FALSE))</f>
        <v/>
      </c>
      <c r="P399" s="186"/>
    </row>
    <row r="400" spans="1:16">
      <c r="A400" s="751"/>
      <c r="B400" s="82" t="str">
        <f>IFERROR(VLOOKUP(A400,'Budget-S&amp;U Codes Lookup'!$A$7:$B$550,2,FALSE),"")</f>
        <v/>
      </c>
      <c r="C400" s="992"/>
      <c r="D400" s="118"/>
      <c r="E400" s="131"/>
      <c r="F400" s="124"/>
      <c r="G400" s="124"/>
      <c r="H400" s="125">
        <f t="shared" si="6"/>
        <v>0</v>
      </c>
      <c r="I400" s="191"/>
      <c r="J400" s="268"/>
      <c r="K400" s="182" t="str">
        <f>IFERROR(VLOOKUP(A400,'Budget-S&amp;U Codes Lookup'!$A$7:$C$550,3,FALSE),"")</f>
        <v/>
      </c>
      <c r="L400" s="1041"/>
      <c r="M400" s="753"/>
      <c r="N400" s="3" t="str">
        <f>IF(M400="","",VLOOKUP(M400,'Budget-S&amp;U Codes Lookup'!$E$26:$F$45,2,FALSE))</f>
        <v/>
      </c>
      <c r="P400" s="186"/>
    </row>
    <row r="401" spans="1:16">
      <c r="A401" s="751"/>
      <c r="B401" s="82" t="str">
        <f>IFERROR(VLOOKUP(A401,'Budget-S&amp;U Codes Lookup'!$A$7:$B$550,2,FALSE),"")</f>
        <v/>
      </c>
      <c r="C401" s="992"/>
      <c r="D401" s="118"/>
      <c r="E401" s="131"/>
      <c r="F401" s="124"/>
      <c r="G401" s="124"/>
      <c r="H401" s="125">
        <f t="shared" si="6"/>
        <v>0</v>
      </c>
      <c r="I401" s="191"/>
      <c r="J401" s="268"/>
      <c r="K401" s="182" t="str">
        <f>IFERROR(VLOOKUP(A401,'Budget-S&amp;U Codes Lookup'!$A$7:$C$550,3,FALSE),"")</f>
        <v/>
      </c>
      <c r="L401" s="1041"/>
      <c r="M401" s="753"/>
      <c r="N401" s="3" t="str">
        <f>IF(M401="","",VLOOKUP(M401,'Budget-S&amp;U Codes Lookup'!$E$26:$F$45,2,FALSE))</f>
        <v/>
      </c>
      <c r="P401" s="186"/>
    </row>
    <row r="402" spans="1:16">
      <c r="A402" s="751"/>
      <c r="B402" s="82" t="str">
        <f>IFERROR(VLOOKUP(A402,'Budget-S&amp;U Codes Lookup'!$A$7:$B$550,2,FALSE),"")</f>
        <v/>
      </c>
      <c r="C402" s="992"/>
      <c r="D402" s="118"/>
      <c r="E402" s="131"/>
      <c r="F402" s="124"/>
      <c r="G402" s="124"/>
      <c r="H402" s="125">
        <f t="shared" si="6"/>
        <v>0</v>
      </c>
      <c r="I402" s="191"/>
      <c r="J402" s="268"/>
      <c r="K402" s="182" t="str">
        <f>IFERROR(VLOOKUP(A402,'Budget-S&amp;U Codes Lookup'!$A$7:$C$550,3,FALSE),"")</f>
        <v/>
      </c>
      <c r="L402" s="1041"/>
      <c r="M402" s="753"/>
      <c r="N402" s="3" t="str">
        <f>IF(M402="","",VLOOKUP(M402,'Budget-S&amp;U Codes Lookup'!$E$26:$F$45,2,FALSE))</f>
        <v/>
      </c>
      <c r="P402" s="186"/>
    </row>
    <row r="403" spans="1:16">
      <c r="A403" s="751"/>
      <c r="B403" s="82" t="str">
        <f>IFERROR(VLOOKUP(A403,'Budget-S&amp;U Codes Lookup'!$A$7:$B$550,2,FALSE),"")</f>
        <v/>
      </c>
      <c r="C403" s="992"/>
      <c r="D403" s="118"/>
      <c r="E403" s="131"/>
      <c r="F403" s="124"/>
      <c r="G403" s="124"/>
      <c r="H403" s="125">
        <f t="shared" si="6"/>
        <v>0</v>
      </c>
      <c r="I403" s="191"/>
      <c r="J403" s="268"/>
      <c r="K403" s="182" t="str">
        <f>IFERROR(VLOOKUP(A403,'Budget-S&amp;U Codes Lookup'!$A$7:$C$550,3,FALSE),"")</f>
        <v/>
      </c>
      <c r="L403" s="1041"/>
      <c r="M403" s="753"/>
      <c r="N403" s="3" t="str">
        <f>IF(M403="","",VLOOKUP(M403,'Budget-S&amp;U Codes Lookup'!$E$26:$F$45,2,FALSE))</f>
        <v/>
      </c>
      <c r="P403" s="186"/>
    </row>
    <row r="404" spans="1:16">
      <c r="A404" s="751"/>
      <c r="B404" s="82" t="str">
        <f>IFERROR(VLOOKUP(A404,'Budget-S&amp;U Codes Lookup'!$A$7:$B$550,2,FALSE),"")</f>
        <v/>
      </c>
      <c r="C404" s="992"/>
      <c r="D404" s="118"/>
      <c r="E404" s="131"/>
      <c r="F404" s="124"/>
      <c r="G404" s="124"/>
      <c r="H404" s="125">
        <f t="shared" si="6"/>
        <v>0</v>
      </c>
      <c r="I404" s="191"/>
      <c r="J404" s="268"/>
      <c r="K404" s="182" t="str">
        <f>IFERROR(VLOOKUP(A404,'Budget-S&amp;U Codes Lookup'!$A$7:$C$550,3,FALSE),"")</f>
        <v/>
      </c>
      <c r="L404" s="1041"/>
      <c r="M404" s="753"/>
      <c r="N404" s="3" t="str">
        <f>IF(M404="","",VLOOKUP(M404,'Budget-S&amp;U Codes Lookup'!$E$26:$F$45,2,FALSE))</f>
        <v/>
      </c>
      <c r="P404" s="186"/>
    </row>
    <row r="405" spans="1:16">
      <c r="A405" s="751"/>
      <c r="B405" s="82" t="str">
        <f>IFERROR(VLOOKUP(A405,'Budget-S&amp;U Codes Lookup'!$A$7:$B$550,2,FALSE),"")</f>
        <v/>
      </c>
      <c r="C405" s="992"/>
      <c r="D405" s="118"/>
      <c r="E405" s="131"/>
      <c r="F405" s="124"/>
      <c r="G405" s="124"/>
      <c r="H405" s="125">
        <f t="shared" si="6"/>
        <v>0</v>
      </c>
      <c r="I405" s="191"/>
      <c r="J405" s="268"/>
      <c r="K405" s="182" t="str">
        <f>IFERROR(VLOOKUP(A405,'Budget-S&amp;U Codes Lookup'!$A$7:$C$550,3,FALSE),"")</f>
        <v/>
      </c>
      <c r="L405" s="1041"/>
      <c r="M405" s="753"/>
      <c r="N405" s="3" t="str">
        <f>IF(M405="","",VLOOKUP(M405,'Budget-S&amp;U Codes Lookup'!$E$26:$F$45,2,FALSE))</f>
        <v/>
      </c>
      <c r="P405" s="186"/>
    </row>
    <row r="406" spans="1:16">
      <c r="A406" s="751"/>
      <c r="B406" s="82" t="str">
        <f>IFERROR(VLOOKUP(A406,'Budget-S&amp;U Codes Lookup'!$A$7:$B$550,2,FALSE),"")</f>
        <v/>
      </c>
      <c r="C406" s="992"/>
      <c r="D406" s="118"/>
      <c r="E406" s="131"/>
      <c r="F406" s="124"/>
      <c r="G406" s="124"/>
      <c r="H406" s="125">
        <f t="shared" si="6"/>
        <v>0</v>
      </c>
      <c r="I406" s="191"/>
      <c r="J406" s="268"/>
      <c r="K406" s="182" t="str">
        <f>IFERROR(VLOOKUP(A406,'Budget-S&amp;U Codes Lookup'!$A$7:$C$550,3,FALSE),"")</f>
        <v/>
      </c>
      <c r="L406" s="1041"/>
      <c r="M406" s="753"/>
      <c r="N406" s="3" t="str">
        <f>IF(M406="","",VLOOKUP(M406,'Budget-S&amp;U Codes Lookup'!$E$26:$F$45,2,FALSE))</f>
        <v/>
      </c>
      <c r="P406" s="186"/>
    </row>
    <row r="407" spans="1:16">
      <c r="A407" s="751"/>
      <c r="B407" s="82" t="str">
        <f>IFERROR(VLOOKUP(A407,'Budget-S&amp;U Codes Lookup'!$A$7:$B$550,2,FALSE),"")</f>
        <v/>
      </c>
      <c r="C407" s="992"/>
      <c r="D407" s="118"/>
      <c r="E407" s="131"/>
      <c r="F407" s="124"/>
      <c r="G407" s="124"/>
      <c r="H407" s="125">
        <f t="shared" si="6"/>
        <v>0</v>
      </c>
      <c r="I407" s="191"/>
      <c r="J407" s="268"/>
      <c r="K407" s="182" t="str">
        <f>IFERROR(VLOOKUP(A407,'Budget-S&amp;U Codes Lookup'!$A$7:$C$550,3,FALSE),"")</f>
        <v/>
      </c>
      <c r="L407" s="1041"/>
      <c r="M407" s="753"/>
      <c r="N407" s="3" t="str">
        <f>IF(M407="","",VLOOKUP(M407,'Budget-S&amp;U Codes Lookup'!$E$26:$F$45,2,FALSE))</f>
        <v/>
      </c>
      <c r="P407" s="186"/>
    </row>
    <row r="408" spans="1:16">
      <c r="A408" s="751"/>
      <c r="B408" s="82" t="str">
        <f>IFERROR(VLOOKUP(A408,'Budget-S&amp;U Codes Lookup'!$A$7:$B$550,2,FALSE),"")</f>
        <v/>
      </c>
      <c r="C408" s="992"/>
      <c r="D408" s="118"/>
      <c r="E408" s="131"/>
      <c r="F408" s="124"/>
      <c r="G408" s="124"/>
      <c r="H408" s="125">
        <f t="shared" si="6"/>
        <v>0</v>
      </c>
      <c r="I408" s="191"/>
      <c r="J408" s="268"/>
      <c r="K408" s="182" t="str">
        <f>IFERROR(VLOOKUP(A408,'Budget-S&amp;U Codes Lookup'!$A$7:$C$550,3,FALSE),"")</f>
        <v/>
      </c>
      <c r="L408" s="1041"/>
      <c r="M408" s="753"/>
      <c r="N408" s="3" t="str">
        <f>IF(M408="","",VLOOKUP(M408,'Budget-S&amp;U Codes Lookup'!$E$26:$F$45,2,FALSE))</f>
        <v/>
      </c>
      <c r="P408" s="186"/>
    </row>
    <row r="409" spans="1:16">
      <c r="A409" s="751"/>
      <c r="B409" s="82" t="str">
        <f>IFERROR(VLOOKUP(A409,'Budget-S&amp;U Codes Lookup'!$A$7:$B$550,2,FALSE),"")</f>
        <v/>
      </c>
      <c r="C409" s="992"/>
      <c r="D409" s="118"/>
      <c r="E409" s="131"/>
      <c r="F409" s="124"/>
      <c r="G409" s="124"/>
      <c r="H409" s="125">
        <f t="shared" si="6"/>
        <v>0</v>
      </c>
      <c r="I409" s="191"/>
      <c r="J409" s="268"/>
      <c r="K409" s="182" t="str">
        <f>IFERROR(VLOOKUP(A409,'Budget-S&amp;U Codes Lookup'!$A$7:$C$550,3,FALSE),"")</f>
        <v/>
      </c>
      <c r="L409" s="1041"/>
      <c r="M409" s="753"/>
      <c r="N409" s="3" t="str">
        <f>IF(M409="","",VLOOKUP(M409,'Budget-S&amp;U Codes Lookup'!$E$26:$F$45,2,FALSE))</f>
        <v/>
      </c>
      <c r="P409" s="186"/>
    </row>
    <row r="410" spans="1:16">
      <c r="A410" s="751"/>
      <c r="B410" s="82" t="str">
        <f>IFERROR(VLOOKUP(A410,'Budget-S&amp;U Codes Lookup'!$A$7:$B$550,2,FALSE),"")</f>
        <v/>
      </c>
      <c r="C410" s="992"/>
      <c r="D410" s="118"/>
      <c r="E410" s="131"/>
      <c r="F410" s="124"/>
      <c r="G410" s="124"/>
      <c r="H410" s="125">
        <f t="shared" si="6"/>
        <v>0</v>
      </c>
      <c r="I410" s="191"/>
      <c r="J410" s="268"/>
      <c r="K410" s="182" t="str">
        <f>IFERROR(VLOOKUP(A410,'Budget-S&amp;U Codes Lookup'!$A$7:$C$550,3,FALSE),"")</f>
        <v/>
      </c>
      <c r="L410" s="1041"/>
      <c r="M410" s="753"/>
      <c r="N410" s="3" t="str">
        <f>IF(M410="","",VLOOKUP(M410,'Budget-S&amp;U Codes Lookup'!$E$26:$F$45,2,FALSE))</f>
        <v/>
      </c>
      <c r="P410" s="186"/>
    </row>
    <row r="411" spans="1:16">
      <c r="A411" s="751"/>
      <c r="B411" s="82" t="str">
        <f>IFERROR(VLOOKUP(A411,'Budget-S&amp;U Codes Lookup'!$A$7:$B$550,2,FALSE),"")</f>
        <v/>
      </c>
      <c r="C411" s="992"/>
      <c r="D411" s="123"/>
      <c r="E411" s="131"/>
      <c r="F411" s="124"/>
      <c r="G411" s="124"/>
      <c r="H411" s="125">
        <f t="shared" si="6"/>
        <v>0</v>
      </c>
      <c r="I411" s="191"/>
      <c r="J411" s="268"/>
      <c r="K411" s="182" t="str">
        <f>IFERROR(VLOOKUP(A411,'Budget-S&amp;U Codes Lookup'!$A$7:$C$550,3,FALSE),"")</f>
        <v/>
      </c>
      <c r="L411" s="1041"/>
      <c r="M411" s="753"/>
      <c r="N411" s="3" t="str">
        <f>IF(M411="","",VLOOKUP(M411,'Budget-S&amp;U Codes Lookup'!$E$26:$F$45,2,FALSE))</f>
        <v/>
      </c>
      <c r="P411" s="186"/>
    </row>
    <row r="412" spans="1:16">
      <c r="A412" s="751"/>
      <c r="B412" s="82" t="str">
        <f>IFERROR(VLOOKUP(A412,'Budget-S&amp;U Codes Lookup'!$A$7:$B$550,2,FALSE),"")</f>
        <v/>
      </c>
      <c r="C412" s="992"/>
      <c r="D412" s="118"/>
      <c r="E412" s="131"/>
      <c r="F412" s="124"/>
      <c r="G412" s="124"/>
      <c r="H412" s="125">
        <f t="shared" si="6"/>
        <v>0</v>
      </c>
      <c r="I412" s="191"/>
      <c r="J412" s="268"/>
      <c r="K412" s="182" t="str">
        <f>IFERROR(VLOOKUP(A412,'Budget-S&amp;U Codes Lookup'!$A$7:$C$550,3,FALSE),"")</f>
        <v/>
      </c>
      <c r="L412" s="1041"/>
      <c r="M412" s="753"/>
      <c r="N412" s="3" t="str">
        <f>IF(M412="","",VLOOKUP(M412,'Budget-S&amp;U Codes Lookup'!$E$26:$F$45,2,FALSE))</f>
        <v/>
      </c>
      <c r="P412" s="186"/>
    </row>
    <row r="413" spans="1:16">
      <c r="A413" s="751"/>
      <c r="B413" s="82" t="str">
        <f>IFERROR(VLOOKUP(A413,'Budget-S&amp;U Codes Lookup'!$A$7:$B$550,2,FALSE),"")</f>
        <v/>
      </c>
      <c r="C413" s="992"/>
      <c r="D413" s="118"/>
      <c r="E413" s="131"/>
      <c r="F413" s="124"/>
      <c r="G413" s="124"/>
      <c r="H413" s="125">
        <f t="shared" si="6"/>
        <v>0</v>
      </c>
      <c r="I413" s="191"/>
      <c r="J413" s="268"/>
      <c r="K413" s="182" t="str">
        <f>IFERROR(VLOOKUP(A413,'Budget-S&amp;U Codes Lookup'!$A$7:$C$550,3,FALSE),"")</f>
        <v/>
      </c>
      <c r="L413" s="1041"/>
      <c r="M413" s="753"/>
      <c r="N413" s="3" t="str">
        <f>IF(M413="","",VLOOKUP(M413,'Budget-S&amp;U Codes Lookup'!$E$26:$F$45,2,FALSE))</f>
        <v/>
      </c>
      <c r="P413" s="186"/>
    </row>
    <row r="414" spans="1:16">
      <c r="A414" s="751"/>
      <c r="B414" s="82" t="str">
        <f>IFERROR(VLOOKUP(A414,'Budget-S&amp;U Codes Lookup'!$A$7:$B$550,2,FALSE),"")</f>
        <v/>
      </c>
      <c r="C414" s="992"/>
      <c r="D414" s="118"/>
      <c r="E414" s="131"/>
      <c r="F414" s="124"/>
      <c r="G414" s="124"/>
      <c r="H414" s="125">
        <f t="shared" si="6"/>
        <v>0</v>
      </c>
      <c r="I414" s="191"/>
      <c r="J414" s="268"/>
      <c r="K414" s="182" t="str">
        <f>IFERROR(VLOOKUP(A414,'Budget-S&amp;U Codes Lookup'!$A$7:$C$550,3,FALSE),"")</f>
        <v/>
      </c>
      <c r="L414" s="1041"/>
      <c r="M414" s="753"/>
      <c r="N414" s="3" t="str">
        <f>IF(M414="","",VLOOKUP(M414,'Budget-S&amp;U Codes Lookup'!$E$26:$F$45,2,FALSE))</f>
        <v/>
      </c>
      <c r="P414" s="186"/>
    </row>
    <row r="415" spans="1:16">
      <c r="A415" s="751"/>
      <c r="B415" s="82" t="str">
        <f>IFERROR(VLOOKUP(A415,'Budget-S&amp;U Codes Lookup'!$A$7:$B$550,2,FALSE),"")</f>
        <v/>
      </c>
      <c r="C415" s="992"/>
      <c r="D415" s="118"/>
      <c r="E415" s="131"/>
      <c r="F415" s="124"/>
      <c r="G415" s="124"/>
      <c r="H415" s="125">
        <f t="shared" si="6"/>
        <v>0</v>
      </c>
      <c r="I415" s="191"/>
      <c r="J415" s="268"/>
      <c r="K415" s="182" t="str">
        <f>IFERROR(VLOOKUP(A415,'Budget-S&amp;U Codes Lookup'!$A$7:$C$550,3,FALSE),"")</f>
        <v/>
      </c>
      <c r="L415" s="1041"/>
      <c r="M415" s="753"/>
      <c r="N415" s="3" t="str">
        <f>IF(M415="","",VLOOKUP(M415,'Budget-S&amp;U Codes Lookup'!$E$26:$F$45,2,FALSE))</f>
        <v/>
      </c>
      <c r="P415" s="186"/>
    </row>
    <row r="416" spans="1:16">
      <c r="A416" s="751"/>
      <c r="B416" s="82" t="str">
        <f>IFERROR(VLOOKUP(A416,'Budget-S&amp;U Codes Lookup'!$A$7:$B$550,2,FALSE),"")</f>
        <v/>
      </c>
      <c r="C416" s="992"/>
      <c r="D416" s="118"/>
      <c r="E416" s="131"/>
      <c r="F416" s="124"/>
      <c r="G416" s="124"/>
      <c r="H416" s="125">
        <f t="shared" si="6"/>
        <v>0</v>
      </c>
      <c r="I416" s="191"/>
      <c r="J416" s="268"/>
      <c r="K416" s="182" t="str">
        <f>IFERROR(VLOOKUP(A416,'Budget-S&amp;U Codes Lookup'!$A$7:$C$550,3,FALSE),"")</f>
        <v/>
      </c>
      <c r="L416" s="1041"/>
      <c r="M416" s="753"/>
      <c r="N416" s="3" t="str">
        <f>IF(M416="","",VLOOKUP(M416,'Budget-S&amp;U Codes Lookup'!$E$26:$F$45,2,FALSE))</f>
        <v/>
      </c>
      <c r="P416" s="186"/>
    </row>
    <row r="417" spans="1:16">
      <c r="A417" s="751"/>
      <c r="B417" s="82" t="str">
        <f>IFERROR(VLOOKUP(A417,'Budget-S&amp;U Codes Lookup'!$A$7:$B$550,2,FALSE),"")</f>
        <v/>
      </c>
      <c r="C417" s="992"/>
      <c r="D417" s="118"/>
      <c r="E417" s="131"/>
      <c r="F417" s="124"/>
      <c r="G417" s="124"/>
      <c r="H417" s="125">
        <f t="shared" si="6"/>
        <v>0</v>
      </c>
      <c r="I417" s="191"/>
      <c r="J417" s="268"/>
      <c r="K417" s="182" t="str">
        <f>IFERROR(VLOOKUP(A417,'Budget-S&amp;U Codes Lookup'!$A$7:$C$550,3,FALSE),"")</f>
        <v/>
      </c>
      <c r="L417" s="1041"/>
      <c r="M417" s="753"/>
      <c r="N417" s="3" t="str">
        <f>IF(M417="","",VLOOKUP(M417,'Budget-S&amp;U Codes Lookup'!$E$26:$F$45,2,FALSE))</f>
        <v/>
      </c>
      <c r="P417" s="186"/>
    </row>
    <row r="418" spans="1:16">
      <c r="A418" s="751"/>
      <c r="B418" s="82" t="str">
        <f>IFERROR(VLOOKUP(A418,'Budget-S&amp;U Codes Lookup'!$A$7:$B$550,2,FALSE),"")</f>
        <v/>
      </c>
      <c r="C418" s="992"/>
      <c r="D418" s="118"/>
      <c r="E418" s="131"/>
      <c r="F418" s="124"/>
      <c r="G418" s="124"/>
      <c r="H418" s="125">
        <f t="shared" si="6"/>
        <v>0</v>
      </c>
      <c r="I418" s="191"/>
      <c r="J418" s="268"/>
      <c r="K418" s="182" t="str">
        <f>IFERROR(VLOOKUP(A418,'Budget-S&amp;U Codes Lookup'!$A$7:$C$550,3,FALSE),"")</f>
        <v/>
      </c>
      <c r="L418" s="1041"/>
      <c r="M418" s="753"/>
      <c r="N418" s="3" t="str">
        <f>IF(M418="","",VLOOKUP(M418,'Budget-S&amp;U Codes Lookup'!$E$26:$F$45,2,FALSE))</f>
        <v/>
      </c>
      <c r="P418" s="186"/>
    </row>
    <row r="419" spans="1:16">
      <c r="A419" s="751"/>
      <c r="B419" s="82" t="str">
        <f>IFERROR(VLOOKUP(A419,'Budget-S&amp;U Codes Lookup'!$A$7:$B$550,2,FALSE),"")</f>
        <v/>
      </c>
      <c r="C419" s="992"/>
      <c r="D419" s="118"/>
      <c r="E419" s="131"/>
      <c r="F419" s="124"/>
      <c r="G419" s="124"/>
      <c r="H419" s="125">
        <f t="shared" si="6"/>
        <v>0</v>
      </c>
      <c r="I419" s="191"/>
      <c r="J419" s="268"/>
      <c r="K419" s="182" t="str">
        <f>IFERROR(VLOOKUP(A419,'Budget-S&amp;U Codes Lookup'!$A$7:$C$550,3,FALSE),"")</f>
        <v/>
      </c>
      <c r="L419" s="1041"/>
      <c r="M419" s="753"/>
      <c r="N419" s="3" t="str">
        <f>IF(M419="","",VLOOKUP(M419,'Budget-S&amp;U Codes Lookup'!$E$26:$F$45,2,FALSE))</f>
        <v/>
      </c>
      <c r="P419" s="186"/>
    </row>
    <row r="420" spans="1:16">
      <c r="A420" s="751"/>
      <c r="B420" s="82" t="str">
        <f>IFERROR(VLOOKUP(A420,'Budget-S&amp;U Codes Lookup'!$A$7:$B$550,2,FALSE),"")</f>
        <v/>
      </c>
      <c r="C420" s="992"/>
      <c r="D420" s="118"/>
      <c r="E420" s="131"/>
      <c r="F420" s="124"/>
      <c r="G420" s="124"/>
      <c r="H420" s="125">
        <f t="shared" si="6"/>
        <v>0</v>
      </c>
      <c r="I420" s="191"/>
      <c r="J420" s="268"/>
      <c r="K420" s="182" t="str">
        <f>IFERROR(VLOOKUP(A420,'Budget-S&amp;U Codes Lookup'!$A$7:$C$550,3,FALSE),"")</f>
        <v/>
      </c>
      <c r="L420" s="1041"/>
      <c r="M420" s="753"/>
      <c r="N420" s="3" t="str">
        <f>IF(M420="","",VLOOKUP(M420,'Budget-S&amp;U Codes Lookup'!$E$26:$F$45,2,FALSE))</f>
        <v/>
      </c>
      <c r="P420" s="186"/>
    </row>
    <row r="421" spans="1:16">
      <c r="A421" s="751"/>
      <c r="B421" s="82" t="str">
        <f>IFERROR(VLOOKUP(A421,'Budget-S&amp;U Codes Lookup'!$A$7:$B$550,2,FALSE),"")</f>
        <v/>
      </c>
      <c r="C421" s="992"/>
      <c r="D421" s="118"/>
      <c r="E421" s="131"/>
      <c r="F421" s="124"/>
      <c r="G421" s="124"/>
      <c r="H421" s="125">
        <f t="shared" si="6"/>
        <v>0</v>
      </c>
      <c r="I421" s="191"/>
      <c r="J421" s="268"/>
      <c r="K421" s="182" t="str">
        <f>IFERROR(VLOOKUP(A421,'Budget-S&amp;U Codes Lookup'!$A$7:$C$550,3,FALSE),"")</f>
        <v/>
      </c>
      <c r="L421" s="1041"/>
      <c r="M421" s="753"/>
      <c r="N421" s="3" t="str">
        <f>IF(M421="","",VLOOKUP(M421,'Budget-S&amp;U Codes Lookup'!$E$26:$F$45,2,FALSE))</f>
        <v/>
      </c>
      <c r="P421" s="186"/>
    </row>
    <row r="422" spans="1:16">
      <c r="A422" s="751"/>
      <c r="B422" s="82" t="str">
        <f>IFERROR(VLOOKUP(A422,'Budget-S&amp;U Codes Lookup'!$A$7:$B$550,2,FALSE),"")</f>
        <v/>
      </c>
      <c r="C422" s="992"/>
      <c r="D422" s="123"/>
      <c r="E422" s="131"/>
      <c r="F422" s="124"/>
      <c r="G422" s="124"/>
      <c r="H422" s="125">
        <f t="shared" si="6"/>
        <v>0</v>
      </c>
      <c r="I422" s="191"/>
      <c r="J422" s="268"/>
      <c r="K422" s="182" t="str">
        <f>IFERROR(VLOOKUP(A422,'Budget-S&amp;U Codes Lookup'!$A$7:$C$550,3,FALSE),"")</f>
        <v/>
      </c>
      <c r="L422" s="1041"/>
      <c r="M422" s="754"/>
      <c r="N422" s="3" t="str">
        <f>IF(M422="","",VLOOKUP(M422,'Budget-S&amp;U Codes Lookup'!$E$26:$F$45,2,FALSE))</f>
        <v/>
      </c>
      <c r="P422" s="186"/>
    </row>
    <row r="423" spans="1:16">
      <c r="A423" s="751"/>
      <c r="B423" s="82" t="str">
        <f>IFERROR(VLOOKUP(A423,'Budget-S&amp;U Codes Lookup'!$A$7:$B$550,2,FALSE),"")</f>
        <v/>
      </c>
      <c r="C423" s="992"/>
      <c r="D423" s="118"/>
      <c r="E423" s="131"/>
      <c r="F423" s="124"/>
      <c r="G423" s="124"/>
      <c r="H423" s="125">
        <f t="shared" si="6"/>
        <v>0</v>
      </c>
      <c r="I423" s="191"/>
      <c r="J423" s="268"/>
      <c r="K423" s="182" t="str">
        <f>IFERROR(VLOOKUP(A423,'Budget-S&amp;U Codes Lookup'!$A$7:$C$550,3,FALSE),"")</f>
        <v/>
      </c>
      <c r="L423" s="1041"/>
      <c r="M423" s="753"/>
      <c r="N423" s="3" t="str">
        <f>IF(M423="","",VLOOKUP(M423,'Budget-S&amp;U Codes Lookup'!$E$26:$F$45,2,FALSE))</f>
        <v/>
      </c>
      <c r="P423" s="186"/>
    </row>
    <row r="424" spans="1:16">
      <c r="A424" s="751"/>
      <c r="B424" s="82" t="str">
        <f>IFERROR(VLOOKUP(A424,'Budget-S&amp;U Codes Lookup'!$A$7:$B$550,2,FALSE),"")</f>
        <v/>
      </c>
      <c r="C424" s="992"/>
      <c r="D424" s="118"/>
      <c r="E424" s="131"/>
      <c r="F424" s="124"/>
      <c r="G424" s="124"/>
      <c r="H424" s="125">
        <f t="shared" si="6"/>
        <v>0</v>
      </c>
      <c r="I424" s="191"/>
      <c r="J424" s="268"/>
      <c r="K424" s="182" t="str">
        <f>IFERROR(VLOOKUP(A424,'Budget-S&amp;U Codes Lookup'!$A$7:$C$550,3,FALSE),"")</f>
        <v/>
      </c>
      <c r="L424" s="1041"/>
      <c r="M424" s="753"/>
      <c r="N424" s="3" t="str">
        <f>IF(M424="","",VLOOKUP(M424,'Budget-S&amp;U Codes Lookup'!$E$26:$F$45,2,FALSE))</f>
        <v/>
      </c>
      <c r="P424" s="186"/>
    </row>
    <row r="425" spans="1:16">
      <c r="A425" s="751"/>
      <c r="B425" s="82" t="str">
        <f>IFERROR(VLOOKUP(A425,'Budget-S&amp;U Codes Lookup'!$A$7:$B$550,2,FALSE),"")</f>
        <v/>
      </c>
      <c r="C425" s="992"/>
      <c r="D425" s="118"/>
      <c r="E425" s="131"/>
      <c r="F425" s="124"/>
      <c r="G425" s="124"/>
      <c r="H425" s="125">
        <f t="shared" si="6"/>
        <v>0</v>
      </c>
      <c r="I425" s="191"/>
      <c r="J425" s="268"/>
      <c r="K425" s="182" t="str">
        <f>IFERROR(VLOOKUP(A425,'Budget-S&amp;U Codes Lookup'!$A$7:$C$550,3,FALSE),"")</f>
        <v/>
      </c>
      <c r="L425" s="1041"/>
      <c r="M425" s="753"/>
      <c r="N425" s="3" t="str">
        <f>IF(M425="","",VLOOKUP(M425,'Budget-S&amp;U Codes Lookup'!$E$26:$F$45,2,FALSE))</f>
        <v/>
      </c>
      <c r="P425" s="186"/>
    </row>
    <row r="426" spans="1:16">
      <c r="A426" s="751"/>
      <c r="B426" s="82" t="str">
        <f>IFERROR(VLOOKUP(A426,'Budget-S&amp;U Codes Lookup'!$A$7:$B$550,2,FALSE),"")</f>
        <v/>
      </c>
      <c r="C426" s="992"/>
      <c r="D426" s="118"/>
      <c r="E426" s="131"/>
      <c r="F426" s="124"/>
      <c r="G426" s="124"/>
      <c r="H426" s="125">
        <f t="shared" si="6"/>
        <v>0</v>
      </c>
      <c r="I426" s="191"/>
      <c r="J426" s="268"/>
      <c r="K426" s="182" t="str">
        <f>IFERROR(VLOOKUP(A426,'Budget-S&amp;U Codes Lookup'!$A$7:$C$550,3,FALSE),"")</f>
        <v/>
      </c>
      <c r="L426" s="1041"/>
      <c r="M426" s="753"/>
      <c r="N426" s="3" t="str">
        <f>IF(M426="","",VLOOKUP(M426,'Budget-S&amp;U Codes Lookup'!$E$26:$F$45,2,FALSE))</f>
        <v/>
      </c>
      <c r="P426" s="186"/>
    </row>
    <row r="427" spans="1:16">
      <c r="A427" s="751"/>
      <c r="B427" s="82" t="str">
        <f>IFERROR(VLOOKUP(A427,'Budget-S&amp;U Codes Lookup'!$A$7:$B$550,2,FALSE),"")</f>
        <v/>
      </c>
      <c r="C427" s="992"/>
      <c r="D427" s="118"/>
      <c r="E427" s="131"/>
      <c r="F427" s="124"/>
      <c r="G427" s="124"/>
      <c r="H427" s="125">
        <f t="shared" si="6"/>
        <v>0</v>
      </c>
      <c r="I427" s="191"/>
      <c r="J427" s="268"/>
      <c r="K427" s="182" t="str">
        <f>IFERROR(VLOOKUP(A427,'Budget-S&amp;U Codes Lookup'!$A$7:$C$550,3,FALSE),"")</f>
        <v/>
      </c>
      <c r="L427" s="1041"/>
      <c r="M427" s="753"/>
      <c r="N427" s="3" t="str">
        <f>IF(M427="","",VLOOKUP(M427,'Budget-S&amp;U Codes Lookup'!$E$26:$F$45,2,FALSE))</f>
        <v/>
      </c>
      <c r="P427" s="186"/>
    </row>
    <row r="428" spans="1:16">
      <c r="A428" s="751"/>
      <c r="B428" s="82" t="str">
        <f>IFERROR(VLOOKUP(A428,'Budget-S&amp;U Codes Lookup'!$A$7:$B$550,2,FALSE),"")</f>
        <v/>
      </c>
      <c r="C428" s="992"/>
      <c r="D428" s="118"/>
      <c r="E428" s="131"/>
      <c r="F428" s="124"/>
      <c r="G428" s="124"/>
      <c r="H428" s="125">
        <f t="shared" si="6"/>
        <v>0</v>
      </c>
      <c r="I428" s="191"/>
      <c r="J428" s="268"/>
      <c r="K428" s="182" t="str">
        <f>IFERROR(VLOOKUP(A428,'Budget-S&amp;U Codes Lookup'!$A$7:$C$550,3,FALSE),"")</f>
        <v/>
      </c>
      <c r="L428" s="1041"/>
      <c r="M428" s="753"/>
      <c r="N428" s="3" t="str">
        <f>IF(M428="","",VLOOKUP(M428,'Budget-S&amp;U Codes Lookup'!$E$26:$F$45,2,FALSE))</f>
        <v/>
      </c>
      <c r="P428" s="186"/>
    </row>
    <row r="429" spans="1:16">
      <c r="A429" s="751"/>
      <c r="B429" s="82" t="str">
        <f>IFERROR(VLOOKUP(A429,'Budget-S&amp;U Codes Lookup'!$A$7:$B$550,2,FALSE),"")</f>
        <v/>
      </c>
      <c r="C429" s="992"/>
      <c r="D429" s="118"/>
      <c r="E429" s="131"/>
      <c r="F429" s="124"/>
      <c r="G429" s="124"/>
      <c r="H429" s="125">
        <f t="shared" si="6"/>
        <v>0</v>
      </c>
      <c r="I429" s="191"/>
      <c r="J429" s="268"/>
      <c r="K429" s="182" t="str">
        <f>IFERROR(VLOOKUP(A429,'Budget-S&amp;U Codes Lookup'!$A$7:$C$550,3,FALSE),"")</f>
        <v/>
      </c>
      <c r="L429" s="1041"/>
      <c r="M429" s="753"/>
      <c r="N429" s="3" t="str">
        <f>IF(M429="","",VLOOKUP(M429,'Budget-S&amp;U Codes Lookup'!$E$26:$F$45,2,FALSE))</f>
        <v/>
      </c>
      <c r="P429" s="186"/>
    </row>
    <row r="430" spans="1:16">
      <c r="A430" s="751"/>
      <c r="B430" s="82" t="str">
        <f>IFERROR(VLOOKUP(A430,'Budget-S&amp;U Codes Lookup'!$A$7:$B$550,2,FALSE),"")</f>
        <v/>
      </c>
      <c r="C430" s="992"/>
      <c r="D430" s="118"/>
      <c r="E430" s="131"/>
      <c r="F430" s="124"/>
      <c r="G430" s="124"/>
      <c r="H430" s="125">
        <f t="shared" si="6"/>
        <v>0</v>
      </c>
      <c r="I430" s="191"/>
      <c r="J430" s="268"/>
      <c r="K430" s="182" t="str">
        <f>IFERROR(VLOOKUP(A430,'Budget-S&amp;U Codes Lookup'!$A$7:$C$550,3,FALSE),"")</f>
        <v/>
      </c>
      <c r="L430" s="1041"/>
      <c r="M430" s="753"/>
      <c r="N430" s="3" t="str">
        <f>IF(M430="","",VLOOKUP(M430,'Budget-S&amp;U Codes Lookup'!$E$26:$F$45,2,FALSE))</f>
        <v/>
      </c>
      <c r="P430" s="186"/>
    </row>
    <row r="431" spans="1:16">
      <c r="A431" s="751"/>
      <c r="B431" s="82" t="str">
        <f>IFERROR(VLOOKUP(A431,'Budget-S&amp;U Codes Lookup'!$A$7:$B$550,2,FALSE),"")</f>
        <v/>
      </c>
      <c r="C431" s="992"/>
      <c r="D431" s="118"/>
      <c r="E431" s="131"/>
      <c r="F431" s="124"/>
      <c r="G431" s="124"/>
      <c r="H431" s="125">
        <f t="shared" si="6"/>
        <v>0</v>
      </c>
      <c r="I431" s="191"/>
      <c r="J431" s="268"/>
      <c r="K431" s="182" t="str">
        <f>IFERROR(VLOOKUP(A431,'Budget-S&amp;U Codes Lookup'!$A$7:$C$550,3,FALSE),"")</f>
        <v/>
      </c>
      <c r="L431" s="1041"/>
      <c r="M431" s="753"/>
      <c r="N431" s="3" t="str">
        <f>IF(M431="","",VLOOKUP(M431,'Budget-S&amp;U Codes Lookup'!$E$26:$F$45,2,FALSE))</f>
        <v/>
      </c>
      <c r="P431" s="186"/>
    </row>
    <row r="432" spans="1:16">
      <c r="A432" s="751"/>
      <c r="B432" s="82" t="str">
        <f>IFERROR(VLOOKUP(A432,'Budget-S&amp;U Codes Lookup'!$A$7:$B$550,2,FALSE),"")</f>
        <v/>
      </c>
      <c r="C432" s="992"/>
      <c r="D432" s="118"/>
      <c r="E432" s="131"/>
      <c r="F432" s="124"/>
      <c r="G432" s="124"/>
      <c r="H432" s="125">
        <f t="shared" si="6"/>
        <v>0</v>
      </c>
      <c r="I432" s="191"/>
      <c r="J432" s="268"/>
      <c r="K432" s="182" t="str">
        <f>IFERROR(VLOOKUP(A432,'Budget-S&amp;U Codes Lookup'!$A$7:$C$550,3,FALSE),"")</f>
        <v/>
      </c>
      <c r="L432" s="1041"/>
      <c r="M432" s="753"/>
      <c r="N432" s="3" t="str">
        <f>IF(M432="","",VLOOKUP(M432,'Budget-S&amp;U Codes Lookup'!$E$26:$F$45,2,FALSE))</f>
        <v/>
      </c>
      <c r="P432" s="186"/>
    </row>
    <row r="433" spans="1:16">
      <c r="A433" s="751"/>
      <c r="B433" s="82" t="str">
        <f>IFERROR(VLOOKUP(A433,'Budget-S&amp;U Codes Lookup'!$A$7:$B$550,2,FALSE),"")</f>
        <v/>
      </c>
      <c r="C433" s="992"/>
      <c r="D433" s="118"/>
      <c r="E433" s="131"/>
      <c r="F433" s="124"/>
      <c r="G433" s="124"/>
      <c r="H433" s="125">
        <f t="shared" si="6"/>
        <v>0</v>
      </c>
      <c r="I433" s="191"/>
      <c r="J433" s="268"/>
      <c r="K433" s="182" t="str">
        <f>IFERROR(VLOOKUP(A433,'Budget-S&amp;U Codes Lookup'!$A$7:$C$550,3,FALSE),"")</f>
        <v/>
      </c>
      <c r="L433" s="1041"/>
      <c r="M433" s="753"/>
      <c r="N433" s="3" t="str">
        <f>IF(M433="","",VLOOKUP(M433,'Budget-S&amp;U Codes Lookup'!$E$26:$F$45,2,FALSE))</f>
        <v/>
      </c>
      <c r="P433" s="186"/>
    </row>
    <row r="434" spans="1:16">
      <c r="A434" s="751"/>
      <c r="B434" s="82" t="str">
        <f>IFERROR(VLOOKUP(A434,'Budget-S&amp;U Codes Lookup'!$A$7:$B$550,2,FALSE),"")</f>
        <v/>
      </c>
      <c r="C434" s="992"/>
      <c r="D434" s="118"/>
      <c r="E434" s="131"/>
      <c r="F434" s="124"/>
      <c r="G434" s="124"/>
      <c r="H434" s="125">
        <f t="shared" si="6"/>
        <v>0</v>
      </c>
      <c r="I434" s="191"/>
      <c r="J434" s="268"/>
      <c r="K434" s="182" t="str">
        <f>IFERROR(VLOOKUP(A434,'Budget-S&amp;U Codes Lookup'!$A$7:$C$550,3,FALSE),"")</f>
        <v/>
      </c>
      <c r="L434" s="1041"/>
      <c r="M434" s="753"/>
      <c r="N434" s="3" t="str">
        <f>IF(M434="","",VLOOKUP(M434,'Budget-S&amp;U Codes Lookup'!$E$26:$F$45,2,FALSE))</f>
        <v/>
      </c>
      <c r="P434" s="186"/>
    </row>
    <row r="435" spans="1:16">
      <c r="A435" s="751"/>
      <c r="B435" s="82" t="str">
        <f>IFERROR(VLOOKUP(A435,'Budget-S&amp;U Codes Lookup'!$A$7:$B$550,2,FALSE),"")</f>
        <v/>
      </c>
      <c r="C435" s="992"/>
      <c r="D435" s="118"/>
      <c r="E435" s="131"/>
      <c r="F435" s="124"/>
      <c r="G435" s="124"/>
      <c r="H435" s="125">
        <f t="shared" si="6"/>
        <v>0</v>
      </c>
      <c r="I435" s="191"/>
      <c r="J435" s="268"/>
      <c r="K435" s="182" t="str">
        <f>IFERROR(VLOOKUP(A435,'Budget-S&amp;U Codes Lookup'!$A$7:$C$550,3,FALSE),"")</f>
        <v/>
      </c>
      <c r="L435" s="1041"/>
      <c r="M435" s="753"/>
      <c r="N435" s="3" t="str">
        <f>IF(M435="","",VLOOKUP(M435,'Budget-S&amp;U Codes Lookup'!$E$26:$F$45,2,FALSE))</f>
        <v/>
      </c>
      <c r="P435" s="186"/>
    </row>
    <row r="436" spans="1:16">
      <c r="A436" s="751"/>
      <c r="B436" s="82" t="str">
        <f>IFERROR(VLOOKUP(A436,'Budget-S&amp;U Codes Lookup'!$A$7:$B$550,2,FALSE),"")</f>
        <v/>
      </c>
      <c r="C436" s="992"/>
      <c r="D436" s="118"/>
      <c r="E436" s="131"/>
      <c r="F436" s="124"/>
      <c r="G436" s="124"/>
      <c r="H436" s="125">
        <f t="shared" si="6"/>
        <v>0</v>
      </c>
      <c r="I436" s="191"/>
      <c r="J436" s="268"/>
      <c r="K436" s="182" t="str">
        <f>IFERROR(VLOOKUP(A436,'Budget-S&amp;U Codes Lookup'!$A$7:$C$550,3,FALSE),"")</f>
        <v/>
      </c>
      <c r="L436" s="1041"/>
      <c r="M436" s="753"/>
      <c r="N436" s="3" t="str">
        <f>IF(M436="","",VLOOKUP(M436,'Budget-S&amp;U Codes Lookup'!$E$26:$F$45,2,FALSE))</f>
        <v/>
      </c>
      <c r="P436" s="186"/>
    </row>
    <row r="437" spans="1:16">
      <c r="A437" s="751"/>
      <c r="B437" s="82" t="str">
        <f>IFERROR(VLOOKUP(A437,'Budget-S&amp;U Codes Lookup'!$A$7:$B$550,2,FALSE),"")</f>
        <v/>
      </c>
      <c r="C437" s="992"/>
      <c r="D437" s="123"/>
      <c r="E437" s="131"/>
      <c r="F437" s="124"/>
      <c r="G437" s="124"/>
      <c r="H437" s="125">
        <f t="shared" si="6"/>
        <v>0</v>
      </c>
      <c r="I437" s="191"/>
      <c r="J437" s="268"/>
      <c r="K437" s="182" t="str">
        <f>IFERROR(VLOOKUP(A437,'Budget-S&amp;U Codes Lookup'!$A$7:$C$550,3,FALSE),"")</f>
        <v/>
      </c>
      <c r="L437" s="1041"/>
      <c r="M437" s="753"/>
      <c r="N437" s="3" t="str">
        <f>IF(M437="","",VLOOKUP(M437,'Budget-S&amp;U Codes Lookup'!$E$26:$F$45,2,FALSE))</f>
        <v/>
      </c>
      <c r="P437" s="186"/>
    </row>
    <row r="438" spans="1:16">
      <c r="A438" s="751"/>
      <c r="B438" s="82" t="str">
        <f>IFERROR(VLOOKUP(A438,'Budget-S&amp;U Codes Lookup'!$A$7:$B$550,2,FALSE),"")</f>
        <v/>
      </c>
      <c r="C438" s="992"/>
      <c r="D438" s="118"/>
      <c r="E438" s="131"/>
      <c r="F438" s="124"/>
      <c r="G438" s="124"/>
      <c r="H438" s="125">
        <f t="shared" si="6"/>
        <v>0</v>
      </c>
      <c r="I438" s="191"/>
      <c r="J438" s="268"/>
      <c r="K438" s="182" t="str">
        <f>IFERROR(VLOOKUP(A438,'Budget-S&amp;U Codes Lookup'!$A$7:$C$550,3,FALSE),"")</f>
        <v/>
      </c>
      <c r="L438" s="1041"/>
      <c r="M438" s="753"/>
      <c r="N438" s="3" t="str">
        <f>IF(M438="","",VLOOKUP(M438,'Budget-S&amp;U Codes Lookup'!$E$26:$F$45,2,FALSE))</f>
        <v/>
      </c>
      <c r="P438" s="186"/>
    </row>
    <row r="439" spans="1:16">
      <c r="A439" s="751"/>
      <c r="B439" s="82" t="str">
        <f>IFERROR(VLOOKUP(A439,'Budget-S&amp;U Codes Lookup'!$A$7:$B$550,2,FALSE),"")</f>
        <v/>
      </c>
      <c r="C439" s="992"/>
      <c r="D439" s="118"/>
      <c r="E439" s="131"/>
      <c r="F439" s="124"/>
      <c r="G439" s="124"/>
      <c r="H439" s="125">
        <f t="shared" si="6"/>
        <v>0</v>
      </c>
      <c r="I439" s="191"/>
      <c r="J439" s="268"/>
      <c r="K439" s="182" t="str">
        <f>IFERROR(VLOOKUP(A439,'Budget-S&amp;U Codes Lookup'!$A$7:$C$550,3,FALSE),"")</f>
        <v/>
      </c>
      <c r="L439" s="1041"/>
      <c r="M439" s="753"/>
      <c r="N439" s="3" t="str">
        <f>IF(M439="","",VLOOKUP(M439,'Budget-S&amp;U Codes Lookup'!$E$26:$F$45,2,FALSE))</f>
        <v/>
      </c>
      <c r="P439" s="186"/>
    </row>
    <row r="440" spans="1:16">
      <c r="A440" s="751"/>
      <c r="B440" s="82" t="str">
        <f>IFERROR(VLOOKUP(A440,'Budget-S&amp;U Codes Lookup'!$A$7:$B$550,2,FALSE),"")</f>
        <v/>
      </c>
      <c r="C440" s="992"/>
      <c r="D440" s="118"/>
      <c r="E440" s="131"/>
      <c r="F440" s="124"/>
      <c r="G440" s="124"/>
      <c r="H440" s="125">
        <f t="shared" si="6"/>
        <v>0</v>
      </c>
      <c r="I440" s="191"/>
      <c r="J440" s="268"/>
      <c r="K440" s="182" t="str">
        <f>IFERROR(VLOOKUP(A440,'Budget-S&amp;U Codes Lookup'!$A$7:$C$550,3,FALSE),"")</f>
        <v/>
      </c>
      <c r="L440" s="1041"/>
      <c r="M440" s="753"/>
      <c r="N440" s="3" t="str">
        <f>IF(M440="","",VLOOKUP(M440,'Budget-S&amp;U Codes Lookup'!$E$26:$F$45,2,FALSE))</f>
        <v/>
      </c>
      <c r="P440" s="186"/>
    </row>
    <row r="441" spans="1:16">
      <c r="A441" s="751"/>
      <c r="B441" s="82" t="str">
        <f>IFERROR(VLOOKUP(A441,'Budget-S&amp;U Codes Lookup'!$A$7:$B$550,2,FALSE),"")</f>
        <v/>
      </c>
      <c r="C441" s="992"/>
      <c r="D441" s="118"/>
      <c r="E441" s="131"/>
      <c r="F441" s="124"/>
      <c r="G441" s="124"/>
      <c r="H441" s="125">
        <f t="shared" si="6"/>
        <v>0</v>
      </c>
      <c r="I441" s="191"/>
      <c r="J441" s="268"/>
      <c r="K441" s="182" t="str">
        <f>IFERROR(VLOOKUP(A441,'Budget-S&amp;U Codes Lookup'!$A$7:$C$550,3,FALSE),"")</f>
        <v/>
      </c>
      <c r="L441" s="1041"/>
      <c r="M441" s="753"/>
      <c r="N441" s="3" t="str">
        <f>IF(M441="","",VLOOKUP(M441,'Budget-S&amp;U Codes Lookup'!$E$26:$F$45,2,FALSE))</f>
        <v/>
      </c>
      <c r="P441" s="186"/>
    </row>
    <row r="442" spans="1:16">
      <c r="A442" s="751"/>
      <c r="B442" s="82" t="str">
        <f>IFERROR(VLOOKUP(A442,'Budget-S&amp;U Codes Lookup'!$A$7:$B$550,2,FALSE),"")</f>
        <v/>
      </c>
      <c r="C442" s="992"/>
      <c r="D442" s="123"/>
      <c r="E442" s="131"/>
      <c r="F442" s="124"/>
      <c r="G442" s="124"/>
      <c r="H442" s="125">
        <f t="shared" si="6"/>
        <v>0</v>
      </c>
      <c r="I442" s="191"/>
      <c r="J442" s="268"/>
      <c r="K442" s="182" t="str">
        <f>IFERROR(VLOOKUP(A442,'Budget-S&amp;U Codes Lookup'!$A$7:$C$550,3,FALSE),"")</f>
        <v/>
      </c>
      <c r="L442" s="1041"/>
      <c r="M442" s="753"/>
      <c r="N442" s="3" t="str">
        <f>IF(M442="","",VLOOKUP(M442,'Budget-S&amp;U Codes Lookup'!$E$26:$F$45,2,FALSE))</f>
        <v/>
      </c>
      <c r="P442" s="186"/>
    </row>
    <row r="443" spans="1:16">
      <c r="A443" s="751"/>
      <c r="B443" s="82" t="str">
        <f>IFERROR(VLOOKUP(A443,'Budget-S&amp;U Codes Lookup'!$A$7:$B$550,2,FALSE),"")</f>
        <v/>
      </c>
      <c r="C443" s="992"/>
      <c r="D443" s="118"/>
      <c r="E443" s="131"/>
      <c r="F443" s="124"/>
      <c r="G443" s="124"/>
      <c r="H443" s="125">
        <f t="shared" si="6"/>
        <v>0</v>
      </c>
      <c r="I443" s="191"/>
      <c r="J443" s="268"/>
      <c r="K443" s="182" t="str">
        <f>IFERROR(VLOOKUP(A443,'Budget-S&amp;U Codes Lookup'!$A$7:$C$550,3,FALSE),"")</f>
        <v/>
      </c>
      <c r="L443" s="1041"/>
      <c r="M443" s="753"/>
      <c r="N443" s="3" t="str">
        <f>IF(M443="","",VLOOKUP(M443,'Budget-S&amp;U Codes Lookup'!$E$26:$F$45,2,FALSE))</f>
        <v/>
      </c>
      <c r="P443" s="186"/>
    </row>
    <row r="444" spans="1:16">
      <c r="A444" s="751"/>
      <c r="B444" s="82" t="str">
        <f>IFERROR(VLOOKUP(A444,'Budget-S&amp;U Codes Lookup'!$A$7:$B$550,2,FALSE),"")</f>
        <v/>
      </c>
      <c r="C444" s="992"/>
      <c r="D444" s="118"/>
      <c r="E444" s="131"/>
      <c r="F444" s="124"/>
      <c r="G444" s="124"/>
      <c r="H444" s="125">
        <f t="shared" si="6"/>
        <v>0</v>
      </c>
      <c r="I444" s="191"/>
      <c r="J444" s="268"/>
      <c r="K444" s="182" t="str">
        <f>IFERROR(VLOOKUP(A444,'Budget-S&amp;U Codes Lookup'!$A$7:$C$550,3,FALSE),"")</f>
        <v/>
      </c>
      <c r="L444" s="1041"/>
      <c r="M444" s="753"/>
      <c r="N444" s="3" t="str">
        <f>IF(M444="","",VLOOKUP(M444,'Budget-S&amp;U Codes Lookup'!$E$26:$F$45,2,FALSE))</f>
        <v/>
      </c>
      <c r="P444" s="186"/>
    </row>
    <row r="445" spans="1:16">
      <c r="A445" s="751"/>
      <c r="B445" s="82" t="str">
        <f>IFERROR(VLOOKUP(A445,'Budget-S&amp;U Codes Lookup'!$A$7:$B$550,2,FALSE),"")</f>
        <v/>
      </c>
      <c r="C445" s="992"/>
      <c r="D445" s="118"/>
      <c r="E445" s="131"/>
      <c r="F445" s="124"/>
      <c r="G445" s="124"/>
      <c r="H445" s="125">
        <f t="shared" si="6"/>
        <v>0</v>
      </c>
      <c r="I445" s="191"/>
      <c r="J445" s="268"/>
      <c r="K445" s="182" t="str">
        <f>IFERROR(VLOOKUP(A445,'Budget-S&amp;U Codes Lookup'!$A$7:$C$550,3,FALSE),"")</f>
        <v/>
      </c>
      <c r="L445" s="1041"/>
      <c r="M445" s="753"/>
      <c r="N445" s="3" t="str">
        <f>IF(M445="","",VLOOKUP(M445,'Budget-S&amp;U Codes Lookup'!$E$26:$F$45,2,FALSE))</f>
        <v/>
      </c>
      <c r="P445" s="186"/>
    </row>
    <row r="446" spans="1:16">
      <c r="A446" s="751"/>
      <c r="B446" s="82" t="str">
        <f>IFERROR(VLOOKUP(A446,'Budget-S&amp;U Codes Lookup'!$A$7:$B$550,2,FALSE),"")</f>
        <v/>
      </c>
      <c r="C446" s="992"/>
      <c r="D446" s="118"/>
      <c r="E446" s="131"/>
      <c r="F446" s="124"/>
      <c r="G446" s="124"/>
      <c r="H446" s="125">
        <f t="shared" si="6"/>
        <v>0</v>
      </c>
      <c r="I446" s="191"/>
      <c r="J446" s="268"/>
      <c r="K446" s="182" t="str">
        <f>IFERROR(VLOOKUP(A446,'Budget-S&amp;U Codes Lookup'!$A$7:$C$550,3,FALSE),"")</f>
        <v/>
      </c>
      <c r="L446" s="1041"/>
      <c r="M446" s="753"/>
      <c r="N446" s="3" t="str">
        <f>IF(M446="","",VLOOKUP(M446,'Budget-S&amp;U Codes Lookup'!$E$26:$F$45,2,FALSE))</f>
        <v/>
      </c>
      <c r="P446" s="186"/>
    </row>
    <row r="447" spans="1:16">
      <c r="A447" s="751"/>
      <c r="B447" s="82" t="str">
        <f>IFERROR(VLOOKUP(A447,'Budget-S&amp;U Codes Lookup'!$A$7:$B$550,2,FALSE),"")</f>
        <v/>
      </c>
      <c r="C447" s="992"/>
      <c r="D447" s="118"/>
      <c r="E447" s="131"/>
      <c r="F447" s="124"/>
      <c r="G447" s="124"/>
      <c r="H447" s="125">
        <f t="shared" si="6"/>
        <v>0</v>
      </c>
      <c r="I447" s="191"/>
      <c r="J447" s="268"/>
      <c r="K447" s="182" t="str">
        <f>IFERROR(VLOOKUP(A447,'Budget-S&amp;U Codes Lookup'!$A$7:$C$550,3,FALSE),"")</f>
        <v/>
      </c>
      <c r="L447" s="1041"/>
      <c r="M447" s="753"/>
      <c r="N447" s="3" t="str">
        <f>IF(M447="","",VLOOKUP(M447,'Budget-S&amp;U Codes Lookup'!$E$26:$F$45,2,FALSE))</f>
        <v/>
      </c>
      <c r="P447" s="186"/>
    </row>
    <row r="448" spans="1:16">
      <c r="A448" s="751"/>
      <c r="B448" s="82" t="str">
        <f>IFERROR(VLOOKUP(A448,'Budget-S&amp;U Codes Lookup'!$A$7:$B$550,2,FALSE),"")</f>
        <v/>
      </c>
      <c r="C448" s="992"/>
      <c r="D448" s="123"/>
      <c r="E448" s="131"/>
      <c r="F448" s="124"/>
      <c r="G448" s="124"/>
      <c r="H448" s="125">
        <f t="shared" si="6"/>
        <v>0</v>
      </c>
      <c r="I448" s="191"/>
      <c r="J448" s="268"/>
      <c r="K448" s="182" t="str">
        <f>IFERROR(VLOOKUP(A448,'Budget-S&amp;U Codes Lookup'!$A$7:$C$550,3,FALSE),"")</f>
        <v/>
      </c>
      <c r="L448" s="1042"/>
      <c r="M448" s="753"/>
      <c r="N448" s="3" t="str">
        <f>IF(M448="","",VLOOKUP(M448,'Budget-S&amp;U Codes Lookup'!$E$26:$F$45,2,FALSE))</f>
        <v/>
      </c>
      <c r="P448" s="186"/>
    </row>
    <row r="449" spans="1:16">
      <c r="A449" s="751"/>
      <c r="B449" s="82" t="str">
        <f>IFERROR(VLOOKUP(A449,'Budget-S&amp;U Codes Lookup'!$A$7:$B$550,2,FALSE),"")</f>
        <v/>
      </c>
      <c r="C449" s="992"/>
      <c r="D449" s="118"/>
      <c r="E449" s="131"/>
      <c r="F449" s="124"/>
      <c r="G449" s="124"/>
      <c r="H449" s="125">
        <f t="shared" si="6"/>
        <v>0</v>
      </c>
      <c r="I449" s="191"/>
      <c r="J449" s="268"/>
      <c r="K449" s="182" t="str">
        <f>IFERROR(VLOOKUP(A449,'Budget-S&amp;U Codes Lookup'!$A$7:$C$550,3,FALSE),"")</f>
        <v/>
      </c>
      <c r="L449" s="1041"/>
      <c r="M449" s="753"/>
      <c r="N449" s="3" t="str">
        <f>IF(M449="","",VLOOKUP(M449,'Budget-S&amp;U Codes Lookup'!$E$26:$F$45,2,FALSE))</f>
        <v/>
      </c>
      <c r="P449" s="186"/>
    </row>
    <row r="450" spans="1:16">
      <c r="A450" s="751"/>
      <c r="B450" s="82" t="str">
        <f>IFERROR(VLOOKUP(A450,'Budget-S&amp;U Codes Lookup'!$A$7:$B$550,2,FALSE),"")</f>
        <v/>
      </c>
      <c r="C450" s="992"/>
      <c r="D450" s="118"/>
      <c r="E450" s="131"/>
      <c r="F450" s="124"/>
      <c r="G450" s="124"/>
      <c r="H450" s="125">
        <f t="shared" si="6"/>
        <v>0</v>
      </c>
      <c r="I450" s="191"/>
      <c r="J450" s="268"/>
      <c r="K450" s="182" t="str">
        <f>IFERROR(VLOOKUP(A450,'Budget-S&amp;U Codes Lookup'!$A$7:$C$550,3,FALSE),"")</f>
        <v/>
      </c>
      <c r="L450" s="1041"/>
      <c r="M450" s="753"/>
      <c r="N450" s="3" t="str">
        <f>IF(M450="","",VLOOKUP(M450,'Budget-S&amp;U Codes Lookup'!$E$26:$F$45,2,FALSE))</f>
        <v/>
      </c>
      <c r="P450" s="186"/>
    </row>
    <row r="451" spans="1:16">
      <c r="A451" s="751"/>
      <c r="B451" s="82" t="str">
        <f>IFERROR(VLOOKUP(A451,'Budget-S&amp;U Codes Lookup'!$A$7:$B$550,2,FALSE),"")</f>
        <v/>
      </c>
      <c r="C451" s="992"/>
      <c r="D451" s="118"/>
      <c r="E451" s="131"/>
      <c r="F451" s="124"/>
      <c r="G451" s="124"/>
      <c r="H451" s="125">
        <f t="shared" si="6"/>
        <v>0</v>
      </c>
      <c r="I451" s="191"/>
      <c r="J451" s="268"/>
      <c r="K451" s="182" t="str">
        <f>IFERROR(VLOOKUP(A451,'Budget-S&amp;U Codes Lookup'!$A$7:$C$550,3,FALSE),"")</f>
        <v/>
      </c>
      <c r="L451" s="1041"/>
      <c r="M451" s="753"/>
      <c r="N451" s="3" t="str">
        <f>IF(M451="","",VLOOKUP(M451,'Budget-S&amp;U Codes Lookup'!$E$26:$F$45,2,FALSE))</f>
        <v/>
      </c>
      <c r="P451" s="186"/>
    </row>
    <row r="452" spans="1:16">
      <c r="A452" s="751"/>
      <c r="B452" s="82" t="str">
        <f>IFERROR(VLOOKUP(A452,'Budget-S&amp;U Codes Lookup'!$A$7:$B$550,2,FALSE),"")</f>
        <v/>
      </c>
      <c r="C452" s="992"/>
      <c r="D452" s="118"/>
      <c r="E452" s="131"/>
      <c r="F452" s="124"/>
      <c r="G452" s="124"/>
      <c r="H452" s="125">
        <f t="shared" si="6"/>
        <v>0</v>
      </c>
      <c r="I452" s="191"/>
      <c r="J452" s="268"/>
      <c r="K452" s="182" t="str">
        <f>IFERROR(VLOOKUP(A452,'Budget-S&amp;U Codes Lookup'!$A$7:$C$550,3,FALSE),"")</f>
        <v/>
      </c>
      <c r="L452" s="1041"/>
      <c r="M452" s="753"/>
      <c r="N452" s="3" t="str">
        <f>IF(M452="","",VLOOKUP(M452,'Budget-S&amp;U Codes Lookup'!$E$26:$F$45,2,FALSE))</f>
        <v/>
      </c>
      <c r="P452" s="186"/>
    </row>
    <row r="453" spans="1:16">
      <c r="A453" s="751"/>
      <c r="B453" s="82" t="str">
        <f>IFERROR(VLOOKUP(A453,'Budget-S&amp;U Codes Lookup'!$A$7:$B$550,2,FALSE),"")</f>
        <v/>
      </c>
      <c r="C453" s="992"/>
      <c r="D453" s="123"/>
      <c r="E453" s="131"/>
      <c r="F453" s="124"/>
      <c r="G453" s="124"/>
      <c r="H453" s="125">
        <f t="shared" si="6"/>
        <v>0</v>
      </c>
      <c r="I453" s="191"/>
      <c r="J453" s="268"/>
      <c r="K453" s="182" t="str">
        <f>IFERROR(VLOOKUP(A453,'Budget-S&amp;U Codes Lookup'!$A$7:$C$550,3,FALSE),"")</f>
        <v/>
      </c>
      <c r="L453" s="1041"/>
      <c r="M453" s="753"/>
      <c r="N453" s="3" t="str">
        <f>IF(M453="","",VLOOKUP(M453,'Budget-S&amp;U Codes Lookup'!$E$26:$F$45,2,FALSE))</f>
        <v/>
      </c>
      <c r="P453" s="186"/>
    </row>
    <row r="454" spans="1:16">
      <c r="A454" s="751"/>
      <c r="B454" s="82" t="str">
        <f>IFERROR(VLOOKUP(A454,'Budget-S&amp;U Codes Lookup'!$A$7:$B$550,2,FALSE),"")</f>
        <v/>
      </c>
      <c r="C454" s="992"/>
      <c r="D454" s="118"/>
      <c r="E454" s="131"/>
      <c r="F454" s="124"/>
      <c r="G454" s="124"/>
      <c r="H454" s="125">
        <f t="shared" si="6"/>
        <v>0</v>
      </c>
      <c r="I454" s="191"/>
      <c r="J454" s="268"/>
      <c r="K454" s="182" t="str">
        <f>IFERROR(VLOOKUP(A454,'Budget-S&amp;U Codes Lookup'!$A$7:$C$550,3,FALSE),"")</f>
        <v/>
      </c>
      <c r="L454" s="1041"/>
      <c r="M454" s="753"/>
      <c r="N454" s="3" t="str">
        <f>IF(M454="","",VLOOKUP(M454,'Budget-S&amp;U Codes Lookup'!$E$26:$F$45,2,FALSE))</f>
        <v/>
      </c>
      <c r="P454" s="186"/>
    </row>
    <row r="455" spans="1:16">
      <c r="A455" s="751"/>
      <c r="B455" s="82" t="str">
        <f>IFERROR(VLOOKUP(A455,'Budget-S&amp;U Codes Lookup'!$A$7:$B$550,2,FALSE),"")</f>
        <v/>
      </c>
      <c r="C455" s="992"/>
      <c r="D455" s="118"/>
      <c r="E455" s="131"/>
      <c r="F455" s="124"/>
      <c r="G455" s="124"/>
      <c r="H455" s="125">
        <f t="shared" si="6"/>
        <v>0</v>
      </c>
      <c r="I455" s="191"/>
      <c r="J455" s="268"/>
      <c r="K455" s="182" t="str">
        <f>IFERROR(VLOOKUP(A455,'Budget-S&amp;U Codes Lookup'!$A$7:$C$550,3,FALSE),"")</f>
        <v/>
      </c>
      <c r="L455" s="1041"/>
      <c r="M455" s="753"/>
      <c r="N455" s="3" t="str">
        <f>IF(M455="","",VLOOKUP(M455,'Budget-S&amp;U Codes Lookup'!$E$26:$F$45,2,FALSE))</f>
        <v/>
      </c>
      <c r="P455" s="186"/>
    </row>
    <row r="456" spans="1:16">
      <c r="A456" s="751"/>
      <c r="B456" s="82" t="str">
        <f>IFERROR(VLOOKUP(A456,'Budget-S&amp;U Codes Lookup'!$A$7:$B$550,2,FALSE),"")</f>
        <v/>
      </c>
      <c r="C456" s="992"/>
      <c r="D456" s="118"/>
      <c r="E456" s="131"/>
      <c r="F456" s="124"/>
      <c r="G456" s="124"/>
      <c r="H456" s="125">
        <f t="shared" si="6"/>
        <v>0</v>
      </c>
      <c r="I456" s="191"/>
      <c r="J456" s="268"/>
      <c r="K456" s="182" t="str">
        <f>IFERROR(VLOOKUP(A456,'Budget-S&amp;U Codes Lookup'!$A$7:$C$550,3,FALSE),"")</f>
        <v/>
      </c>
      <c r="L456" s="1041"/>
      <c r="M456" s="753"/>
      <c r="N456" s="3" t="str">
        <f>IF(M456="","",VLOOKUP(M456,'Budget-S&amp;U Codes Lookup'!$E$26:$F$45,2,FALSE))</f>
        <v/>
      </c>
      <c r="P456" s="186"/>
    </row>
    <row r="457" spans="1:16">
      <c r="A457" s="751"/>
      <c r="B457" s="82" t="str">
        <f>IFERROR(VLOOKUP(A457,'Budget-S&amp;U Codes Lookup'!$A$7:$B$550,2,FALSE),"")</f>
        <v/>
      </c>
      <c r="C457" s="992"/>
      <c r="D457" s="118"/>
      <c r="E457" s="131"/>
      <c r="F457" s="124"/>
      <c r="G457" s="124"/>
      <c r="H457" s="125">
        <f t="shared" si="6"/>
        <v>0</v>
      </c>
      <c r="I457" s="191"/>
      <c r="J457" s="268"/>
      <c r="K457" s="182" t="str">
        <f>IFERROR(VLOOKUP(A457,'Budget-S&amp;U Codes Lookup'!$A$7:$C$550,3,FALSE),"")</f>
        <v/>
      </c>
      <c r="L457" s="1041"/>
      <c r="M457" s="753"/>
      <c r="N457" s="3" t="str">
        <f>IF(M457="","",VLOOKUP(M457,'Budget-S&amp;U Codes Lookup'!$E$26:$F$45,2,FALSE))</f>
        <v/>
      </c>
      <c r="P457" s="186"/>
    </row>
    <row r="458" spans="1:16">
      <c r="A458" s="751"/>
      <c r="B458" s="82" t="str">
        <f>IFERROR(VLOOKUP(A458,'Budget-S&amp;U Codes Lookup'!$A$7:$B$550,2,FALSE),"")</f>
        <v/>
      </c>
      <c r="C458" s="992"/>
      <c r="D458" s="118"/>
      <c r="E458" s="131"/>
      <c r="F458" s="124"/>
      <c r="G458" s="124"/>
      <c r="H458" s="125">
        <f t="shared" ref="H458:H521" si="7">F458-G458</f>
        <v>0</v>
      </c>
      <c r="I458" s="191"/>
      <c r="J458" s="268"/>
      <c r="K458" s="182" t="str">
        <f>IFERROR(VLOOKUP(A458,'Budget-S&amp;U Codes Lookup'!$A$7:$C$550,3,FALSE),"")</f>
        <v/>
      </c>
      <c r="L458" s="1041"/>
      <c r="M458" s="753"/>
      <c r="N458" s="3" t="str">
        <f>IF(M458="","",VLOOKUP(M458,'Budget-S&amp;U Codes Lookup'!$E$26:$F$45,2,FALSE))</f>
        <v/>
      </c>
      <c r="P458" s="186"/>
    </row>
    <row r="459" spans="1:16">
      <c r="A459" s="751"/>
      <c r="B459" s="82" t="str">
        <f>IFERROR(VLOOKUP(A459,'Budget-S&amp;U Codes Lookup'!$A$7:$B$550,2,FALSE),"")</f>
        <v/>
      </c>
      <c r="C459" s="992"/>
      <c r="D459" s="118"/>
      <c r="E459" s="131"/>
      <c r="F459" s="124"/>
      <c r="G459" s="124"/>
      <c r="H459" s="125">
        <f t="shared" si="7"/>
        <v>0</v>
      </c>
      <c r="I459" s="191"/>
      <c r="J459" s="268"/>
      <c r="K459" s="182" t="str">
        <f>IFERROR(VLOOKUP(A459,'Budget-S&amp;U Codes Lookup'!$A$7:$C$550,3,FALSE),"")</f>
        <v/>
      </c>
      <c r="L459" s="1041"/>
      <c r="M459" s="753"/>
      <c r="N459" s="3" t="str">
        <f>IF(M459="","",VLOOKUP(M459,'Budget-S&amp;U Codes Lookup'!$E$26:$F$45,2,FALSE))</f>
        <v/>
      </c>
      <c r="P459" s="186"/>
    </row>
    <row r="460" spans="1:16">
      <c r="A460" s="751"/>
      <c r="B460" s="82" t="str">
        <f>IFERROR(VLOOKUP(A460,'Budget-S&amp;U Codes Lookup'!$A$7:$B$550,2,FALSE),"")</f>
        <v/>
      </c>
      <c r="C460" s="993"/>
      <c r="D460" s="118"/>
      <c r="E460" s="131"/>
      <c r="F460" s="126"/>
      <c r="G460" s="126"/>
      <c r="H460" s="125">
        <f t="shared" si="7"/>
        <v>0</v>
      </c>
      <c r="I460" s="191"/>
      <c r="J460" s="268"/>
      <c r="K460" s="182" t="str">
        <f>IFERROR(VLOOKUP(A460,'Budget-S&amp;U Codes Lookup'!$A$7:$C$550,3,FALSE),"")</f>
        <v/>
      </c>
      <c r="L460" s="1042"/>
      <c r="M460" s="753"/>
      <c r="N460" s="3" t="str">
        <f>IF(M460="","",VLOOKUP(M460,'Budget-S&amp;U Codes Lookup'!$E$26:$F$45,2,FALSE))</f>
        <v/>
      </c>
      <c r="P460" s="186"/>
    </row>
    <row r="461" spans="1:16">
      <c r="A461" s="751"/>
      <c r="B461" s="82" t="str">
        <f>IFERROR(VLOOKUP(A461,'Budget-S&amp;U Codes Lookup'!$A$7:$B$550,2,FALSE),"")</f>
        <v/>
      </c>
      <c r="C461" s="993"/>
      <c r="D461" s="118"/>
      <c r="E461" s="131"/>
      <c r="F461" s="126"/>
      <c r="G461" s="126"/>
      <c r="H461" s="125">
        <f t="shared" si="7"/>
        <v>0</v>
      </c>
      <c r="I461" s="191"/>
      <c r="J461" s="268"/>
      <c r="K461" s="182" t="str">
        <f>IFERROR(VLOOKUP(A461,'Budget-S&amp;U Codes Lookup'!$A$7:$C$550,3,FALSE),"")</f>
        <v/>
      </c>
      <c r="L461" s="1041"/>
      <c r="M461" s="753"/>
      <c r="N461" s="3" t="str">
        <f>IF(M461="","",VLOOKUP(M461,'Budget-S&amp;U Codes Lookup'!$E$26:$F$45,2,FALSE))</f>
        <v/>
      </c>
      <c r="P461" s="186"/>
    </row>
    <row r="462" spans="1:16">
      <c r="A462" s="751"/>
      <c r="B462" s="82" t="str">
        <f>IFERROR(VLOOKUP(A462,'Budget-S&amp;U Codes Lookup'!$A$7:$B$550,2,FALSE),"")</f>
        <v/>
      </c>
      <c r="C462" s="993"/>
      <c r="D462" s="118"/>
      <c r="E462" s="131"/>
      <c r="F462" s="126"/>
      <c r="G462" s="126"/>
      <c r="H462" s="125">
        <f t="shared" si="7"/>
        <v>0</v>
      </c>
      <c r="I462" s="191"/>
      <c r="J462" s="268"/>
      <c r="K462" s="182" t="str">
        <f>IFERROR(VLOOKUP(A462,'Budget-S&amp;U Codes Lookup'!$A$7:$C$550,3,FALSE),"")</f>
        <v/>
      </c>
      <c r="L462" s="1041"/>
      <c r="M462" s="753"/>
      <c r="N462" s="3" t="str">
        <f>IF(M462="","",VLOOKUP(M462,'Budget-S&amp;U Codes Lookup'!$E$26:$F$45,2,FALSE))</f>
        <v/>
      </c>
      <c r="P462" s="186"/>
    </row>
    <row r="463" spans="1:16">
      <c r="A463" s="751"/>
      <c r="B463" s="82" t="str">
        <f>IFERROR(VLOOKUP(A463,'Budget-S&amp;U Codes Lookup'!$A$7:$B$550,2,FALSE),"")</f>
        <v/>
      </c>
      <c r="C463" s="993"/>
      <c r="D463" s="118"/>
      <c r="E463" s="131"/>
      <c r="F463" s="126"/>
      <c r="G463" s="126"/>
      <c r="H463" s="125">
        <f t="shared" si="7"/>
        <v>0</v>
      </c>
      <c r="I463" s="191"/>
      <c r="J463" s="268"/>
      <c r="K463" s="182" t="str">
        <f>IFERROR(VLOOKUP(A463,'Budget-S&amp;U Codes Lookup'!$A$7:$C$550,3,FALSE),"")</f>
        <v/>
      </c>
      <c r="L463" s="1041"/>
      <c r="M463" s="753"/>
      <c r="N463" s="3" t="str">
        <f>IF(M463="","",VLOOKUP(M463,'Budget-S&amp;U Codes Lookup'!$E$26:$F$45,2,FALSE))</f>
        <v/>
      </c>
      <c r="P463" s="186"/>
    </row>
    <row r="464" spans="1:16">
      <c r="A464" s="751"/>
      <c r="B464" s="82" t="str">
        <f>IFERROR(VLOOKUP(A464,'Budget-S&amp;U Codes Lookup'!$A$7:$B$550,2,FALSE),"")</f>
        <v/>
      </c>
      <c r="C464" s="993"/>
      <c r="D464" s="123"/>
      <c r="E464" s="131"/>
      <c r="F464" s="126"/>
      <c r="G464" s="126"/>
      <c r="H464" s="125">
        <f t="shared" si="7"/>
        <v>0</v>
      </c>
      <c r="I464" s="191"/>
      <c r="J464" s="268"/>
      <c r="K464" s="182" t="str">
        <f>IFERROR(VLOOKUP(A464,'Budget-S&amp;U Codes Lookup'!$A$7:$C$550,3,FALSE),"")</f>
        <v/>
      </c>
      <c r="L464" s="1041"/>
      <c r="M464" s="753"/>
      <c r="N464" s="3" t="str">
        <f>IF(M464="","",VLOOKUP(M464,'Budget-S&amp;U Codes Lookup'!$E$26:$F$45,2,FALSE))</f>
        <v/>
      </c>
      <c r="P464" s="186"/>
    </row>
    <row r="465" spans="1:16">
      <c r="A465" s="751"/>
      <c r="B465" s="82" t="str">
        <f>IFERROR(VLOOKUP(A465,'Budget-S&amp;U Codes Lookup'!$A$7:$B$550,2,FALSE),"")</f>
        <v/>
      </c>
      <c r="C465" s="993"/>
      <c r="D465" s="118"/>
      <c r="E465" s="131"/>
      <c r="F465" s="126"/>
      <c r="G465" s="126"/>
      <c r="H465" s="125">
        <f t="shared" si="7"/>
        <v>0</v>
      </c>
      <c r="I465" s="191"/>
      <c r="J465" s="268"/>
      <c r="K465" s="182" t="str">
        <f>IFERROR(VLOOKUP(A465,'Budget-S&amp;U Codes Lookup'!$A$7:$C$550,3,FALSE),"")</f>
        <v/>
      </c>
      <c r="L465" s="1041"/>
      <c r="M465" s="753"/>
      <c r="N465" s="3" t="str">
        <f>IF(M465="","",VLOOKUP(M465,'Budget-S&amp;U Codes Lookup'!$E$26:$F$45,2,FALSE))</f>
        <v/>
      </c>
      <c r="P465" s="186"/>
    </row>
    <row r="466" spans="1:16">
      <c r="A466" s="751"/>
      <c r="B466" s="82" t="str">
        <f>IFERROR(VLOOKUP(A466,'Budget-S&amp;U Codes Lookup'!$A$7:$B$550,2,FALSE),"")</f>
        <v/>
      </c>
      <c r="C466" s="993"/>
      <c r="D466" s="118"/>
      <c r="E466" s="131"/>
      <c r="F466" s="126"/>
      <c r="G466" s="126"/>
      <c r="H466" s="125">
        <f t="shared" si="7"/>
        <v>0</v>
      </c>
      <c r="I466" s="191"/>
      <c r="J466" s="268"/>
      <c r="K466" s="182" t="str">
        <f>IFERROR(VLOOKUP(A466,'Budget-S&amp;U Codes Lookup'!$A$7:$C$550,3,FALSE),"")</f>
        <v/>
      </c>
      <c r="L466" s="1041"/>
      <c r="M466" s="753"/>
      <c r="N466" s="3" t="str">
        <f>IF(M466="","",VLOOKUP(M466,'Budget-S&amp;U Codes Lookup'!$E$26:$F$45,2,FALSE))</f>
        <v/>
      </c>
      <c r="P466" s="186"/>
    </row>
    <row r="467" spans="1:16">
      <c r="A467" s="122"/>
      <c r="B467" s="82" t="str">
        <f>IFERROR(VLOOKUP(A467,'Budget-S&amp;U Codes Lookup'!$A$7:$B$550,2,FALSE),"")</f>
        <v/>
      </c>
      <c r="C467" s="993"/>
      <c r="D467" s="118"/>
      <c r="E467" s="131"/>
      <c r="F467" s="126"/>
      <c r="G467" s="126"/>
      <c r="H467" s="125">
        <f t="shared" si="7"/>
        <v>0</v>
      </c>
      <c r="I467" s="191"/>
      <c r="J467" s="268"/>
      <c r="K467" s="182" t="str">
        <f>IFERROR(VLOOKUP(A467,'Budget-S&amp;U Codes Lookup'!$A$7:$C$550,3,FALSE),"")</f>
        <v/>
      </c>
      <c r="L467" s="1041"/>
      <c r="M467" s="753"/>
      <c r="N467" s="3" t="str">
        <f>IF(M467="","",VLOOKUP(M467,'Budget-S&amp;U Codes Lookup'!$E$26:$F$45,2,FALSE))</f>
        <v/>
      </c>
      <c r="P467" s="186"/>
    </row>
    <row r="468" spans="1:16">
      <c r="A468" s="122"/>
      <c r="B468" s="82" t="str">
        <f>IFERROR(VLOOKUP(A468,'Budget-S&amp;U Codes Lookup'!$A$7:$B$550,2,FALSE),"")</f>
        <v/>
      </c>
      <c r="C468" s="993"/>
      <c r="D468" s="118"/>
      <c r="E468" s="131"/>
      <c r="F468" s="126"/>
      <c r="G468" s="126"/>
      <c r="H468" s="125">
        <f t="shared" si="7"/>
        <v>0</v>
      </c>
      <c r="I468" s="191"/>
      <c r="J468" s="268"/>
      <c r="K468" s="182" t="str">
        <f>IFERROR(VLOOKUP(A468,'Budget-S&amp;U Codes Lookup'!$A$7:$C$550,3,FALSE),"")</f>
        <v/>
      </c>
      <c r="L468" s="1041"/>
      <c r="M468" s="753"/>
      <c r="N468" s="3" t="str">
        <f>IF(M468="","",VLOOKUP(M468,'Budget-S&amp;U Codes Lookup'!$E$26:$F$45,2,FALSE))</f>
        <v/>
      </c>
      <c r="P468" s="186"/>
    </row>
    <row r="469" spans="1:16">
      <c r="A469" s="122"/>
      <c r="B469" s="82" t="str">
        <f>IFERROR(VLOOKUP(A469,'Budget-S&amp;U Codes Lookup'!$A$7:$B$550,2,FALSE),"")</f>
        <v/>
      </c>
      <c r="C469" s="993"/>
      <c r="D469" s="123"/>
      <c r="E469" s="131"/>
      <c r="F469" s="126"/>
      <c r="G469" s="126"/>
      <c r="H469" s="125">
        <f t="shared" si="7"/>
        <v>0</v>
      </c>
      <c r="I469" s="191"/>
      <c r="J469" s="268"/>
      <c r="K469" s="182" t="str">
        <f>IFERROR(VLOOKUP(A469,'Budget-S&amp;U Codes Lookup'!$A$7:$C$550,3,FALSE),"")</f>
        <v/>
      </c>
      <c r="L469" s="1042"/>
      <c r="M469" s="753"/>
      <c r="N469" s="3" t="str">
        <f>IF(M469="","",VLOOKUP(M469,'Budget-S&amp;U Codes Lookup'!$E$26:$F$45,2,FALSE))</f>
        <v/>
      </c>
      <c r="P469" s="186"/>
    </row>
    <row r="470" spans="1:16">
      <c r="A470" s="122"/>
      <c r="B470" s="82" t="str">
        <f>IFERROR(VLOOKUP(A470,'Budget-S&amp;U Codes Lookup'!$A$7:$B$550,2,FALSE),"")</f>
        <v/>
      </c>
      <c r="C470" s="993"/>
      <c r="D470" s="118"/>
      <c r="E470" s="131"/>
      <c r="F470" s="126"/>
      <c r="G470" s="126"/>
      <c r="H470" s="125">
        <f t="shared" si="7"/>
        <v>0</v>
      </c>
      <c r="I470" s="191"/>
      <c r="J470" s="268"/>
      <c r="K470" s="182" t="str">
        <f>IFERROR(VLOOKUP(A470,'Budget-S&amp;U Codes Lookup'!$A$7:$C$550,3,FALSE),"")</f>
        <v/>
      </c>
      <c r="L470" s="1041"/>
      <c r="M470" s="753"/>
      <c r="N470" s="3" t="str">
        <f>IF(M470="","",VLOOKUP(M470,'Budget-S&amp;U Codes Lookup'!$E$26:$F$45,2,FALSE))</f>
        <v/>
      </c>
      <c r="P470" s="186"/>
    </row>
    <row r="471" spans="1:16" hidden="1">
      <c r="A471" s="122"/>
      <c r="B471" s="82" t="str">
        <f>IFERROR(VLOOKUP(A471,'Budget-S&amp;U Codes Lookup'!$A$7:$B$550,2,FALSE),"")</f>
        <v/>
      </c>
      <c r="C471" s="993"/>
      <c r="D471" s="118"/>
      <c r="E471" s="131"/>
      <c r="F471" s="126"/>
      <c r="G471" s="126"/>
      <c r="H471" s="125">
        <f t="shared" si="7"/>
        <v>0</v>
      </c>
      <c r="I471" s="191"/>
      <c r="J471" s="268"/>
      <c r="K471" s="182" t="str">
        <f>IFERROR(VLOOKUP(A471,'Budget-S&amp;U Codes Lookup'!$A$7:$C$550,3,FALSE),"")</f>
        <v/>
      </c>
      <c r="L471" s="1041"/>
      <c r="M471" s="753"/>
      <c r="N471" s="3" t="str">
        <f>IF(M471="","",VLOOKUP(M471,'Budget-S&amp;U Codes Lookup'!$E$26:$F$45,2,FALSE))</f>
        <v/>
      </c>
      <c r="P471" s="186"/>
    </row>
    <row r="472" spans="1:16" hidden="1">
      <c r="A472" s="122"/>
      <c r="B472" s="82" t="str">
        <f>IFERROR(VLOOKUP(A472,'Budget-S&amp;U Codes Lookup'!$A$7:$B$550,2,FALSE),"")</f>
        <v/>
      </c>
      <c r="C472" s="993"/>
      <c r="D472" s="118"/>
      <c r="E472" s="131"/>
      <c r="F472" s="126"/>
      <c r="G472" s="126"/>
      <c r="H472" s="125">
        <f t="shared" si="7"/>
        <v>0</v>
      </c>
      <c r="I472" s="191"/>
      <c r="J472" s="268"/>
      <c r="K472" s="182" t="str">
        <f>IFERROR(VLOOKUP(A472,'Budget-S&amp;U Codes Lookup'!$A$7:$C$550,3,FALSE),"")</f>
        <v/>
      </c>
      <c r="L472" s="1041"/>
      <c r="M472" s="753"/>
      <c r="N472" s="3" t="str">
        <f>IF(M472="","",VLOOKUP(M472,'Budget-S&amp;U Codes Lookup'!$E$26:$F$45,2,FALSE))</f>
        <v/>
      </c>
      <c r="P472" s="186"/>
    </row>
    <row r="473" spans="1:16" hidden="1">
      <c r="A473" s="122"/>
      <c r="B473" s="82" t="str">
        <f>IFERROR(VLOOKUP(A473,'Budget-S&amp;U Codes Lookup'!$A$7:$B$550,2,FALSE),"")</f>
        <v/>
      </c>
      <c r="C473" s="993"/>
      <c r="D473" s="118"/>
      <c r="E473" s="131"/>
      <c r="F473" s="126"/>
      <c r="G473" s="126"/>
      <c r="H473" s="125">
        <f t="shared" si="7"/>
        <v>0</v>
      </c>
      <c r="I473" s="191"/>
      <c r="J473" s="268"/>
      <c r="K473" s="182" t="str">
        <f>IFERROR(VLOOKUP(A473,'Budget-S&amp;U Codes Lookup'!$A$7:$C$550,3,FALSE),"")</f>
        <v/>
      </c>
      <c r="L473" s="1041"/>
      <c r="M473" s="753"/>
      <c r="N473" s="3" t="str">
        <f>IF(M473="","",VLOOKUP(M473,'Budget-S&amp;U Codes Lookup'!$E$26:$F$45,2,FALSE))</f>
        <v/>
      </c>
      <c r="P473" s="186"/>
    </row>
    <row r="474" spans="1:16" hidden="1">
      <c r="A474" s="122"/>
      <c r="B474" s="82" t="str">
        <f>IFERROR(VLOOKUP(A474,'Budget-S&amp;U Codes Lookup'!$A$7:$B$550,2,FALSE),"")</f>
        <v/>
      </c>
      <c r="C474" s="993"/>
      <c r="D474" s="118"/>
      <c r="E474" s="131"/>
      <c r="F474" s="126"/>
      <c r="G474" s="126"/>
      <c r="H474" s="125">
        <f t="shared" si="7"/>
        <v>0</v>
      </c>
      <c r="I474" s="191"/>
      <c r="J474" s="268"/>
      <c r="K474" s="182" t="str">
        <f>IFERROR(VLOOKUP(A474,'Budget-S&amp;U Codes Lookup'!$A$7:$C$550,3,FALSE),"")</f>
        <v/>
      </c>
      <c r="L474" s="1041"/>
      <c r="M474" s="753"/>
      <c r="N474" s="3" t="str">
        <f>IF(M474="","",VLOOKUP(M474,'Budget-S&amp;U Codes Lookup'!$E$26:$F$45,2,FALSE))</f>
        <v/>
      </c>
      <c r="P474" s="186"/>
    </row>
    <row r="475" spans="1:16" hidden="1">
      <c r="A475" s="122"/>
      <c r="B475" s="82" t="str">
        <f>IFERROR(VLOOKUP(A475,'Budget-S&amp;U Codes Lookup'!$A$7:$B$550,2,FALSE),"")</f>
        <v/>
      </c>
      <c r="C475" s="993"/>
      <c r="D475" s="118"/>
      <c r="E475" s="131"/>
      <c r="F475" s="126"/>
      <c r="G475" s="126"/>
      <c r="H475" s="125">
        <f t="shared" si="7"/>
        <v>0</v>
      </c>
      <c r="I475" s="191"/>
      <c r="J475" s="268"/>
      <c r="K475" s="182" t="str">
        <f>IFERROR(VLOOKUP(A475,'Budget-S&amp;U Codes Lookup'!$A$7:$C$550,3,FALSE),"")</f>
        <v/>
      </c>
      <c r="L475" s="1041"/>
      <c r="M475" s="753"/>
      <c r="N475" s="3" t="str">
        <f>IF(M475="","",VLOOKUP(M475,'Budget-S&amp;U Codes Lookup'!$E$26:$F$45,2,FALSE))</f>
        <v/>
      </c>
      <c r="P475" s="186"/>
    </row>
    <row r="476" spans="1:16" hidden="1">
      <c r="A476" s="122"/>
      <c r="B476" s="82" t="str">
        <f>IFERROR(VLOOKUP(A476,'Budget-S&amp;U Codes Lookup'!$A$7:$B$550,2,FALSE),"")</f>
        <v/>
      </c>
      <c r="C476" s="993"/>
      <c r="D476" s="118"/>
      <c r="E476" s="131"/>
      <c r="F476" s="126"/>
      <c r="G476" s="126"/>
      <c r="H476" s="125">
        <f t="shared" si="7"/>
        <v>0</v>
      </c>
      <c r="I476" s="191"/>
      <c r="J476" s="268"/>
      <c r="K476" s="182" t="str">
        <f>IFERROR(VLOOKUP(A476,'Budget-S&amp;U Codes Lookup'!$A$7:$C$550,3,FALSE),"")</f>
        <v/>
      </c>
      <c r="L476" s="1041"/>
      <c r="M476" s="753"/>
      <c r="N476" s="3" t="str">
        <f>IF(M476="","",VLOOKUP(M476,'Budget-S&amp;U Codes Lookup'!$E$26:$F$45,2,FALSE))</f>
        <v/>
      </c>
      <c r="P476" s="186"/>
    </row>
    <row r="477" spans="1:16" hidden="1">
      <c r="A477" s="122"/>
      <c r="B477" s="82" t="str">
        <f>IFERROR(VLOOKUP(A477,'Budget-S&amp;U Codes Lookup'!$A$7:$B$550,2,FALSE),"")</f>
        <v/>
      </c>
      <c r="C477" s="993"/>
      <c r="D477" s="118"/>
      <c r="E477" s="131"/>
      <c r="F477" s="126"/>
      <c r="G477" s="126"/>
      <c r="H477" s="125">
        <f t="shared" si="7"/>
        <v>0</v>
      </c>
      <c r="I477" s="191"/>
      <c r="J477" s="268"/>
      <c r="K477" s="182" t="str">
        <f>IFERROR(VLOOKUP(A477,'Budget-S&amp;U Codes Lookup'!$A$7:$C$550,3,FALSE),"")</f>
        <v/>
      </c>
      <c r="L477" s="1041"/>
      <c r="M477" s="753"/>
      <c r="N477" s="3" t="str">
        <f>IF(M477="","",VLOOKUP(M477,'Budget-S&amp;U Codes Lookup'!$E$26:$F$45,2,FALSE))</f>
        <v/>
      </c>
      <c r="P477" s="186"/>
    </row>
    <row r="478" spans="1:16" hidden="1">
      <c r="A478" s="122"/>
      <c r="B478" s="82" t="str">
        <f>IFERROR(VLOOKUP(A478,'Budget-S&amp;U Codes Lookup'!$A$7:$B$550,2,FALSE),"")</f>
        <v/>
      </c>
      <c r="C478" s="993"/>
      <c r="D478" s="118"/>
      <c r="E478" s="131"/>
      <c r="F478" s="126"/>
      <c r="G478" s="126"/>
      <c r="H478" s="125">
        <f t="shared" si="7"/>
        <v>0</v>
      </c>
      <c r="I478" s="191"/>
      <c r="J478" s="268"/>
      <c r="K478" s="182" t="str">
        <f>IFERROR(VLOOKUP(A478,'Budget-S&amp;U Codes Lookup'!$A$7:$C$550,3,FALSE),"")</f>
        <v/>
      </c>
      <c r="L478" s="1041"/>
      <c r="M478" s="753"/>
      <c r="N478" s="3" t="str">
        <f>IF(M478="","",VLOOKUP(M478,'Budget-S&amp;U Codes Lookup'!$E$26:$F$45,2,FALSE))</f>
        <v/>
      </c>
      <c r="P478" s="186"/>
    </row>
    <row r="479" spans="1:16" hidden="1">
      <c r="A479" s="122"/>
      <c r="B479" s="82" t="str">
        <f>IFERROR(VLOOKUP(A479,'Budget-S&amp;U Codes Lookup'!$A$7:$B$550,2,FALSE),"")</f>
        <v/>
      </c>
      <c r="C479" s="993"/>
      <c r="D479" s="118"/>
      <c r="E479" s="131"/>
      <c r="F479" s="126"/>
      <c r="G479" s="126"/>
      <c r="H479" s="125">
        <f t="shared" si="7"/>
        <v>0</v>
      </c>
      <c r="I479" s="191"/>
      <c r="J479" s="268"/>
      <c r="K479" s="182" t="str">
        <f>IFERROR(VLOOKUP(A479,'Budget-S&amp;U Codes Lookup'!$A$7:$C$550,3,FALSE),"")</f>
        <v/>
      </c>
      <c r="L479" s="1041"/>
      <c r="M479" s="753"/>
      <c r="N479" s="3" t="str">
        <f>IF(M479="","",VLOOKUP(M479,'Budget-S&amp;U Codes Lookup'!$E$26:$F$45,2,FALSE))</f>
        <v/>
      </c>
      <c r="P479" s="186"/>
    </row>
    <row r="480" spans="1:16" hidden="1">
      <c r="A480" s="81"/>
      <c r="B480" s="82" t="str">
        <f>IFERROR(VLOOKUP(A480,'Budget-S&amp;U Codes Lookup'!$A$7:$B$550,2,FALSE),"")</f>
        <v/>
      </c>
      <c r="C480" s="993"/>
      <c r="D480" s="118"/>
      <c r="E480" s="131"/>
      <c r="F480" s="126"/>
      <c r="G480" s="126"/>
      <c r="H480" s="125">
        <f t="shared" si="7"/>
        <v>0</v>
      </c>
      <c r="I480" s="191"/>
      <c r="J480" s="268"/>
      <c r="K480" s="182" t="str">
        <f>IFERROR(VLOOKUP(A480,'Budget-S&amp;U Codes Lookup'!$A$7:$C$550,3,FALSE),"")</f>
        <v/>
      </c>
      <c r="L480" s="1041"/>
      <c r="M480" s="753"/>
      <c r="N480" s="3" t="str">
        <f>IF(M480="","",VLOOKUP(M480,'Budget-S&amp;U Codes Lookup'!$E$26:$F$45,2,FALSE))</f>
        <v/>
      </c>
      <c r="P480" s="186"/>
    </row>
    <row r="481" spans="1:16" hidden="1">
      <c r="A481" s="81"/>
      <c r="B481" s="82" t="str">
        <f>IFERROR(VLOOKUP(A481,'Budget-S&amp;U Codes Lookup'!$A$7:$B$550,2,FALSE),"")</f>
        <v/>
      </c>
      <c r="C481" s="993"/>
      <c r="D481" s="118"/>
      <c r="E481" s="131"/>
      <c r="F481" s="126"/>
      <c r="G481" s="126"/>
      <c r="H481" s="125">
        <f t="shared" si="7"/>
        <v>0</v>
      </c>
      <c r="I481" s="191"/>
      <c r="J481" s="268"/>
      <c r="K481" s="182" t="str">
        <f>IFERROR(VLOOKUP(A481,'Budget-S&amp;U Codes Lookup'!$A$7:$C$550,3,FALSE),"")</f>
        <v/>
      </c>
      <c r="L481" s="1041"/>
      <c r="M481" s="753"/>
      <c r="N481" s="3" t="str">
        <f>IF(M481="","",VLOOKUP(M481,'Budget-S&amp;U Codes Lookup'!$E$26:$F$45,2,FALSE))</f>
        <v/>
      </c>
      <c r="P481" s="186"/>
    </row>
    <row r="482" spans="1:16" hidden="1">
      <c r="A482" s="81"/>
      <c r="B482" s="82" t="str">
        <f>IFERROR(VLOOKUP(A482,'Budget-S&amp;U Codes Lookup'!$A$7:$B$550,2,FALSE),"")</f>
        <v/>
      </c>
      <c r="C482" s="993"/>
      <c r="D482" s="118"/>
      <c r="E482" s="131"/>
      <c r="F482" s="126"/>
      <c r="G482" s="126"/>
      <c r="H482" s="125">
        <f t="shared" si="7"/>
        <v>0</v>
      </c>
      <c r="I482" s="191"/>
      <c r="J482" s="268"/>
      <c r="K482" s="182" t="str">
        <f>IFERROR(VLOOKUP(A482,'Budget-S&amp;U Codes Lookup'!$A$7:$C$550,3,FALSE),"")</f>
        <v/>
      </c>
      <c r="L482" s="1041"/>
      <c r="M482" s="753"/>
      <c r="N482" s="3" t="str">
        <f>IF(M482="","",VLOOKUP(M482,'Budget-S&amp;U Codes Lookup'!$E$26:$F$45,2,FALSE))</f>
        <v/>
      </c>
      <c r="P482" s="186"/>
    </row>
    <row r="483" spans="1:16" hidden="1">
      <c r="A483" s="81"/>
      <c r="B483" s="82" t="str">
        <f>IFERROR(VLOOKUP(A483,'Budget-S&amp;U Codes Lookup'!$A$7:$B$550,2,FALSE),"")</f>
        <v/>
      </c>
      <c r="C483" s="993"/>
      <c r="D483" s="118"/>
      <c r="E483" s="131"/>
      <c r="F483" s="126"/>
      <c r="G483" s="126"/>
      <c r="H483" s="125">
        <f t="shared" si="7"/>
        <v>0</v>
      </c>
      <c r="I483" s="191"/>
      <c r="J483" s="268"/>
      <c r="K483" s="182" t="str">
        <f>IFERROR(VLOOKUP(A483,'Budget-S&amp;U Codes Lookup'!$A$7:$C$550,3,FALSE),"")</f>
        <v/>
      </c>
      <c r="L483" s="1041"/>
      <c r="M483" s="753"/>
      <c r="N483" s="3" t="str">
        <f>IF(M483="","",VLOOKUP(M483,'Budget-S&amp;U Codes Lookup'!$E$26:$F$45,2,FALSE))</f>
        <v/>
      </c>
      <c r="P483" s="186"/>
    </row>
    <row r="484" spans="1:16" hidden="1">
      <c r="A484" s="81"/>
      <c r="B484" s="82" t="str">
        <f>IFERROR(VLOOKUP(A484,'Budget-S&amp;U Codes Lookup'!$A$7:$B$550,2,FALSE),"")</f>
        <v/>
      </c>
      <c r="C484" s="993"/>
      <c r="D484" s="118"/>
      <c r="E484" s="131"/>
      <c r="F484" s="126"/>
      <c r="G484" s="126"/>
      <c r="H484" s="125">
        <f t="shared" si="7"/>
        <v>0</v>
      </c>
      <c r="I484" s="191"/>
      <c r="J484" s="268"/>
      <c r="K484" s="182" t="str">
        <f>IFERROR(VLOOKUP(A484,'Budget-S&amp;U Codes Lookup'!$A$7:$C$550,3,FALSE),"")</f>
        <v/>
      </c>
      <c r="L484" s="1041"/>
      <c r="M484" s="753"/>
      <c r="N484" s="3" t="str">
        <f>IF(M484="","",VLOOKUP(M484,'Budget-S&amp;U Codes Lookup'!$E$26:$F$45,2,FALSE))</f>
        <v/>
      </c>
      <c r="P484" s="186"/>
    </row>
    <row r="485" spans="1:16" hidden="1">
      <c r="A485" s="81"/>
      <c r="B485" s="82" t="str">
        <f>IFERROR(VLOOKUP(A485,'Budget-S&amp;U Codes Lookup'!$A$7:$B$550,2,FALSE),"")</f>
        <v/>
      </c>
      <c r="C485" s="993"/>
      <c r="D485" s="118"/>
      <c r="E485" s="131"/>
      <c r="F485" s="126"/>
      <c r="G485" s="126"/>
      <c r="H485" s="125">
        <f t="shared" si="7"/>
        <v>0</v>
      </c>
      <c r="I485" s="191"/>
      <c r="J485" s="268"/>
      <c r="K485" s="182" t="str">
        <f>IFERROR(VLOOKUP(A485,'Budget-S&amp;U Codes Lookup'!$A$7:$C$550,3,FALSE),"")</f>
        <v/>
      </c>
      <c r="L485" s="1041"/>
      <c r="M485" s="753"/>
      <c r="N485" s="3" t="str">
        <f>IF(M485="","",VLOOKUP(M485,'Budget-S&amp;U Codes Lookup'!$E$26:$F$45,2,FALSE))</f>
        <v/>
      </c>
      <c r="P485" s="186"/>
    </row>
    <row r="486" spans="1:16" hidden="1">
      <c r="A486" s="81"/>
      <c r="B486" s="82" t="str">
        <f>IFERROR(VLOOKUP(A486,'Budget-S&amp;U Codes Lookup'!$A$7:$B$550,2,FALSE),"")</f>
        <v/>
      </c>
      <c r="C486" s="993"/>
      <c r="D486" s="118"/>
      <c r="E486" s="131"/>
      <c r="F486" s="126"/>
      <c r="G486" s="126"/>
      <c r="H486" s="125">
        <f t="shared" si="7"/>
        <v>0</v>
      </c>
      <c r="I486" s="191"/>
      <c r="J486" s="268"/>
      <c r="K486" s="182" t="str">
        <f>IFERROR(VLOOKUP(A486,'Budget-S&amp;U Codes Lookup'!$A$7:$C$550,3,FALSE),"")</f>
        <v/>
      </c>
      <c r="L486" s="1041"/>
      <c r="M486" s="753"/>
      <c r="N486" s="3" t="str">
        <f>IF(M486="","",VLOOKUP(M486,'Budget-S&amp;U Codes Lookup'!$E$26:$F$45,2,FALSE))</f>
        <v/>
      </c>
      <c r="P486" s="186"/>
    </row>
    <row r="487" spans="1:16" hidden="1">
      <c r="A487" s="81"/>
      <c r="B487" s="82" t="str">
        <f>IFERROR(VLOOKUP(A487,'Budget-S&amp;U Codes Lookup'!$A$7:$B$550,2,FALSE),"")</f>
        <v/>
      </c>
      <c r="C487" s="993"/>
      <c r="D487" s="118"/>
      <c r="E487" s="131"/>
      <c r="F487" s="126"/>
      <c r="G487" s="126"/>
      <c r="H487" s="125">
        <f t="shared" si="7"/>
        <v>0</v>
      </c>
      <c r="I487" s="191"/>
      <c r="J487" s="268"/>
      <c r="K487" s="182" t="str">
        <f>IFERROR(VLOOKUP(A487,'Budget-S&amp;U Codes Lookup'!$A$7:$C$550,3,FALSE),"")</f>
        <v/>
      </c>
      <c r="L487" s="1041"/>
      <c r="M487" s="753"/>
      <c r="N487" s="3" t="str">
        <f>IF(M487="","",VLOOKUP(M487,'Budget-S&amp;U Codes Lookup'!$E$26:$F$45,2,FALSE))</f>
        <v/>
      </c>
      <c r="P487" s="186"/>
    </row>
    <row r="488" spans="1:16" hidden="1">
      <c r="A488" s="81"/>
      <c r="B488" s="82" t="str">
        <f>IFERROR(VLOOKUP(A488,'Budget-S&amp;U Codes Lookup'!$A$7:$B$550,2,FALSE),"")</f>
        <v/>
      </c>
      <c r="C488" s="993"/>
      <c r="D488" s="118"/>
      <c r="E488" s="131"/>
      <c r="F488" s="126"/>
      <c r="G488" s="126"/>
      <c r="H488" s="125">
        <f t="shared" si="7"/>
        <v>0</v>
      </c>
      <c r="I488" s="191"/>
      <c r="J488" s="268"/>
      <c r="K488" s="182" t="str">
        <f>IFERROR(VLOOKUP(A488,'Budget-S&amp;U Codes Lookup'!$A$7:$C$550,3,FALSE),"")</f>
        <v/>
      </c>
      <c r="L488" s="1041"/>
      <c r="M488" s="753"/>
      <c r="N488" s="3" t="str">
        <f>IF(M488="","",VLOOKUP(M488,'Budget-S&amp;U Codes Lookup'!$E$26:$F$45,2,FALSE))</f>
        <v/>
      </c>
      <c r="P488" s="186"/>
    </row>
    <row r="489" spans="1:16" hidden="1">
      <c r="A489" s="81"/>
      <c r="B489" s="82" t="str">
        <f>IFERROR(VLOOKUP(A489,'Budget-S&amp;U Codes Lookup'!$A$7:$B$550,2,FALSE),"")</f>
        <v/>
      </c>
      <c r="C489" s="993"/>
      <c r="D489" s="118"/>
      <c r="E489" s="131"/>
      <c r="F489" s="126"/>
      <c r="G489" s="126"/>
      <c r="H489" s="125">
        <f t="shared" si="7"/>
        <v>0</v>
      </c>
      <c r="I489" s="191"/>
      <c r="J489" s="268"/>
      <c r="K489" s="182" t="str">
        <f>IFERROR(VLOOKUP(A489,'Budget-S&amp;U Codes Lookup'!$A$7:$C$550,3,FALSE),"")</f>
        <v/>
      </c>
      <c r="L489" s="1041"/>
      <c r="M489" s="753"/>
      <c r="N489" s="3" t="str">
        <f>IF(M489="","",VLOOKUP(M489,'Budget-S&amp;U Codes Lookup'!$E$26:$F$45,2,FALSE))</f>
        <v/>
      </c>
      <c r="P489" s="186"/>
    </row>
    <row r="490" spans="1:16" hidden="1">
      <c r="A490" s="81"/>
      <c r="B490" s="82" t="str">
        <f>IFERROR(VLOOKUP(A490,'Budget-S&amp;U Codes Lookup'!$A$7:$B$550,2,FALSE),"")</f>
        <v/>
      </c>
      <c r="C490" s="993"/>
      <c r="D490" s="118"/>
      <c r="E490" s="131"/>
      <c r="F490" s="126"/>
      <c r="G490" s="126"/>
      <c r="H490" s="125">
        <f t="shared" si="7"/>
        <v>0</v>
      </c>
      <c r="I490" s="191"/>
      <c r="J490" s="268"/>
      <c r="K490" s="182" t="str">
        <f>IFERROR(VLOOKUP(A490,'Budget-S&amp;U Codes Lookup'!$A$7:$C$550,3,FALSE),"")</f>
        <v/>
      </c>
      <c r="L490" s="1041"/>
      <c r="M490" s="753"/>
      <c r="N490" s="3" t="str">
        <f>IF(M490="","",VLOOKUP(M490,'Budget-S&amp;U Codes Lookup'!$E$26:$F$45,2,FALSE))</f>
        <v/>
      </c>
      <c r="P490" s="186"/>
    </row>
    <row r="491" spans="1:16" hidden="1">
      <c r="A491" s="81"/>
      <c r="B491" s="82" t="str">
        <f>IFERROR(VLOOKUP(A491,'Budget-S&amp;U Codes Lookup'!$A$7:$B$550,2,FALSE),"")</f>
        <v/>
      </c>
      <c r="C491" s="993"/>
      <c r="D491" s="118"/>
      <c r="E491" s="131"/>
      <c r="F491" s="126"/>
      <c r="G491" s="126"/>
      <c r="H491" s="125">
        <f t="shared" si="7"/>
        <v>0</v>
      </c>
      <c r="I491" s="191"/>
      <c r="J491" s="268"/>
      <c r="K491" s="182" t="str">
        <f>IFERROR(VLOOKUP(A491,'Budget-S&amp;U Codes Lookup'!$A$7:$C$550,3,FALSE),"")</f>
        <v/>
      </c>
      <c r="L491" s="1041"/>
      <c r="M491" s="753"/>
      <c r="N491" s="3" t="str">
        <f>IF(M491="","",VLOOKUP(M491,'Budget-S&amp;U Codes Lookup'!$E$26:$F$45,2,FALSE))</f>
        <v/>
      </c>
      <c r="P491" s="186"/>
    </row>
    <row r="492" spans="1:16" hidden="1">
      <c r="A492" s="81"/>
      <c r="B492" s="82" t="str">
        <f>IFERROR(VLOOKUP(A492,'Budget-S&amp;U Codes Lookup'!$A$7:$B$550,2,FALSE),"")</f>
        <v/>
      </c>
      <c r="C492" s="993"/>
      <c r="D492" s="118"/>
      <c r="E492" s="131"/>
      <c r="F492" s="126"/>
      <c r="G492" s="126"/>
      <c r="H492" s="125">
        <f t="shared" si="7"/>
        <v>0</v>
      </c>
      <c r="I492" s="191"/>
      <c r="J492" s="268"/>
      <c r="K492" s="182" t="str">
        <f>IFERROR(VLOOKUP(A492,'Budget-S&amp;U Codes Lookup'!$A$7:$C$550,3,FALSE),"")</f>
        <v/>
      </c>
      <c r="L492" s="1041"/>
      <c r="M492" s="753"/>
      <c r="N492" s="3" t="str">
        <f>IF(M492="","",VLOOKUP(M492,'Budget-S&amp;U Codes Lookup'!$E$26:$F$45,2,FALSE))</f>
        <v/>
      </c>
      <c r="P492" s="186"/>
    </row>
    <row r="493" spans="1:16" hidden="1">
      <c r="A493" s="81"/>
      <c r="B493" s="82" t="str">
        <f>IFERROR(VLOOKUP(A493,'Budget-S&amp;U Codes Lookup'!$A$7:$B$550,2,FALSE),"")</f>
        <v/>
      </c>
      <c r="C493" s="993"/>
      <c r="D493" s="118"/>
      <c r="E493" s="131"/>
      <c r="F493" s="126"/>
      <c r="G493" s="126"/>
      <c r="H493" s="125">
        <f t="shared" si="7"/>
        <v>0</v>
      </c>
      <c r="I493" s="191"/>
      <c r="J493" s="268"/>
      <c r="K493" s="182" t="str">
        <f>IFERROR(VLOOKUP(A493,'Budget-S&amp;U Codes Lookup'!$A$7:$C$550,3,FALSE),"")</f>
        <v/>
      </c>
      <c r="L493" s="1041"/>
      <c r="M493" s="753"/>
      <c r="N493" s="3" t="str">
        <f>IF(M493="","",VLOOKUP(M493,'Budget-S&amp;U Codes Lookup'!$E$26:$F$45,2,FALSE))</f>
        <v/>
      </c>
      <c r="P493" s="186"/>
    </row>
    <row r="494" spans="1:16" hidden="1">
      <c r="A494" s="81"/>
      <c r="B494" s="82" t="str">
        <f>IFERROR(VLOOKUP(A494,'Budget-S&amp;U Codes Lookup'!$A$7:$B$550,2,FALSE),"")</f>
        <v/>
      </c>
      <c r="C494" s="993"/>
      <c r="D494" s="118"/>
      <c r="E494" s="131"/>
      <c r="F494" s="126"/>
      <c r="G494" s="126"/>
      <c r="H494" s="125">
        <f t="shared" si="7"/>
        <v>0</v>
      </c>
      <c r="I494" s="191"/>
      <c r="J494" s="268"/>
      <c r="K494" s="182" t="str">
        <f>IFERROR(VLOOKUP(A494,'Budget-S&amp;U Codes Lookup'!$A$7:$C$550,3,FALSE),"")</f>
        <v/>
      </c>
      <c r="L494" s="1041"/>
      <c r="M494" s="753"/>
      <c r="N494" s="3" t="str">
        <f>IF(M494="","",VLOOKUP(M494,'Budget-S&amp;U Codes Lookup'!$E$26:$F$45,2,FALSE))</f>
        <v/>
      </c>
      <c r="P494" s="186"/>
    </row>
    <row r="495" spans="1:16" hidden="1">
      <c r="A495" s="81"/>
      <c r="B495" s="82" t="str">
        <f>IFERROR(VLOOKUP(A495,'Budget-S&amp;U Codes Lookup'!$A$7:$B$550,2,FALSE),"")</f>
        <v/>
      </c>
      <c r="C495" s="993"/>
      <c r="D495" s="118"/>
      <c r="E495" s="131"/>
      <c r="F495" s="126"/>
      <c r="G495" s="126"/>
      <c r="H495" s="125">
        <f t="shared" si="7"/>
        <v>0</v>
      </c>
      <c r="I495" s="191"/>
      <c r="J495" s="268"/>
      <c r="K495" s="182" t="str">
        <f>IFERROR(VLOOKUP(A495,'Budget-S&amp;U Codes Lookup'!$A$7:$C$550,3,FALSE),"")</f>
        <v/>
      </c>
      <c r="L495" s="1041"/>
      <c r="M495" s="753"/>
      <c r="N495" s="3" t="str">
        <f>IF(M495="","",VLOOKUP(M495,'Budget-S&amp;U Codes Lookup'!$E$26:$F$45,2,FALSE))</f>
        <v/>
      </c>
      <c r="P495" s="186"/>
    </row>
    <row r="496" spans="1:16" hidden="1">
      <c r="A496" s="81"/>
      <c r="B496" s="82" t="str">
        <f>IFERROR(VLOOKUP(A496,'Budget-S&amp;U Codes Lookup'!$A$7:$B$550,2,FALSE),"")</f>
        <v/>
      </c>
      <c r="C496" s="993"/>
      <c r="D496" s="118"/>
      <c r="E496" s="131"/>
      <c r="F496" s="126"/>
      <c r="G496" s="126"/>
      <c r="H496" s="125">
        <f t="shared" si="7"/>
        <v>0</v>
      </c>
      <c r="I496" s="191"/>
      <c r="J496" s="268"/>
      <c r="K496" s="182" t="str">
        <f>IFERROR(VLOOKUP(A496,'Budget-S&amp;U Codes Lookup'!$A$7:$C$550,3,FALSE),"")</f>
        <v/>
      </c>
      <c r="L496" s="1041"/>
      <c r="M496" s="753"/>
      <c r="N496" s="3" t="str">
        <f>IF(M496="","",VLOOKUP(M496,'Budget-S&amp;U Codes Lookup'!$E$26:$F$45,2,FALSE))</f>
        <v/>
      </c>
      <c r="P496" s="186"/>
    </row>
    <row r="497" spans="1:16" hidden="1">
      <c r="A497" s="81"/>
      <c r="B497" s="82" t="str">
        <f>IFERROR(VLOOKUP(A497,'Budget-S&amp;U Codes Lookup'!$A$7:$B$550,2,FALSE),"")</f>
        <v/>
      </c>
      <c r="C497" s="993"/>
      <c r="D497" s="118"/>
      <c r="E497" s="131"/>
      <c r="F497" s="126"/>
      <c r="G497" s="126"/>
      <c r="H497" s="125">
        <f t="shared" si="7"/>
        <v>0</v>
      </c>
      <c r="I497" s="191"/>
      <c r="J497" s="268"/>
      <c r="K497" s="182" t="str">
        <f>IFERROR(VLOOKUP(A497,'Budget-S&amp;U Codes Lookup'!$A$7:$C$550,3,FALSE),"")</f>
        <v/>
      </c>
      <c r="L497" s="1041"/>
      <c r="M497" s="753"/>
      <c r="N497" s="3" t="str">
        <f>IF(M497="","",VLOOKUP(M497,'Budget-S&amp;U Codes Lookup'!$E$26:$F$45,2,FALSE))</f>
        <v/>
      </c>
      <c r="P497" s="186"/>
    </row>
    <row r="498" spans="1:16" hidden="1">
      <c r="A498" s="81"/>
      <c r="B498" s="82" t="str">
        <f>IFERROR(VLOOKUP(A498,'Budget-S&amp;U Codes Lookup'!$A$7:$B$550,2,FALSE),"")</f>
        <v/>
      </c>
      <c r="C498" s="993"/>
      <c r="D498" s="118"/>
      <c r="E498" s="131"/>
      <c r="F498" s="126"/>
      <c r="G498" s="126"/>
      <c r="H498" s="125">
        <f t="shared" si="7"/>
        <v>0</v>
      </c>
      <c r="I498" s="191"/>
      <c r="J498" s="268"/>
      <c r="K498" s="182" t="str">
        <f>IFERROR(VLOOKUP(A498,'Budget-S&amp;U Codes Lookup'!$A$7:$C$550,3,FALSE),"")</f>
        <v/>
      </c>
      <c r="L498" s="1041"/>
      <c r="M498" s="753"/>
      <c r="N498" s="3" t="str">
        <f>IF(M498="","",VLOOKUP(M498,'Budget-S&amp;U Codes Lookup'!$E$26:$F$45,2,FALSE))</f>
        <v/>
      </c>
      <c r="P498" s="186"/>
    </row>
    <row r="499" spans="1:16" hidden="1">
      <c r="A499" s="81"/>
      <c r="B499" s="82" t="str">
        <f>IFERROR(VLOOKUP(A499,'Budget-S&amp;U Codes Lookup'!$A$7:$B$550,2,FALSE),"")</f>
        <v/>
      </c>
      <c r="C499" s="993"/>
      <c r="D499" s="118"/>
      <c r="E499" s="131"/>
      <c r="F499" s="126"/>
      <c r="G499" s="126"/>
      <c r="H499" s="125">
        <f t="shared" si="7"/>
        <v>0</v>
      </c>
      <c r="I499" s="191"/>
      <c r="J499" s="268"/>
      <c r="K499" s="182" t="str">
        <f>IFERROR(VLOOKUP(A499,'Budget-S&amp;U Codes Lookup'!$A$7:$C$550,3,FALSE),"")</f>
        <v/>
      </c>
      <c r="L499" s="1041"/>
      <c r="M499" s="753"/>
      <c r="N499" s="3" t="str">
        <f>IF(M499="","",VLOOKUP(M499,'Budget-S&amp;U Codes Lookup'!$E$26:$F$45,2,FALSE))</f>
        <v/>
      </c>
      <c r="P499" s="186"/>
    </row>
    <row r="500" spans="1:16" hidden="1">
      <c r="A500" s="81"/>
      <c r="B500" s="82" t="str">
        <f>IFERROR(VLOOKUP(A500,'Budget-S&amp;U Codes Lookup'!$A$7:$B$550,2,FALSE),"")</f>
        <v/>
      </c>
      <c r="C500" s="993"/>
      <c r="D500" s="118"/>
      <c r="E500" s="131"/>
      <c r="F500" s="126"/>
      <c r="G500" s="126"/>
      <c r="H500" s="125">
        <f t="shared" si="7"/>
        <v>0</v>
      </c>
      <c r="I500" s="191"/>
      <c r="J500" s="268"/>
      <c r="K500" s="182" t="str">
        <f>IFERROR(VLOOKUP(A500,'Budget-S&amp;U Codes Lookup'!$A$7:$C$550,3,FALSE),"")</f>
        <v/>
      </c>
      <c r="L500" s="1041"/>
      <c r="M500" s="753"/>
      <c r="N500" s="3" t="str">
        <f>IF(M500="","",VLOOKUP(M500,'Budget-S&amp;U Codes Lookup'!$E$26:$F$45,2,FALSE))</f>
        <v/>
      </c>
      <c r="P500" s="186"/>
    </row>
    <row r="501" spans="1:16" hidden="1">
      <c r="A501" s="81"/>
      <c r="B501" s="82" t="str">
        <f>IFERROR(VLOOKUP(A501,'Budget-S&amp;U Codes Lookup'!$A$7:$B$550,2,FALSE),"")</f>
        <v/>
      </c>
      <c r="C501" s="993"/>
      <c r="D501" s="118"/>
      <c r="E501" s="131"/>
      <c r="F501" s="126"/>
      <c r="G501" s="126"/>
      <c r="H501" s="125">
        <f t="shared" si="7"/>
        <v>0</v>
      </c>
      <c r="I501" s="191"/>
      <c r="J501" s="268"/>
      <c r="K501" s="182" t="str">
        <f>IFERROR(VLOOKUP(A501,'Budget-S&amp;U Codes Lookup'!$A$7:$C$550,3,FALSE),"")</f>
        <v/>
      </c>
      <c r="L501" s="1041"/>
      <c r="M501" s="753"/>
      <c r="N501" s="3" t="str">
        <f>IF(M501="","",VLOOKUP(M501,'Budget-S&amp;U Codes Lookup'!$E$26:$F$45,2,FALSE))</f>
        <v/>
      </c>
      <c r="P501" s="186"/>
    </row>
    <row r="502" spans="1:16" hidden="1">
      <c r="A502" s="81"/>
      <c r="B502" s="82" t="str">
        <f>IFERROR(VLOOKUP(A502,'Budget-S&amp;U Codes Lookup'!$A$7:$B$550,2,FALSE),"")</f>
        <v/>
      </c>
      <c r="C502" s="993"/>
      <c r="D502" s="118"/>
      <c r="E502" s="131"/>
      <c r="F502" s="126"/>
      <c r="G502" s="126"/>
      <c r="H502" s="125">
        <f t="shared" si="7"/>
        <v>0</v>
      </c>
      <c r="I502" s="191"/>
      <c r="J502" s="268"/>
      <c r="K502" s="182" t="str">
        <f>IFERROR(VLOOKUP(A502,'Budget-S&amp;U Codes Lookup'!$A$7:$C$550,3,FALSE),"")</f>
        <v/>
      </c>
      <c r="L502" s="1041"/>
      <c r="M502" s="753"/>
      <c r="N502" s="3" t="str">
        <f>IF(M502="","",VLOOKUP(M502,'Budget-S&amp;U Codes Lookup'!$E$26:$F$45,2,FALSE))</f>
        <v/>
      </c>
      <c r="P502" s="186"/>
    </row>
    <row r="503" spans="1:16" hidden="1">
      <c r="A503" s="81"/>
      <c r="B503" s="82" t="str">
        <f>IFERROR(VLOOKUP(A503,'Budget-S&amp;U Codes Lookup'!$A$7:$B$550,2,FALSE),"")</f>
        <v/>
      </c>
      <c r="C503" s="993"/>
      <c r="D503" s="118"/>
      <c r="E503" s="131"/>
      <c r="F503" s="126"/>
      <c r="G503" s="126"/>
      <c r="H503" s="125">
        <f t="shared" si="7"/>
        <v>0</v>
      </c>
      <c r="I503" s="191"/>
      <c r="J503" s="268"/>
      <c r="K503" s="182" t="str">
        <f>IFERROR(VLOOKUP(A503,'Budget-S&amp;U Codes Lookup'!$A$7:$C$550,3,FALSE),"")</f>
        <v/>
      </c>
      <c r="L503" s="1041"/>
      <c r="M503" s="753"/>
      <c r="N503" s="3" t="str">
        <f>IF(M503="","",VLOOKUP(M503,'Budget-S&amp;U Codes Lookup'!$E$26:$F$45,2,FALSE))</f>
        <v/>
      </c>
      <c r="P503" s="186"/>
    </row>
    <row r="504" spans="1:16" hidden="1">
      <c r="A504" s="81"/>
      <c r="B504" s="82" t="str">
        <f>IFERROR(VLOOKUP(A504,'Budget-S&amp;U Codes Lookup'!$A$7:$B$550,2,FALSE),"")</f>
        <v/>
      </c>
      <c r="C504" s="993"/>
      <c r="D504" s="118"/>
      <c r="E504" s="131"/>
      <c r="F504" s="126"/>
      <c r="G504" s="126"/>
      <c r="H504" s="125">
        <f t="shared" si="7"/>
        <v>0</v>
      </c>
      <c r="I504" s="191"/>
      <c r="J504" s="268"/>
      <c r="K504" s="182" t="str">
        <f>IFERROR(VLOOKUP(A504,'Budget-S&amp;U Codes Lookup'!$A$7:$C$550,3,FALSE),"")</f>
        <v/>
      </c>
      <c r="L504" s="1041"/>
      <c r="M504" s="753"/>
      <c r="N504" s="3" t="str">
        <f>IF(M504="","",VLOOKUP(M504,'Budget-S&amp;U Codes Lookup'!$E$26:$F$45,2,FALSE))</f>
        <v/>
      </c>
      <c r="P504" s="186"/>
    </row>
    <row r="505" spans="1:16" hidden="1">
      <c r="A505" s="81"/>
      <c r="B505" s="82" t="str">
        <f>IFERROR(VLOOKUP(A505,'Budget-S&amp;U Codes Lookup'!$A$7:$B$550,2,FALSE),"")</f>
        <v/>
      </c>
      <c r="C505" s="993"/>
      <c r="D505" s="118"/>
      <c r="E505" s="131"/>
      <c r="F505" s="126"/>
      <c r="G505" s="126"/>
      <c r="H505" s="125">
        <f t="shared" si="7"/>
        <v>0</v>
      </c>
      <c r="I505" s="191"/>
      <c r="J505" s="268"/>
      <c r="K505" s="182" t="str">
        <f>IFERROR(VLOOKUP(A505,'Budget-S&amp;U Codes Lookup'!$A$7:$C$550,3,FALSE),"")</f>
        <v/>
      </c>
      <c r="L505" s="1041"/>
      <c r="M505" s="753"/>
      <c r="N505" s="3" t="str">
        <f>IF(M505="","",VLOOKUP(M505,'Budget-S&amp;U Codes Lookup'!$E$26:$F$45,2,FALSE))</f>
        <v/>
      </c>
      <c r="P505" s="186"/>
    </row>
    <row r="506" spans="1:16" hidden="1">
      <c r="A506" s="81"/>
      <c r="B506" s="82" t="str">
        <f>IFERROR(VLOOKUP(A506,'Budget-S&amp;U Codes Lookup'!$A$7:$B$550,2,FALSE),"")</f>
        <v/>
      </c>
      <c r="C506" s="993"/>
      <c r="D506" s="118"/>
      <c r="E506" s="131"/>
      <c r="F506" s="126"/>
      <c r="G506" s="126"/>
      <c r="H506" s="125">
        <f t="shared" si="7"/>
        <v>0</v>
      </c>
      <c r="I506" s="191"/>
      <c r="J506" s="268"/>
      <c r="K506" s="182" t="str">
        <f>IFERROR(VLOOKUP(A506,'Budget-S&amp;U Codes Lookup'!$A$7:$C$550,3,FALSE),"")</f>
        <v/>
      </c>
      <c r="L506" s="1041"/>
      <c r="M506" s="753"/>
      <c r="N506" s="3" t="str">
        <f>IF(M506="","",VLOOKUP(M506,'Budget-S&amp;U Codes Lookup'!$E$26:$F$45,2,FALSE))</f>
        <v/>
      </c>
      <c r="P506" s="186"/>
    </row>
    <row r="507" spans="1:16" hidden="1">
      <c r="A507" s="81"/>
      <c r="B507" s="82" t="str">
        <f>IFERROR(VLOOKUP(A507,'Budget-S&amp;U Codes Lookup'!$A$7:$B$550,2,FALSE),"")</f>
        <v/>
      </c>
      <c r="C507" s="993"/>
      <c r="D507" s="118"/>
      <c r="E507" s="131"/>
      <c r="F507" s="126"/>
      <c r="G507" s="126"/>
      <c r="H507" s="125">
        <f t="shared" si="7"/>
        <v>0</v>
      </c>
      <c r="I507" s="191"/>
      <c r="J507" s="268"/>
      <c r="K507" s="182" t="str">
        <f>IFERROR(VLOOKUP(A507,'Budget-S&amp;U Codes Lookup'!$A$7:$C$550,3,FALSE),"")</f>
        <v/>
      </c>
      <c r="L507" s="1041"/>
      <c r="M507" s="753"/>
      <c r="N507" s="3" t="str">
        <f>IF(M507="","",VLOOKUP(M507,'Budget-S&amp;U Codes Lookup'!$E$26:$F$45,2,FALSE))</f>
        <v/>
      </c>
      <c r="P507" s="186"/>
    </row>
    <row r="508" spans="1:16" hidden="1">
      <c r="A508" s="81"/>
      <c r="B508" s="82" t="str">
        <f>IFERROR(VLOOKUP(A508,'Budget-S&amp;U Codes Lookup'!$A$7:$B$550,2,FALSE),"")</f>
        <v/>
      </c>
      <c r="C508" s="993"/>
      <c r="D508" s="118"/>
      <c r="E508" s="131"/>
      <c r="F508" s="126"/>
      <c r="G508" s="126"/>
      <c r="H508" s="125">
        <f t="shared" si="7"/>
        <v>0</v>
      </c>
      <c r="I508" s="191"/>
      <c r="J508" s="268"/>
      <c r="K508" s="182" t="str">
        <f>IFERROR(VLOOKUP(A508,'Budget-S&amp;U Codes Lookup'!$A$7:$C$550,3,FALSE),"")</f>
        <v/>
      </c>
      <c r="L508" s="1041"/>
      <c r="M508" s="753"/>
      <c r="N508" s="3" t="str">
        <f>IF(M508="","",VLOOKUP(M508,'Budget-S&amp;U Codes Lookup'!$E$26:$F$45,2,FALSE))</f>
        <v/>
      </c>
      <c r="P508" s="186"/>
    </row>
    <row r="509" spans="1:16" hidden="1">
      <c r="A509" s="81"/>
      <c r="B509" s="82" t="str">
        <f>IFERROR(VLOOKUP(A509,'Budget-S&amp;U Codes Lookup'!$A$7:$B$550,2,FALSE),"")</f>
        <v/>
      </c>
      <c r="C509" s="993"/>
      <c r="D509" s="118"/>
      <c r="E509" s="131"/>
      <c r="F509" s="126"/>
      <c r="G509" s="126"/>
      <c r="H509" s="125">
        <f t="shared" si="7"/>
        <v>0</v>
      </c>
      <c r="I509" s="191"/>
      <c r="J509" s="268"/>
      <c r="K509" s="182" t="str">
        <f>IFERROR(VLOOKUP(A509,'Budget-S&amp;U Codes Lookup'!$A$7:$C$550,3,FALSE),"")</f>
        <v/>
      </c>
      <c r="L509" s="1041"/>
      <c r="M509" s="753"/>
      <c r="N509" s="3" t="str">
        <f>IF(M509="","",VLOOKUP(M509,'Budget-S&amp;U Codes Lookup'!$E$26:$F$45,2,FALSE))</f>
        <v/>
      </c>
      <c r="P509" s="186"/>
    </row>
    <row r="510" spans="1:16" hidden="1">
      <c r="A510" s="81"/>
      <c r="B510" s="82" t="str">
        <f>IFERROR(VLOOKUP(A510,'Budget-S&amp;U Codes Lookup'!$A$7:$B$550,2,FALSE),"")</f>
        <v/>
      </c>
      <c r="C510" s="993"/>
      <c r="D510" s="118"/>
      <c r="E510" s="131"/>
      <c r="F510" s="126"/>
      <c r="G510" s="126"/>
      <c r="H510" s="125">
        <f t="shared" si="7"/>
        <v>0</v>
      </c>
      <c r="I510" s="191"/>
      <c r="J510" s="268"/>
      <c r="K510" s="182" t="str">
        <f>IFERROR(VLOOKUP(A510,'Budget-S&amp;U Codes Lookup'!$A$7:$C$550,3,FALSE),"")</f>
        <v/>
      </c>
      <c r="L510" s="1041"/>
      <c r="M510" s="753"/>
      <c r="N510" s="3" t="str">
        <f>IF(M510="","",VLOOKUP(M510,'Budget-S&amp;U Codes Lookup'!$E$26:$F$45,2,FALSE))</f>
        <v/>
      </c>
      <c r="P510" s="186"/>
    </row>
    <row r="511" spans="1:16" hidden="1">
      <c r="A511" s="81"/>
      <c r="B511" s="82" t="str">
        <f>IFERROR(VLOOKUP(A511,'Budget-S&amp;U Codes Lookup'!$A$7:$B$550,2,FALSE),"")</f>
        <v/>
      </c>
      <c r="C511" s="993"/>
      <c r="D511" s="118"/>
      <c r="E511" s="131"/>
      <c r="F511" s="126"/>
      <c r="G511" s="126"/>
      <c r="H511" s="125">
        <f t="shared" si="7"/>
        <v>0</v>
      </c>
      <c r="I511" s="191"/>
      <c r="J511" s="268"/>
      <c r="K511" s="182" t="str">
        <f>IFERROR(VLOOKUP(A511,'Budget-S&amp;U Codes Lookup'!$A$7:$C$550,3,FALSE),"")</f>
        <v/>
      </c>
      <c r="L511" s="1041"/>
      <c r="M511" s="753"/>
      <c r="N511" s="3" t="str">
        <f>IF(M511="","",VLOOKUP(M511,'Budget-S&amp;U Codes Lookup'!$E$26:$F$45,2,FALSE))</f>
        <v/>
      </c>
      <c r="P511" s="186"/>
    </row>
    <row r="512" spans="1:16" hidden="1">
      <c r="A512" s="81"/>
      <c r="B512" s="82" t="str">
        <f>IFERROR(VLOOKUP(A512,'Budget-S&amp;U Codes Lookup'!$A$7:$B$550,2,FALSE),"")</f>
        <v/>
      </c>
      <c r="C512" s="993"/>
      <c r="D512" s="118"/>
      <c r="E512" s="131"/>
      <c r="F512" s="126"/>
      <c r="G512" s="126"/>
      <c r="H512" s="125">
        <f t="shared" si="7"/>
        <v>0</v>
      </c>
      <c r="I512" s="191"/>
      <c r="J512" s="268"/>
      <c r="K512" s="182" t="str">
        <f>IFERROR(VLOOKUP(A512,'Budget-S&amp;U Codes Lookup'!$A$7:$C$550,3,FALSE),"")</f>
        <v/>
      </c>
      <c r="L512" s="1041"/>
      <c r="M512" s="753"/>
      <c r="N512" s="3" t="str">
        <f>IF(M512="","",VLOOKUP(M512,'Budget-S&amp;U Codes Lookup'!$E$26:$F$45,2,FALSE))</f>
        <v/>
      </c>
      <c r="P512" s="186"/>
    </row>
    <row r="513" spans="1:16" hidden="1">
      <c r="A513" s="81"/>
      <c r="B513" s="82" t="str">
        <f>IFERROR(VLOOKUP(A513,'Budget-S&amp;U Codes Lookup'!$A$7:$B$550,2,FALSE),"")</f>
        <v/>
      </c>
      <c r="C513" s="993"/>
      <c r="D513" s="118"/>
      <c r="E513" s="131"/>
      <c r="F513" s="126"/>
      <c r="G513" s="126"/>
      <c r="H513" s="125">
        <f t="shared" si="7"/>
        <v>0</v>
      </c>
      <c r="I513" s="191"/>
      <c r="J513" s="268"/>
      <c r="K513" s="182" t="str">
        <f>IFERROR(VLOOKUP(A513,'Budget-S&amp;U Codes Lookup'!$A$7:$C$550,3,FALSE),"")</f>
        <v/>
      </c>
      <c r="L513" s="1041"/>
      <c r="M513" s="753"/>
      <c r="N513" s="3" t="str">
        <f>IF(M513="","",VLOOKUP(M513,'Budget-S&amp;U Codes Lookup'!$E$26:$F$45,2,FALSE))</f>
        <v/>
      </c>
      <c r="P513" s="186"/>
    </row>
    <row r="514" spans="1:16" hidden="1">
      <c r="A514" s="81"/>
      <c r="B514" s="82" t="str">
        <f>IFERROR(VLOOKUP(A514,'Budget-S&amp;U Codes Lookup'!$A$7:$B$550,2,FALSE),"")</f>
        <v/>
      </c>
      <c r="C514" s="993"/>
      <c r="D514" s="118"/>
      <c r="E514" s="131"/>
      <c r="F514" s="126"/>
      <c r="G514" s="126"/>
      <c r="H514" s="125">
        <f t="shared" si="7"/>
        <v>0</v>
      </c>
      <c r="I514" s="191"/>
      <c r="J514" s="268"/>
      <c r="K514" s="182" t="str">
        <f>IFERROR(VLOOKUP(A514,'Budget-S&amp;U Codes Lookup'!$A$7:$C$550,3,FALSE),"")</f>
        <v/>
      </c>
      <c r="L514" s="1041"/>
      <c r="M514" s="753"/>
      <c r="N514" s="3" t="str">
        <f>IF(M514="","",VLOOKUP(M514,'Budget-S&amp;U Codes Lookup'!$E$26:$F$45,2,FALSE))</f>
        <v/>
      </c>
      <c r="P514" s="186"/>
    </row>
    <row r="515" spans="1:16" hidden="1">
      <c r="A515" s="81"/>
      <c r="B515" s="82" t="str">
        <f>IFERROR(VLOOKUP(A515,'Budget-S&amp;U Codes Lookup'!$A$7:$B$550,2,FALSE),"")</f>
        <v/>
      </c>
      <c r="C515" s="993"/>
      <c r="D515" s="118"/>
      <c r="E515" s="131"/>
      <c r="F515" s="126"/>
      <c r="G515" s="126"/>
      <c r="H515" s="125">
        <f t="shared" si="7"/>
        <v>0</v>
      </c>
      <c r="I515" s="191"/>
      <c r="J515" s="268"/>
      <c r="K515" s="182" t="str">
        <f>IFERROR(VLOOKUP(A515,'Budget-S&amp;U Codes Lookup'!$A$7:$C$550,3,FALSE),"")</f>
        <v/>
      </c>
      <c r="L515" s="1041"/>
      <c r="M515" s="753"/>
      <c r="N515" s="3" t="str">
        <f>IF(M515="","",VLOOKUP(M515,'Budget-S&amp;U Codes Lookup'!$E$26:$F$45,2,FALSE))</f>
        <v/>
      </c>
      <c r="P515" s="186"/>
    </row>
    <row r="516" spans="1:16" hidden="1">
      <c r="A516" s="81"/>
      <c r="B516" s="82" t="str">
        <f>IFERROR(VLOOKUP(A516,'Budget-S&amp;U Codes Lookup'!$A$7:$B$550,2,FALSE),"")</f>
        <v/>
      </c>
      <c r="C516" s="993"/>
      <c r="D516" s="118"/>
      <c r="E516" s="131"/>
      <c r="F516" s="126"/>
      <c r="G516" s="126"/>
      <c r="H516" s="125">
        <f t="shared" si="7"/>
        <v>0</v>
      </c>
      <c r="I516" s="191"/>
      <c r="J516" s="268"/>
      <c r="K516" s="182" t="str">
        <f>IFERROR(VLOOKUP(A516,'Budget-S&amp;U Codes Lookup'!$A$7:$C$550,3,FALSE),"")</f>
        <v/>
      </c>
      <c r="L516" s="1041"/>
      <c r="M516" s="753"/>
      <c r="N516" s="3" t="str">
        <f>IF(M516="","",VLOOKUP(M516,'Budget-S&amp;U Codes Lookup'!$E$26:$F$45,2,FALSE))</f>
        <v/>
      </c>
      <c r="P516" s="186"/>
    </row>
    <row r="517" spans="1:16" hidden="1">
      <c r="A517" s="81"/>
      <c r="B517" s="82" t="str">
        <f>IFERROR(VLOOKUP(A517,'Budget-S&amp;U Codes Lookup'!$A$7:$B$550,2,FALSE),"")</f>
        <v/>
      </c>
      <c r="C517" s="993"/>
      <c r="D517" s="118"/>
      <c r="E517" s="131"/>
      <c r="F517" s="126"/>
      <c r="G517" s="126"/>
      <c r="H517" s="125">
        <f t="shared" si="7"/>
        <v>0</v>
      </c>
      <c r="I517" s="191"/>
      <c r="J517" s="268"/>
      <c r="K517" s="182" t="str">
        <f>IFERROR(VLOOKUP(A517,'Budget-S&amp;U Codes Lookup'!$A$7:$C$550,3,FALSE),"")</f>
        <v/>
      </c>
      <c r="L517" s="1041"/>
      <c r="M517" s="753"/>
      <c r="N517" s="3" t="str">
        <f>IF(M517="","",VLOOKUP(M517,'Budget-S&amp;U Codes Lookup'!$E$26:$F$45,2,FALSE))</f>
        <v/>
      </c>
      <c r="P517" s="186"/>
    </row>
    <row r="518" spans="1:16" hidden="1">
      <c r="A518" s="81"/>
      <c r="B518" s="82" t="str">
        <f>IFERROR(VLOOKUP(A518,'Budget-S&amp;U Codes Lookup'!$A$7:$B$550,2,FALSE),"")</f>
        <v/>
      </c>
      <c r="C518" s="993"/>
      <c r="D518" s="118"/>
      <c r="E518" s="131"/>
      <c r="F518" s="126"/>
      <c r="G518" s="126"/>
      <c r="H518" s="125">
        <f t="shared" si="7"/>
        <v>0</v>
      </c>
      <c r="I518" s="191"/>
      <c r="J518" s="268"/>
      <c r="K518" s="182" t="str">
        <f>IFERROR(VLOOKUP(A518,'Budget-S&amp;U Codes Lookup'!$A$7:$C$550,3,FALSE),"")</f>
        <v/>
      </c>
      <c r="L518" s="1041"/>
      <c r="M518" s="753"/>
      <c r="N518" s="3" t="str">
        <f>IF(M518="","",VLOOKUP(M518,'Budget-S&amp;U Codes Lookup'!$E$26:$F$45,2,FALSE))</f>
        <v/>
      </c>
      <c r="P518" s="186"/>
    </row>
    <row r="519" spans="1:16" hidden="1">
      <c r="A519" s="81"/>
      <c r="B519" s="82" t="str">
        <f>IFERROR(VLOOKUP(A519,'Budget-S&amp;U Codes Lookup'!$A$7:$B$550,2,FALSE),"")</f>
        <v/>
      </c>
      <c r="C519" s="993"/>
      <c r="D519" s="118"/>
      <c r="E519" s="131"/>
      <c r="F519" s="126"/>
      <c r="G519" s="126"/>
      <c r="H519" s="125">
        <f t="shared" si="7"/>
        <v>0</v>
      </c>
      <c r="I519" s="191"/>
      <c r="J519" s="268"/>
      <c r="K519" s="182" t="str">
        <f>IFERROR(VLOOKUP(A519,'Budget-S&amp;U Codes Lookup'!$A$7:$C$550,3,FALSE),"")</f>
        <v/>
      </c>
      <c r="L519" s="1041"/>
      <c r="M519" s="753"/>
      <c r="N519" s="3" t="str">
        <f>IF(M519="","",VLOOKUP(M519,'Budget-S&amp;U Codes Lookup'!$E$26:$F$45,2,FALSE))</f>
        <v/>
      </c>
      <c r="P519" s="186"/>
    </row>
    <row r="520" spans="1:16" hidden="1">
      <c r="A520" s="81"/>
      <c r="B520" s="82" t="str">
        <f>IFERROR(VLOOKUP(A520,'Budget-S&amp;U Codes Lookup'!$A$7:$B$550,2,FALSE),"")</f>
        <v/>
      </c>
      <c r="C520" s="993"/>
      <c r="D520" s="118"/>
      <c r="E520" s="131"/>
      <c r="F520" s="126"/>
      <c r="G520" s="126"/>
      <c r="H520" s="125">
        <f t="shared" si="7"/>
        <v>0</v>
      </c>
      <c r="I520" s="191"/>
      <c r="J520" s="268"/>
      <c r="K520" s="182" t="str">
        <f>IFERROR(VLOOKUP(A520,'Budget-S&amp;U Codes Lookup'!$A$7:$C$550,3,FALSE),"")</f>
        <v/>
      </c>
      <c r="L520" s="1041"/>
      <c r="M520" s="753"/>
      <c r="N520" s="3" t="str">
        <f>IF(M520="","",VLOOKUP(M520,'Budget-S&amp;U Codes Lookup'!$E$26:$F$45,2,FALSE))</f>
        <v/>
      </c>
      <c r="P520" s="186"/>
    </row>
    <row r="521" spans="1:16" hidden="1">
      <c r="A521" s="81"/>
      <c r="B521" s="82" t="str">
        <f>IFERROR(VLOOKUP(A521,'Budget-S&amp;U Codes Lookup'!$A$7:$B$550,2,FALSE),"")</f>
        <v/>
      </c>
      <c r="C521" s="993"/>
      <c r="D521" s="118"/>
      <c r="E521" s="131"/>
      <c r="F521" s="126"/>
      <c r="G521" s="126"/>
      <c r="H521" s="125">
        <f t="shared" si="7"/>
        <v>0</v>
      </c>
      <c r="I521" s="191"/>
      <c r="J521" s="268"/>
      <c r="K521" s="182" t="str">
        <f>IFERROR(VLOOKUP(A521,'Budget-S&amp;U Codes Lookup'!$A$7:$C$550,3,FALSE),"")</f>
        <v/>
      </c>
      <c r="L521" s="1041"/>
      <c r="M521" s="753"/>
      <c r="N521" s="3" t="str">
        <f>IF(M521="","",VLOOKUP(M521,'Budget-S&amp;U Codes Lookup'!$E$26:$F$45,2,FALSE))</f>
        <v/>
      </c>
      <c r="P521" s="186"/>
    </row>
    <row r="522" spans="1:16" hidden="1">
      <c r="A522" s="81"/>
      <c r="B522" s="82" t="str">
        <f>IFERROR(VLOOKUP(A522,'Budget-S&amp;U Codes Lookup'!$A$7:$B$550,2,FALSE),"")</f>
        <v/>
      </c>
      <c r="C522" s="993"/>
      <c r="D522" s="118"/>
      <c r="E522" s="131"/>
      <c r="F522" s="126"/>
      <c r="G522" s="126"/>
      <c r="H522" s="125">
        <f t="shared" ref="H522:H585" si="8">F522-G522</f>
        <v>0</v>
      </c>
      <c r="I522" s="191"/>
      <c r="J522" s="268"/>
      <c r="K522" s="182" t="str">
        <f>IFERROR(VLOOKUP(A522,'Budget-S&amp;U Codes Lookup'!$A$7:$C$550,3,FALSE),"")</f>
        <v/>
      </c>
      <c r="L522" s="1041"/>
      <c r="M522" s="753"/>
      <c r="N522" s="3" t="str">
        <f>IF(M522="","",VLOOKUP(M522,'Budget-S&amp;U Codes Lookup'!$E$26:$F$45,2,FALSE))</f>
        <v/>
      </c>
      <c r="P522" s="186"/>
    </row>
    <row r="523" spans="1:16" hidden="1">
      <c r="A523" s="81"/>
      <c r="B523" s="82" t="str">
        <f>IFERROR(VLOOKUP(A523,'Budget-S&amp;U Codes Lookup'!$A$7:$B$550,2,FALSE),"")</f>
        <v/>
      </c>
      <c r="C523" s="993"/>
      <c r="D523" s="118"/>
      <c r="E523" s="131"/>
      <c r="F523" s="126"/>
      <c r="G523" s="126"/>
      <c r="H523" s="125">
        <f t="shared" si="8"/>
        <v>0</v>
      </c>
      <c r="I523" s="191"/>
      <c r="J523" s="268"/>
      <c r="K523" s="182" t="str">
        <f>IFERROR(VLOOKUP(A523,'Budget-S&amp;U Codes Lookup'!$A$7:$C$550,3,FALSE),"")</f>
        <v/>
      </c>
      <c r="L523" s="1041"/>
      <c r="M523" s="753"/>
      <c r="N523" s="3" t="str">
        <f>IF(M523="","",VLOOKUP(M523,'Budget-S&amp;U Codes Lookup'!$E$26:$F$45,2,FALSE))</f>
        <v/>
      </c>
      <c r="P523" s="186"/>
    </row>
    <row r="524" spans="1:16" hidden="1">
      <c r="A524" s="81"/>
      <c r="B524" s="82" t="str">
        <f>IFERROR(VLOOKUP(A524,'Budget-S&amp;U Codes Lookup'!$A$7:$B$550,2,FALSE),"")</f>
        <v/>
      </c>
      <c r="C524" s="993"/>
      <c r="D524" s="118"/>
      <c r="E524" s="131"/>
      <c r="F524" s="126"/>
      <c r="G524" s="126"/>
      <c r="H524" s="125">
        <f t="shared" si="8"/>
        <v>0</v>
      </c>
      <c r="I524" s="191"/>
      <c r="J524" s="268"/>
      <c r="K524" s="182" t="str">
        <f>IFERROR(VLOOKUP(A524,'Budget-S&amp;U Codes Lookup'!$A$7:$C$550,3,FALSE),"")</f>
        <v/>
      </c>
      <c r="L524" s="1041"/>
      <c r="M524" s="753"/>
      <c r="N524" s="3" t="str">
        <f>IF(M524="","",VLOOKUP(M524,'Budget-S&amp;U Codes Lookup'!$E$26:$F$45,2,FALSE))</f>
        <v/>
      </c>
      <c r="P524" s="186"/>
    </row>
    <row r="525" spans="1:16" hidden="1">
      <c r="A525" s="81"/>
      <c r="B525" s="82" t="str">
        <f>IFERROR(VLOOKUP(A525,'Budget-S&amp;U Codes Lookup'!$A$7:$B$550,2,FALSE),"")</f>
        <v/>
      </c>
      <c r="C525" s="993"/>
      <c r="D525" s="118"/>
      <c r="E525" s="131"/>
      <c r="F525" s="126"/>
      <c r="G525" s="126"/>
      <c r="H525" s="125">
        <f t="shared" si="8"/>
        <v>0</v>
      </c>
      <c r="I525" s="191"/>
      <c r="J525" s="268"/>
      <c r="K525" s="182" t="str">
        <f>IFERROR(VLOOKUP(A525,'Budget-S&amp;U Codes Lookup'!$A$7:$C$550,3,FALSE),"")</f>
        <v/>
      </c>
      <c r="L525" s="1041"/>
      <c r="M525" s="753"/>
      <c r="N525" s="3" t="str">
        <f>IF(M525="","",VLOOKUP(M525,'Budget-S&amp;U Codes Lookup'!$E$26:$F$45,2,FALSE))</f>
        <v/>
      </c>
      <c r="P525" s="186"/>
    </row>
    <row r="526" spans="1:16" hidden="1">
      <c r="A526" s="81"/>
      <c r="B526" s="82" t="str">
        <f>IFERROR(VLOOKUP(A526,'Budget-S&amp;U Codes Lookup'!$A$7:$B$550,2,FALSE),"")</f>
        <v/>
      </c>
      <c r="C526" s="993"/>
      <c r="D526" s="118"/>
      <c r="E526" s="131"/>
      <c r="F526" s="126"/>
      <c r="G526" s="126"/>
      <c r="H526" s="125">
        <f t="shared" si="8"/>
        <v>0</v>
      </c>
      <c r="I526" s="191"/>
      <c r="J526" s="268"/>
      <c r="K526" s="182" t="str">
        <f>IFERROR(VLOOKUP(A526,'Budget-S&amp;U Codes Lookup'!$A$7:$C$550,3,FALSE),"")</f>
        <v/>
      </c>
      <c r="L526" s="1041"/>
      <c r="M526" s="753"/>
      <c r="N526" s="3" t="str">
        <f>IF(M526="","",VLOOKUP(M526,'Budget-S&amp;U Codes Lookup'!$E$26:$F$45,2,FALSE))</f>
        <v/>
      </c>
      <c r="P526" s="186"/>
    </row>
    <row r="527" spans="1:16" hidden="1">
      <c r="A527" s="81"/>
      <c r="B527" s="82" t="str">
        <f>IFERROR(VLOOKUP(A527,'Budget-S&amp;U Codes Lookup'!$A$7:$B$550,2,FALSE),"")</f>
        <v/>
      </c>
      <c r="C527" s="993"/>
      <c r="D527" s="118"/>
      <c r="E527" s="131"/>
      <c r="F527" s="126"/>
      <c r="G527" s="126"/>
      <c r="H527" s="125">
        <f t="shared" si="8"/>
        <v>0</v>
      </c>
      <c r="I527" s="191"/>
      <c r="J527" s="268"/>
      <c r="K527" s="182" t="str">
        <f>IFERROR(VLOOKUP(A527,'Budget-S&amp;U Codes Lookup'!$A$7:$C$550,3,FALSE),"")</f>
        <v/>
      </c>
      <c r="L527" s="1041"/>
      <c r="M527" s="753"/>
      <c r="N527" s="3" t="str">
        <f>IF(M527="","",VLOOKUP(M527,'Budget-S&amp;U Codes Lookup'!$E$26:$F$45,2,FALSE))</f>
        <v/>
      </c>
      <c r="P527" s="186"/>
    </row>
    <row r="528" spans="1:16" hidden="1">
      <c r="A528" s="81"/>
      <c r="B528" s="82" t="str">
        <f>IFERROR(VLOOKUP(A528,'Budget-S&amp;U Codes Lookup'!$A$7:$B$550,2,FALSE),"")</f>
        <v/>
      </c>
      <c r="C528" s="993"/>
      <c r="D528" s="118"/>
      <c r="E528" s="131"/>
      <c r="F528" s="126"/>
      <c r="G528" s="126"/>
      <c r="H528" s="125">
        <f t="shared" si="8"/>
        <v>0</v>
      </c>
      <c r="I528" s="191"/>
      <c r="J528" s="268"/>
      <c r="K528" s="182" t="str">
        <f>IFERROR(VLOOKUP(A528,'Budget-S&amp;U Codes Lookup'!$A$7:$C$550,3,FALSE),"")</f>
        <v/>
      </c>
      <c r="L528" s="1041"/>
      <c r="M528" s="753"/>
      <c r="N528" s="3" t="str">
        <f>IF(M528="","",VLOOKUP(M528,'Budget-S&amp;U Codes Lookup'!$E$26:$F$45,2,FALSE))</f>
        <v/>
      </c>
      <c r="P528" s="186"/>
    </row>
    <row r="529" spans="1:16" hidden="1">
      <c r="A529" s="81"/>
      <c r="B529" s="82" t="str">
        <f>IFERROR(VLOOKUP(A529,'Budget-S&amp;U Codes Lookup'!$A$7:$B$550,2,FALSE),"")</f>
        <v/>
      </c>
      <c r="C529" s="993"/>
      <c r="D529" s="118"/>
      <c r="E529" s="131"/>
      <c r="F529" s="126"/>
      <c r="G529" s="126"/>
      <c r="H529" s="125">
        <f t="shared" si="8"/>
        <v>0</v>
      </c>
      <c r="I529" s="191"/>
      <c r="J529" s="268"/>
      <c r="K529" s="182" t="str">
        <f>IFERROR(VLOOKUP(A529,'Budget-S&amp;U Codes Lookup'!$A$7:$C$550,3,FALSE),"")</f>
        <v/>
      </c>
      <c r="L529" s="1041"/>
      <c r="M529" s="753"/>
      <c r="N529" s="3" t="str">
        <f>IF(M529="","",VLOOKUP(M529,'Budget-S&amp;U Codes Lookup'!$E$26:$F$45,2,FALSE))</f>
        <v/>
      </c>
      <c r="P529" s="186"/>
    </row>
    <row r="530" spans="1:16" hidden="1">
      <c r="A530" s="81"/>
      <c r="B530" s="82" t="str">
        <f>IFERROR(VLOOKUP(A530,'Budget-S&amp;U Codes Lookup'!$A$7:$B$550,2,FALSE),"")</f>
        <v/>
      </c>
      <c r="C530" s="993"/>
      <c r="D530" s="118"/>
      <c r="E530" s="131"/>
      <c r="F530" s="126"/>
      <c r="G530" s="126"/>
      <c r="H530" s="125">
        <f t="shared" si="8"/>
        <v>0</v>
      </c>
      <c r="I530" s="191"/>
      <c r="J530" s="268"/>
      <c r="K530" s="182" t="str">
        <f>IFERROR(VLOOKUP(A530,'Budget-S&amp;U Codes Lookup'!$A$7:$C$550,3,FALSE),"")</f>
        <v/>
      </c>
      <c r="L530" s="1041"/>
      <c r="M530" s="753"/>
      <c r="N530" s="3" t="str">
        <f>IF(M530="","",VLOOKUP(M530,'Budget-S&amp;U Codes Lookup'!$E$26:$F$45,2,FALSE))</f>
        <v/>
      </c>
      <c r="P530" s="186"/>
    </row>
    <row r="531" spans="1:16" hidden="1">
      <c r="A531" s="81"/>
      <c r="B531" s="82" t="str">
        <f>IFERROR(VLOOKUP(A531,'Budget-S&amp;U Codes Lookup'!$A$7:$B$550,2,FALSE),"")</f>
        <v/>
      </c>
      <c r="C531" s="993"/>
      <c r="D531" s="118"/>
      <c r="E531" s="131"/>
      <c r="F531" s="126"/>
      <c r="G531" s="126"/>
      <c r="H531" s="125">
        <f t="shared" si="8"/>
        <v>0</v>
      </c>
      <c r="I531" s="191"/>
      <c r="J531" s="268"/>
      <c r="K531" s="182" t="str">
        <f>IFERROR(VLOOKUP(A531,'Budget-S&amp;U Codes Lookup'!$A$7:$C$550,3,FALSE),"")</f>
        <v/>
      </c>
      <c r="L531" s="1041"/>
      <c r="M531" s="753"/>
      <c r="N531" s="3" t="str">
        <f>IF(M531="","",VLOOKUP(M531,'Budget-S&amp;U Codes Lookup'!$E$26:$F$45,2,FALSE))</f>
        <v/>
      </c>
      <c r="P531" s="186"/>
    </row>
    <row r="532" spans="1:16" hidden="1">
      <c r="A532" s="81"/>
      <c r="B532" s="82" t="str">
        <f>IFERROR(VLOOKUP(A532,'Budget-S&amp;U Codes Lookup'!$A$7:$B$550,2,FALSE),"")</f>
        <v/>
      </c>
      <c r="C532" s="993"/>
      <c r="D532" s="118"/>
      <c r="E532" s="131"/>
      <c r="F532" s="126"/>
      <c r="G532" s="126"/>
      <c r="H532" s="125">
        <f t="shared" si="8"/>
        <v>0</v>
      </c>
      <c r="I532" s="191"/>
      <c r="J532" s="268"/>
      <c r="K532" s="182" t="str">
        <f>IFERROR(VLOOKUP(A532,'Budget-S&amp;U Codes Lookup'!$A$7:$C$550,3,FALSE),"")</f>
        <v/>
      </c>
      <c r="L532" s="1041"/>
      <c r="M532" s="753"/>
      <c r="N532" s="3" t="str">
        <f>IF(M532="","",VLOOKUP(M532,'Budget-S&amp;U Codes Lookup'!$E$26:$F$45,2,FALSE))</f>
        <v/>
      </c>
      <c r="P532" s="186"/>
    </row>
    <row r="533" spans="1:16" hidden="1">
      <c r="A533" s="81"/>
      <c r="B533" s="82" t="str">
        <f>IFERROR(VLOOKUP(A533,'Budget-S&amp;U Codes Lookup'!$A$7:$B$550,2,FALSE),"")</f>
        <v/>
      </c>
      <c r="C533" s="993"/>
      <c r="D533" s="118"/>
      <c r="E533" s="131"/>
      <c r="F533" s="126"/>
      <c r="G533" s="126"/>
      <c r="H533" s="125">
        <f t="shared" si="8"/>
        <v>0</v>
      </c>
      <c r="I533" s="191"/>
      <c r="J533" s="268"/>
      <c r="K533" s="182" t="str">
        <f>IFERROR(VLOOKUP(A533,'Budget-S&amp;U Codes Lookup'!$A$7:$C$550,3,FALSE),"")</f>
        <v/>
      </c>
      <c r="L533" s="1041"/>
      <c r="M533" s="753"/>
      <c r="N533" s="3" t="str">
        <f>IF(M533="","",VLOOKUP(M533,'Budget-S&amp;U Codes Lookup'!$E$26:$F$45,2,FALSE))</f>
        <v/>
      </c>
      <c r="P533" s="186"/>
    </row>
    <row r="534" spans="1:16" hidden="1">
      <c r="A534" s="81"/>
      <c r="B534" s="82" t="str">
        <f>IFERROR(VLOOKUP(A534,'Budget-S&amp;U Codes Lookup'!$A$7:$B$550,2,FALSE),"")</f>
        <v/>
      </c>
      <c r="C534" s="993"/>
      <c r="D534" s="118"/>
      <c r="E534" s="131"/>
      <c r="F534" s="126"/>
      <c r="G534" s="126"/>
      <c r="H534" s="125">
        <f t="shared" si="8"/>
        <v>0</v>
      </c>
      <c r="I534" s="191"/>
      <c r="J534" s="268"/>
      <c r="K534" s="182" t="str">
        <f>IFERROR(VLOOKUP(A534,'Budget-S&amp;U Codes Lookup'!$A$7:$C$550,3,FALSE),"")</f>
        <v/>
      </c>
      <c r="L534" s="1041"/>
      <c r="M534" s="753"/>
      <c r="N534" s="3" t="str">
        <f>IF(M534="","",VLOOKUP(M534,'Budget-S&amp;U Codes Lookup'!$E$26:$F$45,2,FALSE))</f>
        <v/>
      </c>
      <c r="P534" s="186"/>
    </row>
    <row r="535" spans="1:16" hidden="1">
      <c r="A535" s="81"/>
      <c r="B535" s="82" t="str">
        <f>IFERROR(VLOOKUP(A535,'Budget-S&amp;U Codes Lookup'!$A$7:$B$550,2,FALSE),"")</f>
        <v/>
      </c>
      <c r="C535" s="993"/>
      <c r="D535" s="118"/>
      <c r="E535" s="131"/>
      <c r="F535" s="126"/>
      <c r="G535" s="126"/>
      <c r="H535" s="125">
        <f t="shared" si="8"/>
        <v>0</v>
      </c>
      <c r="I535" s="191"/>
      <c r="J535" s="268"/>
      <c r="K535" s="182" t="str">
        <f>IFERROR(VLOOKUP(A535,'Budget-S&amp;U Codes Lookup'!$A$7:$C$550,3,FALSE),"")</f>
        <v/>
      </c>
      <c r="L535" s="1041"/>
      <c r="M535" s="753"/>
      <c r="N535" s="3" t="str">
        <f>IF(M535="","",VLOOKUP(M535,'Budget-S&amp;U Codes Lookup'!$E$26:$F$45,2,FALSE))</f>
        <v/>
      </c>
      <c r="P535" s="186"/>
    </row>
    <row r="536" spans="1:16" hidden="1">
      <c r="A536" s="81"/>
      <c r="B536" s="82" t="str">
        <f>IFERROR(VLOOKUP(A536,'Budget-S&amp;U Codes Lookup'!$A$7:$B$550,2,FALSE),"")</f>
        <v/>
      </c>
      <c r="C536" s="993"/>
      <c r="D536" s="118"/>
      <c r="E536" s="131"/>
      <c r="F536" s="126"/>
      <c r="G536" s="126"/>
      <c r="H536" s="125">
        <f t="shared" si="8"/>
        <v>0</v>
      </c>
      <c r="I536" s="191"/>
      <c r="J536" s="268"/>
      <c r="K536" s="182" t="str">
        <f>IFERROR(VLOOKUP(A536,'Budget-S&amp;U Codes Lookup'!$A$7:$C$550,3,FALSE),"")</f>
        <v/>
      </c>
      <c r="L536" s="1041"/>
      <c r="M536" s="753"/>
      <c r="N536" s="3" t="str">
        <f>IF(M536="","",VLOOKUP(M536,'Budget-S&amp;U Codes Lookup'!$E$26:$F$45,2,FALSE))</f>
        <v/>
      </c>
      <c r="P536" s="186"/>
    </row>
    <row r="537" spans="1:16" hidden="1">
      <c r="A537" s="81"/>
      <c r="B537" s="82" t="str">
        <f>IFERROR(VLOOKUP(A537,'Budget-S&amp;U Codes Lookup'!$A$7:$B$550,2,FALSE),"")</f>
        <v/>
      </c>
      <c r="C537" s="993"/>
      <c r="D537" s="118"/>
      <c r="E537" s="131"/>
      <c r="F537" s="126"/>
      <c r="G537" s="126"/>
      <c r="H537" s="125">
        <f t="shared" si="8"/>
        <v>0</v>
      </c>
      <c r="I537" s="191"/>
      <c r="J537" s="268"/>
      <c r="K537" s="182" t="str">
        <f>IFERROR(VLOOKUP(A537,'Budget-S&amp;U Codes Lookup'!$A$7:$C$550,3,FALSE),"")</f>
        <v/>
      </c>
      <c r="L537" s="1041"/>
      <c r="M537" s="753"/>
      <c r="N537" s="3" t="str">
        <f>IF(M537="","",VLOOKUP(M537,'Budget-S&amp;U Codes Lookup'!$E$26:$F$45,2,FALSE))</f>
        <v/>
      </c>
      <c r="P537" s="186"/>
    </row>
    <row r="538" spans="1:16" hidden="1">
      <c r="A538" s="81"/>
      <c r="B538" s="82" t="str">
        <f>IFERROR(VLOOKUP(A538,'Budget-S&amp;U Codes Lookup'!$A$7:$B$550,2,FALSE),"")</f>
        <v/>
      </c>
      <c r="C538" s="993"/>
      <c r="D538" s="118"/>
      <c r="E538" s="131"/>
      <c r="F538" s="126"/>
      <c r="G538" s="126"/>
      <c r="H538" s="125">
        <f t="shared" si="8"/>
        <v>0</v>
      </c>
      <c r="I538" s="191"/>
      <c r="J538" s="268"/>
      <c r="K538" s="182" t="str">
        <f>IFERROR(VLOOKUP(A538,'Budget-S&amp;U Codes Lookup'!$A$7:$C$550,3,FALSE),"")</f>
        <v/>
      </c>
      <c r="L538" s="1041"/>
      <c r="M538" s="753"/>
      <c r="N538" s="3" t="str">
        <f>IF(M538="","",VLOOKUP(M538,'Budget-S&amp;U Codes Lookup'!$E$26:$F$45,2,FALSE))</f>
        <v/>
      </c>
      <c r="P538" s="186"/>
    </row>
    <row r="539" spans="1:16" hidden="1">
      <c r="A539" s="81"/>
      <c r="B539" s="82" t="str">
        <f>IFERROR(VLOOKUP(A539,'Budget-S&amp;U Codes Lookup'!$A$7:$B$550,2,FALSE),"")</f>
        <v/>
      </c>
      <c r="C539" s="993"/>
      <c r="D539" s="118"/>
      <c r="E539" s="131"/>
      <c r="F539" s="126"/>
      <c r="G539" s="126"/>
      <c r="H539" s="125">
        <f t="shared" si="8"/>
        <v>0</v>
      </c>
      <c r="I539" s="191"/>
      <c r="J539" s="268"/>
      <c r="K539" s="182" t="str">
        <f>IFERROR(VLOOKUP(A539,'Budget-S&amp;U Codes Lookup'!$A$7:$C$550,3,FALSE),"")</f>
        <v/>
      </c>
      <c r="L539" s="1041"/>
      <c r="M539" s="753"/>
      <c r="N539" s="3" t="str">
        <f>IF(M539="","",VLOOKUP(M539,'Budget-S&amp;U Codes Lookup'!$E$26:$F$45,2,FALSE))</f>
        <v/>
      </c>
      <c r="P539" s="186"/>
    </row>
    <row r="540" spans="1:16" hidden="1">
      <c r="A540" s="81"/>
      <c r="B540" s="82" t="str">
        <f>IFERROR(VLOOKUP(A540,'Budget-S&amp;U Codes Lookup'!$A$7:$B$550,2,FALSE),"")</f>
        <v/>
      </c>
      <c r="C540" s="993"/>
      <c r="D540" s="118"/>
      <c r="E540" s="131"/>
      <c r="F540" s="126"/>
      <c r="G540" s="126"/>
      <c r="H540" s="125">
        <f t="shared" si="8"/>
        <v>0</v>
      </c>
      <c r="I540" s="191"/>
      <c r="J540" s="268"/>
      <c r="K540" s="182" t="str">
        <f>IFERROR(VLOOKUP(A540,'Budget-S&amp;U Codes Lookup'!$A$7:$C$550,3,FALSE),"")</f>
        <v/>
      </c>
      <c r="L540" s="1041"/>
      <c r="M540" s="753"/>
      <c r="N540" s="3" t="str">
        <f>IF(M540="","",VLOOKUP(M540,'Budget-S&amp;U Codes Lookup'!$E$26:$F$45,2,FALSE))</f>
        <v/>
      </c>
      <c r="P540" s="186"/>
    </row>
    <row r="541" spans="1:16" hidden="1">
      <c r="A541" s="81"/>
      <c r="B541" s="82" t="str">
        <f>IFERROR(VLOOKUP(A541,'Budget-S&amp;U Codes Lookup'!$A$7:$B$550,2,FALSE),"")</f>
        <v/>
      </c>
      <c r="C541" s="993"/>
      <c r="D541" s="118"/>
      <c r="E541" s="131"/>
      <c r="F541" s="126"/>
      <c r="G541" s="126"/>
      <c r="H541" s="125">
        <f t="shared" si="8"/>
        <v>0</v>
      </c>
      <c r="I541" s="191"/>
      <c r="J541" s="268"/>
      <c r="K541" s="182" t="str">
        <f>IFERROR(VLOOKUP(A541,'Budget-S&amp;U Codes Lookup'!$A$7:$C$550,3,FALSE),"")</f>
        <v/>
      </c>
      <c r="L541" s="1041"/>
      <c r="M541" s="753"/>
      <c r="N541" s="3" t="str">
        <f>IF(M541="","",VLOOKUP(M541,'Budget-S&amp;U Codes Lookup'!$E$26:$F$45,2,FALSE))</f>
        <v/>
      </c>
      <c r="P541" s="186"/>
    </row>
    <row r="542" spans="1:16" hidden="1">
      <c r="A542" s="81"/>
      <c r="B542" s="82" t="str">
        <f>IFERROR(VLOOKUP(A542,'Budget-S&amp;U Codes Lookup'!$A$7:$B$550,2,FALSE),"")</f>
        <v/>
      </c>
      <c r="C542" s="993"/>
      <c r="D542" s="118"/>
      <c r="E542" s="131"/>
      <c r="F542" s="126"/>
      <c r="G542" s="126"/>
      <c r="H542" s="125">
        <f t="shared" si="8"/>
        <v>0</v>
      </c>
      <c r="I542" s="191"/>
      <c r="J542" s="268"/>
      <c r="K542" s="182" t="str">
        <f>IFERROR(VLOOKUP(A542,'Budget-S&amp;U Codes Lookup'!$A$7:$C$550,3,FALSE),"")</f>
        <v/>
      </c>
      <c r="L542" s="1041"/>
      <c r="M542" s="753"/>
      <c r="N542" s="3" t="str">
        <f>IF(M542="","",VLOOKUP(M542,'Budget-S&amp;U Codes Lookup'!$E$26:$F$45,2,FALSE))</f>
        <v/>
      </c>
      <c r="P542" s="186"/>
    </row>
    <row r="543" spans="1:16" hidden="1">
      <c r="A543" s="81"/>
      <c r="B543" s="82" t="str">
        <f>IFERROR(VLOOKUP(A543,'Budget-S&amp;U Codes Lookup'!$A$7:$B$550,2,FALSE),"")</f>
        <v/>
      </c>
      <c r="C543" s="993"/>
      <c r="D543" s="118"/>
      <c r="E543" s="131"/>
      <c r="F543" s="126"/>
      <c r="G543" s="126"/>
      <c r="H543" s="125">
        <f t="shared" si="8"/>
        <v>0</v>
      </c>
      <c r="I543" s="191"/>
      <c r="J543" s="268"/>
      <c r="K543" s="182" t="str">
        <f>IFERROR(VLOOKUP(A543,'Budget-S&amp;U Codes Lookup'!$A$7:$C$550,3,FALSE),"")</f>
        <v/>
      </c>
      <c r="L543" s="1041"/>
      <c r="M543" s="753"/>
      <c r="N543" s="3" t="str">
        <f>IF(M543="","",VLOOKUP(M543,'Budget-S&amp;U Codes Lookup'!$E$26:$F$45,2,FALSE))</f>
        <v/>
      </c>
      <c r="P543" s="186"/>
    </row>
    <row r="544" spans="1:16" hidden="1">
      <c r="A544" s="81"/>
      <c r="B544" s="82" t="str">
        <f>IFERROR(VLOOKUP(A544,'Budget-S&amp;U Codes Lookup'!$A$7:$B$550,2,FALSE),"")</f>
        <v/>
      </c>
      <c r="C544" s="993"/>
      <c r="D544" s="118"/>
      <c r="E544" s="131"/>
      <c r="F544" s="126"/>
      <c r="G544" s="126"/>
      <c r="H544" s="125">
        <f t="shared" si="8"/>
        <v>0</v>
      </c>
      <c r="I544" s="191"/>
      <c r="J544" s="268"/>
      <c r="K544" s="182" t="str">
        <f>IFERROR(VLOOKUP(A544,'Budget-S&amp;U Codes Lookup'!$A$7:$C$550,3,FALSE),"")</f>
        <v/>
      </c>
      <c r="L544" s="1041"/>
      <c r="M544" s="753"/>
      <c r="N544" s="3" t="str">
        <f>IF(M544="","",VLOOKUP(M544,'Budget-S&amp;U Codes Lookup'!$E$26:$F$45,2,FALSE))</f>
        <v/>
      </c>
      <c r="P544" s="186"/>
    </row>
    <row r="545" spans="1:16" hidden="1">
      <c r="A545" s="81"/>
      <c r="B545" s="82" t="str">
        <f>IFERROR(VLOOKUP(A545,'Budget-S&amp;U Codes Lookup'!$A$7:$B$550,2,FALSE),"")</f>
        <v/>
      </c>
      <c r="C545" s="993"/>
      <c r="D545" s="118"/>
      <c r="E545" s="131"/>
      <c r="F545" s="126"/>
      <c r="G545" s="126"/>
      <c r="H545" s="125">
        <f t="shared" si="8"/>
        <v>0</v>
      </c>
      <c r="I545" s="191"/>
      <c r="J545" s="268"/>
      <c r="K545" s="182" t="str">
        <f>IFERROR(VLOOKUP(A545,'Budget-S&amp;U Codes Lookup'!$A$7:$C$550,3,FALSE),"")</f>
        <v/>
      </c>
      <c r="L545" s="1041"/>
      <c r="M545" s="753"/>
      <c r="N545" s="3" t="str">
        <f>IF(M545="","",VLOOKUP(M545,'Budget-S&amp;U Codes Lookup'!$E$26:$F$45,2,FALSE))</f>
        <v/>
      </c>
      <c r="P545" s="186"/>
    </row>
    <row r="546" spans="1:16" hidden="1">
      <c r="A546" s="81"/>
      <c r="B546" s="82" t="str">
        <f>IFERROR(VLOOKUP(A546,'Budget-S&amp;U Codes Lookup'!$A$7:$B$550,2,FALSE),"")</f>
        <v/>
      </c>
      <c r="C546" s="993"/>
      <c r="D546" s="118"/>
      <c r="E546" s="131"/>
      <c r="F546" s="126"/>
      <c r="G546" s="126"/>
      <c r="H546" s="125">
        <f t="shared" si="8"/>
        <v>0</v>
      </c>
      <c r="I546" s="191"/>
      <c r="J546" s="268"/>
      <c r="K546" s="182" t="str">
        <f>IFERROR(VLOOKUP(A546,'Budget-S&amp;U Codes Lookup'!$A$7:$C$550,3,FALSE),"")</f>
        <v/>
      </c>
      <c r="L546" s="1041"/>
      <c r="M546" s="753"/>
      <c r="N546" s="3" t="str">
        <f>IF(M546="","",VLOOKUP(M546,'Budget-S&amp;U Codes Lookup'!$E$26:$F$45,2,FALSE))</f>
        <v/>
      </c>
      <c r="P546" s="186"/>
    </row>
    <row r="547" spans="1:16" hidden="1">
      <c r="A547" s="81"/>
      <c r="B547" s="82" t="str">
        <f>IFERROR(VLOOKUP(A547,'Budget-S&amp;U Codes Lookup'!$A$7:$B$550,2,FALSE),"")</f>
        <v/>
      </c>
      <c r="C547" s="993"/>
      <c r="D547" s="118"/>
      <c r="E547" s="131"/>
      <c r="F547" s="126"/>
      <c r="G547" s="126"/>
      <c r="H547" s="125">
        <f t="shared" si="8"/>
        <v>0</v>
      </c>
      <c r="I547" s="191"/>
      <c r="J547" s="268"/>
      <c r="K547" s="182" t="str">
        <f>IFERROR(VLOOKUP(A547,'Budget-S&amp;U Codes Lookup'!$A$7:$C$550,3,FALSE),"")</f>
        <v/>
      </c>
      <c r="L547" s="1041"/>
      <c r="M547" s="753"/>
      <c r="N547" s="3" t="str">
        <f>IF(M547="","",VLOOKUP(M547,'Budget-S&amp;U Codes Lookup'!$E$26:$F$45,2,FALSE))</f>
        <v/>
      </c>
      <c r="P547" s="186"/>
    </row>
    <row r="548" spans="1:16" hidden="1">
      <c r="A548" s="81"/>
      <c r="B548" s="82" t="str">
        <f>IFERROR(VLOOKUP(A548,'Budget-S&amp;U Codes Lookup'!$A$7:$B$550,2,FALSE),"")</f>
        <v/>
      </c>
      <c r="C548" s="993"/>
      <c r="D548" s="118"/>
      <c r="E548" s="131"/>
      <c r="F548" s="126"/>
      <c r="G548" s="126"/>
      <c r="H548" s="125">
        <f t="shared" si="8"/>
        <v>0</v>
      </c>
      <c r="I548" s="191"/>
      <c r="J548" s="268"/>
      <c r="K548" s="182" t="str">
        <f>IFERROR(VLOOKUP(A548,'Budget-S&amp;U Codes Lookup'!$A$7:$C$550,3,FALSE),"")</f>
        <v/>
      </c>
      <c r="L548" s="1041"/>
      <c r="M548" s="753"/>
      <c r="N548" s="3" t="str">
        <f>IF(M548="","",VLOOKUP(M548,'Budget-S&amp;U Codes Lookup'!$E$26:$F$45,2,FALSE))</f>
        <v/>
      </c>
      <c r="P548" s="186"/>
    </row>
    <row r="549" spans="1:16" hidden="1">
      <c r="A549" s="81"/>
      <c r="B549" s="82" t="str">
        <f>IFERROR(VLOOKUP(A549,'Budget-S&amp;U Codes Lookup'!$A$7:$B$550,2,FALSE),"")</f>
        <v/>
      </c>
      <c r="C549" s="993"/>
      <c r="D549" s="118"/>
      <c r="E549" s="131"/>
      <c r="F549" s="126"/>
      <c r="G549" s="126"/>
      <c r="H549" s="125">
        <f t="shared" si="8"/>
        <v>0</v>
      </c>
      <c r="I549" s="191"/>
      <c r="J549" s="268"/>
      <c r="K549" s="182" t="str">
        <f>IFERROR(VLOOKUP(A549,'Budget-S&amp;U Codes Lookup'!$A$7:$C$550,3,FALSE),"")</f>
        <v/>
      </c>
      <c r="L549" s="1041"/>
      <c r="M549" s="753"/>
      <c r="N549" s="3" t="str">
        <f>IF(M549="","",VLOOKUP(M549,'Budget-S&amp;U Codes Lookup'!$E$26:$F$45,2,FALSE))</f>
        <v/>
      </c>
      <c r="P549" s="186"/>
    </row>
    <row r="550" spans="1:16" hidden="1">
      <c r="A550" s="81"/>
      <c r="B550" s="82" t="str">
        <f>IFERROR(VLOOKUP(A550,'Budget-S&amp;U Codes Lookup'!$A$7:$B$550,2,FALSE),"")</f>
        <v/>
      </c>
      <c r="C550" s="993"/>
      <c r="D550" s="118"/>
      <c r="E550" s="131"/>
      <c r="F550" s="126"/>
      <c r="G550" s="126"/>
      <c r="H550" s="125">
        <f t="shared" si="8"/>
        <v>0</v>
      </c>
      <c r="I550" s="191"/>
      <c r="J550" s="268"/>
      <c r="K550" s="182" t="str">
        <f>IFERROR(VLOOKUP(A550,'Budget-S&amp;U Codes Lookup'!$A$7:$C$550,3,FALSE),"")</f>
        <v/>
      </c>
      <c r="L550" s="1041"/>
      <c r="M550" s="753"/>
      <c r="N550" s="3" t="str">
        <f>IF(M550="","",VLOOKUP(M550,'Budget-S&amp;U Codes Lookup'!$E$26:$F$45,2,FALSE))</f>
        <v/>
      </c>
      <c r="P550" s="186"/>
    </row>
    <row r="551" spans="1:16" hidden="1">
      <c r="A551" s="81"/>
      <c r="B551" s="82" t="str">
        <f>IFERROR(VLOOKUP(A551,'Budget-S&amp;U Codes Lookup'!$A$7:$B$550,2,FALSE),"")</f>
        <v/>
      </c>
      <c r="C551" s="993"/>
      <c r="D551" s="118"/>
      <c r="E551" s="131"/>
      <c r="F551" s="126"/>
      <c r="G551" s="126"/>
      <c r="H551" s="125">
        <f t="shared" si="8"/>
        <v>0</v>
      </c>
      <c r="I551" s="191"/>
      <c r="J551" s="268"/>
      <c r="K551" s="182" t="str">
        <f>IFERROR(VLOOKUP(A551,'Budget-S&amp;U Codes Lookup'!$A$7:$C$550,3,FALSE),"")</f>
        <v/>
      </c>
      <c r="L551" s="1041"/>
      <c r="M551" s="753"/>
      <c r="N551" s="3" t="str">
        <f>IF(M551="","",VLOOKUP(M551,'Budget-S&amp;U Codes Lookup'!$E$26:$F$45,2,FALSE))</f>
        <v/>
      </c>
      <c r="P551" s="186"/>
    </row>
    <row r="552" spans="1:16" hidden="1">
      <c r="A552" s="81"/>
      <c r="B552" s="82" t="str">
        <f>IFERROR(VLOOKUP(A552,'Budget-S&amp;U Codes Lookup'!$A$7:$B$550,2,FALSE),"")</f>
        <v/>
      </c>
      <c r="C552" s="993"/>
      <c r="D552" s="118"/>
      <c r="E552" s="131"/>
      <c r="F552" s="126"/>
      <c r="G552" s="126"/>
      <c r="H552" s="125">
        <f t="shared" si="8"/>
        <v>0</v>
      </c>
      <c r="I552" s="191"/>
      <c r="J552" s="268"/>
      <c r="K552" s="182" t="str">
        <f>IFERROR(VLOOKUP(A552,'Budget-S&amp;U Codes Lookup'!$A$7:$C$550,3,FALSE),"")</f>
        <v/>
      </c>
      <c r="L552" s="1041"/>
      <c r="M552" s="753"/>
      <c r="N552" s="3" t="str">
        <f>IF(M552="","",VLOOKUP(M552,'Budget-S&amp;U Codes Lookup'!$E$26:$F$45,2,FALSE))</f>
        <v/>
      </c>
      <c r="P552" s="186"/>
    </row>
    <row r="553" spans="1:16" hidden="1">
      <c r="A553" s="81"/>
      <c r="B553" s="82" t="str">
        <f>IFERROR(VLOOKUP(A553,'Budget-S&amp;U Codes Lookup'!$A$7:$B$550,2,FALSE),"")</f>
        <v/>
      </c>
      <c r="C553" s="993"/>
      <c r="D553" s="118"/>
      <c r="E553" s="131"/>
      <c r="F553" s="126"/>
      <c r="G553" s="126"/>
      <c r="H553" s="125">
        <f t="shared" si="8"/>
        <v>0</v>
      </c>
      <c r="I553" s="191"/>
      <c r="J553" s="268"/>
      <c r="K553" s="182" t="str">
        <f>IFERROR(VLOOKUP(A553,'Budget-S&amp;U Codes Lookup'!$A$7:$C$550,3,FALSE),"")</f>
        <v/>
      </c>
      <c r="L553" s="1041"/>
      <c r="M553" s="753"/>
      <c r="N553" s="3" t="str">
        <f>IF(M553="","",VLOOKUP(M553,'Budget-S&amp;U Codes Lookup'!$E$26:$F$45,2,FALSE))</f>
        <v/>
      </c>
      <c r="P553" s="186"/>
    </row>
    <row r="554" spans="1:16" hidden="1">
      <c r="A554" s="81"/>
      <c r="B554" s="82" t="str">
        <f>IFERROR(VLOOKUP(A554,'Budget-S&amp;U Codes Lookup'!$A$7:$B$550,2,FALSE),"")</f>
        <v/>
      </c>
      <c r="C554" s="993"/>
      <c r="D554" s="118"/>
      <c r="E554" s="131"/>
      <c r="F554" s="126"/>
      <c r="G554" s="126"/>
      <c r="H554" s="125">
        <f t="shared" si="8"/>
        <v>0</v>
      </c>
      <c r="I554" s="191"/>
      <c r="J554" s="268"/>
      <c r="K554" s="182" t="str">
        <f>IFERROR(VLOOKUP(A554,'Budget-S&amp;U Codes Lookup'!$A$7:$C$550,3,FALSE),"")</f>
        <v/>
      </c>
      <c r="L554" s="1041"/>
      <c r="M554" s="753"/>
      <c r="N554" s="3" t="str">
        <f>IF(M554="","",VLOOKUP(M554,'Budget-S&amp;U Codes Lookup'!$E$26:$F$45,2,FALSE))</f>
        <v/>
      </c>
      <c r="P554" s="186"/>
    </row>
    <row r="555" spans="1:16" hidden="1">
      <c r="A555" s="81"/>
      <c r="B555" s="82" t="str">
        <f>IFERROR(VLOOKUP(A555,'Budget-S&amp;U Codes Lookup'!$A$7:$B$550,2,FALSE),"")</f>
        <v/>
      </c>
      <c r="C555" s="993"/>
      <c r="D555" s="118"/>
      <c r="E555" s="131"/>
      <c r="F555" s="126"/>
      <c r="G555" s="126"/>
      <c r="H555" s="125">
        <f t="shared" si="8"/>
        <v>0</v>
      </c>
      <c r="I555" s="191"/>
      <c r="J555" s="268"/>
      <c r="K555" s="182" t="str">
        <f>IFERROR(VLOOKUP(A555,'Budget-S&amp;U Codes Lookup'!$A$7:$C$550,3,FALSE),"")</f>
        <v/>
      </c>
      <c r="L555" s="1041"/>
      <c r="M555" s="753"/>
      <c r="N555" s="3" t="str">
        <f>IF(M555="","",VLOOKUP(M555,'Budget-S&amp;U Codes Lookup'!$E$26:$F$45,2,FALSE))</f>
        <v/>
      </c>
      <c r="P555" s="186"/>
    </row>
    <row r="556" spans="1:16" hidden="1">
      <c r="A556" s="81"/>
      <c r="B556" s="82" t="str">
        <f>IFERROR(VLOOKUP(A556,'Budget-S&amp;U Codes Lookup'!$A$7:$B$550,2,FALSE),"")</f>
        <v/>
      </c>
      <c r="C556" s="993"/>
      <c r="D556" s="118"/>
      <c r="E556" s="131"/>
      <c r="F556" s="126"/>
      <c r="G556" s="126"/>
      <c r="H556" s="125">
        <f t="shared" si="8"/>
        <v>0</v>
      </c>
      <c r="I556" s="191"/>
      <c r="J556" s="268"/>
      <c r="K556" s="182" t="str">
        <f>IFERROR(VLOOKUP(A556,'Budget-S&amp;U Codes Lookup'!$A$7:$C$550,3,FALSE),"")</f>
        <v/>
      </c>
      <c r="L556" s="1041"/>
      <c r="M556" s="753"/>
      <c r="N556" s="3" t="str">
        <f>IF(M556="","",VLOOKUP(M556,'Budget-S&amp;U Codes Lookup'!$E$26:$F$45,2,FALSE))</f>
        <v/>
      </c>
      <c r="P556" s="186"/>
    </row>
    <row r="557" spans="1:16" hidden="1">
      <c r="A557" s="81"/>
      <c r="B557" s="82" t="str">
        <f>IFERROR(VLOOKUP(A557,'Budget-S&amp;U Codes Lookup'!$A$7:$B$550,2,FALSE),"")</f>
        <v/>
      </c>
      <c r="C557" s="993"/>
      <c r="D557" s="118"/>
      <c r="E557" s="131"/>
      <c r="F557" s="126"/>
      <c r="G557" s="126"/>
      <c r="H557" s="125">
        <f t="shared" si="8"/>
        <v>0</v>
      </c>
      <c r="I557" s="191"/>
      <c r="J557" s="268"/>
      <c r="K557" s="182" t="str">
        <f>IFERROR(VLOOKUP(A557,'Budget-S&amp;U Codes Lookup'!$A$7:$C$550,3,FALSE),"")</f>
        <v/>
      </c>
      <c r="L557" s="1041"/>
      <c r="M557" s="753"/>
      <c r="N557" s="3" t="str">
        <f>IF(M557="","",VLOOKUP(M557,'Budget-S&amp;U Codes Lookup'!$E$26:$F$45,2,FALSE))</f>
        <v/>
      </c>
      <c r="P557" s="186"/>
    </row>
    <row r="558" spans="1:16" hidden="1">
      <c r="A558" s="81"/>
      <c r="B558" s="82" t="str">
        <f>IFERROR(VLOOKUP(A558,'Budget-S&amp;U Codes Lookup'!$A$7:$B$550,2,FALSE),"")</f>
        <v/>
      </c>
      <c r="C558" s="993"/>
      <c r="D558" s="118"/>
      <c r="E558" s="131"/>
      <c r="F558" s="126"/>
      <c r="G558" s="126"/>
      <c r="H558" s="125">
        <f t="shared" si="8"/>
        <v>0</v>
      </c>
      <c r="I558" s="191"/>
      <c r="J558" s="268"/>
      <c r="K558" s="182" t="str">
        <f>IFERROR(VLOOKUP(A558,'Budget-S&amp;U Codes Lookup'!$A$7:$C$550,3,FALSE),"")</f>
        <v/>
      </c>
      <c r="L558" s="1041"/>
      <c r="M558" s="753"/>
      <c r="N558" s="3" t="str">
        <f>IF(M558="","",VLOOKUP(M558,'Budget-S&amp;U Codes Lookup'!$E$26:$F$45,2,FALSE))</f>
        <v/>
      </c>
      <c r="P558" s="186"/>
    </row>
    <row r="559" spans="1:16" hidden="1">
      <c r="A559" s="81"/>
      <c r="B559" s="82" t="str">
        <f>IFERROR(VLOOKUP(A559,'Budget-S&amp;U Codes Lookup'!$A$7:$B$550,2,FALSE),"")</f>
        <v/>
      </c>
      <c r="C559" s="993"/>
      <c r="D559" s="118"/>
      <c r="E559" s="131"/>
      <c r="F559" s="126"/>
      <c r="G559" s="126"/>
      <c r="H559" s="125">
        <f t="shared" si="8"/>
        <v>0</v>
      </c>
      <c r="I559" s="191"/>
      <c r="J559" s="268"/>
      <c r="K559" s="182" t="str">
        <f>IFERROR(VLOOKUP(A559,'Budget-S&amp;U Codes Lookup'!$A$7:$C$550,3,FALSE),"")</f>
        <v/>
      </c>
      <c r="L559" s="1041"/>
      <c r="M559" s="753"/>
      <c r="N559" s="3" t="str">
        <f>IF(M559="","",VLOOKUP(M559,'Budget-S&amp;U Codes Lookup'!$E$26:$F$45,2,FALSE))</f>
        <v/>
      </c>
      <c r="P559" s="186"/>
    </row>
    <row r="560" spans="1:16" hidden="1">
      <c r="A560" s="81"/>
      <c r="B560" s="82" t="str">
        <f>IFERROR(VLOOKUP(A560,'Budget-S&amp;U Codes Lookup'!$A$7:$B$550,2,FALSE),"")</f>
        <v/>
      </c>
      <c r="C560" s="993"/>
      <c r="D560" s="118"/>
      <c r="E560" s="131"/>
      <c r="F560" s="126"/>
      <c r="G560" s="126"/>
      <c r="H560" s="125">
        <f t="shared" si="8"/>
        <v>0</v>
      </c>
      <c r="I560" s="191"/>
      <c r="J560" s="268"/>
      <c r="K560" s="182" t="str">
        <f>IFERROR(VLOOKUP(A560,'Budget-S&amp;U Codes Lookup'!$A$7:$C$550,3,FALSE),"")</f>
        <v/>
      </c>
      <c r="L560" s="1041"/>
      <c r="M560" s="753"/>
      <c r="N560" s="3" t="str">
        <f>IF(M560="","",VLOOKUP(M560,'Budget-S&amp;U Codes Lookup'!$E$26:$F$45,2,FALSE))</f>
        <v/>
      </c>
      <c r="P560" s="186"/>
    </row>
    <row r="561" spans="1:16" hidden="1">
      <c r="A561" s="81"/>
      <c r="B561" s="82" t="str">
        <f>IFERROR(VLOOKUP(A561,'Budget-S&amp;U Codes Lookup'!$A$7:$B$550,2,FALSE),"")</f>
        <v/>
      </c>
      <c r="C561" s="993"/>
      <c r="D561" s="118"/>
      <c r="E561" s="131"/>
      <c r="F561" s="126"/>
      <c r="G561" s="126"/>
      <c r="H561" s="125">
        <f t="shared" si="8"/>
        <v>0</v>
      </c>
      <c r="I561" s="191"/>
      <c r="J561" s="268"/>
      <c r="K561" s="182" t="str">
        <f>IFERROR(VLOOKUP(A561,'Budget-S&amp;U Codes Lookup'!$A$7:$C$550,3,FALSE),"")</f>
        <v/>
      </c>
      <c r="L561" s="1041"/>
      <c r="M561" s="753"/>
      <c r="N561" s="3" t="str">
        <f>IF(M561="","",VLOOKUP(M561,'Budget-S&amp;U Codes Lookup'!$E$26:$F$45,2,FALSE))</f>
        <v/>
      </c>
      <c r="P561" s="186"/>
    </row>
    <row r="562" spans="1:16" hidden="1">
      <c r="A562" s="81"/>
      <c r="B562" s="82" t="str">
        <f>IFERROR(VLOOKUP(A562,'Budget-S&amp;U Codes Lookup'!$A$7:$B$550,2,FALSE),"")</f>
        <v/>
      </c>
      <c r="C562" s="993"/>
      <c r="D562" s="118"/>
      <c r="E562" s="131"/>
      <c r="F562" s="126"/>
      <c r="G562" s="126"/>
      <c r="H562" s="125">
        <f t="shared" si="8"/>
        <v>0</v>
      </c>
      <c r="I562" s="191"/>
      <c r="J562" s="268"/>
      <c r="K562" s="182" t="str">
        <f>IFERROR(VLOOKUP(A562,'Budget-S&amp;U Codes Lookup'!$A$7:$C$550,3,FALSE),"")</f>
        <v/>
      </c>
      <c r="L562" s="1041"/>
      <c r="M562" s="753"/>
      <c r="N562" s="3" t="str">
        <f>IF(M562="","",VLOOKUP(M562,'Budget-S&amp;U Codes Lookup'!$E$26:$F$45,2,FALSE))</f>
        <v/>
      </c>
      <c r="P562" s="186"/>
    </row>
    <row r="563" spans="1:16" hidden="1">
      <c r="A563" s="81"/>
      <c r="B563" s="82" t="str">
        <f>IFERROR(VLOOKUP(A563,'Budget-S&amp;U Codes Lookup'!$A$7:$B$550,2,FALSE),"")</f>
        <v/>
      </c>
      <c r="C563" s="993"/>
      <c r="D563" s="118"/>
      <c r="E563" s="131"/>
      <c r="F563" s="126"/>
      <c r="G563" s="126"/>
      <c r="H563" s="125">
        <f t="shared" si="8"/>
        <v>0</v>
      </c>
      <c r="I563" s="191"/>
      <c r="J563" s="268"/>
      <c r="K563" s="182" t="str">
        <f>IFERROR(VLOOKUP(A563,'Budget-S&amp;U Codes Lookup'!$A$7:$C$550,3,FALSE),"")</f>
        <v/>
      </c>
      <c r="L563" s="1041"/>
      <c r="M563" s="753"/>
      <c r="N563" s="3" t="str">
        <f>IF(M563="","",VLOOKUP(M563,'Budget-S&amp;U Codes Lookup'!$E$26:$F$45,2,FALSE))</f>
        <v/>
      </c>
      <c r="P563" s="186"/>
    </row>
    <row r="564" spans="1:16" hidden="1">
      <c r="A564" s="81"/>
      <c r="B564" s="82" t="str">
        <f>IFERROR(VLOOKUP(A564,'Budget-S&amp;U Codes Lookup'!$A$7:$B$550,2,FALSE),"")</f>
        <v/>
      </c>
      <c r="C564" s="993"/>
      <c r="D564" s="118"/>
      <c r="E564" s="131"/>
      <c r="F564" s="126"/>
      <c r="G564" s="126"/>
      <c r="H564" s="125">
        <f t="shared" si="8"/>
        <v>0</v>
      </c>
      <c r="I564" s="191"/>
      <c r="J564" s="268"/>
      <c r="K564" s="182" t="str">
        <f>IFERROR(VLOOKUP(A564,'Budget-S&amp;U Codes Lookup'!$A$7:$C$550,3,FALSE),"")</f>
        <v/>
      </c>
      <c r="L564" s="1041"/>
      <c r="M564" s="753"/>
      <c r="N564" s="3" t="str">
        <f>IF(M564="","",VLOOKUP(M564,'Budget-S&amp;U Codes Lookup'!$E$26:$F$45,2,FALSE))</f>
        <v/>
      </c>
      <c r="P564" s="186"/>
    </row>
    <row r="565" spans="1:16" hidden="1">
      <c r="A565" s="81"/>
      <c r="B565" s="82" t="str">
        <f>IFERROR(VLOOKUP(A565,'Budget-S&amp;U Codes Lookup'!$A$7:$B$550,2,FALSE),"")</f>
        <v/>
      </c>
      <c r="C565" s="993"/>
      <c r="D565" s="118"/>
      <c r="E565" s="131"/>
      <c r="F565" s="126"/>
      <c r="G565" s="126"/>
      <c r="H565" s="125">
        <f t="shared" si="8"/>
        <v>0</v>
      </c>
      <c r="I565" s="191"/>
      <c r="J565" s="268"/>
      <c r="K565" s="182" t="str">
        <f>IFERROR(VLOOKUP(A565,'Budget-S&amp;U Codes Lookup'!$A$7:$C$550,3,FALSE),"")</f>
        <v/>
      </c>
      <c r="L565" s="1041"/>
      <c r="M565" s="753"/>
      <c r="N565" s="3" t="str">
        <f>IF(M565="","",VLOOKUP(M565,'Budget-S&amp;U Codes Lookup'!$E$26:$F$45,2,FALSE))</f>
        <v/>
      </c>
      <c r="P565" s="186"/>
    </row>
    <row r="566" spans="1:16" hidden="1">
      <c r="A566" s="81"/>
      <c r="B566" s="82" t="str">
        <f>IFERROR(VLOOKUP(A566,'Budget-S&amp;U Codes Lookup'!$A$7:$B$550,2,FALSE),"")</f>
        <v/>
      </c>
      <c r="C566" s="993"/>
      <c r="D566" s="118"/>
      <c r="E566" s="131"/>
      <c r="F566" s="126"/>
      <c r="G566" s="126"/>
      <c r="H566" s="125">
        <f t="shared" si="8"/>
        <v>0</v>
      </c>
      <c r="I566" s="191"/>
      <c r="J566" s="268"/>
      <c r="K566" s="182" t="str">
        <f>IFERROR(VLOOKUP(A566,'Budget-S&amp;U Codes Lookup'!$A$7:$C$550,3,FALSE),"")</f>
        <v/>
      </c>
      <c r="L566" s="1041"/>
      <c r="M566" s="753"/>
      <c r="N566" s="3" t="str">
        <f>IF(M566="","",VLOOKUP(M566,'Budget-S&amp;U Codes Lookup'!$E$26:$F$45,2,FALSE))</f>
        <v/>
      </c>
      <c r="P566" s="186"/>
    </row>
    <row r="567" spans="1:16" hidden="1">
      <c r="A567" s="81"/>
      <c r="B567" s="82" t="str">
        <f>IFERROR(VLOOKUP(A567,'Budget-S&amp;U Codes Lookup'!$A$7:$B$550,2,FALSE),"")</f>
        <v/>
      </c>
      <c r="C567" s="993"/>
      <c r="D567" s="118"/>
      <c r="E567" s="131"/>
      <c r="F567" s="126"/>
      <c r="G567" s="126"/>
      <c r="H567" s="125">
        <f t="shared" si="8"/>
        <v>0</v>
      </c>
      <c r="I567" s="191"/>
      <c r="J567" s="268"/>
      <c r="K567" s="182" t="str">
        <f>IFERROR(VLOOKUP(A567,'Budget-S&amp;U Codes Lookup'!$A$7:$C$550,3,FALSE),"")</f>
        <v/>
      </c>
      <c r="L567" s="1041"/>
      <c r="M567" s="753"/>
      <c r="N567" s="3" t="str">
        <f>IF(M567="","",VLOOKUP(M567,'Budget-S&amp;U Codes Lookup'!$E$26:$F$45,2,FALSE))</f>
        <v/>
      </c>
      <c r="P567" s="186"/>
    </row>
    <row r="568" spans="1:16" hidden="1">
      <c r="A568" s="81"/>
      <c r="B568" s="82" t="str">
        <f>IFERROR(VLOOKUP(A568,'Budget-S&amp;U Codes Lookup'!$A$7:$B$550,2,FALSE),"")</f>
        <v/>
      </c>
      <c r="C568" s="993"/>
      <c r="D568" s="118"/>
      <c r="E568" s="131"/>
      <c r="F568" s="126"/>
      <c r="G568" s="126"/>
      <c r="H568" s="125">
        <f t="shared" si="8"/>
        <v>0</v>
      </c>
      <c r="I568" s="191"/>
      <c r="J568" s="268"/>
      <c r="K568" s="182" t="str">
        <f>IFERROR(VLOOKUP(A568,'Budget-S&amp;U Codes Lookup'!$A$7:$C$550,3,FALSE),"")</f>
        <v/>
      </c>
      <c r="L568" s="1041"/>
      <c r="M568" s="753"/>
      <c r="N568" s="3" t="str">
        <f>IF(M568="","",VLOOKUP(M568,'Budget-S&amp;U Codes Lookup'!$E$26:$F$45,2,FALSE))</f>
        <v/>
      </c>
      <c r="P568" s="186"/>
    </row>
    <row r="569" spans="1:16" hidden="1">
      <c r="A569" s="81"/>
      <c r="B569" s="82" t="str">
        <f>IFERROR(VLOOKUP(A569,'Budget-S&amp;U Codes Lookup'!$A$7:$B$550,2,FALSE),"")</f>
        <v/>
      </c>
      <c r="C569" s="993"/>
      <c r="D569" s="118"/>
      <c r="E569" s="131"/>
      <c r="F569" s="126"/>
      <c r="G569" s="126"/>
      <c r="H569" s="125">
        <f t="shared" si="8"/>
        <v>0</v>
      </c>
      <c r="I569" s="191"/>
      <c r="J569" s="268"/>
      <c r="K569" s="182" t="str">
        <f>IFERROR(VLOOKUP(A569,'Budget-S&amp;U Codes Lookup'!$A$7:$C$550,3,FALSE),"")</f>
        <v/>
      </c>
      <c r="L569" s="1041"/>
      <c r="M569" s="753"/>
      <c r="N569" s="3" t="str">
        <f>IF(M569="","",VLOOKUP(M569,'Budget-S&amp;U Codes Lookup'!$E$26:$F$45,2,FALSE))</f>
        <v/>
      </c>
      <c r="P569" s="186"/>
    </row>
    <row r="570" spans="1:16" hidden="1">
      <c r="A570" s="81"/>
      <c r="B570" s="82" t="str">
        <f>IFERROR(VLOOKUP(A570,'Budget-S&amp;U Codes Lookup'!$A$7:$B$550,2,FALSE),"")</f>
        <v/>
      </c>
      <c r="C570" s="993"/>
      <c r="D570" s="118"/>
      <c r="E570" s="131"/>
      <c r="F570" s="126"/>
      <c r="G570" s="126"/>
      <c r="H570" s="125">
        <f t="shared" si="8"/>
        <v>0</v>
      </c>
      <c r="I570" s="191"/>
      <c r="J570" s="268"/>
      <c r="K570" s="182" t="str">
        <f>IFERROR(VLOOKUP(A570,'Budget-S&amp;U Codes Lookup'!$A$7:$C$550,3,FALSE),"")</f>
        <v/>
      </c>
      <c r="L570" s="1041"/>
      <c r="M570" s="753"/>
      <c r="N570" s="3" t="str">
        <f>IF(M570="","",VLOOKUP(M570,'Budget-S&amp;U Codes Lookup'!$E$26:$F$45,2,FALSE))</f>
        <v/>
      </c>
      <c r="P570" s="186"/>
    </row>
    <row r="571" spans="1:16" hidden="1">
      <c r="A571" s="81"/>
      <c r="B571" s="82" t="str">
        <f>IFERROR(VLOOKUP(A571,'Budget-S&amp;U Codes Lookup'!$A$7:$B$550,2,FALSE),"")</f>
        <v/>
      </c>
      <c r="C571" s="993"/>
      <c r="D571" s="118"/>
      <c r="E571" s="131"/>
      <c r="F571" s="126"/>
      <c r="G571" s="126"/>
      <c r="H571" s="125">
        <f t="shared" si="8"/>
        <v>0</v>
      </c>
      <c r="I571" s="191"/>
      <c r="J571" s="268"/>
      <c r="K571" s="182" t="str">
        <f>IFERROR(VLOOKUP(A571,'Budget-S&amp;U Codes Lookup'!$A$7:$C$550,3,FALSE),"")</f>
        <v/>
      </c>
      <c r="L571" s="1041"/>
      <c r="M571" s="753"/>
      <c r="N571" s="3" t="str">
        <f>IF(M571="","",VLOOKUP(M571,'Budget-S&amp;U Codes Lookup'!$E$26:$F$45,2,FALSE))</f>
        <v/>
      </c>
      <c r="P571" s="186"/>
    </row>
    <row r="572" spans="1:16" hidden="1">
      <c r="A572" s="81"/>
      <c r="B572" s="82" t="str">
        <f>IFERROR(VLOOKUP(A572,'Budget-S&amp;U Codes Lookup'!$A$7:$B$550,2,FALSE),"")</f>
        <v/>
      </c>
      <c r="C572" s="993"/>
      <c r="D572" s="118"/>
      <c r="E572" s="131"/>
      <c r="F572" s="126"/>
      <c r="G572" s="126"/>
      <c r="H572" s="125">
        <f t="shared" si="8"/>
        <v>0</v>
      </c>
      <c r="I572" s="191"/>
      <c r="J572" s="268"/>
      <c r="K572" s="182" t="str">
        <f>IFERROR(VLOOKUP(A572,'Budget-S&amp;U Codes Lookup'!$A$7:$C$550,3,FALSE),"")</f>
        <v/>
      </c>
      <c r="L572" s="1041"/>
      <c r="M572" s="753"/>
      <c r="N572" s="3" t="str">
        <f>IF(M572="","",VLOOKUP(M572,'Budget-S&amp;U Codes Lookup'!$E$26:$F$45,2,FALSE))</f>
        <v/>
      </c>
      <c r="P572" s="186"/>
    </row>
    <row r="573" spans="1:16" hidden="1">
      <c r="A573" s="81"/>
      <c r="B573" s="82" t="str">
        <f>IFERROR(VLOOKUP(A573,'Budget-S&amp;U Codes Lookup'!$A$7:$B$550,2,FALSE),"")</f>
        <v/>
      </c>
      <c r="C573" s="993"/>
      <c r="D573" s="118"/>
      <c r="E573" s="131"/>
      <c r="F573" s="126"/>
      <c r="G573" s="126"/>
      <c r="H573" s="125">
        <f t="shared" si="8"/>
        <v>0</v>
      </c>
      <c r="I573" s="191"/>
      <c r="J573" s="268"/>
      <c r="K573" s="182" t="str">
        <f>IFERROR(VLOOKUP(A573,'Budget-S&amp;U Codes Lookup'!$A$7:$C$550,3,FALSE),"")</f>
        <v/>
      </c>
      <c r="L573" s="1041"/>
      <c r="M573" s="753"/>
      <c r="N573" s="3" t="str">
        <f>IF(M573="","",VLOOKUP(M573,'Budget-S&amp;U Codes Lookup'!$E$26:$F$45,2,FALSE))</f>
        <v/>
      </c>
      <c r="P573" s="186"/>
    </row>
    <row r="574" spans="1:16" hidden="1">
      <c r="A574" s="81"/>
      <c r="B574" s="82" t="str">
        <f>IFERROR(VLOOKUP(A574,'Budget-S&amp;U Codes Lookup'!$A$7:$B$550,2,FALSE),"")</f>
        <v/>
      </c>
      <c r="C574" s="993"/>
      <c r="D574" s="118"/>
      <c r="E574" s="131"/>
      <c r="F574" s="126"/>
      <c r="G574" s="126"/>
      <c r="H574" s="125">
        <f t="shared" si="8"/>
        <v>0</v>
      </c>
      <c r="I574" s="191"/>
      <c r="J574" s="268"/>
      <c r="K574" s="182" t="str">
        <f>IFERROR(VLOOKUP(A574,'Budget-S&amp;U Codes Lookup'!$A$7:$C$550,3,FALSE),"")</f>
        <v/>
      </c>
      <c r="L574" s="1041"/>
      <c r="M574" s="753"/>
      <c r="N574" s="3" t="str">
        <f>IF(M574="","",VLOOKUP(M574,'Budget-S&amp;U Codes Lookup'!$E$26:$F$45,2,FALSE))</f>
        <v/>
      </c>
      <c r="P574" s="186"/>
    </row>
    <row r="575" spans="1:16" hidden="1">
      <c r="A575" s="81"/>
      <c r="B575" s="82" t="str">
        <f>IFERROR(VLOOKUP(A575,'Budget-S&amp;U Codes Lookup'!$A$7:$B$550,2,FALSE),"")</f>
        <v/>
      </c>
      <c r="C575" s="993"/>
      <c r="D575" s="118"/>
      <c r="E575" s="131"/>
      <c r="F575" s="126"/>
      <c r="G575" s="126"/>
      <c r="H575" s="125">
        <f t="shared" si="8"/>
        <v>0</v>
      </c>
      <c r="I575" s="191"/>
      <c r="J575" s="268"/>
      <c r="K575" s="182" t="str">
        <f>IFERROR(VLOOKUP(A575,'Budget-S&amp;U Codes Lookup'!$A$7:$C$550,3,FALSE),"")</f>
        <v/>
      </c>
      <c r="L575" s="1041"/>
      <c r="M575" s="753"/>
      <c r="N575" s="3" t="str">
        <f>IF(M575="","",VLOOKUP(M575,'Budget-S&amp;U Codes Lookup'!$E$26:$F$45,2,FALSE))</f>
        <v/>
      </c>
      <c r="P575" s="186"/>
    </row>
    <row r="576" spans="1:16" hidden="1">
      <c r="A576" s="81"/>
      <c r="B576" s="82" t="str">
        <f>IFERROR(VLOOKUP(A576,'Budget-S&amp;U Codes Lookup'!$A$7:$B$550,2,FALSE),"")</f>
        <v/>
      </c>
      <c r="C576" s="993"/>
      <c r="D576" s="118"/>
      <c r="E576" s="131"/>
      <c r="F576" s="126"/>
      <c r="G576" s="126"/>
      <c r="H576" s="125">
        <f t="shared" si="8"/>
        <v>0</v>
      </c>
      <c r="I576" s="191"/>
      <c r="J576" s="268"/>
      <c r="K576" s="182" t="str">
        <f>IFERROR(VLOOKUP(A576,'Budget-S&amp;U Codes Lookup'!$A$7:$C$550,3,FALSE),"")</f>
        <v/>
      </c>
      <c r="L576" s="1041"/>
      <c r="M576" s="753"/>
      <c r="N576" s="3" t="str">
        <f>IF(M576="","",VLOOKUP(M576,'Budget-S&amp;U Codes Lookup'!$E$26:$F$45,2,FALSE))</f>
        <v/>
      </c>
      <c r="P576" s="186"/>
    </row>
    <row r="577" spans="1:16" hidden="1">
      <c r="A577" s="81"/>
      <c r="B577" s="82" t="str">
        <f>IFERROR(VLOOKUP(A577,'Budget-S&amp;U Codes Lookup'!$A$7:$B$550,2,FALSE),"")</f>
        <v/>
      </c>
      <c r="C577" s="993"/>
      <c r="D577" s="118"/>
      <c r="E577" s="131"/>
      <c r="F577" s="126"/>
      <c r="G577" s="126"/>
      <c r="H577" s="125">
        <f t="shared" si="8"/>
        <v>0</v>
      </c>
      <c r="I577" s="191"/>
      <c r="J577" s="268"/>
      <c r="K577" s="182" t="str">
        <f>IFERROR(VLOOKUP(A577,'Budget-S&amp;U Codes Lookup'!$A$7:$C$550,3,FALSE),"")</f>
        <v/>
      </c>
      <c r="L577" s="1041"/>
      <c r="M577" s="753"/>
      <c r="N577" s="3" t="str">
        <f>IF(M577="","",VLOOKUP(M577,'Budget-S&amp;U Codes Lookup'!$E$26:$F$45,2,FALSE))</f>
        <v/>
      </c>
      <c r="P577" s="186"/>
    </row>
    <row r="578" spans="1:16" hidden="1">
      <c r="A578" s="81"/>
      <c r="B578" s="82" t="str">
        <f>IFERROR(VLOOKUP(A578,'Budget-S&amp;U Codes Lookup'!$A$7:$B$550,2,FALSE),"")</f>
        <v/>
      </c>
      <c r="C578" s="993"/>
      <c r="D578" s="118"/>
      <c r="E578" s="131"/>
      <c r="F578" s="126"/>
      <c r="G578" s="126"/>
      <c r="H578" s="125">
        <f t="shared" si="8"/>
        <v>0</v>
      </c>
      <c r="I578" s="191"/>
      <c r="J578" s="268"/>
      <c r="K578" s="182" t="str">
        <f>IFERROR(VLOOKUP(A578,'Budget-S&amp;U Codes Lookup'!$A$7:$C$550,3,FALSE),"")</f>
        <v/>
      </c>
      <c r="L578" s="1041"/>
      <c r="M578" s="753"/>
      <c r="N578" s="3" t="str">
        <f>IF(M578="","",VLOOKUP(M578,'Budget-S&amp;U Codes Lookup'!$E$26:$F$45,2,FALSE))</f>
        <v/>
      </c>
      <c r="P578" s="186"/>
    </row>
    <row r="579" spans="1:16" hidden="1">
      <c r="A579" s="81"/>
      <c r="B579" s="82" t="str">
        <f>IFERROR(VLOOKUP(A579,'Budget-S&amp;U Codes Lookup'!$A$7:$B$550,2,FALSE),"")</f>
        <v/>
      </c>
      <c r="C579" s="993"/>
      <c r="D579" s="118"/>
      <c r="E579" s="131"/>
      <c r="F579" s="126"/>
      <c r="G579" s="126"/>
      <c r="H579" s="125">
        <f t="shared" si="8"/>
        <v>0</v>
      </c>
      <c r="I579" s="191"/>
      <c r="J579" s="268"/>
      <c r="K579" s="182" t="str">
        <f>IFERROR(VLOOKUP(A579,'Budget-S&amp;U Codes Lookup'!$A$7:$C$550,3,FALSE),"")</f>
        <v/>
      </c>
      <c r="L579" s="1041"/>
      <c r="M579" s="753"/>
      <c r="N579" s="3" t="str">
        <f>IF(M579="","",VLOOKUP(M579,'Budget-S&amp;U Codes Lookup'!$E$26:$F$45,2,FALSE))</f>
        <v/>
      </c>
      <c r="P579" s="186"/>
    </row>
    <row r="580" spans="1:16" hidden="1">
      <c r="A580" s="81"/>
      <c r="B580" s="82" t="str">
        <f>IFERROR(VLOOKUP(A580,'Budget-S&amp;U Codes Lookup'!$A$7:$B$550,2,FALSE),"")</f>
        <v/>
      </c>
      <c r="C580" s="993"/>
      <c r="D580" s="118"/>
      <c r="E580" s="131"/>
      <c r="F580" s="126"/>
      <c r="G580" s="126"/>
      <c r="H580" s="125">
        <f t="shared" si="8"/>
        <v>0</v>
      </c>
      <c r="I580" s="191"/>
      <c r="J580" s="268"/>
      <c r="K580" s="182" t="str">
        <f>IFERROR(VLOOKUP(A580,'Budget-S&amp;U Codes Lookup'!$A$7:$C$550,3,FALSE),"")</f>
        <v/>
      </c>
      <c r="L580" s="1041"/>
      <c r="M580" s="753"/>
      <c r="N580" s="3" t="str">
        <f>IF(M580="","",VLOOKUP(M580,'Budget-S&amp;U Codes Lookup'!$E$26:$F$45,2,FALSE))</f>
        <v/>
      </c>
      <c r="P580" s="186"/>
    </row>
    <row r="581" spans="1:16" hidden="1">
      <c r="A581" s="81"/>
      <c r="B581" s="82" t="str">
        <f>IFERROR(VLOOKUP(A581,'Budget-S&amp;U Codes Lookup'!$A$7:$B$550,2,FALSE),"")</f>
        <v/>
      </c>
      <c r="C581" s="993"/>
      <c r="D581" s="118"/>
      <c r="E581" s="131"/>
      <c r="F581" s="126"/>
      <c r="G581" s="126"/>
      <c r="H581" s="125">
        <f t="shared" si="8"/>
        <v>0</v>
      </c>
      <c r="I581" s="191"/>
      <c r="J581" s="268"/>
      <c r="K581" s="182" t="str">
        <f>IFERROR(VLOOKUP(A581,'Budget-S&amp;U Codes Lookup'!$A$7:$C$550,3,FALSE),"")</f>
        <v/>
      </c>
      <c r="L581" s="1041"/>
      <c r="M581" s="753"/>
      <c r="N581" s="3" t="str">
        <f>IF(M581="","",VLOOKUP(M581,'Budget-S&amp;U Codes Lookup'!$E$26:$F$45,2,FALSE))</f>
        <v/>
      </c>
      <c r="P581" s="186"/>
    </row>
    <row r="582" spans="1:16" hidden="1">
      <c r="A582" s="81"/>
      <c r="B582" s="82" t="str">
        <f>IFERROR(VLOOKUP(A582,'Budget-S&amp;U Codes Lookup'!$A$7:$B$550,2,FALSE),"")</f>
        <v/>
      </c>
      <c r="C582" s="993"/>
      <c r="D582" s="118"/>
      <c r="E582" s="131"/>
      <c r="F582" s="126"/>
      <c r="G582" s="126"/>
      <c r="H582" s="125">
        <f t="shared" si="8"/>
        <v>0</v>
      </c>
      <c r="I582" s="191"/>
      <c r="J582" s="268"/>
      <c r="K582" s="182" t="str">
        <f>IFERROR(VLOOKUP(A582,'Budget-S&amp;U Codes Lookup'!$A$7:$C$550,3,FALSE),"")</f>
        <v/>
      </c>
      <c r="L582" s="1041"/>
      <c r="M582" s="753"/>
      <c r="N582" s="3" t="str">
        <f>IF(M582="","",VLOOKUP(M582,'Budget-S&amp;U Codes Lookup'!$E$26:$F$45,2,FALSE))</f>
        <v/>
      </c>
      <c r="P582" s="186"/>
    </row>
    <row r="583" spans="1:16" hidden="1">
      <c r="A583" s="81"/>
      <c r="B583" s="82" t="str">
        <f>IFERROR(VLOOKUP(A583,'Budget-S&amp;U Codes Lookup'!$A$7:$B$550,2,FALSE),"")</f>
        <v/>
      </c>
      <c r="C583" s="993"/>
      <c r="D583" s="118"/>
      <c r="E583" s="131"/>
      <c r="F583" s="126"/>
      <c r="G583" s="126"/>
      <c r="H583" s="125">
        <f t="shared" si="8"/>
        <v>0</v>
      </c>
      <c r="I583" s="191"/>
      <c r="J583" s="268"/>
      <c r="K583" s="182" t="str">
        <f>IFERROR(VLOOKUP(A583,'Budget-S&amp;U Codes Lookup'!$A$7:$C$550,3,FALSE),"")</f>
        <v/>
      </c>
      <c r="L583" s="1041"/>
      <c r="M583" s="753"/>
      <c r="N583" s="3" t="str">
        <f>IF(M583="","",VLOOKUP(M583,'Budget-S&amp;U Codes Lookup'!$E$26:$F$45,2,FALSE))</f>
        <v/>
      </c>
      <c r="P583" s="186"/>
    </row>
    <row r="584" spans="1:16" hidden="1">
      <c r="A584" s="81"/>
      <c r="B584" s="82" t="str">
        <f>IFERROR(VLOOKUP(A584,'Budget-S&amp;U Codes Lookup'!$A$7:$B$550,2,FALSE),"")</f>
        <v/>
      </c>
      <c r="C584" s="993"/>
      <c r="D584" s="118"/>
      <c r="E584" s="131"/>
      <c r="F584" s="126"/>
      <c r="G584" s="126"/>
      <c r="H584" s="125">
        <f t="shared" si="8"/>
        <v>0</v>
      </c>
      <c r="I584" s="191"/>
      <c r="J584" s="268"/>
      <c r="K584" s="182" t="str">
        <f>IFERROR(VLOOKUP(A584,'Budget-S&amp;U Codes Lookup'!$A$7:$C$550,3,FALSE),"")</f>
        <v/>
      </c>
      <c r="L584" s="1041"/>
      <c r="M584" s="753"/>
      <c r="N584" s="3" t="str">
        <f>IF(M584="","",VLOOKUP(M584,'Budget-S&amp;U Codes Lookup'!$E$26:$F$45,2,FALSE))</f>
        <v/>
      </c>
      <c r="P584" s="186"/>
    </row>
    <row r="585" spans="1:16" hidden="1">
      <c r="A585" s="81"/>
      <c r="B585" s="82" t="str">
        <f>IFERROR(VLOOKUP(A585,'Budget-S&amp;U Codes Lookup'!$A$7:$B$550,2,FALSE),"")</f>
        <v/>
      </c>
      <c r="C585" s="993"/>
      <c r="D585" s="118"/>
      <c r="E585" s="131"/>
      <c r="F585" s="126"/>
      <c r="G585" s="126"/>
      <c r="H585" s="125">
        <f t="shared" si="8"/>
        <v>0</v>
      </c>
      <c r="I585" s="191"/>
      <c r="J585" s="268"/>
      <c r="K585" s="182" t="str">
        <f>IFERROR(VLOOKUP(A585,'Budget-S&amp;U Codes Lookup'!$A$7:$C$550,3,FALSE),"")</f>
        <v/>
      </c>
      <c r="L585" s="1041"/>
      <c r="M585" s="753"/>
      <c r="N585" s="3" t="str">
        <f>IF(M585="","",VLOOKUP(M585,'Budget-S&amp;U Codes Lookup'!$E$26:$F$45,2,FALSE))</f>
        <v/>
      </c>
      <c r="P585" s="186"/>
    </row>
    <row r="586" spans="1:16" hidden="1">
      <c r="A586" s="81"/>
      <c r="B586" s="82" t="str">
        <f>IFERROR(VLOOKUP(A586,'Budget-S&amp;U Codes Lookup'!$A$7:$B$550,2,FALSE),"")</f>
        <v/>
      </c>
      <c r="C586" s="993"/>
      <c r="D586" s="118"/>
      <c r="E586" s="131"/>
      <c r="F586" s="126"/>
      <c r="G586" s="126"/>
      <c r="H586" s="125">
        <f t="shared" ref="H586:H649" si="9">F586-G586</f>
        <v>0</v>
      </c>
      <c r="I586" s="191"/>
      <c r="J586" s="268"/>
      <c r="K586" s="182" t="str">
        <f>IFERROR(VLOOKUP(A586,'Budget-S&amp;U Codes Lookup'!$A$7:$C$550,3,FALSE),"")</f>
        <v/>
      </c>
      <c r="L586" s="1041"/>
      <c r="M586" s="753"/>
      <c r="N586" s="3" t="str">
        <f>IF(M586="","",VLOOKUP(M586,'Budget-S&amp;U Codes Lookup'!$E$26:$F$45,2,FALSE))</f>
        <v/>
      </c>
      <c r="P586" s="186"/>
    </row>
    <row r="587" spans="1:16" hidden="1">
      <c r="A587" s="81"/>
      <c r="B587" s="82" t="str">
        <f>IFERROR(VLOOKUP(A587,'Budget-S&amp;U Codes Lookup'!$A$7:$B$550,2,FALSE),"")</f>
        <v/>
      </c>
      <c r="C587" s="993"/>
      <c r="D587" s="118"/>
      <c r="E587" s="131"/>
      <c r="F587" s="126"/>
      <c r="G587" s="126"/>
      <c r="H587" s="125">
        <f t="shared" si="9"/>
        <v>0</v>
      </c>
      <c r="I587" s="191"/>
      <c r="J587" s="268"/>
      <c r="K587" s="182" t="str">
        <f>IFERROR(VLOOKUP(A587,'Budget-S&amp;U Codes Lookup'!$A$7:$C$550,3,FALSE),"")</f>
        <v/>
      </c>
      <c r="L587" s="1041"/>
      <c r="M587" s="753"/>
      <c r="N587" s="3" t="str">
        <f>IF(M587="","",VLOOKUP(M587,'Budget-S&amp;U Codes Lookup'!$E$26:$F$45,2,FALSE))</f>
        <v/>
      </c>
      <c r="P587" s="186"/>
    </row>
    <row r="588" spans="1:16" hidden="1">
      <c r="A588" s="81"/>
      <c r="B588" s="82" t="str">
        <f>IFERROR(VLOOKUP(A588,'Budget-S&amp;U Codes Lookup'!$A$7:$B$550,2,FALSE),"")</f>
        <v/>
      </c>
      <c r="C588" s="993"/>
      <c r="D588" s="118"/>
      <c r="E588" s="131"/>
      <c r="F588" s="126"/>
      <c r="G588" s="126"/>
      <c r="H588" s="125">
        <f t="shared" si="9"/>
        <v>0</v>
      </c>
      <c r="I588" s="191"/>
      <c r="J588" s="268"/>
      <c r="K588" s="182" t="str">
        <f>IFERROR(VLOOKUP(A588,'Budget-S&amp;U Codes Lookup'!$A$7:$C$550,3,FALSE),"")</f>
        <v/>
      </c>
      <c r="L588" s="1041"/>
      <c r="M588" s="753"/>
      <c r="N588" s="3" t="str">
        <f>IF(M588="","",VLOOKUP(M588,'Budget-S&amp;U Codes Lookup'!$E$26:$F$45,2,FALSE))</f>
        <v/>
      </c>
      <c r="P588" s="186"/>
    </row>
    <row r="589" spans="1:16" hidden="1">
      <c r="A589" s="81"/>
      <c r="B589" s="82" t="str">
        <f>IFERROR(VLOOKUP(A589,'Budget-S&amp;U Codes Lookup'!$A$7:$B$550,2,FALSE),"")</f>
        <v/>
      </c>
      <c r="C589" s="993"/>
      <c r="D589" s="118"/>
      <c r="E589" s="131"/>
      <c r="F589" s="126"/>
      <c r="G589" s="126"/>
      <c r="H589" s="125">
        <f t="shared" si="9"/>
        <v>0</v>
      </c>
      <c r="I589" s="191"/>
      <c r="J589" s="268"/>
      <c r="K589" s="182" t="str">
        <f>IFERROR(VLOOKUP(A589,'Budget-S&amp;U Codes Lookup'!$A$7:$C$550,3,FALSE),"")</f>
        <v/>
      </c>
      <c r="L589" s="1041"/>
      <c r="M589" s="753"/>
      <c r="N589" s="3" t="str">
        <f>IF(M589="","",VLOOKUP(M589,'Budget-S&amp;U Codes Lookup'!$E$26:$F$45,2,FALSE))</f>
        <v/>
      </c>
      <c r="P589" s="186"/>
    </row>
    <row r="590" spans="1:16" hidden="1">
      <c r="A590" s="81"/>
      <c r="B590" s="82" t="str">
        <f>IFERROR(VLOOKUP(A590,'Budget-S&amp;U Codes Lookup'!$A$7:$B$550,2,FALSE),"")</f>
        <v/>
      </c>
      <c r="C590" s="993"/>
      <c r="D590" s="118"/>
      <c r="E590" s="131"/>
      <c r="F590" s="126"/>
      <c r="G590" s="126"/>
      <c r="H590" s="125">
        <f t="shared" si="9"/>
        <v>0</v>
      </c>
      <c r="I590" s="191"/>
      <c r="J590" s="268"/>
      <c r="K590" s="182" t="str">
        <f>IFERROR(VLOOKUP(A590,'Budget-S&amp;U Codes Lookup'!$A$7:$C$550,3,FALSE),"")</f>
        <v/>
      </c>
      <c r="L590" s="1041"/>
      <c r="M590" s="753"/>
      <c r="N590" s="3" t="str">
        <f>IF(M590="","",VLOOKUP(M590,'Budget-S&amp;U Codes Lookup'!$E$26:$F$45,2,FALSE))</f>
        <v/>
      </c>
      <c r="P590" s="186"/>
    </row>
    <row r="591" spans="1:16" hidden="1">
      <c r="A591" s="81"/>
      <c r="B591" s="82" t="str">
        <f>IFERROR(VLOOKUP(A591,'Budget-S&amp;U Codes Lookup'!$A$7:$B$550,2,FALSE),"")</f>
        <v/>
      </c>
      <c r="C591" s="993"/>
      <c r="D591" s="118"/>
      <c r="E591" s="131"/>
      <c r="F591" s="126"/>
      <c r="G591" s="126"/>
      <c r="H591" s="125">
        <f t="shared" si="9"/>
        <v>0</v>
      </c>
      <c r="I591" s="191"/>
      <c r="J591" s="268"/>
      <c r="K591" s="182" t="str">
        <f>IFERROR(VLOOKUP(A591,'Budget-S&amp;U Codes Lookup'!$A$7:$C$550,3,FALSE),"")</f>
        <v/>
      </c>
      <c r="L591" s="1041"/>
      <c r="M591" s="753"/>
      <c r="N591" s="3" t="str">
        <f>IF(M591="","",VLOOKUP(M591,'Budget-S&amp;U Codes Lookup'!$E$26:$F$45,2,FALSE))</f>
        <v/>
      </c>
      <c r="P591" s="186"/>
    </row>
    <row r="592" spans="1:16" hidden="1">
      <c r="A592" s="81"/>
      <c r="B592" s="82" t="str">
        <f>IFERROR(VLOOKUP(A592,'Budget-S&amp;U Codes Lookup'!$A$7:$B$550,2,FALSE),"")</f>
        <v/>
      </c>
      <c r="C592" s="993"/>
      <c r="D592" s="118"/>
      <c r="E592" s="131"/>
      <c r="F592" s="126"/>
      <c r="G592" s="126"/>
      <c r="H592" s="125">
        <f t="shared" si="9"/>
        <v>0</v>
      </c>
      <c r="I592" s="191"/>
      <c r="J592" s="268"/>
      <c r="K592" s="182" t="str">
        <f>IFERROR(VLOOKUP(A592,'Budget-S&amp;U Codes Lookup'!$A$7:$C$550,3,FALSE),"")</f>
        <v/>
      </c>
      <c r="L592" s="1041"/>
      <c r="M592" s="753"/>
      <c r="N592" s="3" t="str">
        <f>IF(M592="","",VLOOKUP(M592,'Budget-S&amp;U Codes Lookup'!$E$26:$F$45,2,FALSE))</f>
        <v/>
      </c>
      <c r="P592" s="186"/>
    </row>
    <row r="593" spans="1:16" hidden="1">
      <c r="A593" s="81"/>
      <c r="B593" s="82" t="str">
        <f>IFERROR(VLOOKUP(A593,'Budget-S&amp;U Codes Lookup'!$A$7:$B$550,2,FALSE),"")</f>
        <v/>
      </c>
      <c r="C593" s="993"/>
      <c r="D593" s="118"/>
      <c r="E593" s="131"/>
      <c r="F593" s="126"/>
      <c r="G593" s="126"/>
      <c r="H593" s="125">
        <f t="shared" si="9"/>
        <v>0</v>
      </c>
      <c r="I593" s="191"/>
      <c r="J593" s="268"/>
      <c r="K593" s="182" t="str">
        <f>IFERROR(VLOOKUP(A593,'Budget-S&amp;U Codes Lookup'!$A$7:$C$550,3,FALSE),"")</f>
        <v/>
      </c>
      <c r="L593" s="1041"/>
      <c r="M593" s="753"/>
      <c r="N593" s="3" t="str">
        <f>IF(M593="","",VLOOKUP(M593,'Budget-S&amp;U Codes Lookup'!$E$26:$F$45,2,FALSE))</f>
        <v/>
      </c>
      <c r="P593" s="186"/>
    </row>
    <row r="594" spans="1:16" hidden="1">
      <c r="A594" s="81"/>
      <c r="B594" s="82" t="str">
        <f>IFERROR(VLOOKUP(A594,'Budget-S&amp;U Codes Lookup'!$A$7:$B$550,2,FALSE),"")</f>
        <v/>
      </c>
      <c r="C594" s="993"/>
      <c r="D594" s="118"/>
      <c r="E594" s="131"/>
      <c r="F594" s="126"/>
      <c r="G594" s="126"/>
      <c r="H594" s="125">
        <f t="shared" si="9"/>
        <v>0</v>
      </c>
      <c r="I594" s="191"/>
      <c r="J594" s="268"/>
      <c r="K594" s="182" t="str">
        <f>IFERROR(VLOOKUP(A594,'Budget-S&amp;U Codes Lookup'!$A$7:$C$550,3,FALSE),"")</f>
        <v/>
      </c>
      <c r="L594" s="1041"/>
      <c r="M594" s="753"/>
      <c r="N594" s="3" t="str">
        <f>IF(M594="","",VLOOKUP(M594,'Budget-S&amp;U Codes Lookup'!$E$26:$F$45,2,FALSE))</f>
        <v/>
      </c>
      <c r="P594" s="186"/>
    </row>
    <row r="595" spans="1:16" hidden="1">
      <c r="A595" s="81"/>
      <c r="B595" s="82" t="str">
        <f>IFERROR(VLOOKUP(A595,'Budget-S&amp;U Codes Lookup'!$A$7:$B$550,2,FALSE),"")</f>
        <v/>
      </c>
      <c r="C595" s="993"/>
      <c r="D595" s="118"/>
      <c r="E595" s="131"/>
      <c r="F595" s="126"/>
      <c r="G595" s="126"/>
      <c r="H595" s="125">
        <f t="shared" si="9"/>
        <v>0</v>
      </c>
      <c r="I595" s="191"/>
      <c r="J595" s="268"/>
      <c r="K595" s="182" t="str">
        <f>IFERROR(VLOOKUP(A595,'Budget-S&amp;U Codes Lookup'!$A$7:$C$550,3,FALSE),"")</f>
        <v/>
      </c>
      <c r="L595" s="1041"/>
      <c r="M595" s="753"/>
      <c r="N595" s="3" t="str">
        <f>IF(M595="","",VLOOKUP(M595,'Budget-S&amp;U Codes Lookup'!$E$26:$F$45,2,FALSE))</f>
        <v/>
      </c>
      <c r="P595" s="186"/>
    </row>
    <row r="596" spans="1:16" hidden="1">
      <c r="A596" s="81"/>
      <c r="B596" s="82" t="str">
        <f>IFERROR(VLOOKUP(A596,'Budget-S&amp;U Codes Lookup'!$A$7:$B$550,2,FALSE),"")</f>
        <v/>
      </c>
      <c r="C596" s="993"/>
      <c r="D596" s="118"/>
      <c r="E596" s="131"/>
      <c r="F596" s="126"/>
      <c r="G596" s="126"/>
      <c r="H596" s="125">
        <f t="shared" si="9"/>
        <v>0</v>
      </c>
      <c r="I596" s="191"/>
      <c r="J596" s="268"/>
      <c r="K596" s="182" t="str">
        <f>IFERROR(VLOOKUP(A596,'Budget-S&amp;U Codes Lookup'!$A$7:$C$550,3,FALSE),"")</f>
        <v/>
      </c>
      <c r="L596" s="1041"/>
      <c r="M596" s="753"/>
      <c r="N596" s="3" t="str">
        <f>IF(M596="","",VLOOKUP(M596,'Budget-S&amp;U Codes Lookup'!$E$26:$F$45,2,FALSE))</f>
        <v/>
      </c>
      <c r="P596" s="186"/>
    </row>
    <row r="597" spans="1:16" hidden="1">
      <c r="A597" s="81"/>
      <c r="B597" s="82" t="str">
        <f>IFERROR(VLOOKUP(A597,'Budget-S&amp;U Codes Lookup'!$A$7:$B$550,2,FALSE),"")</f>
        <v/>
      </c>
      <c r="C597" s="993"/>
      <c r="D597" s="118"/>
      <c r="E597" s="131"/>
      <c r="F597" s="126"/>
      <c r="G597" s="126"/>
      <c r="H597" s="125">
        <f t="shared" si="9"/>
        <v>0</v>
      </c>
      <c r="I597" s="191"/>
      <c r="J597" s="268"/>
      <c r="K597" s="182" t="str">
        <f>IFERROR(VLOOKUP(A597,'Budget-S&amp;U Codes Lookup'!$A$7:$C$550,3,FALSE),"")</f>
        <v/>
      </c>
      <c r="L597" s="1041"/>
      <c r="M597" s="753"/>
      <c r="N597" s="3" t="str">
        <f>IF(M597="","",VLOOKUP(M597,'Budget-S&amp;U Codes Lookup'!$E$26:$F$45,2,FALSE))</f>
        <v/>
      </c>
      <c r="P597" s="186"/>
    </row>
    <row r="598" spans="1:16" hidden="1">
      <c r="A598" s="81"/>
      <c r="B598" s="82" t="str">
        <f>IFERROR(VLOOKUP(A598,'Budget-S&amp;U Codes Lookup'!$A$7:$B$550,2,FALSE),"")</f>
        <v/>
      </c>
      <c r="C598" s="993"/>
      <c r="D598" s="118"/>
      <c r="E598" s="131"/>
      <c r="F598" s="126"/>
      <c r="G598" s="126"/>
      <c r="H598" s="125">
        <f t="shared" si="9"/>
        <v>0</v>
      </c>
      <c r="I598" s="191"/>
      <c r="J598" s="268"/>
      <c r="K598" s="182" t="str">
        <f>IFERROR(VLOOKUP(A598,'Budget-S&amp;U Codes Lookup'!$A$7:$C$550,3,FALSE),"")</f>
        <v/>
      </c>
      <c r="L598" s="1041"/>
      <c r="M598" s="753"/>
      <c r="N598" s="3" t="str">
        <f>IF(M598="","",VLOOKUP(M598,'Budget-S&amp;U Codes Lookup'!$E$26:$F$45,2,FALSE))</f>
        <v/>
      </c>
      <c r="P598" s="186"/>
    </row>
    <row r="599" spans="1:16" hidden="1">
      <c r="A599" s="81"/>
      <c r="B599" s="82" t="str">
        <f>IFERROR(VLOOKUP(A599,'Budget-S&amp;U Codes Lookup'!$A$7:$B$550,2,FALSE),"")</f>
        <v/>
      </c>
      <c r="C599" s="993"/>
      <c r="D599" s="118"/>
      <c r="E599" s="131"/>
      <c r="F599" s="126"/>
      <c r="G599" s="126"/>
      <c r="H599" s="125">
        <f t="shared" si="9"/>
        <v>0</v>
      </c>
      <c r="I599" s="191"/>
      <c r="J599" s="268"/>
      <c r="K599" s="182" t="str">
        <f>IFERROR(VLOOKUP(A599,'Budget-S&amp;U Codes Lookup'!$A$7:$C$550,3,FALSE),"")</f>
        <v/>
      </c>
      <c r="L599" s="1041"/>
      <c r="M599" s="753"/>
      <c r="N599" s="3" t="str">
        <f>IF(M599="","",VLOOKUP(M599,'Budget-S&amp;U Codes Lookup'!$E$26:$F$45,2,FALSE))</f>
        <v/>
      </c>
      <c r="P599" s="186"/>
    </row>
    <row r="600" spans="1:16" hidden="1">
      <c r="A600" s="81"/>
      <c r="B600" s="82" t="str">
        <f>IFERROR(VLOOKUP(A600,'Budget-S&amp;U Codes Lookup'!$A$7:$B$550,2,FALSE),"")</f>
        <v/>
      </c>
      <c r="C600" s="993"/>
      <c r="D600" s="118"/>
      <c r="E600" s="131"/>
      <c r="F600" s="126"/>
      <c r="G600" s="126"/>
      <c r="H600" s="125">
        <f t="shared" si="9"/>
        <v>0</v>
      </c>
      <c r="I600" s="191"/>
      <c r="J600" s="268"/>
      <c r="K600" s="182" t="str">
        <f>IFERROR(VLOOKUP(A600,'Budget-S&amp;U Codes Lookup'!$A$7:$C$550,3,FALSE),"")</f>
        <v/>
      </c>
      <c r="L600" s="1041"/>
      <c r="M600" s="753"/>
      <c r="N600" s="3" t="str">
        <f>IF(M600="","",VLOOKUP(M600,'Budget-S&amp;U Codes Lookup'!$E$26:$F$45,2,FALSE))</f>
        <v/>
      </c>
      <c r="P600" s="186"/>
    </row>
    <row r="601" spans="1:16" hidden="1">
      <c r="A601" s="81"/>
      <c r="B601" s="82" t="str">
        <f>IFERROR(VLOOKUP(A601,'Budget-S&amp;U Codes Lookup'!$A$7:$B$550,2,FALSE),"")</f>
        <v/>
      </c>
      <c r="C601" s="993"/>
      <c r="D601" s="118"/>
      <c r="E601" s="131"/>
      <c r="F601" s="126"/>
      <c r="G601" s="126"/>
      <c r="H601" s="125">
        <f t="shared" si="9"/>
        <v>0</v>
      </c>
      <c r="I601" s="191"/>
      <c r="J601" s="268"/>
      <c r="K601" s="182" t="str">
        <f>IFERROR(VLOOKUP(A601,'Budget-S&amp;U Codes Lookup'!$A$7:$C$550,3,FALSE),"")</f>
        <v/>
      </c>
      <c r="L601" s="1041"/>
      <c r="M601" s="753"/>
      <c r="N601" s="3" t="str">
        <f>IF(M601="","",VLOOKUP(M601,'Budget-S&amp;U Codes Lookup'!$E$26:$F$45,2,FALSE))</f>
        <v/>
      </c>
      <c r="P601" s="186"/>
    </row>
    <row r="602" spans="1:16" hidden="1">
      <c r="A602" s="81"/>
      <c r="B602" s="82" t="str">
        <f>IFERROR(VLOOKUP(A602,'Budget-S&amp;U Codes Lookup'!$A$7:$B$550,2,FALSE),"")</f>
        <v/>
      </c>
      <c r="C602" s="993"/>
      <c r="D602" s="118"/>
      <c r="E602" s="131"/>
      <c r="F602" s="126"/>
      <c r="G602" s="126"/>
      <c r="H602" s="125">
        <f t="shared" si="9"/>
        <v>0</v>
      </c>
      <c r="I602" s="191"/>
      <c r="J602" s="268"/>
      <c r="K602" s="182" t="str">
        <f>IFERROR(VLOOKUP(A602,'Budget-S&amp;U Codes Lookup'!$A$7:$C$550,3,FALSE),"")</f>
        <v/>
      </c>
      <c r="L602" s="1041"/>
      <c r="M602" s="753"/>
      <c r="N602" s="3" t="str">
        <f>IF(M602="","",VLOOKUP(M602,'Budget-S&amp;U Codes Lookup'!$E$26:$F$45,2,FALSE))</f>
        <v/>
      </c>
      <c r="P602" s="186"/>
    </row>
    <row r="603" spans="1:16" hidden="1">
      <c r="A603" s="81"/>
      <c r="B603" s="82" t="str">
        <f>IFERROR(VLOOKUP(A603,'Budget-S&amp;U Codes Lookup'!$A$7:$B$550,2,FALSE),"")</f>
        <v/>
      </c>
      <c r="C603" s="993"/>
      <c r="D603" s="118"/>
      <c r="E603" s="131"/>
      <c r="F603" s="126"/>
      <c r="G603" s="126"/>
      <c r="H603" s="125">
        <f t="shared" si="9"/>
        <v>0</v>
      </c>
      <c r="I603" s="191"/>
      <c r="J603" s="268"/>
      <c r="K603" s="182" t="str">
        <f>IFERROR(VLOOKUP(A603,'Budget-S&amp;U Codes Lookup'!$A$7:$C$550,3,FALSE),"")</f>
        <v/>
      </c>
      <c r="L603" s="1041"/>
      <c r="M603" s="753"/>
      <c r="N603" s="3" t="str">
        <f>IF(M603="","",VLOOKUP(M603,'Budget-S&amp;U Codes Lookup'!$E$26:$F$45,2,FALSE))</f>
        <v/>
      </c>
      <c r="P603" s="186"/>
    </row>
    <row r="604" spans="1:16" hidden="1">
      <c r="A604" s="81"/>
      <c r="B604" s="82" t="str">
        <f>IFERROR(VLOOKUP(A604,'Budget-S&amp;U Codes Lookup'!$A$7:$B$550,2,FALSE),"")</f>
        <v/>
      </c>
      <c r="C604" s="993"/>
      <c r="D604" s="118"/>
      <c r="E604" s="131"/>
      <c r="F604" s="126"/>
      <c r="G604" s="126"/>
      <c r="H604" s="125">
        <f t="shared" si="9"/>
        <v>0</v>
      </c>
      <c r="I604" s="191"/>
      <c r="J604" s="268"/>
      <c r="K604" s="182" t="str">
        <f>IFERROR(VLOOKUP(A604,'Budget-S&amp;U Codes Lookup'!$A$7:$C$550,3,FALSE),"")</f>
        <v/>
      </c>
      <c r="L604" s="1041"/>
      <c r="M604" s="753"/>
      <c r="N604" s="3" t="str">
        <f>IF(M604="","",VLOOKUP(M604,'Budget-S&amp;U Codes Lookup'!$E$26:$F$45,2,FALSE))</f>
        <v/>
      </c>
      <c r="P604" s="186"/>
    </row>
    <row r="605" spans="1:16" hidden="1">
      <c r="A605" s="81"/>
      <c r="B605" s="82" t="str">
        <f>IFERROR(VLOOKUP(A605,'Budget-S&amp;U Codes Lookup'!$A$7:$B$550,2,FALSE),"")</f>
        <v/>
      </c>
      <c r="C605" s="993"/>
      <c r="D605" s="118"/>
      <c r="E605" s="131"/>
      <c r="F605" s="126"/>
      <c r="G605" s="126"/>
      <c r="H605" s="125">
        <f t="shared" si="9"/>
        <v>0</v>
      </c>
      <c r="I605" s="191"/>
      <c r="J605" s="268"/>
      <c r="K605" s="182" t="str">
        <f>IFERROR(VLOOKUP(A605,'Budget-S&amp;U Codes Lookup'!$A$7:$C$550,3,FALSE),"")</f>
        <v/>
      </c>
      <c r="L605" s="1041"/>
      <c r="M605" s="753"/>
      <c r="N605" s="3" t="str">
        <f>IF(M605="","",VLOOKUP(M605,'Budget-S&amp;U Codes Lookup'!$E$26:$F$45,2,FALSE))</f>
        <v/>
      </c>
      <c r="P605" s="186"/>
    </row>
    <row r="606" spans="1:16" hidden="1">
      <c r="A606" s="81"/>
      <c r="B606" s="82" t="str">
        <f>IFERROR(VLOOKUP(A606,'Budget-S&amp;U Codes Lookup'!$A$7:$B$550,2,FALSE),"")</f>
        <v/>
      </c>
      <c r="C606" s="993"/>
      <c r="D606" s="118"/>
      <c r="E606" s="131"/>
      <c r="F606" s="126"/>
      <c r="G606" s="126"/>
      <c r="H606" s="125">
        <f t="shared" si="9"/>
        <v>0</v>
      </c>
      <c r="I606" s="191"/>
      <c r="J606" s="268"/>
      <c r="K606" s="182" t="str">
        <f>IFERROR(VLOOKUP(A606,'Budget-S&amp;U Codes Lookup'!$A$7:$C$550,3,FALSE),"")</f>
        <v/>
      </c>
      <c r="L606" s="1041"/>
      <c r="M606" s="753"/>
      <c r="N606" s="3" t="str">
        <f>IF(M606="","",VLOOKUP(M606,'Budget-S&amp;U Codes Lookup'!$E$26:$F$45,2,FALSE))</f>
        <v/>
      </c>
      <c r="P606" s="186"/>
    </row>
    <row r="607" spans="1:16" hidden="1">
      <c r="A607" s="81"/>
      <c r="B607" s="82" t="str">
        <f>IFERROR(VLOOKUP(A607,'Budget-S&amp;U Codes Lookup'!$A$7:$B$550,2,FALSE),"")</f>
        <v/>
      </c>
      <c r="C607" s="993"/>
      <c r="D607" s="118"/>
      <c r="E607" s="131"/>
      <c r="F607" s="126"/>
      <c r="G607" s="126"/>
      <c r="H607" s="125">
        <f t="shared" si="9"/>
        <v>0</v>
      </c>
      <c r="I607" s="191"/>
      <c r="J607" s="268"/>
      <c r="K607" s="182" t="str">
        <f>IFERROR(VLOOKUP(A607,'Budget-S&amp;U Codes Lookup'!$A$7:$C$550,3,FALSE),"")</f>
        <v/>
      </c>
      <c r="L607" s="1041"/>
      <c r="M607" s="753"/>
      <c r="N607" s="3" t="str">
        <f>IF(M607="","",VLOOKUP(M607,'Budget-S&amp;U Codes Lookup'!$E$26:$F$45,2,FALSE))</f>
        <v/>
      </c>
      <c r="P607" s="186"/>
    </row>
    <row r="608" spans="1:16" hidden="1">
      <c r="A608" s="81"/>
      <c r="B608" s="82" t="str">
        <f>IFERROR(VLOOKUP(A608,'Budget-S&amp;U Codes Lookup'!$A$7:$B$550,2,FALSE),"")</f>
        <v/>
      </c>
      <c r="C608" s="993"/>
      <c r="D608" s="118"/>
      <c r="E608" s="131"/>
      <c r="F608" s="126"/>
      <c r="G608" s="126"/>
      <c r="H608" s="125">
        <f t="shared" si="9"/>
        <v>0</v>
      </c>
      <c r="I608" s="191"/>
      <c r="J608" s="268"/>
      <c r="K608" s="182" t="str">
        <f>IFERROR(VLOOKUP(A608,'Budget-S&amp;U Codes Lookup'!$A$7:$C$550,3,FALSE),"")</f>
        <v/>
      </c>
      <c r="L608" s="1041"/>
      <c r="M608" s="753"/>
      <c r="N608" s="3" t="str">
        <f>IF(M608="","",VLOOKUP(M608,'Budget-S&amp;U Codes Lookup'!$E$26:$F$45,2,FALSE))</f>
        <v/>
      </c>
      <c r="P608" s="186"/>
    </row>
    <row r="609" spans="1:16" hidden="1">
      <c r="A609" s="81"/>
      <c r="B609" s="82" t="str">
        <f>IFERROR(VLOOKUP(A609,'Budget-S&amp;U Codes Lookup'!$A$7:$B$550,2,FALSE),"")</f>
        <v/>
      </c>
      <c r="C609" s="993"/>
      <c r="D609" s="118"/>
      <c r="E609" s="131"/>
      <c r="F609" s="126"/>
      <c r="G609" s="126"/>
      <c r="H609" s="125">
        <f t="shared" si="9"/>
        <v>0</v>
      </c>
      <c r="I609" s="191"/>
      <c r="J609" s="268"/>
      <c r="K609" s="182" t="str">
        <f>IFERROR(VLOOKUP(A609,'Budget-S&amp;U Codes Lookup'!$A$7:$C$550,3,FALSE),"")</f>
        <v/>
      </c>
      <c r="L609" s="1041"/>
      <c r="M609" s="753"/>
      <c r="N609" s="3" t="str">
        <f>IF(M609="","",VLOOKUP(M609,'Budget-S&amp;U Codes Lookup'!$E$26:$F$45,2,FALSE))</f>
        <v/>
      </c>
      <c r="P609" s="186"/>
    </row>
    <row r="610" spans="1:16" hidden="1">
      <c r="A610" s="81"/>
      <c r="B610" s="82" t="str">
        <f>IFERROR(VLOOKUP(A610,'Budget-S&amp;U Codes Lookup'!$A$7:$B$550,2,FALSE),"")</f>
        <v/>
      </c>
      <c r="C610" s="993"/>
      <c r="D610" s="118"/>
      <c r="E610" s="131"/>
      <c r="F610" s="126"/>
      <c r="G610" s="126"/>
      <c r="H610" s="125">
        <f t="shared" si="9"/>
        <v>0</v>
      </c>
      <c r="I610" s="191"/>
      <c r="J610" s="268"/>
      <c r="K610" s="182" t="str">
        <f>IFERROR(VLOOKUP(A610,'Budget-S&amp;U Codes Lookup'!$A$7:$C$550,3,FALSE),"")</f>
        <v/>
      </c>
      <c r="L610" s="1041"/>
      <c r="M610" s="753"/>
      <c r="N610" s="3" t="str">
        <f>IF(M610="","",VLOOKUP(M610,'Budget-S&amp;U Codes Lookup'!$E$26:$F$45,2,FALSE))</f>
        <v/>
      </c>
      <c r="P610" s="186"/>
    </row>
    <row r="611" spans="1:16" hidden="1">
      <c r="A611" s="81"/>
      <c r="B611" s="82" t="str">
        <f>IFERROR(VLOOKUP(A611,'Budget-S&amp;U Codes Lookup'!$A$7:$B$550,2,FALSE),"")</f>
        <v/>
      </c>
      <c r="C611" s="993"/>
      <c r="D611" s="118"/>
      <c r="E611" s="131"/>
      <c r="F611" s="126"/>
      <c r="G611" s="126"/>
      <c r="H611" s="125">
        <f t="shared" si="9"/>
        <v>0</v>
      </c>
      <c r="I611" s="191"/>
      <c r="J611" s="268"/>
      <c r="K611" s="182" t="str">
        <f>IFERROR(VLOOKUP(A611,'Budget-S&amp;U Codes Lookup'!$A$7:$C$550,3,FALSE),"")</f>
        <v/>
      </c>
      <c r="L611" s="1041"/>
      <c r="M611" s="753"/>
      <c r="N611" s="3" t="str">
        <f>IF(M611="","",VLOOKUP(M611,'Budget-S&amp;U Codes Lookup'!$E$26:$F$45,2,FALSE))</f>
        <v/>
      </c>
      <c r="P611" s="186"/>
    </row>
    <row r="612" spans="1:16" hidden="1">
      <c r="A612" s="81"/>
      <c r="B612" s="82" t="str">
        <f>IFERROR(VLOOKUP(A612,'Budget-S&amp;U Codes Lookup'!$A$7:$B$550,2,FALSE),"")</f>
        <v/>
      </c>
      <c r="C612" s="993"/>
      <c r="D612" s="118"/>
      <c r="E612" s="131"/>
      <c r="F612" s="126"/>
      <c r="G612" s="126"/>
      <c r="H612" s="125">
        <f t="shared" si="9"/>
        <v>0</v>
      </c>
      <c r="I612" s="191"/>
      <c r="J612" s="268"/>
      <c r="K612" s="182" t="str">
        <f>IFERROR(VLOOKUP(A612,'Budget-S&amp;U Codes Lookup'!$A$7:$C$550,3,FALSE),"")</f>
        <v/>
      </c>
      <c r="L612" s="1041"/>
      <c r="M612" s="753"/>
      <c r="N612" s="3" t="str">
        <f>IF(M612="","",VLOOKUP(M612,'Budget-S&amp;U Codes Lookup'!$E$26:$F$45,2,FALSE))</f>
        <v/>
      </c>
      <c r="P612" s="186"/>
    </row>
    <row r="613" spans="1:16" hidden="1">
      <c r="A613" s="81"/>
      <c r="B613" s="82" t="str">
        <f>IFERROR(VLOOKUP(A613,'Budget-S&amp;U Codes Lookup'!$A$7:$B$550,2,FALSE),"")</f>
        <v/>
      </c>
      <c r="C613" s="993"/>
      <c r="D613" s="118"/>
      <c r="E613" s="131"/>
      <c r="F613" s="126"/>
      <c r="G613" s="126"/>
      <c r="H613" s="125">
        <f t="shared" si="9"/>
        <v>0</v>
      </c>
      <c r="I613" s="191"/>
      <c r="J613" s="268"/>
      <c r="K613" s="182" t="str">
        <f>IFERROR(VLOOKUP(A613,'Budget-S&amp;U Codes Lookup'!$A$7:$C$550,3,FALSE),"")</f>
        <v/>
      </c>
      <c r="L613" s="1041"/>
      <c r="M613" s="753"/>
      <c r="N613" s="3" t="str">
        <f>IF(M613="","",VLOOKUP(M613,'Budget-S&amp;U Codes Lookup'!$E$26:$F$45,2,FALSE))</f>
        <v/>
      </c>
      <c r="P613" s="186"/>
    </row>
    <row r="614" spans="1:16" hidden="1">
      <c r="A614" s="81"/>
      <c r="B614" s="82" t="str">
        <f>IFERROR(VLOOKUP(A614,'Budget-S&amp;U Codes Lookup'!$A$7:$B$550,2,FALSE),"")</f>
        <v/>
      </c>
      <c r="C614" s="993"/>
      <c r="D614" s="118"/>
      <c r="E614" s="131"/>
      <c r="F614" s="126"/>
      <c r="G614" s="126"/>
      <c r="H614" s="125">
        <f t="shared" si="9"/>
        <v>0</v>
      </c>
      <c r="I614" s="191"/>
      <c r="J614" s="268"/>
      <c r="K614" s="182" t="str">
        <f>IFERROR(VLOOKUP(A614,'Budget-S&amp;U Codes Lookup'!$A$7:$C$550,3,FALSE),"")</f>
        <v/>
      </c>
      <c r="L614" s="1041"/>
      <c r="M614" s="753"/>
      <c r="N614" s="3" t="str">
        <f>IF(M614="","",VLOOKUP(M614,'Budget-S&amp;U Codes Lookup'!$E$26:$F$45,2,FALSE))</f>
        <v/>
      </c>
      <c r="P614" s="186"/>
    </row>
    <row r="615" spans="1:16" hidden="1">
      <c r="A615" s="81"/>
      <c r="B615" s="82" t="str">
        <f>IFERROR(VLOOKUP(A615,'Budget-S&amp;U Codes Lookup'!$A$7:$B$550,2,FALSE),"")</f>
        <v/>
      </c>
      <c r="C615" s="993"/>
      <c r="D615" s="118"/>
      <c r="E615" s="131"/>
      <c r="F615" s="126"/>
      <c r="G615" s="126"/>
      <c r="H615" s="125">
        <f t="shared" si="9"/>
        <v>0</v>
      </c>
      <c r="I615" s="191"/>
      <c r="J615" s="268"/>
      <c r="K615" s="182" t="str">
        <f>IFERROR(VLOOKUP(A615,'Budget-S&amp;U Codes Lookup'!$A$7:$C$550,3,FALSE),"")</f>
        <v/>
      </c>
      <c r="L615" s="1041"/>
      <c r="M615" s="753"/>
      <c r="N615" s="3" t="str">
        <f>IF(M615="","",VLOOKUP(M615,'Budget-S&amp;U Codes Lookup'!$E$26:$F$45,2,FALSE))</f>
        <v/>
      </c>
      <c r="P615" s="186"/>
    </row>
    <row r="616" spans="1:16" hidden="1">
      <c r="A616" s="81"/>
      <c r="B616" s="82" t="str">
        <f>IFERROR(VLOOKUP(A616,'Budget-S&amp;U Codes Lookup'!$A$7:$B$550,2,FALSE),"")</f>
        <v/>
      </c>
      <c r="C616" s="993"/>
      <c r="D616" s="118"/>
      <c r="E616" s="131"/>
      <c r="F616" s="126"/>
      <c r="G616" s="126"/>
      <c r="H616" s="125">
        <f t="shared" si="9"/>
        <v>0</v>
      </c>
      <c r="I616" s="191"/>
      <c r="J616" s="268"/>
      <c r="K616" s="182" t="str">
        <f>IFERROR(VLOOKUP(A616,'Budget-S&amp;U Codes Lookup'!$A$7:$C$550,3,FALSE),"")</f>
        <v/>
      </c>
      <c r="L616" s="1041"/>
      <c r="M616" s="753"/>
      <c r="N616" s="3" t="str">
        <f>IF(M616="","",VLOOKUP(M616,'Budget-S&amp;U Codes Lookup'!$E$26:$F$45,2,FALSE))</f>
        <v/>
      </c>
      <c r="P616" s="186"/>
    </row>
    <row r="617" spans="1:16" hidden="1">
      <c r="A617" s="81"/>
      <c r="B617" s="82" t="str">
        <f>IFERROR(VLOOKUP(A617,'Budget-S&amp;U Codes Lookup'!$A$7:$B$550,2,FALSE),"")</f>
        <v/>
      </c>
      <c r="C617" s="993"/>
      <c r="D617" s="118"/>
      <c r="E617" s="131"/>
      <c r="F617" s="126"/>
      <c r="G617" s="126"/>
      <c r="H617" s="125">
        <f t="shared" si="9"/>
        <v>0</v>
      </c>
      <c r="I617" s="191"/>
      <c r="J617" s="268"/>
      <c r="K617" s="182" t="str">
        <f>IFERROR(VLOOKUP(A617,'Budget-S&amp;U Codes Lookup'!$A$7:$C$550,3,FALSE),"")</f>
        <v/>
      </c>
      <c r="L617" s="1041"/>
      <c r="M617" s="753"/>
      <c r="N617" s="3" t="str">
        <f>IF(M617="","",VLOOKUP(M617,'Budget-S&amp;U Codes Lookup'!$E$26:$F$45,2,FALSE))</f>
        <v/>
      </c>
      <c r="P617" s="186"/>
    </row>
    <row r="618" spans="1:16" hidden="1">
      <c r="A618" s="81"/>
      <c r="B618" s="82" t="str">
        <f>IFERROR(VLOOKUP(A618,'Budget-S&amp;U Codes Lookup'!$A$7:$B$550,2,FALSE),"")</f>
        <v/>
      </c>
      <c r="C618" s="993"/>
      <c r="D618" s="118"/>
      <c r="E618" s="131"/>
      <c r="F618" s="126"/>
      <c r="G618" s="126"/>
      <c r="H618" s="125">
        <f t="shared" si="9"/>
        <v>0</v>
      </c>
      <c r="I618" s="191"/>
      <c r="J618" s="268"/>
      <c r="K618" s="182" t="str">
        <f>IFERROR(VLOOKUP(A618,'Budget-S&amp;U Codes Lookup'!$A$7:$C$550,3,FALSE),"")</f>
        <v/>
      </c>
      <c r="L618" s="1041"/>
      <c r="M618" s="753"/>
      <c r="N618" s="3" t="str">
        <f>IF(M618="","",VLOOKUP(M618,'Budget-S&amp;U Codes Lookup'!$E$26:$F$45,2,FALSE))</f>
        <v/>
      </c>
      <c r="P618" s="186"/>
    </row>
    <row r="619" spans="1:16" hidden="1">
      <c r="A619" s="81"/>
      <c r="B619" s="82" t="str">
        <f>IFERROR(VLOOKUP(A619,'Budget-S&amp;U Codes Lookup'!$A$7:$B$550,2,FALSE),"")</f>
        <v/>
      </c>
      <c r="C619" s="993"/>
      <c r="D619" s="118"/>
      <c r="E619" s="131"/>
      <c r="F619" s="126"/>
      <c r="G619" s="126"/>
      <c r="H619" s="125">
        <f t="shared" si="9"/>
        <v>0</v>
      </c>
      <c r="I619" s="191"/>
      <c r="J619" s="268"/>
      <c r="K619" s="182" t="str">
        <f>IFERROR(VLOOKUP(A619,'Budget-S&amp;U Codes Lookup'!$A$7:$C$550,3,FALSE),"")</f>
        <v/>
      </c>
      <c r="L619" s="1041"/>
      <c r="M619" s="753"/>
      <c r="N619" s="3" t="str">
        <f>IF(M619="","",VLOOKUP(M619,'Budget-S&amp;U Codes Lookup'!$E$26:$F$45,2,FALSE))</f>
        <v/>
      </c>
      <c r="P619" s="186"/>
    </row>
    <row r="620" spans="1:16" hidden="1">
      <c r="A620" s="81"/>
      <c r="B620" s="82" t="str">
        <f>IFERROR(VLOOKUP(A620,'Budget-S&amp;U Codes Lookup'!$A$7:$B$550,2,FALSE),"")</f>
        <v/>
      </c>
      <c r="C620" s="993"/>
      <c r="D620" s="118"/>
      <c r="E620" s="131"/>
      <c r="F620" s="126"/>
      <c r="G620" s="126"/>
      <c r="H620" s="125">
        <f t="shared" si="9"/>
        <v>0</v>
      </c>
      <c r="I620" s="191"/>
      <c r="J620" s="268"/>
      <c r="K620" s="182" t="str">
        <f>IFERROR(VLOOKUP(A620,'Budget-S&amp;U Codes Lookup'!$A$7:$C$550,3,FALSE),"")</f>
        <v/>
      </c>
      <c r="L620" s="1041"/>
      <c r="M620" s="753"/>
      <c r="N620" s="3" t="str">
        <f>IF(M620="","",VLOOKUP(M620,'Budget-S&amp;U Codes Lookup'!$E$26:$F$45,2,FALSE))</f>
        <v/>
      </c>
      <c r="P620" s="186"/>
    </row>
    <row r="621" spans="1:16" hidden="1">
      <c r="A621" s="81"/>
      <c r="B621" s="82" t="str">
        <f>IFERROR(VLOOKUP(A621,'Budget-S&amp;U Codes Lookup'!$A$7:$B$550,2,FALSE),"")</f>
        <v/>
      </c>
      <c r="C621" s="993"/>
      <c r="D621" s="118"/>
      <c r="E621" s="131"/>
      <c r="F621" s="126"/>
      <c r="G621" s="126"/>
      <c r="H621" s="125">
        <f t="shared" si="9"/>
        <v>0</v>
      </c>
      <c r="I621" s="191"/>
      <c r="J621" s="268"/>
      <c r="K621" s="182" t="str">
        <f>IFERROR(VLOOKUP(A621,'Budget-S&amp;U Codes Lookup'!$A$7:$C$550,3,FALSE),"")</f>
        <v/>
      </c>
      <c r="L621" s="1041"/>
      <c r="M621" s="753"/>
      <c r="N621" s="3" t="str">
        <f>IF(M621="","",VLOOKUP(M621,'Budget-S&amp;U Codes Lookup'!$E$26:$F$45,2,FALSE))</f>
        <v/>
      </c>
      <c r="P621" s="186"/>
    </row>
    <row r="622" spans="1:16" hidden="1">
      <c r="A622" s="81"/>
      <c r="B622" s="82" t="str">
        <f>IFERROR(VLOOKUP(A622,'Budget-S&amp;U Codes Lookup'!$A$7:$B$550,2,FALSE),"")</f>
        <v/>
      </c>
      <c r="C622" s="993"/>
      <c r="D622" s="118"/>
      <c r="E622" s="131"/>
      <c r="F622" s="126"/>
      <c r="G622" s="126"/>
      <c r="H622" s="125">
        <f t="shared" si="9"/>
        <v>0</v>
      </c>
      <c r="I622" s="191"/>
      <c r="J622" s="268"/>
      <c r="K622" s="182" t="str">
        <f>IFERROR(VLOOKUP(A622,'Budget-S&amp;U Codes Lookup'!$A$7:$C$550,3,FALSE),"")</f>
        <v/>
      </c>
      <c r="L622" s="1041"/>
      <c r="M622" s="753"/>
      <c r="N622" s="3" t="str">
        <f>IF(M622="","",VLOOKUP(M622,'Budget-S&amp;U Codes Lookup'!$E$26:$F$45,2,FALSE))</f>
        <v/>
      </c>
      <c r="P622" s="186"/>
    </row>
    <row r="623" spans="1:16" hidden="1">
      <c r="A623" s="81"/>
      <c r="B623" s="82" t="str">
        <f>IFERROR(VLOOKUP(A623,'Budget-S&amp;U Codes Lookup'!$A$7:$B$550,2,FALSE),"")</f>
        <v/>
      </c>
      <c r="C623" s="993"/>
      <c r="D623" s="118"/>
      <c r="E623" s="131"/>
      <c r="F623" s="126"/>
      <c r="G623" s="126"/>
      <c r="H623" s="125">
        <f t="shared" si="9"/>
        <v>0</v>
      </c>
      <c r="I623" s="191"/>
      <c r="J623" s="268"/>
      <c r="K623" s="182" t="str">
        <f>IFERROR(VLOOKUP(A623,'Budget-S&amp;U Codes Lookup'!$A$7:$C$550,3,FALSE),"")</f>
        <v/>
      </c>
      <c r="L623" s="1041"/>
      <c r="M623" s="753"/>
      <c r="N623" s="3" t="str">
        <f>IF(M623="","",VLOOKUP(M623,'Budget-S&amp;U Codes Lookup'!$E$26:$F$45,2,FALSE))</f>
        <v/>
      </c>
      <c r="P623" s="186"/>
    </row>
    <row r="624" spans="1:16" hidden="1">
      <c r="A624" s="81"/>
      <c r="B624" s="82" t="str">
        <f>IFERROR(VLOOKUP(A624,'Budget-S&amp;U Codes Lookup'!$A$7:$B$550,2,FALSE),"")</f>
        <v/>
      </c>
      <c r="C624" s="993"/>
      <c r="D624" s="118"/>
      <c r="E624" s="131"/>
      <c r="F624" s="126"/>
      <c r="G624" s="126"/>
      <c r="H624" s="125">
        <f t="shared" si="9"/>
        <v>0</v>
      </c>
      <c r="I624" s="191"/>
      <c r="J624" s="268"/>
      <c r="K624" s="182" t="str">
        <f>IFERROR(VLOOKUP(A624,'Budget-S&amp;U Codes Lookup'!$A$7:$C$550,3,FALSE),"")</f>
        <v/>
      </c>
      <c r="L624" s="1041"/>
      <c r="M624" s="753"/>
      <c r="N624" s="3" t="str">
        <f>IF(M624="","",VLOOKUP(M624,'Budget-S&amp;U Codes Lookup'!$E$26:$F$45,2,FALSE))</f>
        <v/>
      </c>
      <c r="P624" s="186"/>
    </row>
    <row r="625" spans="1:16" hidden="1">
      <c r="A625" s="81"/>
      <c r="B625" s="82" t="str">
        <f>IFERROR(VLOOKUP(A625,'Budget-S&amp;U Codes Lookup'!$A$7:$B$550,2,FALSE),"")</f>
        <v/>
      </c>
      <c r="C625" s="993"/>
      <c r="D625" s="118"/>
      <c r="E625" s="131"/>
      <c r="F625" s="126"/>
      <c r="G625" s="126"/>
      <c r="H625" s="125">
        <f t="shared" si="9"/>
        <v>0</v>
      </c>
      <c r="I625" s="191"/>
      <c r="J625" s="268"/>
      <c r="K625" s="182" t="str">
        <f>IFERROR(VLOOKUP(A625,'Budget-S&amp;U Codes Lookup'!$A$7:$C$550,3,FALSE),"")</f>
        <v/>
      </c>
      <c r="L625" s="1041"/>
      <c r="M625" s="753"/>
      <c r="N625" s="3" t="str">
        <f>IF(M625="","",VLOOKUP(M625,'Budget-S&amp;U Codes Lookup'!$E$26:$F$45,2,FALSE))</f>
        <v/>
      </c>
      <c r="P625" s="186"/>
    </row>
    <row r="626" spans="1:16" hidden="1">
      <c r="A626" s="81"/>
      <c r="B626" s="82" t="str">
        <f>IFERROR(VLOOKUP(A626,'Budget-S&amp;U Codes Lookup'!$A$7:$B$550,2,FALSE),"")</f>
        <v/>
      </c>
      <c r="C626" s="993"/>
      <c r="D626" s="118"/>
      <c r="E626" s="131"/>
      <c r="F626" s="126"/>
      <c r="G626" s="126"/>
      <c r="H626" s="125">
        <f t="shared" si="9"/>
        <v>0</v>
      </c>
      <c r="I626" s="191"/>
      <c r="J626" s="268"/>
      <c r="K626" s="182" t="str">
        <f>IFERROR(VLOOKUP(A626,'Budget-S&amp;U Codes Lookup'!$A$7:$C$550,3,FALSE),"")</f>
        <v/>
      </c>
      <c r="L626" s="1041"/>
      <c r="M626" s="753"/>
      <c r="N626" s="3" t="str">
        <f>IF(M626="","",VLOOKUP(M626,'Budget-S&amp;U Codes Lookup'!$E$26:$F$45,2,FALSE))</f>
        <v/>
      </c>
      <c r="P626" s="186"/>
    </row>
    <row r="627" spans="1:16" hidden="1">
      <c r="A627" s="81"/>
      <c r="B627" s="82" t="str">
        <f>IFERROR(VLOOKUP(A627,'Budget-S&amp;U Codes Lookup'!$A$7:$B$550,2,FALSE),"")</f>
        <v/>
      </c>
      <c r="C627" s="993"/>
      <c r="D627" s="118"/>
      <c r="E627" s="131"/>
      <c r="F627" s="126"/>
      <c r="G627" s="126"/>
      <c r="H627" s="125">
        <f t="shared" si="9"/>
        <v>0</v>
      </c>
      <c r="I627" s="191"/>
      <c r="J627" s="268"/>
      <c r="K627" s="182" t="str">
        <f>IFERROR(VLOOKUP(A627,'Budget-S&amp;U Codes Lookup'!$A$7:$C$550,3,FALSE),"")</f>
        <v/>
      </c>
      <c r="L627" s="1041"/>
      <c r="M627" s="753"/>
      <c r="N627" s="3" t="str">
        <f>IF(M627="","",VLOOKUP(M627,'Budget-S&amp;U Codes Lookup'!$E$26:$F$45,2,FALSE))</f>
        <v/>
      </c>
      <c r="P627" s="186"/>
    </row>
    <row r="628" spans="1:16" hidden="1">
      <c r="A628" s="81"/>
      <c r="B628" s="82" t="str">
        <f>IFERROR(VLOOKUP(A628,'Budget-S&amp;U Codes Lookup'!$A$7:$B$550,2,FALSE),"")</f>
        <v/>
      </c>
      <c r="C628" s="993"/>
      <c r="D628" s="118"/>
      <c r="E628" s="131"/>
      <c r="F628" s="126"/>
      <c r="G628" s="126"/>
      <c r="H628" s="125">
        <f t="shared" si="9"/>
        <v>0</v>
      </c>
      <c r="I628" s="191"/>
      <c r="J628" s="268"/>
      <c r="K628" s="182" t="str">
        <f>IFERROR(VLOOKUP(A628,'Budget-S&amp;U Codes Lookup'!$A$7:$C$550,3,FALSE),"")</f>
        <v/>
      </c>
      <c r="L628" s="1041"/>
      <c r="M628" s="753"/>
      <c r="N628" s="3" t="str">
        <f>IF(M628="","",VLOOKUP(M628,'Budget-S&amp;U Codes Lookup'!$E$26:$F$45,2,FALSE))</f>
        <v/>
      </c>
      <c r="P628" s="186"/>
    </row>
    <row r="629" spans="1:16" hidden="1">
      <c r="A629" s="81"/>
      <c r="B629" s="82" t="str">
        <f>IFERROR(VLOOKUP(A629,'Budget-S&amp;U Codes Lookup'!$A$7:$B$550,2,FALSE),"")</f>
        <v/>
      </c>
      <c r="C629" s="993"/>
      <c r="D629" s="118"/>
      <c r="E629" s="131"/>
      <c r="F629" s="126"/>
      <c r="G629" s="126"/>
      <c r="H629" s="125">
        <f t="shared" si="9"/>
        <v>0</v>
      </c>
      <c r="I629" s="191"/>
      <c r="J629" s="268"/>
      <c r="K629" s="182" t="str">
        <f>IFERROR(VLOOKUP(A629,'Budget-S&amp;U Codes Lookup'!$A$7:$C$550,3,FALSE),"")</f>
        <v/>
      </c>
      <c r="L629" s="1041"/>
      <c r="M629" s="753"/>
      <c r="N629" s="3" t="str">
        <f>IF(M629="","",VLOOKUP(M629,'Budget-S&amp;U Codes Lookup'!$E$26:$F$45,2,FALSE))</f>
        <v/>
      </c>
      <c r="P629" s="186"/>
    </row>
    <row r="630" spans="1:16" hidden="1">
      <c r="A630" s="81"/>
      <c r="B630" s="82" t="str">
        <f>IFERROR(VLOOKUP(A630,'Budget-S&amp;U Codes Lookup'!$A$7:$B$550,2,FALSE),"")</f>
        <v/>
      </c>
      <c r="C630" s="993"/>
      <c r="D630" s="118"/>
      <c r="E630" s="131"/>
      <c r="F630" s="126"/>
      <c r="G630" s="126"/>
      <c r="H630" s="125">
        <f t="shared" si="9"/>
        <v>0</v>
      </c>
      <c r="I630" s="191"/>
      <c r="J630" s="268"/>
      <c r="K630" s="182" t="str">
        <f>IFERROR(VLOOKUP(A630,'Budget-S&amp;U Codes Lookup'!$A$7:$C$550,3,FALSE),"")</f>
        <v/>
      </c>
      <c r="L630" s="1041"/>
      <c r="M630" s="753"/>
      <c r="N630" s="3" t="str">
        <f>IF(M630="","",VLOOKUP(M630,'Budget-S&amp;U Codes Lookup'!$E$26:$F$45,2,FALSE))</f>
        <v/>
      </c>
      <c r="P630" s="186"/>
    </row>
    <row r="631" spans="1:16" hidden="1">
      <c r="A631" s="81"/>
      <c r="B631" s="82" t="str">
        <f>IFERROR(VLOOKUP(A631,'Budget-S&amp;U Codes Lookup'!$A$7:$B$550,2,FALSE),"")</f>
        <v/>
      </c>
      <c r="C631" s="993"/>
      <c r="D631" s="118"/>
      <c r="E631" s="131"/>
      <c r="F631" s="126"/>
      <c r="G631" s="126"/>
      <c r="H631" s="125">
        <f t="shared" si="9"/>
        <v>0</v>
      </c>
      <c r="I631" s="191"/>
      <c r="J631" s="268"/>
      <c r="K631" s="182" t="str">
        <f>IFERROR(VLOOKUP(A631,'Budget-S&amp;U Codes Lookup'!$A$7:$C$550,3,FALSE),"")</f>
        <v/>
      </c>
      <c r="L631" s="1041"/>
      <c r="M631" s="753"/>
      <c r="N631" s="3" t="str">
        <f>IF(M631="","",VLOOKUP(M631,'Budget-S&amp;U Codes Lookup'!$E$26:$F$45,2,FALSE))</f>
        <v/>
      </c>
      <c r="P631" s="186"/>
    </row>
    <row r="632" spans="1:16" hidden="1">
      <c r="A632" s="81"/>
      <c r="B632" s="82" t="str">
        <f>IFERROR(VLOOKUP(A632,'Budget-S&amp;U Codes Lookup'!$A$7:$B$550,2,FALSE),"")</f>
        <v/>
      </c>
      <c r="C632" s="993"/>
      <c r="D632" s="118"/>
      <c r="E632" s="131"/>
      <c r="F632" s="126"/>
      <c r="G632" s="126"/>
      <c r="H632" s="125">
        <f t="shared" si="9"/>
        <v>0</v>
      </c>
      <c r="I632" s="191"/>
      <c r="J632" s="268"/>
      <c r="K632" s="182" t="str">
        <f>IFERROR(VLOOKUP(A632,'Budget-S&amp;U Codes Lookup'!$A$7:$C$550,3,FALSE),"")</f>
        <v/>
      </c>
      <c r="L632" s="1041"/>
      <c r="M632" s="753"/>
      <c r="N632" s="3" t="str">
        <f>IF(M632="","",VLOOKUP(M632,'Budget-S&amp;U Codes Lookup'!$E$26:$F$45,2,FALSE))</f>
        <v/>
      </c>
      <c r="P632" s="186"/>
    </row>
    <row r="633" spans="1:16" hidden="1">
      <c r="A633" s="81"/>
      <c r="B633" s="82" t="str">
        <f>IFERROR(VLOOKUP(A633,'Budget-S&amp;U Codes Lookup'!$A$7:$B$550,2,FALSE),"")</f>
        <v/>
      </c>
      <c r="C633" s="993"/>
      <c r="D633" s="118"/>
      <c r="E633" s="131"/>
      <c r="F633" s="126"/>
      <c r="G633" s="126"/>
      <c r="H633" s="125">
        <f t="shared" si="9"/>
        <v>0</v>
      </c>
      <c r="I633" s="191"/>
      <c r="J633" s="268"/>
      <c r="K633" s="182" t="str">
        <f>IFERROR(VLOOKUP(A633,'Budget-S&amp;U Codes Lookup'!$A$7:$C$550,3,FALSE),"")</f>
        <v/>
      </c>
      <c r="L633" s="1041"/>
      <c r="M633" s="753"/>
      <c r="N633" s="3" t="str">
        <f>IF(M633="","",VLOOKUP(M633,'Budget-S&amp;U Codes Lookup'!$E$26:$F$45,2,FALSE))</f>
        <v/>
      </c>
      <c r="P633" s="186"/>
    </row>
    <row r="634" spans="1:16" hidden="1">
      <c r="A634" s="81"/>
      <c r="B634" s="82" t="str">
        <f>IFERROR(VLOOKUP(A634,'Budget-S&amp;U Codes Lookup'!$A$7:$B$550,2,FALSE),"")</f>
        <v/>
      </c>
      <c r="C634" s="993"/>
      <c r="D634" s="118"/>
      <c r="E634" s="131"/>
      <c r="F634" s="126"/>
      <c r="G634" s="126"/>
      <c r="H634" s="125">
        <f t="shared" si="9"/>
        <v>0</v>
      </c>
      <c r="I634" s="191"/>
      <c r="J634" s="268"/>
      <c r="K634" s="182" t="str">
        <f>IFERROR(VLOOKUP(A634,'Budget-S&amp;U Codes Lookup'!$A$7:$C$550,3,FALSE),"")</f>
        <v/>
      </c>
      <c r="L634" s="1041"/>
      <c r="M634" s="753"/>
      <c r="N634" s="3" t="str">
        <f>IF(M634="","",VLOOKUP(M634,'Budget-S&amp;U Codes Lookup'!$E$26:$F$45,2,FALSE))</f>
        <v/>
      </c>
      <c r="P634" s="186"/>
    </row>
    <row r="635" spans="1:16" hidden="1">
      <c r="A635" s="81"/>
      <c r="B635" s="82" t="str">
        <f>IFERROR(VLOOKUP(A635,'Budget-S&amp;U Codes Lookup'!$A$7:$B$550,2,FALSE),"")</f>
        <v/>
      </c>
      <c r="C635" s="993"/>
      <c r="D635" s="118"/>
      <c r="E635" s="131"/>
      <c r="F635" s="126"/>
      <c r="G635" s="126"/>
      <c r="H635" s="125">
        <f t="shared" si="9"/>
        <v>0</v>
      </c>
      <c r="I635" s="191"/>
      <c r="J635" s="268"/>
      <c r="K635" s="182" t="str">
        <f>IFERROR(VLOOKUP(A635,'Budget-S&amp;U Codes Lookup'!$A$7:$C$550,3,FALSE),"")</f>
        <v/>
      </c>
      <c r="L635" s="1041"/>
      <c r="M635" s="753"/>
      <c r="N635" s="3" t="str">
        <f>IF(M635="","",VLOOKUP(M635,'Budget-S&amp;U Codes Lookup'!$E$26:$F$45,2,FALSE))</f>
        <v/>
      </c>
      <c r="P635" s="186"/>
    </row>
    <row r="636" spans="1:16" hidden="1">
      <c r="A636" s="81"/>
      <c r="B636" s="82" t="str">
        <f>IFERROR(VLOOKUP(A636,'Budget-S&amp;U Codes Lookup'!$A$7:$B$550,2,FALSE),"")</f>
        <v/>
      </c>
      <c r="C636" s="993"/>
      <c r="D636" s="118"/>
      <c r="E636" s="131"/>
      <c r="F636" s="126"/>
      <c r="G636" s="126"/>
      <c r="H636" s="125">
        <f t="shared" si="9"/>
        <v>0</v>
      </c>
      <c r="I636" s="191"/>
      <c r="J636" s="268"/>
      <c r="K636" s="182" t="str">
        <f>IFERROR(VLOOKUP(A636,'Budget-S&amp;U Codes Lookup'!$A$7:$C$550,3,FALSE),"")</f>
        <v/>
      </c>
      <c r="L636" s="1041"/>
      <c r="M636" s="753"/>
      <c r="N636" s="3" t="str">
        <f>IF(M636="","",VLOOKUP(M636,'Budget-S&amp;U Codes Lookup'!$E$26:$F$45,2,FALSE))</f>
        <v/>
      </c>
      <c r="P636" s="186"/>
    </row>
    <row r="637" spans="1:16" hidden="1">
      <c r="A637" s="81"/>
      <c r="B637" s="82" t="str">
        <f>IFERROR(VLOOKUP(A637,'Budget-S&amp;U Codes Lookup'!$A$7:$B$550,2,FALSE),"")</f>
        <v/>
      </c>
      <c r="C637" s="993"/>
      <c r="D637" s="118"/>
      <c r="E637" s="131"/>
      <c r="F637" s="126"/>
      <c r="G637" s="126"/>
      <c r="H637" s="125">
        <f t="shared" si="9"/>
        <v>0</v>
      </c>
      <c r="I637" s="191"/>
      <c r="J637" s="268"/>
      <c r="K637" s="182" t="str">
        <f>IFERROR(VLOOKUP(A637,'Budget-S&amp;U Codes Lookup'!$A$7:$C$550,3,FALSE),"")</f>
        <v/>
      </c>
      <c r="L637" s="1041"/>
      <c r="M637" s="753"/>
      <c r="N637" s="3" t="str">
        <f>IF(M637="","",VLOOKUP(M637,'Budget-S&amp;U Codes Lookup'!$E$26:$F$45,2,FALSE))</f>
        <v/>
      </c>
      <c r="P637" s="186"/>
    </row>
    <row r="638" spans="1:16" hidden="1">
      <c r="A638" s="81"/>
      <c r="B638" s="82" t="str">
        <f>IFERROR(VLOOKUP(A638,'Budget-S&amp;U Codes Lookup'!$A$7:$B$550,2,FALSE),"")</f>
        <v/>
      </c>
      <c r="C638" s="993"/>
      <c r="D638" s="118"/>
      <c r="E638" s="131"/>
      <c r="F638" s="126"/>
      <c r="G638" s="126"/>
      <c r="H638" s="125">
        <f t="shared" si="9"/>
        <v>0</v>
      </c>
      <c r="I638" s="191"/>
      <c r="J638" s="268"/>
      <c r="K638" s="182" t="str">
        <f>IFERROR(VLOOKUP(A638,'Budget-S&amp;U Codes Lookup'!$A$7:$C$550,3,FALSE),"")</f>
        <v/>
      </c>
      <c r="L638" s="1041"/>
      <c r="M638" s="753"/>
      <c r="N638" s="3" t="str">
        <f>IF(M638="","",VLOOKUP(M638,'Budget-S&amp;U Codes Lookup'!$E$26:$F$45,2,FALSE))</f>
        <v/>
      </c>
      <c r="P638" s="186"/>
    </row>
    <row r="639" spans="1:16" hidden="1">
      <c r="A639" s="81"/>
      <c r="B639" s="82" t="str">
        <f>IFERROR(VLOOKUP(A639,'Budget-S&amp;U Codes Lookup'!$A$7:$B$550,2,FALSE),"")</f>
        <v/>
      </c>
      <c r="C639" s="993"/>
      <c r="D639" s="118"/>
      <c r="E639" s="131"/>
      <c r="F639" s="126"/>
      <c r="G639" s="126"/>
      <c r="H639" s="125">
        <f t="shared" si="9"/>
        <v>0</v>
      </c>
      <c r="I639" s="191"/>
      <c r="J639" s="268"/>
      <c r="K639" s="182" t="str">
        <f>IFERROR(VLOOKUP(A639,'Budget-S&amp;U Codes Lookup'!$A$7:$C$550,3,FALSE),"")</f>
        <v/>
      </c>
      <c r="L639" s="1041"/>
      <c r="M639" s="753"/>
      <c r="N639" s="3" t="str">
        <f>IF(M639="","",VLOOKUP(M639,'Budget-S&amp;U Codes Lookup'!$E$26:$F$45,2,FALSE))</f>
        <v/>
      </c>
      <c r="P639" s="186"/>
    </row>
    <row r="640" spans="1:16" hidden="1">
      <c r="A640" s="81"/>
      <c r="B640" s="82" t="str">
        <f>IFERROR(VLOOKUP(A640,'Budget-S&amp;U Codes Lookup'!$A$7:$B$550,2,FALSE),"")</f>
        <v/>
      </c>
      <c r="C640" s="993"/>
      <c r="D640" s="118"/>
      <c r="E640" s="131"/>
      <c r="F640" s="126"/>
      <c r="G640" s="126"/>
      <c r="H640" s="125">
        <f t="shared" si="9"/>
        <v>0</v>
      </c>
      <c r="I640" s="191"/>
      <c r="J640" s="268"/>
      <c r="K640" s="182" t="str">
        <f>IFERROR(VLOOKUP(A640,'Budget-S&amp;U Codes Lookup'!$A$7:$C$550,3,FALSE),"")</f>
        <v/>
      </c>
      <c r="L640" s="1041"/>
      <c r="M640" s="753"/>
      <c r="N640" s="3" t="str">
        <f>IF(M640="","",VLOOKUP(M640,'Budget-S&amp;U Codes Lookup'!$E$26:$F$45,2,FALSE))</f>
        <v/>
      </c>
      <c r="P640" s="186"/>
    </row>
    <row r="641" spans="1:16" hidden="1">
      <c r="A641" s="81"/>
      <c r="B641" s="82" t="str">
        <f>IFERROR(VLOOKUP(A641,'Budget-S&amp;U Codes Lookup'!$A$7:$B$550,2,FALSE),"")</f>
        <v/>
      </c>
      <c r="C641" s="993"/>
      <c r="D641" s="118"/>
      <c r="E641" s="131"/>
      <c r="F641" s="126"/>
      <c r="G641" s="126"/>
      <c r="H641" s="125">
        <f t="shared" si="9"/>
        <v>0</v>
      </c>
      <c r="I641" s="191"/>
      <c r="J641" s="268"/>
      <c r="K641" s="182" t="str">
        <f>IFERROR(VLOOKUP(A641,'Budget-S&amp;U Codes Lookup'!$A$7:$C$550,3,FALSE),"")</f>
        <v/>
      </c>
      <c r="L641" s="1041"/>
      <c r="M641" s="753"/>
      <c r="N641" s="3" t="str">
        <f>IF(M641="","",VLOOKUP(M641,'Budget-S&amp;U Codes Lookup'!$E$26:$F$45,2,FALSE))</f>
        <v/>
      </c>
      <c r="P641" s="186"/>
    </row>
    <row r="642" spans="1:16" hidden="1">
      <c r="A642" s="81"/>
      <c r="B642" s="82" t="str">
        <f>IFERROR(VLOOKUP(A642,'Budget-S&amp;U Codes Lookup'!$A$7:$B$550,2,FALSE),"")</f>
        <v/>
      </c>
      <c r="C642" s="993"/>
      <c r="D642" s="118"/>
      <c r="E642" s="131"/>
      <c r="F642" s="126"/>
      <c r="G642" s="126"/>
      <c r="H642" s="125">
        <f t="shared" si="9"/>
        <v>0</v>
      </c>
      <c r="I642" s="191"/>
      <c r="J642" s="268"/>
      <c r="K642" s="182" t="str">
        <f>IFERROR(VLOOKUP(A642,'Budget-S&amp;U Codes Lookup'!$A$7:$C$550,3,FALSE),"")</f>
        <v/>
      </c>
      <c r="L642" s="1041"/>
      <c r="M642" s="753"/>
      <c r="N642" s="3" t="str">
        <f>IF(M642="","",VLOOKUP(M642,'Budget-S&amp;U Codes Lookup'!$E$26:$F$45,2,FALSE))</f>
        <v/>
      </c>
      <c r="P642" s="186"/>
    </row>
    <row r="643" spans="1:16" hidden="1">
      <c r="A643" s="81"/>
      <c r="B643" s="82" t="str">
        <f>IFERROR(VLOOKUP(A643,'Budget-S&amp;U Codes Lookup'!$A$7:$B$550,2,FALSE),"")</f>
        <v/>
      </c>
      <c r="C643" s="993"/>
      <c r="D643" s="118"/>
      <c r="E643" s="131"/>
      <c r="F643" s="126"/>
      <c r="G643" s="126"/>
      <c r="H643" s="125">
        <f t="shared" si="9"/>
        <v>0</v>
      </c>
      <c r="I643" s="191"/>
      <c r="J643" s="268"/>
      <c r="K643" s="182" t="str">
        <f>IFERROR(VLOOKUP(A643,'Budget-S&amp;U Codes Lookup'!$A$7:$C$550,3,FALSE),"")</f>
        <v/>
      </c>
      <c r="L643" s="1041"/>
      <c r="M643" s="753"/>
      <c r="N643" s="3" t="str">
        <f>IF(M643="","",VLOOKUP(M643,'Budget-S&amp;U Codes Lookup'!$E$26:$F$45,2,FALSE))</f>
        <v/>
      </c>
      <c r="P643" s="186"/>
    </row>
    <row r="644" spans="1:16" hidden="1">
      <c r="A644" s="81"/>
      <c r="B644" s="82" t="str">
        <f>IFERROR(VLOOKUP(A644,'Budget-S&amp;U Codes Lookup'!$A$7:$B$550,2,FALSE),"")</f>
        <v/>
      </c>
      <c r="C644" s="993"/>
      <c r="D644" s="118"/>
      <c r="E644" s="131"/>
      <c r="F644" s="126"/>
      <c r="G644" s="126"/>
      <c r="H644" s="125">
        <f t="shared" si="9"/>
        <v>0</v>
      </c>
      <c r="I644" s="191"/>
      <c r="J644" s="268"/>
      <c r="K644" s="182" t="str">
        <f>IFERROR(VLOOKUP(A644,'Budget-S&amp;U Codes Lookup'!$A$7:$C$550,3,FALSE),"")</f>
        <v/>
      </c>
      <c r="L644" s="1041"/>
      <c r="M644" s="753"/>
      <c r="N644" s="3" t="str">
        <f>IF(M644="","",VLOOKUP(M644,'Budget-S&amp;U Codes Lookup'!$E$26:$F$45,2,FALSE))</f>
        <v/>
      </c>
      <c r="P644" s="186"/>
    </row>
    <row r="645" spans="1:16" hidden="1">
      <c r="A645" s="81"/>
      <c r="B645" s="82" t="str">
        <f>IFERROR(VLOOKUP(A645,'Budget-S&amp;U Codes Lookup'!$A$7:$B$550,2,FALSE),"")</f>
        <v/>
      </c>
      <c r="C645" s="993"/>
      <c r="D645" s="118"/>
      <c r="E645" s="131"/>
      <c r="F645" s="126"/>
      <c r="G645" s="126"/>
      <c r="H645" s="125">
        <f t="shared" si="9"/>
        <v>0</v>
      </c>
      <c r="I645" s="191"/>
      <c r="J645" s="268"/>
      <c r="K645" s="182" t="str">
        <f>IFERROR(VLOOKUP(A645,'Budget-S&amp;U Codes Lookup'!$A$7:$C$550,3,FALSE),"")</f>
        <v/>
      </c>
      <c r="L645" s="1041"/>
      <c r="M645" s="753"/>
      <c r="N645" s="3" t="str">
        <f>IF(M645="","",VLOOKUP(M645,'Budget-S&amp;U Codes Lookup'!$E$26:$F$45,2,FALSE))</f>
        <v/>
      </c>
      <c r="P645" s="186"/>
    </row>
    <row r="646" spans="1:16" hidden="1">
      <c r="A646" s="81"/>
      <c r="B646" s="82" t="str">
        <f>IFERROR(VLOOKUP(A646,'Budget-S&amp;U Codes Lookup'!$A$7:$B$550,2,FALSE),"")</f>
        <v/>
      </c>
      <c r="C646" s="993"/>
      <c r="D646" s="118"/>
      <c r="E646" s="131"/>
      <c r="F646" s="126"/>
      <c r="G646" s="126"/>
      <c r="H646" s="125">
        <f t="shared" si="9"/>
        <v>0</v>
      </c>
      <c r="I646" s="191"/>
      <c r="J646" s="268"/>
      <c r="K646" s="182" t="str">
        <f>IFERROR(VLOOKUP(A646,'Budget-S&amp;U Codes Lookup'!$A$7:$C$550,3,FALSE),"")</f>
        <v/>
      </c>
      <c r="L646" s="1041"/>
      <c r="M646" s="753"/>
      <c r="N646" s="3" t="str">
        <f>IF(M646="","",VLOOKUP(M646,'Budget-S&amp;U Codes Lookup'!$E$26:$F$45,2,FALSE))</f>
        <v/>
      </c>
      <c r="P646" s="186"/>
    </row>
    <row r="647" spans="1:16" hidden="1">
      <c r="A647" s="81"/>
      <c r="B647" s="82" t="str">
        <f>IFERROR(VLOOKUP(A647,'Budget-S&amp;U Codes Lookup'!$A$7:$B$550,2,FALSE),"")</f>
        <v/>
      </c>
      <c r="C647" s="993"/>
      <c r="D647" s="118"/>
      <c r="E647" s="131"/>
      <c r="F647" s="126"/>
      <c r="G647" s="126"/>
      <c r="H647" s="125">
        <f t="shared" si="9"/>
        <v>0</v>
      </c>
      <c r="I647" s="191"/>
      <c r="J647" s="268"/>
      <c r="K647" s="182" t="str">
        <f>IFERROR(VLOOKUP(A647,'Budget-S&amp;U Codes Lookup'!$A$7:$C$550,3,FALSE),"")</f>
        <v/>
      </c>
      <c r="L647" s="1041"/>
      <c r="M647" s="753"/>
      <c r="N647" s="3" t="str">
        <f>IF(M647="","",VLOOKUP(M647,'Budget-S&amp;U Codes Lookup'!$E$26:$F$45,2,FALSE))</f>
        <v/>
      </c>
      <c r="P647" s="186"/>
    </row>
    <row r="648" spans="1:16" hidden="1">
      <c r="A648" s="81"/>
      <c r="B648" s="82" t="str">
        <f>IFERROR(VLOOKUP(A648,'Budget-S&amp;U Codes Lookup'!$A$7:$B$550,2,FALSE),"")</f>
        <v/>
      </c>
      <c r="C648" s="993"/>
      <c r="D648" s="118"/>
      <c r="E648" s="131"/>
      <c r="F648" s="126"/>
      <c r="G648" s="126"/>
      <c r="H648" s="125">
        <f t="shared" si="9"/>
        <v>0</v>
      </c>
      <c r="I648" s="191"/>
      <c r="J648" s="268"/>
      <c r="K648" s="182" t="str">
        <f>IFERROR(VLOOKUP(A648,'Budget-S&amp;U Codes Lookup'!$A$7:$C$550,3,FALSE),"")</f>
        <v/>
      </c>
      <c r="L648" s="1041"/>
      <c r="M648" s="753"/>
      <c r="N648" s="3" t="str">
        <f>IF(M648="","",VLOOKUP(M648,'Budget-S&amp;U Codes Lookup'!$E$26:$F$45,2,FALSE))</f>
        <v/>
      </c>
      <c r="P648" s="186"/>
    </row>
    <row r="649" spans="1:16" hidden="1">
      <c r="A649" s="81"/>
      <c r="B649" s="82" t="str">
        <f>IFERROR(VLOOKUP(A649,'Budget-S&amp;U Codes Lookup'!$A$7:$B$550,2,FALSE),"")</f>
        <v/>
      </c>
      <c r="C649" s="993"/>
      <c r="D649" s="118"/>
      <c r="E649" s="131"/>
      <c r="F649" s="126"/>
      <c r="G649" s="126"/>
      <c r="H649" s="125">
        <f t="shared" si="9"/>
        <v>0</v>
      </c>
      <c r="I649" s="191"/>
      <c r="J649" s="268"/>
      <c r="K649" s="182" t="str">
        <f>IFERROR(VLOOKUP(A649,'Budget-S&amp;U Codes Lookup'!$A$7:$C$550,3,FALSE),"")</f>
        <v/>
      </c>
      <c r="L649" s="1041"/>
      <c r="M649" s="753"/>
      <c r="N649" s="3" t="str">
        <f>IF(M649="","",VLOOKUP(M649,'Budget-S&amp;U Codes Lookup'!$E$26:$F$45,2,FALSE))</f>
        <v/>
      </c>
      <c r="P649" s="186"/>
    </row>
    <row r="650" spans="1:16" hidden="1">
      <c r="A650" s="81"/>
      <c r="B650" s="82" t="str">
        <f>IFERROR(VLOOKUP(A650,'Budget-S&amp;U Codes Lookup'!$A$7:$B$550,2,FALSE),"")</f>
        <v/>
      </c>
      <c r="C650" s="993"/>
      <c r="D650" s="118"/>
      <c r="E650" s="131"/>
      <c r="F650" s="126"/>
      <c r="G650" s="126"/>
      <c r="H650" s="125">
        <f t="shared" ref="H650:H713" si="10">F650-G650</f>
        <v>0</v>
      </c>
      <c r="I650" s="191"/>
      <c r="J650" s="268"/>
      <c r="K650" s="182" t="str">
        <f>IFERROR(VLOOKUP(A650,'Budget-S&amp;U Codes Lookup'!$A$7:$C$550,3,FALSE),"")</f>
        <v/>
      </c>
      <c r="L650" s="1041"/>
      <c r="M650" s="753"/>
      <c r="N650" s="3" t="str">
        <f>IF(M650="","",VLOOKUP(M650,'Budget-S&amp;U Codes Lookup'!$E$26:$F$45,2,FALSE))</f>
        <v/>
      </c>
      <c r="P650" s="186"/>
    </row>
    <row r="651" spans="1:16" hidden="1">
      <c r="A651" s="81"/>
      <c r="B651" s="82" t="str">
        <f>IFERROR(VLOOKUP(A651,'Budget-S&amp;U Codes Lookup'!$A$7:$B$550,2,FALSE),"")</f>
        <v/>
      </c>
      <c r="C651" s="993"/>
      <c r="D651" s="118"/>
      <c r="E651" s="131"/>
      <c r="F651" s="126"/>
      <c r="G651" s="126"/>
      <c r="H651" s="125">
        <f t="shared" si="10"/>
        <v>0</v>
      </c>
      <c r="I651" s="191"/>
      <c r="J651" s="268"/>
      <c r="K651" s="182" t="str">
        <f>IFERROR(VLOOKUP(A651,'Budget-S&amp;U Codes Lookup'!$A$7:$C$550,3,FALSE),"")</f>
        <v/>
      </c>
      <c r="L651" s="1041"/>
      <c r="M651" s="753"/>
      <c r="N651" s="3" t="str">
        <f>IF(M651="","",VLOOKUP(M651,'Budget-S&amp;U Codes Lookup'!$E$26:$F$45,2,FALSE))</f>
        <v/>
      </c>
      <c r="P651" s="186"/>
    </row>
    <row r="652" spans="1:16" hidden="1">
      <c r="A652" s="81"/>
      <c r="B652" s="82" t="str">
        <f>IFERROR(VLOOKUP(A652,'Budget-S&amp;U Codes Lookup'!$A$7:$B$550,2,FALSE),"")</f>
        <v/>
      </c>
      <c r="C652" s="993"/>
      <c r="D652" s="118"/>
      <c r="E652" s="131"/>
      <c r="F652" s="126"/>
      <c r="G652" s="126"/>
      <c r="H652" s="125">
        <f t="shared" si="10"/>
        <v>0</v>
      </c>
      <c r="I652" s="191"/>
      <c r="J652" s="268"/>
      <c r="K652" s="182" t="str">
        <f>IFERROR(VLOOKUP(A652,'Budget-S&amp;U Codes Lookup'!$A$7:$C$550,3,FALSE),"")</f>
        <v/>
      </c>
      <c r="L652" s="1041"/>
      <c r="M652" s="753"/>
      <c r="N652" s="3" t="str">
        <f>IF(M652="","",VLOOKUP(M652,'Budget-S&amp;U Codes Lookup'!$E$26:$F$45,2,FALSE))</f>
        <v/>
      </c>
      <c r="P652" s="186"/>
    </row>
    <row r="653" spans="1:16" hidden="1">
      <c r="A653" s="81"/>
      <c r="B653" s="82" t="str">
        <f>IFERROR(VLOOKUP(A653,'Budget-S&amp;U Codes Lookup'!$A$7:$B$550,2,FALSE),"")</f>
        <v/>
      </c>
      <c r="C653" s="993"/>
      <c r="D653" s="118"/>
      <c r="E653" s="131"/>
      <c r="F653" s="126"/>
      <c r="G653" s="126"/>
      <c r="H653" s="125">
        <f t="shared" si="10"/>
        <v>0</v>
      </c>
      <c r="I653" s="191"/>
      <c r="J653" s="268"/>
      <c r="K653" s="182" t="str">
        <f>IFERROR(VLOOKUP(A653,'Budget-S&amp;U Codes Lookup'!$A$7:$C$550,3,FALSE),"")</f>
        <v/>
      </c>
      <c r="L653" s="1041"/>
      <c r="M653" s="753"/>
      <c r="N653" s="3" t="str">
        <f>IF(M653="","",VLOOKUP(M653,'Budget-S&amp;U Codes Lookup'!$E$26:$F$45,2,FALSE))</f>
        <v/>
      </c>
      <c r="P653" s="186"/>
    </row>
    <row r="654" spans="1:16" hidden="1">
      <c r="A654" s="81"/>
      <c r="B654" s="82" t="str">
        <f>IFERROR(VLOOKUP(A654,'Budget-S&amp;U Codes Lookup'!$A$7:$B$550,2,FALSE),"")</f>
        <v/>
      </c>
      <c r="C654" s="993"/>
      <c r="D654" s="118"/>
      <c r="E654" s="131"/>
      <c r="F654" s="126"/>
      <c r="G654" s="126"/>
      <c r="H654" s="125">
        <f t="shared" si="10"/>
        <v>0</v>
      </c>
      <c r="I654" s="191"/>
      <c r="J654" s="268"/>
      <c r="K654" s="182" t="str">
        <f>IFERROR(VLOOKUP(A654,'Budget-S&amp;U Codes Lookup'!$A$7:$C$550,3,FALSE),"")</f>
        <v/>
      </c>
      <c r="L654" s="1041"/>
      <c r="M654" s="753"/>
      <c r="N654" s="3" t="str">
        <f>IF(M654="","",VLOOKUP(M654,'Budget-S&amp;U Codes Lookup'!$E$26:$F$45,2,FALSE))</f>
        <v/>
      </c>
      <c r="P654" s="186"/>
    </row>
    <row r="655" spans="1:16" hidden="1">
      <c r="A655" s="81"/>
      <c r="B655" s="82" t="str">
        <f>IFERROR(VLOOKUP(A655,'Budget-S&amp;U Codes Lookup'!$A$7:$B$550,2,FALSE),"")</f>
        <v/>
      </c>
      <c r="C655" s="993"/>
      <c r="D655" s="118"/>
      <c r="E655" s="131"/>
      <c r="F655" s="126"/>
      <c r="G655" s="126"/>
      <c r="H655" s="125">
        <f t="shared" si="10"/>
        <v>0</v>
      </c>
      <c r="I655" s="191"/>
      <c r="J655" s="268"/>
      <c r="K655" s="182" t="str">
        <f>IFERROR(VLOOKUP(A655,'Budget-S&amp;U Codes Lookup'!$A$7:$C$550,3,FALSE),"")</f>
        <v/>
      </c>
      <c r="L655" s="1041"/>
      <c r="M655" s="753"/>
      <c r="N655" s="3" t="str">
        <f>IF(M655="","",VLOOKUP(M655,'Budget-S&amp;U Codes Lookup'!$E$26:$F$45,2,FALSE))</f>
        <v/>
      </c>
      <c r="P655" s="186"/>
    </row>
    <row r="656" spans="1:16" hidden="1">
      <c r="A656" s="81"/>
      <c r="B656" s="82" t="str">
        <f>IFERROR(VLOOKUP(A656,'Budget-S&amp;U Codes Lookup'!$A$7:$B$550,2,FALSE),"")</f>
        <v/>
      </c>
      <c r="C656" s="993"/>
      <c r="D656" s="118"/>
      <c r="E656" s="131"/>
      <c r="F656" s="126"/>
      <c r="G656" s="126"/>
      <c r="H656" s="125">
        <f t="shared" si="10"/>
        <v>0</v>
      </c>
      <c r="I656" s="191"/>
      <c r="J656" s="268"/>
      <c r="K656" s="182" t="str">
        <f>IFERROR(VLOOKUP(A656,'Budget-S&amp;U Codes Lookup'!$A$7:$C$550,3,FALSE),"")</f>
        <v/>
      </c>
      <c r="L656" s="1041"/>
      <c r="M656" s="753"/>
      <c r="N656" s="3" t="str">
        <f>IF(M656="","",VLOOKUP(M656,'Budget-S&amp;U Codes Lookup'!$E$26:$F$45,2,FALSE))</f>
        <v/>
      </c>
      <c r="P656" s="186"/>
    </row>
    <row r="657" spans="1:16" hidden="1">
      <c r="A657" s="81"/>
      <c r="B657" s="82" t="str">
        <f>IFERROR(VLOOKUP(A657,'Budget-S&amp;U Codes Lookup'!$A$7:$B$550,2,FALSE),"")</f>
        <v/>
      </c>
      <c r="C657" s="993"/>
      <c r="D657" s="118"/>
      <c r="E657" s="131"/>
      <c r="F657" s="126"/>
      <c r="G657" s="126"/>
      <c r="H657" s="125">
        <f t="shared" si="10"/>
        <v>0</v>
      </c>
      <c r="I657" s="191"/>
      <c r="J657" s="268"/>
      <c r="K657" s="182" t="str">
        <f>IFERROR(VLOOKUP(A657,'Budget-S&amp;U Codes Lookup'!$A$7:$C$550,3,FALSE),"")</f>
        <v/>
      </c>
      <c r="L657" s="1041"/>
      <c r="M657" s="753"/>
      <c r="N657" s="3" t="str">
        <f>IF(M657="","",VLOOKUP(M657,'Budget-S&amp;U Codes Lookup'!$E$26:$F$45,2,FALSE))</f>
        <v/>
      </c>
      <c r="P657" s="186"/>
    </row>
    <row r="658" spans="1:16" hidden="1">
      <c r="A658" s="81"/>
      <c r="B658" s="82" t="str">
        <f>IFERROR(VLOOKUP(A658,'Budget-S&amp;U Codes Lookup'!$A$7:$B$550,2,FALSE),"")</f>
        <v/>
      </c>
      <c r="C658" s="993"/>
      <c r="D658" s="118"/>
      <c r="E658" s="131"/>
      <c r="F658" s="126"/>
      <c r="G658" s="126"/>
      <c r="H658" s="125">
        <f t="shared" si="10"/>
        <v>0</v>
      </c>
      <c r="I658" s="191"/>
      <c r="J658" s="268"/>
      <c r="K658" s="182" t="str">
        <f>IFERROR(VLOOKUP(A658,'Budget-S&amp;U Codes Lookup'!$A$7:$C$550,3,FALSE),"")</f>
        <v/>
      </c>
      <c r="L658" s="1041"/>
      <c r="M658" s="753"/>
      <c r="N658" s="3" t="str">
        <f>IF(M658="","",VLOOKUP(M658,'Budget-S&amp;U Codes Lookup'!$E$26:$F$45,2,FALSE))</f>
        <v/>
      </c>
      <c r="P658" s="186"/>
    </row>
    <row r="659" spans="1:16" hidden="1">
      <c r="A659" s="81"/>
      <c r="B659" s="82" t="str">
        <f>IFERROR(VLOOKUP(A659,'Budget-S&amp;U Codes Lookup'!$A$7:$B$550,2,FALSE),"")</f>
        <v/>
      </c>
      <c r="C659" s="993"/>
      <c r="D659" s="118"/>
      <c r="E659" s="131"/>
      <c r="F659" s="126"/>
      <c r="G659" s="126"/>
      <c r="H659" s="125">
        <f t="shared" si="10"/>
        <v>0</v>
      </c>
      <c r="I659" s="191"/>
      <c r="J659" s="268"/>
      <c r="K659" s="182" t="str">
        <f>IFERROR(VLOOKUP(A659,'Budget-S&amp;U Codes Lookup'!$A$7:$C$550,3,FALSE),"")</f>
        <v/>
      </c>
      <c r="L659" s="1041"/>
      <c r="M659" s="753"/>
      <c r="N659" s="3" t="str">
        <f>IF(M659="","",VLOOKUP(M659,'Budget-S&amp;U Codes Lookup'!$E$26:$F$45,2,FALSE))</f>
        <v/>
      </c>
      <c r="P659" s="186"/>
    </row>
    <row r="660" spans="1:16" hidden="1">
      <c r="A660" s="81"/>
      <c r="B660" s="82" t="str">
        <f>IFERROR(VLOOKUP(A660,'Budget-S&amp;U Codes Lookup'!$A$7:$B$550,2,FALSE),"")</f>
        <v/>
      </c>
      <c r="C660" s="993"/>
      <c r="D660" s="118"/>
      <c r="E660" s="131"/>
      <c r="F660" s="126"/>
      <c r="G660" s="126"/>
      <c r="H660" s="125">
        <f t="shared" si="10"/>
        <v>0</v>
      </c>
      <c r="I660" s="191"/>
      <c r="J660" s="268"/>
      <c r="K660" s="182" t="str">
        <f>IFERROR(VLOOKUP(A660,'Budget-S&amp;U Codes Lookup'!$A$7:$C$550,3,FALSE),"")</f>
        <v/>
      </c>
      <c r="L660" s="1041"/>
      <c r="M660" s="753"/>
      <c r="N660" s="3" t="str">
        <f>IF(M660="","",VLOOKUP(M660,'Budget-S&amp;U Codes Lookup'!$E$26:$F$45,2,FALSE))</f>
        <v/>
      </c>
      <c r="P660" s="186"/>
    </row>
    <row r="661" spans="1:16" hidden="1">
      <c r="A661" s="81"/>
      <c r="B661" s="82" t="str">
        <f>IFERROR(VLOOKUP(A661,'Budget-S&amp;U Codes Lookup'!$A$7:$B$550,2,FALSE),"")</f>
        <v/>
      </c>
      <c r="C661" s="993"/>
      <c r="D661" s="118"/>
      <c r="E661" s="131"/>
      <c r="F661" s="126"/>
      <c r="G661" s="126"/>
      <c r="H661" s="125">
        <f t="shared" si="10"/>
        <v>0</v>
      </c>
      <c r="I661" s="191"/>
      <c r="J661" s="268"/>
      <c r="K661" s="182" t="str">
        <f>IFERROR(VLOOKUP(A661,'Budget-S&amp;U Codes Lookup'!$A$7:$C$550,3,FALSE),"")</f>
        <v/>
      </c>
      <c r="L661" s="1041"/>
      <c r="M661" s="753"/>
      <c r="N661" s="3" t="str">
        <f>IF(M661="","",VLOOKUP(M661,'Budget-S&amp;U Codes Lookup'!$E$26:$F$45,2,FALSE))</f>
        <v/>
      </c>
      <c r="P661" s="186"/>
    </row>
    <row r="662" spans="1:16" hidden="1">
      <c r="A662" s="81"/>
      <c r="B662" s="82" t="str">
        <f>IFERROR(VLOOKUP(A662,'Budget-S&amp;U Codes Lookup'!$A$7:$B$550,2,FALSE),"")</f>
        <v/>
      </c>
      <c r="C662" s="993"/>
      <c r="D662" s="118"/>
      <c r="E662" s="131"/>
      <c r="F662" s="126"/>
      <c r="G662" s="126"/>
      <c r="H662" s="125">
        <f t="shared" si="10"/>
        <v>0</v>
      </c>
      <c r="I662" s="191"/>
      <c r="J662" s="268"/>
      <c r="K662" s="182" t="str">
        <f>IFERROR(VLOOKUP(A662,'Budget-S&amp;U Codes Lookup'!$A$7:$C$550,3,FALSE),"")</f>
        <v/>
      </c>
      <c r="L662" s="1041"/>
      <c r="M662" s="753"/>
      <c r="N662" s="3" t="str">
        <f>IF(M662="","",VLOOKUP(M662,'Budget-S&amp;U Codes Lookup'!$E$26:$F$45,2,FALSE))</f>
        <v/>
      </c>
      <c r="P662" s="186"/>
    </row>
    <row r="663" spans="1:16" hidden="1">
      <c r="A663" s="81"/>
      <c r="B663" s="82" t="str">
        <f>IFERROR(VLOOKUP(A663,'Budget-S&amp;U Codes Lookup'!$A$7:$B$550,2,FALSE),"")</f>
        <v/>
      </c>
      <c r="C663" s="993"/>
      <c r="D663" s="118"/>
      <c r="E663" s="131"/>
      <c r="F663" s="126"/>
      <c r="G663" s="126"/>
      <c r="H663" s="125">
        <f t="shared" si="10"/>
        <v>0</v>
      </c>
      <c r="I663" s="191"/>
      <c r="J663" s="268"/>
      <c r="K663" s="182" t="str">
        <f>IFERROR(VLOOKUP(A663,'Budget-S&amp;U Codes Lookup'!$A$7:$C$550,3,FALSE),"")</f>
        <v/>
      </c>
      <c r="L663" s="1041"/>
      <c r="M663" s="753"/>
      <c r="N663" s="3" t="str">
        <f>IF(M663="","",VLOOKUP(M663,'Budget-S&amp;U Codes Lookup'!$E$26:$F$45,2,FALSE))</f>
        <v/>
      </c>
      <c r="P663" s="186"/>
    </row>
    <row r="664" spans="1:16" hidden="1">
      <c r="A664" s="81"/>
      <c r="B664" s="82" t="str">
        <f>IFERROR(VLOOKUP(A664,'Budget-S&amp;U Codes Lookup'!$A$7:$B$550,2,FALSE),"")</f>
        <v/>
      </c>
      <c r="C664" s="993"/>
      <c r="D664" s="118"/>
      <c r="E664" s="131"/>
      <c r="F664" s="126"/>
      <c r="G664" s="126"/>
      <c r="H664" s="125">
        <f t="shared" si="10"/>
        <v>0</v>
      </c>
      <c r="I664" s="191"/>
      <c r="J664" s="268"/>
      <c r="K664" s="182" t="str">
        <f>IFERROR(VLOOKUP(A664,'Budget-S&amp;U Codes Lookup'!$A$7:$C$550,3,FALSE),"")</f>
        <v/>
      </c>
      <c r="L664" s="1041"/>
      <c r="M664" s="753"/>
      <c r="N664" s="3" t="str">
        <f>IF(M664="","",VLOOKUP(M664,'Budget-S&amp;U Codes Lookup'!$E$26:$F$45,2,FALSE))</f>
        <v/>
      </c>
      <c r="P664" s="186"/>
    </row>
    <row r="665" spans="1:16" hidden="1">
      <c r="A665" s="81"/>
      <c r="B665" s="82" t="str">
        <f>IFERROR(VLOOKUP(A665,'Budget-S&amp;U Codes Lookup'!$A$7:$B$550,2,FALSE),"")</f>
        <v/>
      </c>
      <c r="C665" s="993"/>
      <c r="D665" s="118"/>
      <c r="E665" s="131"/>
      <c r="F665" s="126"/>
      <c r="G665" s="126"/>
      <c r="H665" s="125">
        <f t="shared" si="10"/>
        <v>0</v>
      </c>
      <c r="I665" s="191"/>
      <c r="J665" s="268"/>
      <c r="K665" s="182" t="str">
        <f>IFERROR(VLOOKUP(A665,'Budget-S&amp;U Codes Lookup'!$A$7:$C$550,3,FALSE),"")</f>
        <v/>
      </c>
      <c r="L665" s="1041"/>
      <c r="M665" s="753"/>
      <c r="N665" s="3" t="str">
        <f>IF(M665="","",VLOOKUP(M665,'Budget-S&amp;U Codes Lookup'!$E$26:$F$45,2,FALSE))</f>
        <v/>
      </c>
      <c r="P665" s="186"/>
    </row>
    <row r="666" spans="1:16" hidden="1">
      <c r="A666" s="81"/>
      <c r="B666" s="82" t="str">
        <f>IFERROR(VLOOKUP(A666,'Budget-S&amp;U Codes Lookup'!$A$7:$B$550,2,FALSE),"")</f>
        <v/>
      </c>
      <c r="C666" s="993"/>
      <c r="D666" s="118"/>
      <c r="E666" s="131"/>
      <c r="F666" s="126"/>
      <c r="G666" s="126"/>
      <c r="H666" s="125">
        <f t="shared" si="10"/>
        <v>0</v>
      </c>
      <c r="I666" s="191"/>
      <c r="J666" s="268"/>
      <c r="K666" s="182" t="str">
        <f>IFERROR(VLOOKUP(A666,'Budget-S&amp;U Codes Lookup'!$A$7:$C$550,3,FALSE),"")</f>
        <v/>
      </c>
      <c r="L666" s="1041"/>
      <c r="M666" s="753"/>
      <c r="N666" s="3" t="str">
        <f>IF(M666="","",VLOOKUP(M666,'Budget-S&amp;U Codes Lookup'!$E$26:$F$45,2,FALSE))</f>
        <v/>
      </c>
      <c r="P666" s="186"/>
    </row>
    <row r="667" spans="1:16" hidden="1">
      <c r="A667" s="81"/>
      <c r="B667" s="82" t="str">
        <f>IFERROR(VLOOKUP(A667,'Budget-S&amp;U Codes Lookup'!$A$7:$B$550,2,FALSE),"")</f>
        <v/>
      </c>
      <c r="C667" s="993"/>
      <c r="D667" s="118"/>
      <c r="E667" s="131"/>
      <c r="F667" s="126"/>
      <c r="G667" s="126"/>
      <c r="H667" s="125">
        <f t="shared" si="10"/>
        <v>0</v>
      </c>
      <c r="I667" s="191"/>
      <c r="J667" s="268"/>
      <c r="K667" s="182" t="str">
        <f>IFERROR(VLOOKUP(A667,'Budget-S&amp;U Codes Lookup'!$A$7:$C$550,3,FALSE),"")</f>
        <v/>
      </c>
      <c r="L667" s="1041"/>
      <c r="M667" s="753"/>
      <c r="N667" s="3" t="str">
        <f>IF(M667="","",VLOOKUP(M667,'Budget-S&amp;U Codes Lookup'!$E$26:$F$45,2,FALSE))</f>
        <v/>
      </c>
      <c r="P667" s="186"/>
    </row>
    <row r="668" spans="1:16" hidden="1">
      <c r="A668" s="81"/>
      <c r="B668" s="82" t="str">
        <f>IFERROR(VLOOKUP(A668,'Budget-S&amp;U Codes Lookup'!$A$7:$B$550,2,FALSE),"")</f>
        <v/>
      </c>
      <c r="C668" s="993"/>
      <c r="D668" s="118"/>
      <c r="E668" s="131"/>
      <c r="F668" s="126"/>
      <c r="G668" s="126"/>
      <c r="H668" s="125">
        <f t="shared" si="10"/>
        <v>0</v>
      </c>
      <c r="I668" s="191"/>
      <c r="J668" s="268"/>
      <c r="K668" s="182" t="str">
        <f>IFERROR(VLOOKUP(A668,'Budget-S&amp;U Codes Lookup'!$A$7:$C$550,3,FALSE),"")</f>
        <v/>
      </c>
      <c r="L668" s="1041"/>
      <c r="M668" s="753"/>
      <c r="N668" s="3" t="str">
        <f>IF(M668="","",VLOOKUP(M668,'Budget-S&amp;U Codes Lookup'!$E$26:$F$45,2,FALSE))</f>
        <v/>
      </c>
      <c r="P668" s="186"/>
    </row>
    <row r="669" spans="1:16" hidden="1">
      <c r="A669" s="81"/>
      <c r="B669" s="82" t="str">
        <f>IFERROR(VLOOKUP(A669,'Budget-S&amp;U Codes Lookup'!$A$7:$B$550,2,FALSE),"")</f>
        <v/>
      </c>
      <c r="C669" s="993"/>
      <c r="D669" s="118"/>
      <c r="E669" s="131"/>
      <c r="F669" s="126"/>
      <c r="G669" s="126"/>
      <c r="H669" s="125">
        <f t="shared" si="10"/>
        <v>0</v>
      </c>
      <c r="I669" s="191"/>
      <c r="J669" s="268"/>
      <c r="K669" s="182" t="str">
        <f>IFERROR(VLOOKUP(A669,'Budget-S&amp;U Codes Lookup'!$A$7:$C$550,3,FALSE),"")</f>
        <v/>
      </c>
      <c r="L669" s="1041"/>
      <c r="M669" s="753"/>
      <c r="N669" s="3" t="str">
        <f>IF(M669="","",VLOOKUP(M669,'Budget-S&amp;U Codes Lookup'!$E$26:$F$45,2,FALSE))</f>
        <v/>
      </c>
      <c r="P669" s="186"/>
    </row>
    <row r="670" spans="1:16" hidden="1">
      <c r="A670" s="81"/>
      <c r="B670" s="82" t="str">
        <f>IFERROR(VLOOKUP(A670,'Budget-S&amp;U Codes Lookup'!$A$7:$B$550,2,FALSE),"")</f>
        <v/>
      </c>
      <c r="C670" s="993"/>
      <c r="D670" s="118"/>
      <c r="E670" s="131"/>
      <c r="F670" s="126"/>
      <c r="G670" s="126"/>
      <c r="H670" s="125">
        <f t="shared" si="10"/>
        <v>0</v>
      </c>
      <c r="I670" s="191"/>
      <c r="J670" s="268"/>
      <c r="K670" s="182" t="str">
        <f>IFERROR(VLOOKUP(A670,'Budget-S&amp;U Codes Lookup'!$A$7:$C$550,3,FALSE),"")</f>
        <v/>
      </c>
      <c r="L670" s="1041"/>
      <c r="M670" s="753"/>
      <c r="N670" s="3" t="str">
        <f>IF(M670="","",VLOOKUP(M670,'Budget-S&amp;U Codes Lookup'!$E$26:$F$45,2,FALSE))</f>
        <v/>
      </c>
      <c r="P670" s="186"/>
    </row>
    <row r="671" spans="1:16" hidden="1">
      <c r="A671" s="81"/>
      <c r="B671" s="82" t="str">
        <f>IFERROR(VLOOKUP(A671,'Budget-S&amp;U Codes Lookup'!$A$7:$B$550,2,FALSE),"")</f>
        <v/>
      </c>
      <c r="C671" s="993"/>
      <c r="D671" s="118"/>
      <c r="E671" s="131"/>
      <c r="F671" s="126"/>
      <c r="G671" s="126"/>
      <c r="H671" s="125">
        <f t="shared" si="10"/>
        <v>0</v>
      </c>
      <c r="I671" s="191"/>
      <c r="J671" s="268"/>
      <c r="K671" s="182" t="str">
        <f>IFERROR(VLOOKUP(A671,'Budget-S&amp;U Codes Lookup'!$A$7:$C$550,3,FALSE),"")</f>
        <v/>
      </c>
      <c r="L671" s="1041"/>
      <c r="M671" s="753"/>
      <c r="N671" s="3" t="str">
        <f>IF(M671="","",VLOOKUP(M671,'Budget-S&amp;U Codes Lookup'!$E$26:$F$45,2,FALSE))</f>
        <v/>
      </c>
      <c r="P671" s="186"/>
    </row>
    <row r="672" spans="1:16" hidden="1">
      <c r="A672" s="81"/>
      <c r="B672" s="82" t="str">
        <f>IFERROR(VLOOKUP(A672,'Budget-S&amp;U Codes Lookup'!$A$7:$B$550,2,FALSE),"")</f>
        <v/>
      </c>
      <c r="C672" s="993"/>
      <c r="D672" s="118"/>
      <c r="E672" s="131"/>
      <c r="F672" s="126"/>
      <c r="G672" s="126"/>
      <c r="H672" s="125">
        <f t="shared" si="10"/>
        <v>0</v>
      </c>
      <c r="I672" s="191"/>
      <c r="J672" s="268"/>
      <c r="K672" s="182" t="str">
        <f>IFERROR(VLOOKUP(A672,'Budget-S&amp;U Codes Lookup'!$A$7:$C$550,3,FALSE),"")</f>
        <v/>
      </c>
      <c r="L672" s="1041"/>
      <c r="M672" s="753"/>
      <c r="N672" s="3" t="str">
        <f>IF(M672="","",VLOOKUP(M672,'Budget-S&amp;U Codes Lookup'!$E$26:$F$45,2,FALSE))</f>
        <v/>
      </c>
      <c r="P672" s="186"/>
    </row>
    <row r="673" spans="1:16" hidden="1">
      <c r="A673" s="81"/>
      <c r="B673" s="82" t="str">
        <f>IFERROR(VLOOKUP(A673,'Budget-S&amp;U Codes Lookup'!$A$7:$B$550,2,FALSE),"")</f>
        <v/>
      </c>
      <c r="C673" s="993"/>
      <c r="D673" s="118"/>
      <c r="E673" s="131"/>
      <c r="F673" s="126"/>
      <c r="G673" s="126"/>
      <c r="H673" s="125">
        <f t="shared" si="10"/>
        <v>0</v>
      </c>
      <c r="I673" s="191"/>
      <c r="J673" s="268"/>
      <c r="K673" s="182" t="str">
        <f>IFERROR(VLOOKUP(A673,'Budget-S&amp;U Codes Lookup'!$A$7:$C$550,3,FALSE),"")</f>
        <v/>
      </c>
      <c r="L673" s="1041"/>
      <c r="M673" s="753"/>
      <c r="N673" s="3" t="str">
        <f>IF(M673="","",VLOOKUP(M673,'Budget-S&amp;U Codes Lookup'!$E$26:$F$45,2,FALSE))</f>
        <v/>
      </c>
      <c r="P673" s="186"/>
    </row>
    <row r="674" spans="1:16" hidden="1">
      <c r="A674" s="81"/>
      <c r="B674" s="82" t="str">
        <f>IFERROR(VLOOKUP(A674,'Budget-S&amp;U Codes Lookup'!$A$7:$B$550,2,FALSE),"")</f>
        <v/>
      </c>
      <c r="C674" s="993"/>
      <c r="D674" s="118"/>
      <c r="E674" s="131"/>
      <c r="F674" s="126"/>
      <c r="G674" s="126"/>
      <c r="H674" s="125">
        <f t="shared" si="10"/>
        <v>0</v>
      </c>
      <c r="I674" s="191"/>
      <c r="J674" s="268"/>
      <c r="K674" s="182" t="str">
        <f>IFERROR(VLOOKUP(A674,'Budget-S&amp;U Codes Lookup'!$A$7:$C$550,3,FALSE),"")</f>
        <v/>
      </c>
      <c r="L674" s="1041"/>
      <c r="M674" s="753"/>
      <c r="N674" s="3" t="str">
        <f>IF(M674="","",VLOOKUP(M674,'Budget-S&amp;U Codes Lookup'!$E$26:$F$45,2,FALSE))</f>
        <v/>
      </c>
      <c r="P674" s="186"/>
    </row>
    <row r="675" spans="1:16" hidden="1">
      <c r="A675" s="81"/>
      <c r="B675" s="82" t="str">
        <f>IFERROR(VLOOKUP(A675,'Budget-S&amp;U Codes Lookup'!$A$7:$B$550,2,FALSE),"")</f>
        <v/>
      </c>
      <c r="C675" s="993"/>
      <c r="D675" s="118"/>
      <c r="E675" s="131"/>
      <c r="F675" s="126"/>
      <c r="G675" s="126"/>
      <c r="H675" s="125">
        <f t="shared" si="10"/>
        <v>0</v>
      </c>
      <c r="I675" s="191"/>
      <c r="J675" s="268"/>
      <c r="K675" s="182" t="str">
        <f>IFERROR(VLOOKUP(A675,'Budget-S&amp;U Codes Lookup'!$A$7:$C$550,3,FALSE),"")</f>
        <v/>
      </c>
      <c r="L675" s="1041"/>
      <c r="M675" s="753"/>
      <c r="N675" s="3" t="str">
        <f>IF(M675="","",VLOOKUP(M675,'Budget-S&amp;U Codes Lookup'!$E$26:$F$45,2,FALSE))</f>
        <v/>
      </c>
      <c r="P675" s="186"/>
    </row>
    <row r="676" spans="1:16" hidden="1">
      <c r="A676" s="81"/>
      <c r="B676" s="82" t="str">
        <f>IFERROR(VLOOKUP(A676,'Budget-S&amp;U Codes Lookup'!$A$7:$B$550,2,FALSE),"")</f>
        <v/>
      </c>
      <c r="C676" s="993"/>
      <c r="D676" s="118"/>
      <c r="E676" s="131"/>
      <c r="F676" s="126"/>
      <c r="G676" s="126"/>
      <c r="H676" s="125">
        <f t="shared" si="10"/>
        <v>0</v>
      </c>
      <c r="I676" s="191"/>
      <c r="J676" s="268"/>
      <c r="K676" s="182" t="str">
        <f>IFERROR(VLOOKUP(A676,'Budget-S&amp;U Codes Lookup'!$A$7:$C$550,3,FALSE),"")</f>
        <v/>
      </c>
      <c r="L676" s="1041"/>
      <c r="M676" s="753"/>
      <c r="N676" s="3" t="str">
        <f>IF(M676="","",VLOOKUP(M676,'Budget-S&amp;U Codes Lookup'!$E$26:$F$45,2,FALSE))</f>
        <v/>
      </c>
      <c r="P676" s="186"/>
    </row>
    <row r="677" spans="1:16" hidden="1">
      <c r="A677" s="81"/>
      <c r="B677" s="82" t="str">
        <f>IFERROR(VLOOKUP(A677,'Budget-S&amp;U Codes Lookup'!$A$7:$B$550,2,FALSE),"")</f>
        <v/>
      </c>
      <c r="C677" s="993"/>
      <c r="D677" s="118"/>
      <c r="E677" s="131"/>
      <c r="F677" s="126"/>
      <c r="G677" s="126"/>
      <c r="H677" s="125">
        <f t="shared" si="10"/>
        <v>0</v>
      </c>
      <c r="I677" s="191"/>
      <c r="J677" s="268"/>
      <c r="K677" s="182" t="str">
        <f>IFERROR(VLOOKUP(A677,'Budget-S&amp;U Codes Lookup'!$A$7:$C$550,3,FALSE),"")</f>
        <v/>
      </c>
      <c r="L677" s="1041"/>
      <c r="M677" s="753"/>
      <c r="N677" s="3" t="str">
        <f>IF(M677="","",VLOOKUP(M677,'Budget-S&amp;U Codes Lookup'!$E$26:$F$45,2,FALSE))</f>
        <v/>
      </c>
      <c r="P677" s="186"/>
    </row>
    <row r="678" spans="1:16" hidden="1">
      <c r="A678" s="81"/>
      <c r="B678" s="82" t="str">
        <f>IFERROR(VLOOKUP(A678,'Budget-S&amp;U Codes Lookup'!$A$7:$B$550,2,FALSE),"")</f>
        <v/>
      </c>
      <c r="C678" s="993"/>
      <c r="D678" s="118"/>
      <c r="E678" s="131"/>
      <c r="F678" s="126"/>
      <c r="G678" s="126"/>
      <c r="H678" s="125">
        <f t="shared" si="10"/>
        <v>0</v>
      </c>
      <c r="I678" s="191"/>
      <c r="J678" s="268"/>
      <c r="K678" s="182" t="str">
        <f>IFERROR(VLOOKUP(A678,'Budget-S&amp;U Codes Lookup'!$A$7:$C$550,3,FALSE),"")</f>
        <v/>
      </c>
      <c r="L678" s="1041"/>
      <c r="M678" s="753"/>
      <c r="N678" s="3" t="str">
        <f>IF(M678="","",VLOOKUP(M678,'Budget-S&amp;U Codes Lookup'!$E$26:$F$45,2,FALSE))</f>
        <v/>
      </c>
      <c r="P678" s="186"/>
    </row>
    <row r="679" spans="1:16" hidden="1">
      <c r="A679" s="81"/>
      <c r="B679" s="82" t="str">
        <f>IFERROR(VLOOKUP(A679,'Budget-S&amp;U Codes Lookup'!$A$7:$B$550,2,FALSE),"")</f>
        <v/>
      </c>
      <c r="C679" s="993"/>
      <c r="D679" s="118"/>
      <c r="E679" s="131"/>
      <c r="F679" s="126"/>
      <c r="G679" s="126"/>
      <c r="H679" s="125">
        <f t="shared" si="10"/>
        <v>0</v>
      </c>
      <c r="I679" s="191"/>
      <c r="J679" s="268"/>
      <c r="K679" s="182" t="str">
        <f>IFERROR(VLOOKUP(A679,'Budget-S&amp;U Codes Lookup'!$A$7:$C$550,3,FALSE),"")</f>
        <v/>
      </c>
      <c r="L679" s="1041"/>
      <c r="M679" s="753"/>
      <c r="N679" s="3" t="str">
        <f>IF(M679="","",VLOOKUP(M679,'Budget-S&amp;U Codes Lookup'!$E$26:$F$45,2,FALSE))</f>
        <v/>
      </c>
      <c r="P679" s="186"/>
    </row>
    <row r="680" spans="1:16" hidden="1">
      <c r="A680" s="81"/>
      <c r="B680" s="82" t="str">
        <f>IFERROR(VLOOKUP(A680,'Budget-S&amp;U Codes Lookup'!$A$7:$B$550,2,FALSE),"")</f>
        <v/>
      </c>
      <c r="C680" s="993"/>
      <c r="D680" s="118"/>
      <c r="E680" s="131"/>
      <c r="F680" s="126"/>
      <c r="G680" s="126"/>
      <c r="H680" s="125">
        <f t="shared" si="10"/>
        <v>0</v>
      </c>
      <c r="I680" s="191"/>
      <c r="J680" s="268"/>
      <c r="K680" s="182" t="str">
        <f>IFERROR(VLOOKUP(A680,'Budget-S&amp;U Codes Lookup'!$A$7:$C$550,3,FALSE),"")</f>
        <v/>
      </c>
      <c r="L680" s="1041"/>
      <c r="M680" s="753"/>
      <c r="N680" s="3" t="str">
        <f>IF(M680="","",VLOOKUP(M680,'Budget-S&amp;U Codes Lookup'!$E$26:$F$45,2,FALSE))</f>
        <v/>
      </c>
      <c r="P680" s="186"/>
    </row>
    <row r="681" spans="1:16" hidden="1">
      <c r="A681" s="81"/>
      <c r="B681" s="82" t="str">
        <f>IFERROR(VLOOKUP(A681,'Budget-S&amp;U Codes Lookup'!$A$7:$B$550,2,FALSE),"")</f>
        <v/>
      </c>
      <c r="C681" s="993"/>
      <c r="D681" s="118"/>
      <c r="E681" s="131"/>
      <c r="F681" s="126"/>
      <c r="G681" s="126"/>
      <c r="H681" s="125">
        <f t="shared" si="10"/>
        <v>0</v>
      </c>
      <c r="I681" s="191"/>
      <c r="J681" s="268"/>
      <c r="K681" s="182" t="str">
        <f>IFERROR(VLOOKUP(A681,'Budget-S&amp;U Codes Lookup'!$A$7:$C$550,3,FALSE),"")</f>
        <v/>
      </c>
      <c r="L681" s="1041"/>
      <c r="M681" s="753"/>
      <c r="N681" s="3" t="str">
        <f>IF(M681="","",VLOOKUP(M681,'Budget-S&amp;U Codes Lookup'!$E$26:$F$45,2,FALSE))</f>
        <v/>
      </c>
      <c r="P681" s="186"/>
    </row>
    <row r="682" spans="1:16" hidden="1">
      <c r="A682" s="81"/>
      <c r="B682" s="82" t="str">
        <f>IFERROR(VLOOKUP(A682,'Budget-S&amp;U Codes Lookup'!$A$7:$B$550,2,FALSE),"")</f>
        <v/>
      </c>
      <c r="C682" s="993"/>
      <c r="D682" s="118"/>
      <c r="E682" s="131"/>
      <c r="F682" s="126"/>
      <c r="G682" s="126"/>
      <c r="H682" s="125">
        <f t="shared" si="10"/>
        <v>0</v>
      </c>
      <c r="I682" s="191"/>
      <c r="J682" s="268"/>
      <c r="K682" s="182" t="str">
        <f>IFERROR(VLOOKUP(A682,'Budget-S&amp;U Codes Lookup'!$A$7:$C$550,3,FALSE),"")</f>
        <v/>
      </c>
      <c r="L682" s="1041"/>
      <c r="M682" s="753"/>
      <c r="N682" s="3" t="str">
        <f>IF(M682="","",VLOOKUP(M682,'Budget-S&amp;U Codes Lookup'!$E$26:$F$45,2,FALSE))</f>
        <v/>
      </c>
      <c r="P682" s="186"/>
    </row>
    <row r="683" spans="1:16" hidden="1">
      <c r="A683" s="81"/>
      <c r="B683" s="82" t="str">
        <f>IFERROR(VLOOKUP(A683,'Budget-S&amp;U Codes Lookup'!$A$7:$B$550,2,FALSE),"")</f>
        <v/>
      </c>
      <c r="C683" s="993"/>
      <c r="D683" s="118"/>
      <c r="E683" s="131"/>
      <c r="F683" s="126"/>
      <c r="G683" s="126"/>
      <c r="H683" s="125">
        <f t="shared" si="10"/>
        <v>0</v>
      </c>
      <c r="I683" s="191"/>
      <c r="J683" s="268"/>
      <c r="K683" s="182" t="str">
        <f>IFERROR(VLOOKUP(A683,'Budget-S&amp;U Codes Lookup'!$A$7:$C$550,3,FALSE),"")</f>
        <v/>
      </c>
      <c r="L683" s="1041"/>
      <c r="M683" s="753"/>
      <c r="N683" s="3" t="str">
        <f>IF(M683="","",VLOOKUP(M683,'Budget-S&amp;U Codes Lookup'!$E$26:$F$45,2,FALSE))</f>
        <v/>
      </c>
      <c r="P683" s="186"/>
    </row>
    <row r="684" spans="1:16" hidden="1">
      <c r="A684" s="81"/>
      <c r="B684" s="82" t="str">
        <f>IFERROR(VLOOKUP(A684,'Budget-S&amp;U Codes Lookup'!$A$7:$B$550,2,FALSE),"")</f>
        <v/>
      </c>
      <c r="C684" s="993"/>
      <c r="D684" s="118"/>
      <c r="E684" s="131"/>
      <c r="F684" s="126"/>
      <c r="G684" s="126"/>
      <c r="H684" s="125">
        <f t="shared" si="10"/>
        <v>0</v>
      </c>
      <c r="I684" s="191"/>
      <c r="J684" s="268"/>
      <c r="K684" s="182" t="str">
        <f>IFERROR(VLOOKUP(A684,'Budget-S&amp;U Codes Lookup'!$A$7:$C$550,3,FALSE),"")</f>
        <v/>
      </c>
      <c r="L684" s="1041"/>
      <c r="M684" s="753"/>
      <c r="N684" s="3" t="str">
        <f>IF(M684="","",VLOOKUP(M684,'Budget-S&amp;U Codes Lookup'!$E$26:$F$45,2,FALSE))</f>
        <v/>
      </c>
      <c r="P684" s="186"/>
    </row>
    <row r="685" spans="1:16" hidden="1">
      <c r="A685" s="81"/>
      <c r="B685" s="82" t="str">
        <f>IFERROR(VLOOKUP(A685,'Budget-S&amp;U Codes Lookup'!$A$7:$B$550,2,FALSE),"")</f>
        <v/>
      </c>
      <c r="C685" s="993"/>
      <c r="D685" s="118"/>
      <c r="E685" s="131"/>
      <c r="F685" s="126"/>
      <c r="G685" s="126"/>
      <c r="H685" s="125">
        <f t="shared" si="10"/>
        <v>0</v>
      </c>
      <c r="I685" s="191"/>
      <c r="J685" s="268"/>
      <c r="K685" s="182" t="str">
        <f>IFERROR(VLOOKUP(A685,'Budget-S&amp;U Codes Lookup'!$A$7:$C$550,3,FALSE),"")</f>
        <v/>
      </c>
      <c r="L685" s="1041"/>
      <c r="M685" s="753"/>
      <c r="N685" s="3" t="str">
        <f>IF(M685="","",VLOOKUP(M685,'Budget-S&amp;U Codes Lookup'!$E$26:$F$45,2,FALSE))</f>
        <v/>
      </c>
      <c r="P685" s="186"/>
    </row>
    <row r="686" spans="1:16" hidden="1">
      <c r="A686" s="81"/>
      <c r="B686" s="82" t="str">
        <f>IFERROR(VLOOKUP(A686,'Budget-S&amp;U Codes Lookup'!$A$7:$B$550,2,FALSE),"")</f>
        <v/>
      </c>
      <c r="C686" s="993"/>
      <c r="D686" s="118"/>
      <c r="E686" s="131"/>
      <c r="F686" s="126"/>
      <c r="G686" s="126"/>
      <c r="H686" s="125">
        <f t="shared" si="10"/>
        <v>0</v>
      </c>
      <c r="I686" s="191"/>
      <c r="J686" s="268"/>
      <c r="K686" s="182" t="str">
        <f>IFERROR(VLOOKUP(A686,'Budget-S&amp;U Codes Lookup'!$A$7:$C$550,3,FALSE),"")</f>
        <v/>
      </c>
      <c r="L686" s="1041"/>
      <c r="M686" s="753"/>
      <c r="N686" s="3" t="str">
        <f>IF(M686="","",VLOOKUP(M686,'Budget-S&amp;U Codes Lookup'!$E$26:$F$45,2,FALSE))</f>
        <v/>
      </c>
      <c r="P686" s="186"/>
    </row>
    <row r="687" spans="1:16" hidden="1">
      <c r="A687" s="81"/>
      <c r="B687" s="82" t="str">
        <f>IFERROR(VLOOKUP(A687,'Budget-S&amp;U Codes Lookup'!$A$7:$B$550,2,FALSE),"")</f>
        <v/>
      </c>
      <c r="C687" s="993"/>
      <c r="D687" s="118"/>
      <c r="E687" s="131"/>
      <c r="F687" s="126"/>
      <c r="G687" s="126"/>
      <c r="H687" s="125">
        <f t="shared" si="10"/>
        <v>0</v>
      </c>
      <c r="I687" s="191"/>
      <c r="J687" s="268"/>
      <c r="K687" s="182" t="str">
        <f>IFERROR(VLOOKUP(A687,'Budget-S&amp;U Codes Lookup'!$A$7:$C$550,3,FALSE),"")</f>
        <v/>
      </c>
      <c r="L687" s="1041"/>
      <c r="M687" s="753"/>
      <c r="N687" s="3" t="str">
        <f>IF(M687="","",VLOOKUP(M687,'Budget-S&amp;U Codes Lookup'!$E$26:$F$45,2,FALSE))</f>
        <v/>
      </c>
      <c r="P687" s="186"/>
    </row>
    <row r="688" spans="1:16" hidden="1">
      <c r="A688" s="81"/>
      <c r="B688" s="82" t="str">
        <f>IFERROR(VLOOKUP(A688,'Budget-S&amp;U Codes Lookup'!$A$7:$B$550,2,FALSE),"")</f>
        <v/>
      </c>
      <c r="C688" s="993"/>
      <c r="D688" s="118"/>
      <c r="E688" s="131"/>
      <c r="F688" s="126"/>
      <c r="G688" s="126"/>
      <c r="H688" s="125">
        <f t="shared" si="10"/>
        <v>0</v>
      </c>
      <c r="I688" s="191"/>
      <c r="J688" s="268"/>
      <c r="K688" s="182" t="str">
        <f>IFERROR(VLOOKUP(A688,'Budget-S&amp;U Codes Lookup'!$A$7:$C$550,3,FALSE),"")</f>
        <v/>
      </c>
      <c r="L688" s="1041"/>
      <c r="M688" s="753"/>
      <c r="N688" s="3" t="str">
        <f>IF(M688="","",VLOOKUP(M688,'Budget-S&amp;U Codes Lookup'!$E$26:$F$45,2,FALSE))</f>
        <v/>
      </c>
      <c r="P688" s="186"/>
    </row>
    <row r="689" spans="1:16" hidden="1">
      <c r="A689" s="81"/>
      <c r="B689" s="82" t="str">
        <f>IFERROR(VLOOKUP(A689,'Budget-S&amp;U Codes Lookup'!$A$7:$B$550,2,FALSE),"")</f>
        <v/>
      </c>
      <c r="C689" s="993"/>
      <c r="D689" s="118"/>
      <c r="E689" s="131"/>
      <c r="F689" s="126"/>
      <c r="G689" s="126"/>
      <c r="H689" s="125">
        <f t="shared" si="10"/>
        <v>0</v>
      </c>
      <c r="I689" s="191"/>
      <c r="J689" s="268"/>
      <c r="K689" s="182" t="str">
        <f>IFERROR(VLOOKUP(A689,'Budget-S&amp;U Codes Lookup'!$A$7:$C$550,3,FALSE),"")</f>
        <v/>
      </c>
      <c r="L689" s="1041"/>
      <c r="M689" s="753"/>
      <c r="N689" s="3" t="str">
        <f>IF(M689="","",VLOOKUP(M689,'Budget-S&amp;U Codes Lookup'!$E$26:$F$45,2,FALSE))</f>
        <v/>
      </c>
      <c r="P689" s="186"/>
    </row>
    <row r="690" spans="1:16" hidden="1">
      <c r="A690" s="81"/>
      <c r="B690" s="82" t="str">
        <f>IFERROR(VLOOKUP(A690,'Budget-S&amp;U Codes Lookup'!$A$7:$B$550,2,FALSE),"")</f>
        <v/>
      </c>
      <c r="C690" s="993"/>
      <c r="D690" s="118"/>
      <c r="E690" s="131"/>
      <c r="F690" s="126"/>
      <c r="G690" s="126"/>
      <c r="H690" s="125">
        <f t="shared" si="10"/>
        <v>0</v>
      </c>
      <c r="I690" s="191"/>
      <c r="J690" s="268"/>
      <c r="K690" s="182" t="str">
        <f>IFERROR(VLOOKUP(A690,'Budget-S&amp;U Codes Lookup'!$A$7:$C$550,3,FALSE),"")</f>
        <v/>
      </c>
      <c r="L690" s="1041"/>
      <c r="M690" s="753"/>
      <c r="N690" s="3" t="str">
        <f>IF(M690="","",VLOOKUP(M690,'Budget-S&amp;U Codes Lookup'!$E$26:$F$45,2,FALSE))</f>
        <v/>
      </c>
      <c r="P690" s="186"/>
    </row>
    <row r="691" spans="1:16" hidden="1">
      <c r="A691" s="81"/>
      <c r="B691" s="82" t="str">
        <f>IFERROR(VLOOKUP(A691,'Budget-S&amp;U Codes Lookup'!$A$7:$B$550,2,FALSE),"")</f>
        <v/>
      </c>
      <c r="C691" s="993"/>
      <c r="D691" s="118"/>
      <c r="E691" s="131"/>
      <c r="F691" s="126"/>
      <c r="G691" s="126"/>
      <c r="H691" s="125">
        <f t="shared" si="10"/>
        <v>0</v>
      </c>
      <c r="I691" s="191"/>
      <c r="J691" s="268"/>
      <c r="K691" s="182" t="str">
        <f>IFERROR(VLOOKUP(A691,'Budget-S&amp;U Codes Lookup'!$A$7:$C$550,3,FALSE),"")</f>
        <v/>
      </c>
      <c r="L691" s="1041"/>
      <c r="M691" s="753"/>
      <c r="N691" s="3" t="str">
        <f>IF(M691="","",VLOOKUP(M691,'Budget-S&amp;U Codes Lookup'!$E$26:$F$45,2,FALSE))</f>
        <v/>
      </c>
      <c r="P691" s="186"/>
    </row>
    <row r="692" spans="1:16" hidden="1">
      <c r="A692" s="81"/>
      <c r="B692" s="82" t="str">
        <f>IFERROR(VLOOKUP(A692,'Budget-S&amp;U Codes Lookup'!$A$7:$B$550,2,FALSE),"")</f>
        <v/>
      </c>
      <c r="C692" s="993"/>
      <c r="D692" s="118"/>
      <c r="E692" s="131"/>
      <c r="F692" s="126"/>
      <c r="G692" s="126"/>
      <c r="H692" s="125">
        <f t="shared" si="10"/>
        <v>0</v>
      </c>
      <c r="I692" s="191"/>
      <c r="J692" s="268"/>
      <c r="K692" s="182" t="str">
        <f>IFERROR(VLOOKUP(A692,'Budget-S&amp;U Codes Lookup'!$A$7:$C$550,3,FALSE),"")</f>
        <v/>
      </c>
      <c r="L692" s="1041"/>
      <c r="M692" s="753"/>
      <c r="N692" s="3" t="str">
        <f>IF(M692="","",VLOOKUP(M692,'Budget-S&amp;U Codes Lookup'!$E$26:$F$45,2,FALSE))</f>
        <v/>
      </c>
      <c r="P692" s="186"/>
    </row>
    <row r="693" spans="1:16" hidden="1">
      <c r="A693" s="81"/>
      <c r="B693" s="82" t="str">
        <f>IFERROR(VLOOKUP(A693,'Budget-S&amp;U Codes Lookup'!$A$7:$B$550,2,FALSE),"")</f>
        <v/>
      </c>
      <c r="C693" s="993"/>
      <c r="D693" s="118"/>
      <c r="E693" s="131"/>
      <c r="F693" s="126"/>
      <c r="G693" s="126"/>
      <c r="H693" s="125">
        <f t="shared" si="10"/>
        <v>0</v>
      </c>
      <c r="I693" s="191"/>
      <c r="J693" s="268"/>
      <c r="K693" s="182" t="str">
        <f>IFERROR(VLOOKUP(A693,'Budget-S&amp;U Codes Lookup'!$A$7:$C$550,3,FALSE),"")</f>
        <v/>
      </c>
      <c r="L693" s="1041"/>
      <c r="M693" s="753"/>
      <c r="N693" s="3" t="str">
        <f>IF(M693="","",VLOOKUP(M693,'Budget-S&amp;U Codes Lookup'!$E$26:$F$45,2,FALSE))</f>
        <v/>
      </c>
      <c r="P693" s="186"/>
    </row>
    <row r="694" spans="1:16" hidden="1">
      <c r="A694" s="81"/>
      <c r="B694" s="82" t="str">
        <f>IFERROR(VLOOKUP(A694,'Budget-S&amp;U Codes Lookup'!$A$7:$B$550,2,FALSE),"")</f>
        <v/>
      </c>
      <c r="C694" s="993"/>
      <c r="D694" s="118"/>
      <c r="E694" s="131"/>
      <c r="F694" s="126"/>
      <c r="G694" s="126"/>
      <c r="H694" s="125">
        <f t="shared" si="10"/>
        <v>0</v>
      </c>
      <c r="I694" s="191"/>
      <c r="J694" s="268"/>
      <c r="K694" s="182" t="str">
        <f>IFERROR(VLOOKUP(A694,'Budget-S&amp;U Codes Lookup'!$A$7:$C$550,3,FALSE),"")</f>
        <v/>
      </c>
      <c r="L694" s="1041"/>
      <c r="M694" s="753"/>
      <c r="N694" s="3" t="str">
        <f>IF(M694="","",VLOOKUP(M694,'Budget-S&amp;U Codes Lookup'!$E$26:$F$45,2,FALSE))</f>
        <v/>
      </c>
      <c r="P694" s="186"/>
    </row>
    <row r="695" spans="1:16" hidden="1">
      <c r="A695" s="81"/>
      <c r="B695" s="82" t="str">
        <f>IFERROR(VLOOKUP(A695,'Budget-S&amp;U Codes Lookup'!$A$7:$B$550,2,FALSE),"")</f>
        <v/>
      </c>
      <c r="C695" s="993"/>
      <c r="D695" s="118"/>
      <c r="E695" s="131"/>
      <c r="F695" s="126"/>
      <c r="G695" s="126"/>
      <c r="H695" s="125">
        <f t="shared" si="10"/>
        <v>0</v>
      </c>
      <c r="I695" s="191"/>
      <c r="J695" s="268"/>
      <c r="K695" s="182" t="str">
        <f>IFERROR(VLOOKUP(A695,'Budget-S&amp;U Codes Lookup'!$A$7:$C$550,3,FALSE),"")</f>
        <v/>
      </c>
      <c r="L695" s="1041"/>
      <c r="M695" s="753"/>
      <c r="N695" s="3" t="str">
        <f>IF(M695="","",VLOOKUP(M695,'Budget-S&amp;U Codes Lookup'!$E$26:$F$45,2,FALSE))</f>
        <v/>
      </c>
      <c r="P695" s="186"/>
    </row>
    <row r="696" spans="1:16" hidden="1">
      <c r="A696" s="81"/>
      <c r="B696" s="82" t="str">
        <f>IFERROR(VLOOKUP(A696,'Budget-S&amp;U Codes Lookup'!$A$7:$B$550,2,FALSE),"")</f>
        <v/>
      </c>
      <c r="C696" s="993"/>
      <c r="D696" s="118"/>
      <c r="E696" s="131"/>
      <c r="F696" s="126"/>
      <c r="G696" s="126"/>
      <c r="H696" s="125">
        <f t="shared" si="10"/>
        <v>0</v>
      </c>
      <c r="I696" s="191"/>
      <c r="J696" s="268"/>
      <c r="K696" s="182" t="str">
        <f>IFERROR(VLOOKUP(A696,'Budget-S&amp;U Codes Lookup'!$A$7:$C$550,3,FALSE),"")</f>
        <v/>
      </c>
      <c r="L696" s="1041"/>
      <c r="M696" s="753"/>
      <c r="N696" s="3" t="str">
        <f>IF(M696="","",VLOOKUP(M696,'Budget-S&amp;U Codes Lookup'!$E$26:$F$45,2,FALSE))</f>
        <v/>
      </c>
      <c r="P696" s="186"/>
    </row>
    <row r="697" spans="1:16" hidden="1">
      <c r="A697" s="81"/>
      <c r="B697" s="82" t="str">
        <f>IFERROR(VLOOKUP(A697,'Budget-S&amp;U Codes Lookup'!$A$7:$B$550,2,FALSE),"")</f>
        <v/>
      </c>
      <c r="C697" s="993"/>
      <c r="D697" s="118"/>
      <c r="E697" s="131"/>
      <c r="F697" s="126"/>
      <c r="G697" s="126"/>
      <c r="H697" s="125">
        <f t="shared" si="10"/>
        <v>0</v>
      </c>
      <c r="I697" s="191"/>
      <c r="J697" s="268"/>
      <c r="K697" s="182" t="str">
        <f>IFERROR(VLOOKUP(A697,'Budget-S&amp;U Codes Lookup'!$A$7:$C$550,3,FALSE),"")</f>
        <v/>
      </c>
      <c r="L697" s="1041"/>
      <c r="M697" s="753"/>
      <c r="N697" s="3" t="str">
        <f>IF(M697="","",VLOOKUP(M697,'Budget-S&amp;U Codes Lookup'!$E$26:$F$45,2,FALSE))</f>
        <v/>
      </c>
      <c r="P697" s="186"/>
    </row>
    <row r="698" spans="1:16" hidden="1">
      <c r="A698" s="81"/>
      <c r="B698" s="82" t="str">
        <f>IFERROR(VLOOKUP(A698,'Budget-S&amp;U Codes Lookup'!$A$7:$B$550,2,FALSE),"")</f>
        <v/>
      </c>
      <c r="C698" s="993"/>
      <c r="D698" s="118"/>
      <c r="E698" s="131"/>
      <c r="F698" s="126"/>
      <c r="G698" s="126"/>
      <c r="H698" s="125">
        <f t="shared" si="10"/>
        <v>0</v>
      </c>
      <c r="I698" s="191"/>
      <c r="J698" s="268"/>
      <c r="K698" s="182" t="str">
        <f>IFERROR(VLOOKUP(A698,'Budget-S&amp;U Codes Lookup'!$A$7:$C$550,3,FALSE),"")</f>
        <v/>
      </c>
      <c r="L698" s="1041"/>
      <c r="M698" s="753"/>
      <c r="N698" s="3" t="str">
        <f>IF(M698="","",VLOOKUP(M698,'Budget-S&amp;U Codes Lookup'!$E$26:$F$45,2,FALSE))</f>
        <v/>
      </c>
      <c r="P698" s="186"/>
    </row>
    <row r="699" spans="1:16" hidden="1">
      <c r="A699" s="81"/>
      <c r="B699" s="82" t="str">
        <f>IFERROR(VLOOKUP(A699,'Budget-S&amp;U Codes Lookup'!$A$7:$B$550,2,FALSE),"")</f>
        <v/>
      </c>
      <c r="C699" s="993"/>
      <c r="D699" s="118"/>
      <c r="E699" s="131"/>
      <c r="F699" s="126"/>
      <c r="G699" s="126"/>
      <c r="H699" s="125">
        <f t="shared" si="10"/>
        <v>0</v>
      </c>
      <c r="I699" s="191"/>
      <c r="J699" s="268"/>
      <c r="K699" s="182" t="str">
        <f>IFERROR(VLOOKUP(A699,'Budget-S&amp;U Codes Lookup'!$A$7:$C$550,3,FALSE),"")</f>
        <v/>
      </c>
      <c r="L699" s="1041"/>
      <c r="M699" s="753"/>
      <c r="N699" s="3" t="str">
        <f>IF(M699="","",VLOOKUP(M699,'Budget-S&amp;U Codes Lookup'!$E$26:$F$45,2,FALSE))</f>
        <v/>
      </c>
      <c r="P699" s="186"/>
    </row>
    <row r="700" spans="1:16" hidden="1">
      <c r="A700" s="81"/>
      <c r="B700" s="82" t="str">
        <f>IFERROR(VLOOKUP(A700,'Budget-S&amp;U Codes Lookup'!$A$7:$B$550,2,FALSE),"")</f>
        <v/>
      </c>
      <c r="C700" s="993"/>
      <c r="D700" s="118"/>
      <c r="E700" s="131"/>
      <c r="F700" s="126"/>
      <c r="G700" s="126"/>
      <c r="H700" s="125">
        <f t="shared" si="10"/>
        <v>0</v>
      </c>
      <c r="I700" s="191"/>
      <c r="J700" s="268"/>
      <c r="K700" s="182" t="str">
        <f>IFERROR(VLOOKUP(A700,'Budget-S&amp;U Codes Lookup'!$A$7:$C$550,3,FALSE),"")</f>
        <v/>
      </c>
      <c r="L700" s="1041"/>
      <c r="M700" s="753"/>
      <c r="N700" s="3" t="str">
        <f>IF(M700="","",VLOOKUP(M700,'Budget-S&amp;U Codes Lookup'!$E$26:$F$45,2,FALSE))</f>
        <v/>
      </c>
      <c r="P700" s="186"/>
    </row>
    <row r="701" spans="1:16" hidden="1">
      <c r="A701" s="81"/>
      <c r="B701" s="82" t="str">
        <f>IFERROR(VLOOKUP(A701,'Budget-S&amp;U Codes Lookup'!$A$7:$B$550,2,FALSE),"")</f>
        <v/>
      </c>
      <c r="C701" s="993"/>
      <c r="D701" s="118"/>
      <c r="E701" s="131"/>
      <c r="F701" s="126"/>
      <c r="G701" s="126"/>
      <c r="H701" s="125">
        <f t="shared" si="10"/>
        <v>0</v>
      </c>
      <c r="I701" s="191"/>
      <c r="J701" s="268"/>
      <c r="K701" s="182" t="str">
        <f>IFERROR(VLOOKUP(A701,'Budget-S&amp;U Codes Lookup'!$A$7:$C$550,3,FALSE),"")</f>
        <v/>
      </c>
      <c r="L701" s="1041"/>
      <c r="M701" s="753"/>
      <c r="N701" s="3" t="str">
        <f>IF(M701="","",VLOOKUP(M701,'Budget-S&amp;U Codes Lookup'!$E$26:$F$45,2,FALSE))</f>
        <v/>
      </c>
      <c r="P701" s="186"/>
    </row>
    <row r="702" spans="1:16" hidden="1">
      <c r="A702" s="81"/>
      <c r="B702" s="82" t="str">
        <f>IFERROR(VLOOKUP(A702,'Budget-S&amp;U Codes Lookup'!$A$7:$B$550,2,FALSE),"")</f>
        <v/>
      </c>
      <c r="C702" s="993"/>
      <c r="D702" s="118"/>
      <c r="E702" s="131"/>
      <c r="F702" s="126"/>
      <c r="G702" s="126"/>
      <c r="H702" s="125">
        <f t="shared" si="10"/>
        <v>0</v>
      </c>
      <c r="I702" s="191"/>
      <c r="J702" s="268"/>
      <c r="K702" s="182" t="str">
        <f>IFERROR(VLOOKUP(A702,'Budget-S&amp;U Codes Lookup'!$A$7:$C$550,3,FALSE),"")</f>
        <v/>
      </c>
      <c r="L702" s="1041"/>
      <c r="M702" s="753"/>
      <c r="N702" s="3" t="str">
        <f>IF(M702="","",VLOOKUP(M702,'Budget-S&amp;U Codes Lookup'!$E$26:$F$45,2,FALSE))</f>
        <v/>
      </c>
      <c r="P702" s="186"/>
    </row>
    <row r="703" spans="1:16" hidden="1">
      <c r="A703" s="81"/>
      <c r="B703" s="82" t="str">
        <f>IFERROR(VLOOKUP(A703,'Budget-S&amp;U Codes Lookup'!$A$7:$B$550,2,FALSE),"")</f>
        <v/>
      </c>
      <c r="C703" s="993"/>
      <c r="D703" s="118"/>
      <c r="E703" s="131"/>
      <c r="F703" s="126"/>
      <c r="G703" s="126"/>
      <c r="H703" s="125">
        <f t="shared" si="10"/>
        <v>0</v>
      </c>
      <c r="I703" s="191"/>
      <c r="J703" s="268"/>
      <c r="K703" s="182" t="str">
        <f>IFERROR(VLOOKUP(A703,'Budget-S&amp;U Codes Lookup'!$A$7:$C$550,3,FALSE),"")</f>
        <v/>
      </c>
      <c r="L703" s="1041"/>
      <c r="M703" s="753"/>
      <c r="N703" s="3" t="str">
        <f>IF(M703="","",VLOOKUP(M703,'Budget-S&amp;U Codes Lookup'!$E$26:$F$45,2,FALSE))</f>
        <v/>
      </c>
      <c r="P703" s="186"/>
    </row>
    <row r="704" spans="1:16" hidden="1">
      <c r="A704" s="81"/>
      <c r="B704" s="82" t="str">
        <f>IFERROR(VLOOKUP(A704,'Budget-S&amp;U Codes Lookup'!$A$7:$B$550,2,FALSE),"")</f>
        <v/>
      </c>
      <c r="C704" s="993"/>
      <c r="D704" s="118"/>
      <c r="E704" s="131"/>
      <c r="F704" s="126"/>
      <c r="G704" s="126"/>
      <c r="H704" s="125">
        <f t="shared" si="10"/>
        <v>0</v>
      </c>
      <c r="I704" s="191"/>
      <c r="J704" s="268"/>
      <c r="K704" s="182" t="str">
        <f>IFERROR(VLOOKUP(A704,'Budget-S&amp;U Codes Lookup'!$A$7:$C$550,3,FALSE),"")</f>
        <v/>
      </c>
      <c r="L704" s="1041"/>
      <c r="M704" s="753"/>
      <c r="N704" s="3" t="str">
        <f>IF(M704="","",VLOOKUP(M704,'Budget-S&amp;U Codes Lookup'!$E$26:$F$45,2,FALSE))</f>
        <v/>
      </c>
      <c r="P704" s="186"/>
    </row>
    <row r="705" spans="1:16" hidden="1">
      <c r="A705" s="81"/>
      <c r="B705" s="82" t="str">
        <f>IFERROR(VLOOKUP(A705,'Budget-S&amp;U Codes Lookup'!$A$7:$B$550,2,FALSE),"")</f>
        <v/>
      </c>
      <c r="C705" s="993"/>
      <c r="D705" s="118"/>
      <c r="E705" s="131"/>
      <c r="F705" s="126"/>
      <c r="G705" s="126"/>
      <c r="H705" s="125">
        <f t="shared" si="10"/>
        <v>0</v>
      </c>
      <c r="I705" s="191"/>
      <c r="J705" s="268"/>
      <c r="K705" s="182" t="str">
        <f>IFERROR(VLOOKUP(A705,'Budget-S&amp;U Codes Lookup'!$A$7:$C$550,3,FALSE),"")</f>
        <v/>
      </c>
      <c r="L705" s="1041"/>
      <c r="M705" s="753"/>
      <c r="N705" s="3" t="str">
        <f>IF(M705="","",VLOOKUP(M705,'Budget-S&amp;U Codes Lookup'!$E$26:$F$45,2,FALSE))</f>
        <v/>
      </c>
      <c r="P705" s="186"/>
    </row>
    <row r="706" spans="1:16" hidden="1">
      <c r="A706" s="81"/>
      <c r="B706" s="82" t="str">
        <f>IFERROR(VLOOKUP(A706,'Budget-S&amp;U Codes Lookup'!$A$7:$B$550,2,FALSE),"")</f>
        <v/>
      </c>
      <c r="C706" s="993"/>
      <c r="D706" s="118"/>
      <c r="E706" s="131"/>
      <c r="F706" s="126"/>
      <c r="G706" s="126"/>
      <c r="H706" s="125">
        <f t="shared" si="10"/>
        <v>0</v>
      </c>
      <c r="I706" s="191"/>
      <c r="J706" s="268"/>
      <c r="K706" s="182" t="str">
        <f>IFERROR(VLOOKUP(A706,'Budget-S&amp;U Codes Lookup'!$A$7:$C$550,3,FALSE),"")</f>
        <v/>
      </c>
      <c r="L706" s="1041"/>
      <c r="M706" s="753"/>
      <c r="N706" s="3" t="str">
        <f>IF(M706="","",VLOOKUP(M706,'Budget-S&amp;U Codes Lookup'!$E$26:$F$45,2,FALSE))</f>
        <v/>
      </c>
      <c r="P706" s="186"/>
    </row>
    <row r="707" spans="1:16" hidden="1">
      <c r="A707" s="81"/>
      <c r="B707" s="82" t="str">
        <f>IFERROR(VLOOKUP(A707,'Budget-S&amp;U Codes Lookup'!$A$7:$B$550,2,FALSE),"")</f>
        <v/>
      </c>
      <c r="C707" s="993"/>
      <c r="D707" s="118"/>
      <c r="E707" s="131"/>
      <c r="F707" s="126"/>
      <c r="G707" s="126"/>
      <c r="H707" s="125">
        <f t="shared" si="10"/>
        <v>0</v>
      </c>
      <c r="I707" s="191"/>
      <c r="J707" s="268"/>
      <c r="K707" s="182" t="str">
        <f>IFERROR(VLOOKUP(A707,'Budget-S&amp;U Codes Lookup'!$A$7:$C$550,3,FALSE),"")</f>
        <v/>
      </c>
      <c r="L707" s="1041"/>
      <c r="M707" s="753"/>
      <c r="N707" s="3" t="str">
        <f>IF(M707="","",VLOOKUP(M707,'Budget-S&amp;U Codes Lookup'!$E$26:$F$45,2,FALSE))</f>
        <v/>
      </c>
      <c r="P707" s="186"/>
    </row>
    <row r="708" spans="1:16" hidden="1">
      <c r="A708" s="81"/>
      <c r="B708" s="82" t="str">
        <f>IFERROR(VLOOKUP(A708,'Budget-S&amp;U Codes Lookup'!$A$7:$B$550,2,FALSE),"")</f>
        <v/>
      </c>
      <c r="C708" s="993"/>
      <c r="D708" s="118"/>
      <c r="E708" s="131"/>
      <c r="F708" s="126"/>
      <c r="G708" s="126"/>
      <c r="H708" s="125">
        <f t="shared" si="10"/>
        <v>0</v>
      </c>
      <c r="I708" s="191"/>
      <c r="J708" s="268"/>
      <c r="K708" s="182" t="str">
        <f>IFERROR(VLOOKUP(A708,'Budget-S&amp;U Codes Lookup'!$A$7:$C$550,3,FALSE),"")</f>
        <v/>
      </c>
      <c r="L708" s="1041"/>
      <c r="M708" s="753"/>
      <c r="N708" s="3" t="str">
        <f>IF(M708="","",VLOOKUP(M708,'Budget-S&amp;U Codes Lookup'!$E$26:$F$45,2,FALSE))</f>
        <v/>
      </c>
      <c r="P708" s="186"/>
    </row>
    <row r="709" spans="1:16" hidden="1">
      <c r="A709" s="81"/>
      <c r="B709" s="82" t="str">
        <f>IFERROR(VLOOKUP(A709,'Budget-S&amp;U Codes Lookup'!$A$7:$B$550,2,FALSE),"")</f>
        <v/>
      </c>
      <c r="C709" s="993"/>
      <c r="D709" s="118"/>
      <c r="E709" s="131"/>
      <c r="F709" s="126"/>
      <c r="G709" s="126"/>
      <c r="H709" s="125">
        <f t="shared" si="10"/>
        <v>0</v>
      </c>
      <c r="I709" s="191"/>
      <c r="J709" s="268"/>
      <c r="K709" s="182" t="str">
        <f>IFERROR(VLOOKUP(A709,'Budget-S&amp;U Codes Lookup'!$A$7:$C$550,3,FALSE),"")</f>
        <v/>
      </c>
      <c r="L709" s="1041"/>
      <c r="M709" s="753"/>
      <c r="N709" s="3" t="str">
        <f>IF(M709="","",VLOOKUP(M709,'Budget-S&amp;U Codes Lookup'!$E$26:$F$45,2,FALSE))</f>
        <v/>
      </c>
      <c r="P709" s="186"/>
    </row>
    <row r="710" spans="1:16" hidden="1">
      <c r="A710" s="81"/>
      <c r="B710" s="82" t="str">
        <f>IFERROR(VLOOKUP(A710,'Budget-S&amp;U Codes Lookup'!$A$7:$B$550,2,FALSE),"")</f>
        <v/>
      </c>
      <c r="C710" s="993"/>
      <c r="D710" s="118"/>
      <c r="E710" s="131"/>
      <c r="F710" s="126"/>
      <c r="G710" s="126"/>
      <c r="H710" s="125">
        <f t="shared" si="10"/>
        <v>0</v>
      </c>
      <c r="I710" s="191"/>
      <c r="J710" s="268"/>
      <c r="K710" s="182" t="str">
        <f>IFERROR(VLOOKUP(A710,'Budget-S&amp;U Codes Lookup'!$A$7:$C$550,3,FALSE),"")</f>
        <v/>
      </c>
      <c r="L710" s="1041"/>
      <c r="M710" s="753"/>
      <c r="N710" s="3" t="str">
        <f>IF(M710="","",VLOOKUP(M710,'Budget-S&amp;U Codes Lookup'!$E$26:$F$45,2,FALSE))</f>
        <v/>
      </c>
      <c r="P710" s="186"/>
    </row>
    <row r="711" spans="1:16" hidden="1">
      <c r="A711" s="81"/>
      <c r="B711" s="82" t="str">
        <f>IFERROR(VLOOKUP(A711,'Budget-S&amp;U Codes Lookup'!$A$7:$B$550,2,FALSE),"")</f>
        <v/>
      </c>
      <c r="C711" s="993"/>
      <c r="D711" s="118"/>
      <c r="E711" s="131"/>
      <c r="F711" s="126"/>
      <c r="G711" s="126"/>
      <c r="H711" s="125">
        <f t="shared" si="10"/>
        <v>0</v>
      </c>
      <c r="I711" s="191"/>
      <c r="J711" s="268"/>
      <c r="K711" s="182" t="str">
        <f>IFERROR(VLOOKUP(A711,'Budget-S&amp;U Codes Lookup'!$A$7:$C$550,3,FALSE),"")</f>
        <v/>
      </c>
      <c r="L711" s="1041"/>
      <c r="M711" s="753"/>
      <c r="N711" s="3" t="str">
        <f>IF(M711="","",VLOOKUP(M711,'Budget-S&amp;U Codes Lookup'!$E$26:$F$45,2,FALSE))</f>
        <v/>
      </c>
      <c r="P711" s="186"/>
    </row>
    <row r="712" spans="1:16" hidden="1">
      <c r="A712" s="81"/>
      <c r="B712" s="82" t="str">
        <f>IFERROR(VLOOKUP(A712,'Budget-S&amp;U Codes Lookup'!$A$7:$B$550,2,FALSE),"")</f>
        <v/>
      </c>
      <c r="C712" s="993"/>
      <c r="D712" s="118"/>
      <c r="E712" s="131"/>
      <c r="F712" s="126"/>
      <c r="G712" s="126"/>
      <c r="H712" s="125">
        <f t="shared" si="10"/>
        <v>0</v>
      </c>
      <c r="I712" s="191"/>
      <c r="J712" s="268"/>
      <c r="K712" s="182" t="str">
        <f>IFERROR(VLOOKUP(A712,'Budget-S&amp;U Codes Lookup'!$A$7:$C$550,3,FALSE),"")</f>
        <v/>
      </c>
      <c r="L712" s="1041"/>
      <c r="M712" s="753"/>
      <c r="N712" s="3" t="str">
        <f>IF(M712="","",VLOOKUP(M712,'Budget-S&amp;U Codes Lookup'!$E$26:$F$45,2,FALSE))</f>
        <v/>
      </c>
      <c r="P712" s="186"/>
    </row>
    <row r="713" spans="1:16" hidden="1">
      <c r="A713" s="81"/>
      <c r="B713" s="82" t="str">
        <f>IFERROR(VLOOKUP(A713,'Budget-S&amp;U Codes Lookup'!$A$7:$B$550,2,FALSE),"")</f>
        <v/>
      </c>
      <c r="C713" s="993"/>
      <c r="D713" s="118"/>
      <c r="E713" s="131"/>
      <c r="F713" s="126"/>
      <c r="G713" s="126"/>
      <c r="H713" s="125">
        <f t="shared" si="10"/>
        <v>0</v>
      </c>
      <c r="I713" s="191"/>
      <c r="J713" s="268"/>
      <c r="K713" s="182" t="str">
        <f>IFERROR(VLOOKUP(A713,'Budget-S&amp;U Codes Lookup'!$A$7:$C$550,3,FALSE),"")</f>
        <v/>
      </c>
      <c r="L713" s="1041"/>
      <c r="M713" s="753"/>
      <c r="N713" s="3" t="str">
        <f>IF(M713="","",VLOOKUP(M713,'Budget-S&amp;U Codes Lookup'!$E$26:$F$45,2,FALSE))</f>
        <v/>
      </c>
      <c r="P713" s="186"/>
    </row>
    <row r="714" spans="1:16" hidden="1">
      <c r="A714" s="81"/>
      <c r="B714" s="82" t="str">
        <f>IFERROR(VLOOKUP(A714,'Budget-S&amp;U Codes Lookup'!$A$7:$B$550,2,FALSE),"")</f>
        <v/>
      </c>
      <c r="C714" s="993"/>
      <c r="D714" s="118"/>
      <c r="E714" s="131"/>
      <c r="F714" s="126"/>
      <c r="G714" s="126"/>
      <c r="H714" s="125">
        <f t="shared" ref="H714:H777" si="11">F714-G714</f>
        <v>0</v>
      </c>
      <c r="I714" s="191"/>
      <c r="J714" s="268"/>
      <c r="K714" s="182" t="str">
        <f>IFERROR(VLOOKUP(A714,'Budget-S&amp;U Codes Lookup'!$A$7:$C$550,3,FALSE),"")</f>
        <v/>
      </c>
      <c r="L714" s="1041"/>
      <c r="M714" s="753"/>
      <c r="N714" s="3" t="str">
        <f>IF(M714="","",VLOOKUP(M714,'Budget-S&amp;U Codes Lookup'!$E$26:$F$45,2,FALSE))</f>
        <v/>
      </c>
      <c r="P714" s="186"/>
    </row>
    <row r="715" spans="1:16" hidden="1">
      <c r="A715" s="81"/>
      <c r="B715" s="82" t="str">
        <f>IFERROR(VLOOKUP(A715,'Budget-S&amp;U Codes Lookup'!$A$7:$B$550,2,FALSE),"")</f>
        <v/>
      </c>
      <c r="C715" s="993"/>
      <c r="D715" s="118"/>
      <c r="E715" s="131"/>
      <c r="F715" s="126"/>
      <c r="G715" s="126"/>
      <c r="H715" s="125">
        <f t="shared" si="11"/>
        <v>0</v>
      </c>
      <c r="I715" s="191"/>
      <c r="J715" s="268"/>
      <c r="K715" s="182" t="str">
        <f>IFERROR(VLOOKUP(A715,'Budget-S&amp;U Codes Lookup'!$A$7:$C$550,3,FALSE),"")</f>
        <v/>
      </c>
      <c r="L715" s="1041"/>
      <c r="M715" s="753"/>
      <c r="N715" s="3" t="str">
        <f>IF(M715="","",VLOOKUP(M715,'Budget-S&amp;U Codes Lookup'!$E$26:$F$45,2,FALSE))</f>
        <v/>
      </c>
      <c r="P715" s="186"/>
    </row>
    <row r="716" spans="1:16" hidden="1">
      <c r="A716" s="81"/>
      <c r="B716" s="82" t="str">
        <f>IFERROR(VLOOKUP(A716,'Budget-S&amp;U Codes Lookup'!$A$7:$B$550,2,FALSE),"")</f>
        <v/>
      </c>
      <c r="C716" s="993"/>
      <c r="D716" s="118"/>
      <c r="E716" s="131"/>
      <c r="F716" s="126"/>
      <c r="G716" s="126"/>
      <c r="H716" s="125">
        <f t="shared" si="11"/>
        <v>0</v>
      </c>
      <c r="I716" s="191"/>
      <c r="J716" s="268"/>
      <c r="K716" s="182" t="str">
        <f>IFERROR(VLOOKUP(A716,'Budget-S&amp;U Codes Lookup'!$A$7:$C$550,3,FALSE),"")</f>
        <v/>
      </c>
      <c r="L716" s="1041"/>
      <c r="M716" s="753"/>
      <c r="N716" s="3" t="str">
        <f>IF(M716="","",VLOOKUP(M716,'Budget-S&amp;U Codes Lookup'!$E$26:$F$45,2,FALSE))</f>
        <v/>
      </c>
      <c r="P716" s="186"/>
    </row>
    <row r="717" spans="1:16" hidden="1">
      <c r="A717" s="81"/>
      <c r="B717" s="82" t="str">
        <f>IFERROR(VLOOKUP(A717,'Budget-S&amp;U Codes Lookup'!$A$7:$B$550,2,FALSE),"")</f>
        <v/>
      </c>
      <c r="C717" s="993"/>
      <c r="D717" s="118"/>
      <c r="E717" s="131"/>
      <c r="F717" s="126"/>
      <c r="G717" s="126"/>
      <c r="H717" s="125">
        <f t="shared" si="11"/>
        <v>0</v>
      </c>
      <c r="I717" s="191"/>
      <c r="J717" s="268"/>
      <c r="K717" s="182" t="str">
        <f>IFERROR(VLOOKUP(A717,'Budget-S&amp;U Codes Lookup'!$A$7:$C$550,3,FALSE),"")</f>
        <v/>
      </c>
      <c r="L717" s="1041"/>
      <c r="M717" s="753"/>
      <c r="N717" s="3" t="str">
        <f>IF(M717="","",VLOOKUP(M717,'Budget-S&amp;U Codes Lookup'!$E$26:$F$45,2,FALSE))</f>
        <v/>
      </c>
      <c r="P717" s="186"/>
    </row>
    <row r="718" spans="1:16" hidden="1">
      <c r="A718" s="81"/>
      <c r="B718" s="82" t="str">
        <f>IFERROR(VLOOKUP(A718,'Budget-S&amp;U Codes Lookup'!$A$7:$B$550,2,FALSE),"")</f>
        <v/>
      </c>
      <c r="C718" s="993"/>
      <c r="D718" s="118"/>
      <c r="E718" s="131"/>
      <c r="F718" s="126"/>
      <c r="G718" s="126"/>
      <c r="H718" s="125">
        <f t="shared" si="11"/>
        <v>0</v>
      </c>
      <c r="I718" s="191"/>
      <c r="J718" s="268"/>
      <c r="K718" s="182" t="str">
        <f>IFERROR(VLOOKUP(A718,'Budget-S&amp;U Codes Lookup'!$A$7:$C$550,3,FALSE),"")</f>
        <v/>
      </c>
      <c r="L718" s="1041"/>
      <c r="M718" s="753"/>
      <c r="N718" s="3" t="str">
        <f>IF(M718="","",VLOOKUP(M718,'Budget-S&amp;U Codes Lookup'!$E$26:$F$45,2,FALSE))</f>
        <v/>
      </c>
      <c r="P718" s="186"/>
    </row>
    <row r="719" spans="1:16" hidden="1">
      <c r="A719" s="81"/>
      <c r="B719" s="82" t="str">
        <f>IFERROR(VLOOKUP(A719,'Budget-S&amp;U Codes Lookup'!$A$7:$B$550,2,FALSE),"")</f>
        <v/>
      </c>
      <c r="C719" s="993"/>
      <c r="D719" s="118"/>
      <c r="E719" s="131"/>
      <c r="F719" s="126"/>
      <c r="G719" s="126"/>
      <c r="H719" s="125">
        <f t="shared" si="11"/>
        <v>0</v>
      </c>
      <c r="I719" s="191"/>
      <c r="J719" s="268"/>
      <c r="K719" s="182" t="str">
        <f>IFERROR(VLOOKUP(A719,'Budget-S&amp;U Codes Lookup'!$A$7:$C$550,3,FALSE),"")</f>
        <v/>
      </c>
      <c r="L719" s="1041"/>
      <c r="M719" s="753"/>
      <c r="N719" s="3" t="str">
        <f>IF(M719="","",VLOOKUP(M719,'Budget-S&amp;U Codes Lookup'!$E$26:$F$45,2,FALSE))</f>
        <v/>
      </c>
      <c r="P719" s="186"/>
    </row>
    <row r="720" spans="1:16" hidden="1">
      <c r="A720" s="81"/>
      <c r="B720" s="82" t="str">
        <f>IFERROR(VLOOKUP(A720,'Budget-S&amp;U Codes Lookup'!$A$7:$B$550,2,FALSE),"")</f>
        <v/>
      </c>
      <c r="C720" s="993"/>
      <c r="D720" s="118"/>
      <c r="E720" s="131"/>
      <c r="F720" s="126"/>
      <c r="G720" s="126"/>
      <c r="H720" s="125">
        <f t="shared" si="11"/>
        <v>0</v>
      </c>
      <c r="I720" s="191"/>
      <c r="J720" s="268"/>
      <c r="K720" s="182" t="str">
        <f>IFERROR(VLOOKUP(A720,'Budget-S&amp;U Codes Lookup'!$A$7:$C$550,3,FALSE),"")</f>
        <v/>
      </c>
      <c r="L720" s="1041"/>
      <c r="M720" s="753"/>
      <c r="N720" s="3" t="str">
        <f>IF(M720="","",VLOOKUP(M720,'Budget-S&amp;U Codes Lookup'!$E$26:$F$45,2,FALSE))</f>
        <v/>
      </c>
      <c r="P720" s="186"/>
    </row>
    <row r="721" spans="1:16" hidden="1">
      <c r="A721" s="81"/>
      <c r="B721" s="82" t="str">
        <f>IFERROR(VLOOKUP(A721,'Budget-S&amp;U Codes Lookup'!$A$7:$B$550,2,FALSE),"")</f>
        <v/>
      </c>
      <c r="C721" s="993"/>
      <c r="D721" s="118"/>
      <c r="E721" s="131"/>
      <c r="F721" s="126"/>
      <c r="G721" s="126"/>
      <c r="H721" s="125">
        <f t="shared" si="11"/>
        <v>0</v>
      </c>
      <c r="I721" s="191"/>
      <c r="J721" s="268"/>
      <c r="K721" s="182" t="str">
        <f>IFERROR(VLOOKUP(A721,'Budget-S&amp;U Codes Lookup'!$A$7:$C$550,3,FALSE),"")</f>
        <v/>
      </c>
      <c r="L721" s="1041"/>
      <c r="M721" s="753"/>
      <c r="N721" s="3" t="str">
        <f>IF(M721="","",VLOOKUP(M721,'Budget-S&amp;U Codes Lookup'!$E$26:$F$45,2,FALSE))</f>
        <v/>
      </c>
      <c r="P721" s="186"/>
    </row>
    <row r="722" spans="1:16" hidden="1">
      <c r="A722" s="81"/>
      <c r="B722" s="82" t="str">
        <f>IFERROR(VLOOKUP(A722,'Budget-S&amp;U Codes Lookup'!$A$7:$B$550,2,FALSE),"")</f>
        <v/>
      </c>
      <c r="C722" s="993"/>
      <c r="D722" s="118"/>
      <c r="E722" s="131"/>
      <c r="F722" s="126"/>
      <c r="G722" s="126"/>
      <c r="H722" s="125">
        <f t="shared" si="11"/>
        <v>0</v>
      </c>
      <c r="I722" s="191"/>
      <c r="J722" s="268"/>
      <c r="K722" s="182" t="str">
        <f>IFERROR(VLOOKUP(A722,'Budget-S&amp;U Codes Lookup'!$A$7:$C$550,3,FALSE),"")</f>
        <v/>
      </c>
      <c r="L722" s="1041"/>
      <c r="M722" s="753"/>
      <c r="N722" s="3" t="str">
        <f>IF(M722="","",VLOOKUP(M722,'Budget-S&amp;U Codes Lookup'!$E$26:$F$45,2,FALSE))</f>
        <v/>
      </c>
      <c r="P722" s="186"/>
    </row>
    <row r="723" spans="1:16" hidden="1">
      <c r="A723" s="81"/>
      <c r="B723" s="82" t="str">
        <f>IFERROR(VLOOKUP(A723,'Budget-S&amp;U Codes Lookup'!$A$7:$B$550,2,FALSE),"")</f>
        <v/>
      </c>
      <c r="C723" s="993"/>
      <c r="D723" s="118"/>
      <c r="E723" s="131"/>
      <c r="F723" s="126"/>
      <c r="G723" s="126"/>
      <c r="H723" s="125">
        <f t="shared" si="11"/>
        <v>0</v>
      </c>
      <c r="I723" s="191"/>
      <c r="J723" s="268"/>
      <c r="K723" s="182" t="str">
        <f>IFERROR(VLOOKUP(A723,'Budget-S&amp;U Codes Lookup'!$A$7:$C$550,3,FALSE),"")</f>
        <v/>
      </c>
      <c r="L723" s="1041"/>
      <c r="M723" s="753"/>
      <c r="N723" s="3" t="str">
        <f>IF(M723="","",VLOOKUP(M723,'Budget-S&amp;U Codes Lookup'!$E$26:$F$45,2,FALSE))</f>
        <v/>
      </c>
      <c r="P723" s="186"/>
    </row>
    <row r="724" spans="1:16" hidden="1">
      <c r="A724" s="81"/>
      <c r="B724" s="82" t="str">
        <f>IFERROR(VLOOKUP(A724,'Budget-S&amp;U Codes Lookup'!$A$7:$B$550,2,FALSE),"")</f>
        <v/>
      </c>
      <c r="C724" s="993"/>
      <c r="D724" s="118"/>
      <c r="E724" s="131"/>
      <c r="F724" s="126"/>
      <c r="G724" s="126"/>
      <c r="H724" s="125">
        <f t="shared" si="11"/>
        <v>0</v>
      </c>
      <c r="I724" s="191"/>
      <c r="J724" s="268"/>
      <c r="K724" s="182" t="str">
        <f>IFERROR(VLOOKUP(A724,'Budget-S&amp;U Codes Lookup'!$A$7:$C$550,3,FALSE),"")</f>
        <v/>
      </c>
      <c r="L724" s="1041"/>
      <c r="M724" s="753"/>
      <c r="N724" s="3" t="str">
        <f>IF(M724="","",VLOOKUP(M724,'Budget-S&amp;U Codes Lookup'!$E$26:$F$45,2,FALSE))</f>
        <v/>
      </c>
      <c r="P724" s="186"/>
    </row>
    <row r="725" spans="1:16" hidden="1">
      <c r="A725" s="81"/>
      <c r="B725" s="82" t="str">
        <f>IFERROR(VLOOKUP(A725,'Budget-S&amp;U Codes Lookup'!$A$7:$B$550,2,FALSE),"")</f>
        <v/>
      </c>
      <c r="C725" s="993"/>
      <c r="D725" s="118"/>
      <c r="E725" s="131"/>
      <c r="F725" s="126"/>
      <c r="G725" s="126"/>
      <c r="H725" s="125">
        <f t="shared" si="11"/>
        <v>0</v>
      </c>
      <c r="I725" s="191"/>
      <c r="J725" s="268"/>
      <c r="K725" s="182" t="str">
        <f>IFERROR(VLOOKUP(A725,'Budget-S&amp;U Codes Lookup'!$A$7:$C$550,3,FALSE),"")</f>
        <v/>
      </c>
      <c r="L725" s="1041"/>
      <c r="M725" s="753"/>
      <c r="N725" s="3" t="str">
        <f>IF(M725="","",VLOOKUP(M725,'Budget-S&amp;U Codes Lookup'!$E$26:$F$45,2,FALSE))</f>
        <v/>
      </c>
      <c r="P725" s="186"/>
    </row>
    <row r="726" spans="1:16" hidden="1">
      <c r="A726" s="81"/>
      <c r="B726" s="82" t="str">
        <f>IFERROR(VLOOKUP(A726,'Budget-S&amp;U Codes Lookup'!$A$7:$B$550,2,FALSE),"")</f>
        <v/>
      </c>
      <c r="C726" s="993"/>
      <c r="D726" s="118"/>
      <c r="E726" s="131"/>
      <c r="F726" s="126"/>
      <c r="G726" s="126"/>
      <c r="H726" s="125">
        <f t="shared" si="11"/>
        <v>0</v>
      </c>
      <c r="I726" s="191"/>
      <c r="J726" s="268"/>
      <c r="K726" s="182" t="str">
        <f>IFERROR(VLOOKUP(A726,'Budget-S&amp;U Codes Lookup'!$A$7:$C$550,3,FALSE),"")</f>
        <v/>
      </c>
      <c r="L726" s="1041"/>
      <c r="M726" s="753"/>
      <c r="N726" s="3" t="str">
        <f>IF(M726="","",VLOOKUP(M726,'Budget-S&amp;U Codes Lookup'!$E$26:$F$45,2,FALSE))</f>
        <v/>
      </c>
      <c r="P726" s="186"/>
    </row>
    <row r="727" spans="1:16" hidden="1">
      <c r="A727" s="81"/>
      <c r="B727" s="82" t="str">
        <f>IFERROR(VLOOKUP(A727,'Budget-S&amp;U Codes Lookup'!$A$7:$B$550,2,FALSE),"")</f>
        <v/>
      </c>
      <c r="C727" s="993"/>
      <c r="D727" s="118"/>
      <c r="E727" s="131"/>
      <c r="F727" s="126"/>
      <c r="G727" s="126"/>
      <c r="H727" s="125">
        <f t="shared" si="11"/>
        <v>0</v>
      </c>
      <c r="I727" s="191"/>
      <c r="J727" s="268"/>
      <c r="K727" s="182" t="str">
        <f>IFERROR(VLOOKUP(A727,'Budget-S&amp;U Codes Lookup'!$A$7:$C$550,3,FALSE),"")</f>
        <v/>
      </c>
      <c r="L727" s="1041"/>
      <c r="M727" s="753"/>
      <c r="N727" s="3" t="str">
        <f>IF(M727="","",VLOOKUP(M727,'Budget-S&amp;U Codes Lookup'!$E$26:$F$45,2,FALSE))</f>
        <v/>
      </c>
      <c r="P727" s="186"/>
    </row>
    <row r="728" spans="1:16" hidden="1">
      <c r="A728" s="81"/>
      <c r="B728" s="82" t="str">
        <f>IFERROR(VLOOKUP(A728,'Budget-S&amp;U Codes Lookup'!$A$7:$B$550,2,FALSE),"")</f>
        <v/>
      </c>
      <c r="C728" s="993"/>
      <c r="D728" s="118"/>
      <c r="E728" s="131"/>
      <c r="F728" s="126"/>
      <c r="G728" s="126"/>
      <c r="H728" s="125">
        <f t="shared" si="11"/>
        <v>0</v>
      </c>
      <c r="I728" s="191"/>
      <c r="J728" s="268"/>
      <c r="K728" s="182" t="str">
        <f>IFERROR(VLOOKUP(A728,'Budget-S&amp;U Codes Lookup'!$A$7:$C$550,3,FALSE),"")</f>
        <v/>
      </c>
      <c r="L728" s="1041"/>
      <c r="M728" s="753"/>
      <c r="N728" s="3" t="str">
        <f>IF(M728="","",VLOOKUP(M728,'Budget-S&amp;U Codes Lookup'!$E$26:$F$45,2,FALSE))</f>
        <v/>
      </c>
      <c r="P728" s="186"/>
    </row>
    <row r="729" spans="1:16" hidden="1">
      <c r="A729" s="81"/>
      <c r="B729" s="82" t="str">
        <f>IFERROR(VLOOKUP(A729,'Budget-S&amp;U Codes Lookup'!$A$7:$B$550,2,FALSE),"")</f>
        <v/>
      </c>
      <c r="C729" s="993"/>
      <c r="D729" s="118"/>
      <c r="E729" s="131"/>
      <c r="F729" s="126"/>
      <c r="G729" s="126"/>
      <c r="H729" s="125">
        <f t="shared" si="11"/>
        <v>0</v>
      </c>
      <c r="I729" s="191"/>
      <c r="J729" s="268"/>
      <c r="K729" s="182" t="str">
        <f>IFERROR(VLOOKUP(A729,'Budget-S&amp;U Codes Lookup'!$A$7:$C$550,3,FALSE),"")</f>
        <v/>
      </c>
      <c r="L729" s="1041"/>
      <c r="M729" s="753"/>
      <c r="N729" s="3" t="str">
        <f>IF(M729="","",VLOOKUP(M729,'Budget-S&amp;U Codes Lookup'!$E$26:$F$45,2,FALSE))</f>
        <v/>
      </c>
      <c r="P729" s="186"/>
    </row>
    <row r="730" spans="1:16" hidden="1">
      <c r="A730" s="81"/>
      <c r="B730" s="82" t="str">
        <f>IFERROR(VLOOKUP(A730,'Budget-S&amp;U Codes Lookup'!$A$7:$B$550,2,FALSE),"")</f>
        <v/>
      </c>
      <c r="C730" s="993"/>
      <c r="D730" s="118"/>
      <c r="E730" s="131"/>
      <c r="F730" s="126"/>
      <c r="G730" s="126"/>
      <c r="H730" s="125">
        <f t="shared" si="11"/>
        <v>0</v>
      </c>
      <c r="I730" s="191"/>
      <c r="J730" s="268"/>
      <c r="K730" s="182" t="str">
        <f>IFERROR(VLOOKUP(A730,'Budget-S&amp;U Codes Lookup'!$A$7:$C$550,3,FALSE),"")</f>
        <v/>
      </c>
      <c r="L730" s="1041"/>
      <c r="M730" s="753"/>
      <c r="N730" s="3" t="str">
        <f>IF(M730="","",VLOOKUP(M730,'Budget-S&amp;U Codes Lookup'!$E$26:$F$45,2,FALSE))</f>
        <v/>
      </c>
      <c r="P730" s="186"/>
    </row>
    <row r="731" spans="1:16" hidden="1">
      <c r="A731" s="81"/>
      <c r="B731" s="82" t="str">
        <f>IFERROR(VLOOKUP(A731,'Budget-S&amp;U Codes Lookup'!$A$7:$B$550,2,FALSE),"")</f>
        <v/>
      </c>
      <c r="C731" s="993"/>
      <c r="D731" s="118"/>
      <c r="E731" s="131"/>
      <c r="F731" s="126"/>
      <c r="G731" s="126"/>
      <c r="H731" s="125">
        <f t="shared" si="11"/>
        <v>0</v>
      </c>
      <c r="I731" s="191"/>
      <c r="J731" s="268"/>
      <c r="K731" s="182" t="str">
        <f>IFERROR(VLOOKUP(A731,'Budget-S&amp;U Codes Lookup'!$A$7:$C$550,3,FALSE),"")</f>
        <v/>
      </c>
      <c r="L731" s="1041"/>
      <c r="M731" s="753"/>
      <c r="N731" s="3" t="str">
        <f>IF(M731="","",VLOOKUP(M731,'Budget-S&amp;U Codes Lookup'!$E$26:$F$45,2,FALSE))</f>
        <v/>
      </c>
      <c r="P731" s="186"/>
    </row>
    <row r="732" spans="1:16" hidden="1">
      <c r="A732" s="81"/>
      <c r="B732" s="82" t="str">
        <f>IFERROR(VLOOKUP(A732,'Budget-S&amp;U Codes Lookup'!$A$7:$B$550,2,FALSE),"")</f>
        <v/>
      </c>
      <c r="C732" s="993"/>
      <c r="D732" s="118"/>
      <c r="E732" s="131"/>
      <c r="F732" s="126"/>
      <c r="G732" s="126"/>
      <c r="H732" s="125">
        <f t="shared" si="11"/>
        <v>0</v>
      </c>
      <c r="I732" s="191"/>
      <c r="J732" s="268"/>
      <c r="K732" s="182" t="str">
        <f>IFERROR(VLOOKUP(A732,'Budget-S&amp;U Codes Lookup'!$A$7:$C$550,3,FALSE),"")</f>
        <v/>
      </c>
      <c r="L732" s="1041"/>
      <c r="M732" s="753"/>
      <c r="N732" s="3" t="str">
        <f>IF(M732="","",VLOOKUP(M732,'Budget-S&amp;U Codes Lookup'!$E$26:$F$45,2,FALSE))</f>
        <v/>
      </c>
      <c r="P732" s="186"/>
    </row>
    <row r="733" spans="1:16" hidden="1">
      <c r="A733" s="81"/>
      <c r="B733" s="82" t="str">
        <f>IFERROR(VLOOKUP(A733,'Budget-S&amp;U Codes Lookup'!$A$7:$B$550,2,FALSE),"")</f>
        <v/>
      </c>
      <c r="C733" s="993"/>
      <c r="D733" s="118"/>
      <c r="E733" s="131"/>
      <c r="F733" s="126"/>
      <c r="G733" s="126"/>
      <c r="H733" s="125">
        <f t="shared" si="11"/>
        <v>0</v>
      </c>
      <c r="I733" s="191"/>
      <c r="J733" s="268"/>
      <c r="K733" s="182" t="str">
        <f>IFERROR(VLOOKUP(A733,'Budget-S&amp;U Codes Lookup'!$A$7:$C$550,3,FALSE),"")</f>
        <v/>
      </c>
      <c r="L733" s="1041"/>
      <c r="M733" s="753"/>
      <c r="N733" s="3" t="str">
        <f>IF(M733="","",VLOOKUP(M733,'Budget-S&amp;U Codes Lookup'!$E$26:$F$45,2,FALSE))</f>
        <v/>
      </c>
      <c r="P733" s="186"/>
    </row>
    <row r="734" spans="1:16" hidden="1">
      <c r="A734" s="81"/>
      <c r="B734" s="82" t="str">
        <f>IFERROR(VLOOKUP(A734,'Budget-S&amp;U Codes Lookup'!$A$7:$B$550,2,FALSE),"")</f>
        <v/>
      </c>
      <c r="C734" s="993"/>
      <c r="D734" s="118"/>
      <c r="E734" s="131"/>
      <c r="F734" s="126"/>
      <c r="G734" s="126"/>
      <c r="H734" s="125">
        <f t="shared" si="11"/>
        <v>0</v>
      </c>
      <c r="I734" s="191"/>
      <c r="J734" s="268"/>
      <c r="K734" s="182" t="str">
        <f>IFERROR(VLOOKUP(A734,'Budget-S&amp;U Codes Lookup'!$A$7:$C$550,3,FALSE),"")</f>
        <v/>
      </c>
      <c r="L734" s="1041"/>
      <c r="M734" s="753"/>
      <c r="N734" s="3" t="str">
        <f>IF(M734="","",VLOOKUP(M734,'Budget-S&amp;U Codes Lookup'!$E$26:$F$45,2,FALSE))</f>
        <v/>
      </c>
      <c r="P734" s="186"/>
    </row>
    <row r="735" spans="1:16" hidden="1">
      <c r="A735" s="81"/>
      <c r="B735" s="82" t="str">
        <f>IFERROR(VLOOKUP(A735,'Budget-S&amp;U Codes Lookup'!$A$7:$B$550,2,FALSE),"")</f>
        <v/>
      </c>
      <c r="C735" s="993"/>
      <c r="D735" s="118"/>
      <c r="E735" s="131"/>
      <c r="F735" s="126"/>
      <c r="G735" s="126"/>
      <c r="H735" s="125">
        <f t="shared" si="11"/>
        <v>0</v>
      </c>
      <c r="I735" s="191"/>
      <c r="J735" s="268"/>
      <c r="K735" s="182" t="str">
        <f>IFERROR(VLOOKUP(A735,'Budget-S&amp;U Codes Lookup'!$A$7:$C$550,3,FALSE),"")</f>
        <v/>
      </c>
      <c r="L735" s="1041"/>
      <c r="M735" s="753"/>
      <c r="N735" s="3" t="str">
        <f>IF(M735="","",VLOOKUP(M735,'Budget-S&amp;U Codes Lookup'!$E$26:$F$45,2,FALSE))</f>
        <v/>
      </c>
      <c r="P735" s="186"/>
    </row>
    <row r="736" spans="1:16" hidden="1">
      <c r="A736" s="81"/>
      <c r="B736" s="82" t="str">
        <f>IFERROR(VLOOKUP(A736,'Budget-S&amp;U Codes Lookup'!$A$7:$B$550,2,FALSE),"")</f>
        <v/>
      </c>
      <c r="C736" s="993"/>
      <c r="D736" s="118"/>
      <c r="E736" s="131"/>
      <c r="F736" s="126"/>
      <c r="G736" s="126"/>
      <c r="H736" s="125">
        <f t="shared" si="11"/>
        <v>0</v>
      </c>
      <c r="I736" s="191"/>
      <c r="J736" s="268"/>
      <c r="K736" s="182" t="str">
        <f>IFERROR(VLOOKUP(A736,'Budget-S&amp;U Codes Lookup'!$A$7:$C$550,3,FALSE),"")</f>
        <v/>
      </c>
      <c r="L736" s="1041"/>
      <c r="M736" s="753"/>
      <c r="N736" s="3" t="str">
        <f>IF(M736="","",VLOOKUP(M736,'Budget-S&amp;U Codes Lookup'!$E$26:$F$45,2,FALSE))</f>
        <v/>
      </c>
      <c r="P736" s="186"/>
    </row>
    <row r="737" spans="1:16" hidden="1">
      <c r="A737" s="81"/>
      <c r="B737" s="82" t="str">
        <f>IFERROR(VLOOKUP(A737,'Budget-S&amp;U Codes Lookup'!$A$7:$B$550,2,FALSE),"")</f>
        <v/>
      </c>
      <c r="C737" s="993"/>
      <c r="D737" s="118"/>
      <c r="E737" s="131"/>
      <c r="F737" s="126"/>
      <c r="G737" s="126"/>
      <c r="H737" s="125">
        <f t="shared" si="11"/>
        <v>0</v>
      </c>
      <c r="I737" s="191"/>
      <c r="J737" s="268"/>
      <c r="K737" s="182" t="str">
        <f>IFERROR(VLOOKUP(A737,'Budget-S&amp;U Codes Lookup'!$A$7:$C$550,3,FALSE),"")</f>
        <v/>
      </c>
      <c r="L737" s="1041"/>
      <c r="M737" s="753"/>
      <c r="N737" s="3" t="str">
        <f>IF(M737="","",VLOOKUP(M737,'Budget-S&amp;U Codes Lookup'!$E$26:$F$45,2,FALSE))</f>
        <v/>
      </c>
      <c r="P737" s="186"/>
    </row>
    <row r="738" spans="1:16" hidden="1">
      <c r="A738" s="81"/>
      <c r="B738" s="82" t="str">
        <f>IFERROR(VLOOKUP(A738,'Budget-S&amp;U Codes Lookup'!$A$7:$B$550,2,FALSE),"")</f>
        <v/>
      </c>
      <c r="C738" s="993"/>
      <c r="D738" s="118"/>
      <c r="E738" s="131"/>
      <c r="F738" s="126"/>
      <c r="G738" s="126"/>
      <c r="H738" s="125">
        <f t="shared" si="11"/>
        <v>0</v>
      </c>
      <c r="I738" s="191"/>
      <c r="J738" s="268"/>
      <c r="K738" s="182" t="str">
        <f>IFERROR(VLOOKUP(A738,'Budget-S&amp;U Codes Lookup'!$A$7:$C$550,3,FALSE),"")</f>
        <v/>
      </c>
      <c r="L738" s="1041"/>
      <c r="M738" s="753"/>
      <c r="N738" s="3" t="str">
        <f>IF(M738="","",VLOOKUP(M738,'Budget-S&amp;U Codes Lookup'!$E$26:$F$45,2,FALSE))</f>
        <v/>
      </c>
      <c r="P738" s="186"/>
    </row>
    <row r="739" spans="1:16" hidden="1">
      <c r="A739" s="81"/>
      <c r="B739" s="82" t="str">
        <f>IFERROR(VLOOKUP(A739,'Budget-S&amp;U Codes Lookup'!$A$7:$B$550,2,FALSE),"")</f>
        <v/>
      </c>
      <c r="C739" s="993"/>
      <c r="D739" s="118"/>
      <c r="E739" s="131"/>
      <c r="F739" s="126"/>
      <c r="G739" s="126"/>
      <c r="H739" s="125">
        <f t="shared" si="11"/>
        <v>0</v>
      </c>
      <c r="I739" s="191"/>
      <c r="J739" s="268"/>
      <c r="K739" s="182" t="str">
        <f>IFERROR(VLOOKUP(A739,'Budget-S&amp;U Codes Lookup'!$A$7:$C$550,3,FALSE),"")</f>
        <v/>
      </c>
      <c r="L739" s="1041"/>
      <c r="M739" s="753"/>
      <c r="N739" s="3" t="str">
        <f>IF(M739="","",VLOOKUP(M739,'Budget-S&amp;U Codes Lookup'!$E$26:$F$45,2,FALSE))</f>
        <v/>
      </c>
      <c r="P739" s="186"/>
    </row>
    <row r="740" spans="1:16" hidden="1">
      <c r="A740" s="81"/>
      <c r="B740" s="82" t="str">
        <f>IFERROR(VLOOKUP(A740,'Budget-S&amp;U Codes Lookup'!$A$7:$B$550,2,FALSE),"")</f>
        <v/>
      </c>
      <c r="C740" s="993"/>
      <c r="D740" s="118"/>
      <c r="E740" s="131"/>
      <c r="F740" s="126"/>
      <c r="G740" s="126"/>
      <c r="H740" s="125">
        <f t="shared" si="11"/>
        <v>0</v>
      </c>
      <c r="I740" s="191"/>
      <c r="J740" s="268"/>
      <c r="K740" s="182" t="str">
        <f>IFERROR(VLOOKUP(A740,'Budget-S&amp;U Codes Lookup'!$A$7:$C$550,3,FALSE),"")</f>
        <v/>
      </c>
      <c r="L740" s="1041"/>
      <c r="M740" s="753"/>
      <c r="N740" s="3" t="str">
        <f>IF(M740="","",VLOOKUP(M740,'Budget-S&amp;U Codes Lookup'!$E$26:$F$45,2,FALSE))</f>
        <v/>
      </c>
      <c r="P740" s="186"/>
    </row>
    <row r="741" spans="1:16" hidden="1">
      <c r="A741" s="81"/>
      <c r="B741" s="82" t="str">
        <f>IFERROR(VLOOKUP(A741,'Budget-S&amp;U Codes Lookup'!$A$7:$B$550,2,FALSE),"")</f>
        <v/>
      </c>
      <c r="C741" s="993"/>
      <c r="D741" s="118"/>
      <c r="E741" s="131"/>
      <c r="F741" s="126"/>
      <c r="G741" s="126"/>
      <c r="H741" s="125">
        <f t="shared" si="11"/>
        <v>0</v>
      </c>
      <c r="I741" s="191"/>
      <c r="J741" s="268"/>
      <c r="K741" s="182" t="str">
        <f>IFERROR(VLOOKUP(A741,'Budget-S&amp;U Codes Lookup'!$A$7:$C$550,3,FALSE),"")</f>
        <v/>
      </c>
      <c r="L741" s="1041"/>
      <c r="M741" s="753"/>
      <c r="N741" s="3" t="str">
        <f>IF(M741="","",VLOOKUP(M741,'Budget-S&amp;U Codes Lookup'!$E$26:$F$45,2,FALSE))</f>
        <v/>
      </c>
      <c r="P741" s="186"/>
    </row>
    <row r="742" spans="1:16" hidden="1">
      <c r="A742" s="81"/>
      <c r="B742" s="82" t="str">
        <f>IFERROR(VLOOKUP(A742,'Budget-S&amp;U Codes Lookup'!$A$7:$B$550,2,FALSE),"")</f>
        <v/>
      </c>
      <c r="C742" s="993"/>
      <c r="D742" s="118"/>
      <c r="E742" s="131"/>
      <c r="F742" s="126"/>
      <c r="G742" s="126"/>
      <c r="H742" s="125">
        <f t="shared" si="11"/>
        <v>0</v>
      </c>
      <c r="I742" s="191"/>
      <c r="J742" s="268"/>
      <c r="K742" s="182" t="str">
        <f>IFERROR(VLOOKUP(A742,'Budget-S&amp;U Codes Lookup'!$A$7:$C$550,3,FALSE),"")</f>
        <v/>
      </c>
      <c r="L742" s="1041"/>
      <c r="M742" s="753"/>
      <c r="N742" s="3" t="str">
        <f>IF(M742="","",VLOOKUP(M742,'Budget-S&amp;U Codes Lookup'!$E$26:$F$45,2,FALSE))</f>
        <v/>
      </c>
      <c r="P742" s="186"/>
    </row>
    <row r="743" spans="1:16" hidden="1">
      <c r="A743" s="81"/>
      <c r="B743" s="82" t="str">
        <f>IFERROR(VLOOKUP(A743,'Budget-S&amp;U Codes Lookup'!$A$7:$B$550,2,FALSE),"")</f>
        <v/>
      </c>
      <c r="C743" s="993"/>
      <c r="D743" s="118"/>
      <c r="E743" s="131"/>
      <c r="F743" s="126"/>
      <c r="G743" s="126"/>
      <c r="H743" s="125">
        <f t="shared" si="11"/>
        <v>0</v>
      </c>
      <c r="I743" s="191"/>
      <c r="J743" s="268"/>
      <c r="K743" s="182" t="str">
        <f>IFERROR(VLOOKUP(A743,'Budget-S&amp;U Codes Lookup'!$A$7:$C$550,3,FALSE),"")</f>
        <v/>
      </c>
      <c r="L743" s="1041"/>
      <c r="M743" s="753"/>
      <c r="N743" s="3" t="str">
        <f>IF(M743="","",VLOOKUP(M743,'Budget-S&amp;U Codes Lookup'!$E$26:$F$45,2,FALSE))</f>
        <v/>
      </c>
      <c r="P743" s="186"/>
    </row>
    <row r="744" spans="1:16" hidden="1">
      <c r="A744" s="81"/>
      <c r="B744" s="82" t="str">
        <f>IFERROR(VLOOKUP(A744,'Budget-S&amp;U Codes Lookup'!$A$7:$B$550,2,FALSE),"")</f>
        <v/>
      </c>
      <c r="C744" s="993"/>
      <c r="D744" s="118"/>
      <c r="E744" s="131"/>
      <c r="F744" s="126"/>
      <c r="G744" s="126"/>
      <c r="H744" s="125">
        <f t="shared" si="11"/>
        <v>0</v>
      </c>
      <c r="I744" s="191"/>
      <c r="J744" s="268"/>
      <c r="K744" s="182" t="str">
        <f>IFERROR(VLOOKUP(A744,'Budget-S&amp;U Codes Lookup'!$A$7:$C$550,3,FALSE),"")</f>
        <v/>
      </c>
      <c r="L744" s="1041"/>
      <c r="M744" s="753"/>
      <c r="N744" s="3" t="str">
        <f>IF(M744="","",VLOOKUP(M744,'Budget-S&amp;U Codes Lookup'!$E$26:$F$45,2,FALSE))</f>
        <v/>
      </c>
      <c r="P744" s="186"/>
    </row>
    <row r="745" spans="1:16" hidden="1">
      <c r="A745" s="81"/>
      <c r="B745" s="82" t="str">
        <f>IFERROR(VLOOKUP(A745,'Budget-S&amp;U Codes Lookup'!$A$7:$B$550,2,FALSE),"")</f>
        <v/>
      </c>
      <c r="C745" s="993"/>
      <c r="D745" s="118"/>
      <c r="E745" s="131"/>
      <c r="F745" s="126"/>
      <c r="G745" s="126"/>
      <c r="H745" s="125">
        <f t="shared" si="11"/>
        <v>0</v>
      </c>
      <c r="I745" s="191"/>
      <c r="J745" s="268"/>
      <c r="K745" s="182" t="str">
        <f>IFERROR(VLOOKUP(A745,'Budget-S&amp;U Codes Lookup'!$A$7:$C$550,3,FALSE),"")</f>
        <v/>
      </c>
      <c r="L745" s="1041"/>
      <c r="M745" s="753"/>
      <c r="N745" s="3" t="str">
        <f>IF(M745="","",VLOOKUP(M745,'Budget-S&amp;U Codes Lookup'!$E$26:$F$45,2,FALSE))</f>
        <v/>
      </c>
      <c r="P745" s="186"/>
    </row>
    <row r="746" spans="1:16" hidden="1">
      <c r="A746" s="81"/>
      <c r="B746" s="82" t="str">
        <f>IFERROR(VLOOKUP(A746,'Budget-S&amp;U Codes Lookup'!$A$7:$B$550,2,FALSE),"")</f>
        <v/>
      </c>
      <c r="C746" s="993"/>
      <c r="D746" s="118"/>
      <c r="E746" s="131"/>
      <c r="F746" s="126"/>
      <c r="G746" s="126"/>
      <c r="H746" s="125">
        <f t="shared" si="11"/>
        <v>0</v>
      </c>
      <c r="I746" s="191"/>
      <c r="J746" s="268"/>
      <c r="K746" s="182" t="str">
        <f>IFERROR(VLOOKUP(A746,'Budget-S&amp;U Codes Lookup'!$A$7:$C$550,3,FALSE),"")</f>
        <v/>
      </c>
      <c r="L746" s="1041"/>
      <c r="M746" s="753"/>
      <c r="N746" s="3" t="str">
        <f>IF(M746="","",VLOOKUP(M746,'Budget-S&amp;U Codes Lookup'!$E$26:$F$45,2,FALSE))</f>
        <v/>
      </c>
      <c r="P746" s="186"/>
    </row>
    <row r="747" spans="1:16" hidden="1">
      <c r="A747" s="81"/>
      <c r="B747" s="82" t="str">
        <f>IFERROR(VLOOKUP(A747,'Budget-S&amp;U Codes Lookup'!$A$7:$B$550,2,FALSE),"")</f>
        <v/>
      </c>
      <c r="C747" s="993"/>
      <c r="D747" s="118"/>
      <c r="E747" s="131"/>
      <c r="F747" s="126"/>
      <c r="G747" s="126"/>
      <c r="H747" s="125">
        <f t="shared" si="11"/>
        <v>0</v>
      </c>
      <c r="I747" s="191"/>
      <c r="J747" s="268"/>
      <c r="K747" s="182" t="str">
        <f>IFERROR(VLOOKUP(A747,'Budget-S&amp;U Codes Lookup'!$A$7:$C$550,3,FALSE),"")</f>
        <v/>
      </c>
      <c r="L747" s="1041"/>
      <c r="M747" s="753"/>
      <c r="N747" s="3" t="str">
        <f>IF(M747="","",VLOOKUP(M747,'Budget-S&amp;U Codes Lookup'!$E$26:$F$45,2,FALSE))</f>
        <v/>
      </c>
      <c r="P747" s="186"/>
    </row>
    <row r="748" spans="1:16" hidden="1">
      <c r="A748" s="81"/>
      <c r="B748" s="82" t="str">
        <f>IFERROR(VLOOKUP(A748,'Budget-S&amp;U Codes Lookup'!$A$7:$B$550,2,FALSE),"")</f>
        <v/>
      </c>
      <c r="C748" s="993"/>
      <c r="D748" s="118"/>
      <c r="E748" s="131"/>
      <c r="F748" s="126"/>
      <c r="G748" s="126"/>
      <c r="H748" s="125">
        <f t="shared" si="11"/>
        <v>0</v>
      </c>
      <c r="I748" s="191"/>
      <c r="J748" s="268"/>
      <c r="K748" s="182" t="str">
        <f>IFERROR(VLOOKUP(A748,'Budget-S&amp;U Codes Lookup'!$A$7:$C$550,3,FALSE),"")</f>
        <v/>
      </c>
      <c r="L748" s="1041"/>
      <c r="M748" s="753"/>
      <c r="N748" s="3" t="str">
        <f>IF(M748="","",VLOOKUP(M748,'Budget-S&amp;U Codes Lookup'!$E$26:$F$45,2,FALSE))</f>
        <v/>
      </c>
      <c r="P748" s="186"/>
    </row>
    <row r="749" spans="1:16" hidden="1">
      <c r="A749" s="81"/>
      <c r="B749" s="82" t="str">
        <f>IFERROR(VLOOKUP(A749,'Budget-S&amp;U Codes Lookup'!$A$7:$B$550,2,FALSE),"")</f>
        <v/>
      </c>
      <c r="C749" s="993"/>
      <c r="D749" s="118"/>
      <c r="E749" s="131"/>
      <c r="F749" s="126"/>
      <c r="G749" s="126"/>
      <c r="H749" s="125">
        <f t="shared" si="11"/>
        <v>0</v>
      </c>
      <c r="I749" s="191"/>
      <c r="J749" s="268"/>
      <c r="K749" s="182" t="str">
        <f>IFERROR(VLOOKUP(A749,'Budget-S&amp;U Codes Lookup'!$A$7:$C$550,3,FALSE),"")</f>
        <v/>
      </c>
      <c r="L749" s="1041"/>
      <c r="M749" s="753"/>
      <c r="N749" s="3" t="str">
        <f>IF(M749="","",VLOOKUP(M749,'Budget-S&amp;U Codes Lookup'!$E$26:$F$45,2,FALSE))</f>
        <v/>
      </c>
      <c r="P749" s="186"/>
    </row>
    <row r="750" spans="1:16" hidden="1">
      <c r="A750" s="81"/>
      <c r="B750" s="82" t="str">
        <f>IFERROR(VLOOKUP(A750,'Budget-S&amp;U Codes Lookup'!$A$7:$B$550,2,FALSE),"")</f>
        <v/>
      </c>
      <c r="C750" s="993"/>
      <c r="D750" s="118"/>
      <c r="E750" s="131"/>
      <c r="F750" s="126"/>
      <c r="G750" s="126"/>
      <c r="H750" s="125">
        <f t="shared" si="11"/>
        <v>0</v>
      </c>
      <c r="I750" s="191"/>
      <c r="J750" s="268"/>
      <c r="K750" s="182" t="str">
        <f>IFERROR(VLOOKUP(A750,'Budget-S&amp;U Codes Lookup'!$A$7:$C$550,3,FALSE),"")</f>
        <v/>
      </c>
      <c r="L750" s="1041"/>
      <c r="M750" s="753"/>
      <c r="N750" s="3" t="str">
        <f>IF(M750="","",VLOOKUP(M750,'Budget-S&amp;U Codes Lookup'!$E$26:$F$45,2,FALSE))</f>
        <v/>
      </c>
      <c r="P750" s="186"/>
    </row>
    <row r="751" spans="1:16" hidden="1">
      <c r="A751" s="81"/>
      <c r="B751" s="82" t="str">
        <f>IFERROR(VLOOKUP(A751,'Budget-S&amp;U Codes Lookup'!$A$7:$B$550,2,FALSE),"")</f>
        <v/>
      </c>
      <c r="C751" s="993"/>
      <c r="D751" s="118"/>
      <c r="E751" s="131"/>
      <c r="F751" s="126"/>
      <c r="G751" s="126"/>
      <c r="H751" s="125">
        <f t="shared" si="11"/>
        <v>0</v>
      </c>
      <c r="I751" s="191"/>
      <c r="J751" s="268"/>
      <c r="K751" s="182" t="str">
        <f>IFERROR(VLOOKUP(A751,'Budget-S&amp;U Codes Lookup'!$A$7:$C$550,3,FALSE),"")</f>
        <v/>
      </c>
      <c r="L751" s="1041"/>
      <c r="M751" s="753"/>
      <c r="N751" s="3" t="str">
        <f>IF(M751="","",VLOOKUP(M751,'Budget-S&amp;U Codes Lookup'!$E$26:$F$45,2,FALSE))</f>
        <v/>
      </c>
      <c r="P751" s="186"/>
    </row>
    <row r="752" spans="1:16" hidden="1">
      <c r="A752" s="81"/>
      <c r="B752" s="82" t="str">
        <f>IFERROR(VLOOKUP(A752,'Budget-S&amp;U Codes Lookup'!$A$7:$B$550,2,FALSE),"")</f>
        <v/>
      </c>
      <c r="C752" s="993"/>
      <c r="D752" s="118"/>
      <c r="E752" s="131"/>
      <c r="F752" s="126"/>
      <c r="G752" s="126"/>
      <c r="H752" s="125">
        <f t="shared" si="11"/>
        <v>0</v>
      </c>
      <c r="I752" s="191"/>
      <c r="J752" s="268"/>
      <c r="K752" s="182" t="str">
        <f>IFERROR(VLOOKUP(A752,'Budget-S&amp;U Codes Lookup'!$A$7:$C$550,3,FALSE),"")</f>
        <v/>
      </c>
      <c r="L752" s="1041"/>
      <c r="M752" s="753"/>
      <c r="N752" s="3" t="str">
        <f>IF(M752="","",VLOOKUP(M752,'Budget-S&amp;U Codes Lookup'!$E$26:$F$45,2,FALSE))</f>
        <v/>
      </c>
      <c r="P752" s="186"/>
    </row>
    <row r="753" spans="1:16" hidden="1">
      <c r="A753" s="81"/>
      <c r="B753" s="82" t="str">
        <f>IFERROR(VLOOKUP(A753,'Budget-S&amp;U Codes Lookup'!$A$7:$B$550,2,FALSE),"")</f>
        <v/>
      </c>
      <c r="C753" s="993"/>
      <c r="D753" s="118"/>
      <c r="E753" s="131"/>
      <c r="F753" s="126"/>
      <c r="G753" s="126"/>
      <c r="H753" s="125">
        <f t="shared" si="11"/>
        <v>0</v>
      </c>
      <c r="I753" s="191"/>
      <c r="J753" s="268"/>
      <c r="K753" s="182" t="str">
        <f>IFERROR(VLOOKUP(A753,'Budget-S&amp;U Codes Lookup'!$A$7:$C$550,3,FALSE),"")</f>
        <v/>
      </c>
      <c r="L753" s="1041"/>
      <c r="M753" s="753"/>
      <c r="N753" s="3" t="str">
        <f>IF(M753="","",VLOOKUP(M753,'Budget-S&amp;U Codes Lookup'!$E$26:$F$45,2,FALSE))</f>
        <v/>
      </c>
      <c r="P753" s="186"/>
    </row>
    <row r="754" spans="1:16" hidden="1">
      <c r="A754" s="81"/>
      <c r="B754" s="82" t="str">
        <f>IFERROR(VLOOKUP(A754,'Budget-S&amp;U Codes Lookup'!$A$7:$B$550,2,FALSE),"")</f>
        <v/>
      </c>
      <c r="C754" s="993"/>
      <c r="D754" s="118"/>
      <c r="E754" s="131"/>
      <c r="F754" s="126"/>
      <c r="G754" s="126"/>
      <c r="H754" s="125">
        <f t="shared" si="11"/>
        <v>0</v>
      </c>
      <c r="I754" s="191"/>
      <c r="J754" s="268"/>
      <c r="K754" s="182" t="str">
        <f>IFERROR(VLOOKUP(A754,'Budget-S&amp;U Codes Lookup'!$A$7:$C$550,3,FALSE),"")</f>
        <v/>
      </c>
      <c r="L754" s="1041"/>
      <c r="M754" s="753"/>
      <c r="N754" s="3" t="str">
        <f>IF(M754="","",VLOOKUP(M754,'Budget-S&amp;U Codes Lookup'!$E$26:$F$45,2,FALSE))</f>
        <v/>
      </c>
      <c r="P754" s="186"/>
    </row>
    <row r="755" spans="1:16" hidden="1">
      <c r="A755" s="81"/>
      <c r="B755" s="82" t="str">
        <f>IFERROR(VLOOKUP(A755,'Budget-S&amp;U Codes Lookup'!$A$7:$B$550,2,FALSE),"")</f>
        <v/>
      </c>
      <c r="C755" s="993"/>
      <c r="D755" s="118"/>
      <c r="E755" s="131"/>
      <c r="F755" s="126"/>
      <c r="G755" s="126"/>
      <c r="H755" s="125">
        <f t="shared" si="11"/>
        <v>0</v>
      </c>
      <c r="I755" s="191"/>
      <c r="J755" s="268"/>
      <c r="K755" s="182" t="str">
        <f>IFERROR(VLOOKUP(A755,'Budget-S&amp;U Codes Lookup'!$A$7:$C$550,3,FALSE),"")</f>
        <v/>
      </c>
      <c r="L755" s="1041"/>
      <c r="M755" s="753"/>
      <c r="N755" s="3" t="str">
        <f>IF(M755="","",VLOOKUP(M755,'Budget-S&amp;U Codes Lookup'!$E$26:$F$45,2,FALSE))</f>
        <v/>
      </c>
      <c r="P755" s="186"/>
    </row>
    <row r="756" spans="1:16" hidden="1">
      <c r="A756" s="81"/>
      <c r="B756" s="82" t="str">
        <f>IFERROR(VLOOKUP(A756,'Budget-S&amp;U Codes Lookup'!$A$7:$B$550,2,FALSE),"")</f>
        <v/>
      </c>
      <c r="C756" s="993"/>
      <c r="D756" s="118"/>
      <c r="E756" s="131"/>
      <c r="F756" s="126"/>
      <c r="G756" s="126"/>
      <c r="H756" s="125">
        <f t="shared" si="11"/>
        <v>0</v>
      </c>
      <c r="I756" s="191"/>
      <c r="J756" s="268"/>
      <c r="K756" s="182" t="str">
        <f>IFERROR(VLOOKUP(A756,'Budget-S&amp;U Codes Lookup'!$A$7:$C$550,3,FALSE),"")</f>
        <v/>
      </c>
      <c r="L756" s="1041"/>
      <c r="M756" s="753"/>
      <c r="N756" s="3" t="str">
        <f>IF(M756="","",VLOOKUP(M756,'Budget-S&amp;U Codes Lookup'!$E$26:$F$45,2,FALSE))</f>
        <v/>
      </c>
      <c r="P756" s="186"/>
    </row>
    <row r="757" spans="1:16" hidden="1">
      <c r="A757" s="81"/>
      <c r="B757" s="82" t="str">
        <f>IFERROR(VLOOKUP(A757,'Budget-S&amp;U Codes Lookup'!$A$7:$B$550,2,FALSE),"")</f>
        <v/>
      </c>
      <c r="C757" s="993"/>
      <c r="D757" s="118"/>
      <c r="E757" s="131"/>
      <c r="F757" s="126"/>
      <c r="G757" s="126"/>
      <c r="H757" s="125">
        <f t="shared" si="11"/>
        <v>0</v>
      </c>
      <c r="I757" s="191"/>
      <c r="J757" s="268"/>
      <c r="K757" s="182" t="str">
        <f>IFERROR(VLOOKUP(A757,'Budget-S&amp;U Codes Lookup'!$A$7:$C$550,3,FALSE),"")</f>
        <v/>
      </c>
      <c r="L757" s="1041"/>
      <c r="M757" s="753"/>
      <c r="N757" s="3" t="str">
        <f>IF(M757="","",VLOOKUP(M757,'Budget-S&amp;U Codes Lookup'!$E$26:$F$45,2,FALSE))</f>
        <v/>
      </c>
      <c r="P757" s="186"/>
    </row>
    <row r="758" spans="1:16" hidden="1">
      <c r="A758" s="81"/>
      <c r="B758" s="82" t="str">
        <f>IFERROR(VLOOKUP(A758,'Budget-S&amp;U Codes Lookup'!$A$7:$B$550,2,FALSE),"")</f>
        <v/>
      </c>
      <c r="C758" s="993"/>
      <c r="D758" s="118"/>
      <c r="E758" s="131"/>
      <c r="F758" s="126"/>
      <c r="G758" s="126"/>
      <c r="H758" s="125">
        <f t="shared" si="11"/>
        <v>0</v>
      </c>
      <c r="I758" s="191"/>
      <c r="J758" s="268"/>
      <c r="K758" s="182" t="str">
        <f>IFERROR(VLOOKUP(A758,'Budget-S&amp;U Codes Lookup'!$A$7:$C$550,3,FALSE),"")</f>
        <v/>
      </c>
      <c r="L758" s="1041"/>
      <c r="M758" s="753"/>
      <c r="N758" s="3" t="str">
        <f>IF(M758="","",VLOOKUP(M758,'Budget-S&amp;U Codes Lookup'!$E$26:$F$45,2,FALSE))</f>
        <v/>
      </c>
      <c r="P758" s="186"/>
    </row>
    <row r="759" spans="1:16" hidden="1">
      <c r="A759" s="81"/>
      <c r="B759" s="82" t="str">
        <f>IFERROR(VLOOKUP(A759,'Budget-S&amp;U Codes Lookup'!$A$7:$B$550,2,FALSE),"")</f>
        <v/>
      </c>
      <c r="C759" s="993"/>
      <c r="D759" s="118"/>
      <c r="E759" s="131"/>
      <c r="F759" s="126"/>
      <c r="G759" s="126"/>
      <c r="H759" s="125">
        <f t="shared" si="11"/>
        <v>0</v>
      </c>
      <c r="I759" s="191"/>
      <c r="J759" s="268"/>
      <c r="K759" s="182" t="str">
        <f>IFERROR(VLOOKUP(A759,'Budget-S&amp;U Codes Lookup'!$A$7:$C$550,3,FALSE),"")</f>
        <v/>
      </c>
      <c r="L759" s="1041"/>
      <c r="M759" s="753"/>
      <c r="N759" s="3" t="str">
        <f>IF(M759="","",VLOOKUP(M759,'Budget-S&amp;U Codes Lookup'!$E$26:$F$45,2,FALSE))</f>
        <v/>
      </c>
      <c r="P759" s="186"/>
    </row>
    <row r="760" spans="1:16" hidden="1">
      <c r="A760" s="81"/>
      <c r="B760" s="82" t="str">
        <f>IFERROR(VLOOKUP(A760,'Budget-S&amp;U Codes Lookup'!$A$7:$B$550,2,FALSE),"")</f>
        <v/>
      </c>
      <c r="C760" s="993"/>
      <c r="D760" s="118"/>
      <c r="E760" s="131"/>
      <c r="F760" s="126"/>
      <c r="G760" s="126"/>
      <c r="H760" s="125">
        <f t="shared" si="11"/>
        <v>0</v>
      </c>
      <c r="I760" s="191"/>
      <c r="J760" s="268"/>
      <c r="K760" s="182" t="str">
        <f>IFERROR(VLOOKUP(A760,'Budget-S&amp;U Codes Lookup'!$A$7:$C$550,3,FALSE),"")</f>
        <v/>
      </c>
      <c r="L760" s="1041"/>
      <c r="M760" s="753"/>
      <c r="N760" s="3" t="str">
        <f>IF(M760="","",VLOOKUP(M760,'Budget-S&amp;U Codes Lookup'!$E$26:$F$45,2,FALSE))</f>
        <v/>
      </c>
      <c r="P760" s="186"/>
    </row>
    <row r="761" spans="1:16" hidden="1">
      <c r="A761" s="81"/>
      <c r="B761" s="82" t="str">
        <f>IFERROR(VLOOKUP(A761,'Budget-S&amp;U Codes Lookup'!$A$7:$B$550,2,FALSE),"")</f>
        <v/>
      </c>
      <c r="C761" s="993"/>
      <c r="D761" s="118"/>
      <c r="E761" s="131"/>
      <c r="F761" s="126"/>
      <c r="G761" s="126"/>
      <c r="H761" s="125">
        <f t="shared" si="11"/>
        <v>0</v>
      </c>
      <c r="I761" s="191"/>
      <c r="J761" s="268"/>
      <c r="K761" s="182" t="str">
        <f>IFERROR(VLOOKUP(A761,'Budget-S&amp;U Codes Lookup'!$A$7:$C$550,3,FALSE),"")</f>
        <v/>
      </c>
      <c r="L761" s="1041"/>
      <c r="M761" s="753"/>
      <c r="N761" s="3" t="str">
        <f>IF(M761="","",VLOOKUP(M761,'Budget-S&amp;U Codes Lookup'!$E$26:$F$45,2,FALSE))</f>
        <v/>
      </c>
      <c r="P761" s="186"/>
    </row>
    <row r="762" spans="1:16" hidden="1">
      <c r="A762" s="81"/>
      <c r="B762" s="82" t="str">
        <f>IFERROR(VLOOKUP(A762,'Budget-S&amp;U Codes Lookup'!$A$7:$B$550,2,FALSE),"")</f>
        <v/>
      </c>
      <c r="C762" s="993"/>
      <c r="D762" s="118"/>
      <c r="E762" s="131"/>
      <c r="F762" s="126"/>
      <c r="G762" s="126"/>
      <c r="H762" s="125">
        <f t="shared" si="11"/>
        <v>0</v>
      </c>
      <c r="I762" s="191"/>
      <c r="J762" s="268"/>
      <c r="K762" s="182" t="str">
        <f>IFERROR(VLOOKUP(A762,'Budget-S&amp;U Codes Lookup'!$A$7:$C$550,3,FALSE),"")</f>
        <v/>
      </c>
      <c r="L762" s="1041"/>
      <c r="M762" s="753"/>
      <c r="N762" s="3" t="str">
        <f>IF(M762="","",VLOOKUP(M762,'Budget-S&amp;U Codes Lookup'!$E$26:$F$45,2,FALSE))</f>
        <v/>
      </c>
      <c r="P762" s="186"/>
    </row>
    <row r="763" spans="1:16" hidden="1">
      <c r="A763" s="81"/>
      <c r="B763" s="82" t="str">
        <f>IFERROR(VLOOKUP(A763,'Budget-S&amp;U Codes Lookup'!$A$7:$B$550,2,FALSE),"")</f>
        <v/>
      </c>
      <c r="C763" s="993"/>
      <c r="D763" s="118"/>
      <c r="E763" s="131"/>
      <c r="F763" s="126"/>
      <c r="G763" s="126"/>
      <c r="H763" s="125">
        <f t="shared" si="11"/>
        <v>0</v>
      </c>
      <c r="I763" s="191"/>
      <c r="J763" s="268"/>
      <c r="K763" s="182" t="str">
        <f>IFERROR(VLOOKUP(A763,'Budget-S&amp;U Codes Lookup'!$A$7:$C$550,3,FALSE),"")</f>
        <v/>
      </c>
      <c r="L763" s="1041"/>
      <c r="M763" s="753"/>
      <c r="N763" s="3" t="str">
        <f>IF(M763="","",VLOOKUP(M763,'Budget-S&amp;U Codes Lookup'!$E$26:$F$45,2,FALSE))</f>
        <v/>
      </c>
      <c r="P763" s="186"/>
    </row>
    <row r="764" spans="1:16" hidden="1">
      <c r="A764" s="81"/>
      <c r="B764" s="82" t="str">
        <f>IFERROR(VLOOKUP(A764,'Budget-S&amp;U Codes Lookup'!$A$7:$B$550,2,FALSE),"")</f>
        <v/>
      </c>
      <c r="C764" s="993"/>
      <c r="D764" s="118"/>
      <c r="E764" s="131"/>
      <c r="F764" s="126"/>
      <c r="G764" s="126"/>
      <c r="H764" s="125">
        <f t="shared" si="11"/>
        <v>0</v>
      </c>
      <c r="I764" s="191"/>
      <c r="J764" s="268"/>
      <c r="K764" s="182" t="str">
        <f>IFERROR(VLOOKUP(A764,'Budget-S&amp;U Codes Lookup'!$A$7:$C$550,3,FALSE),"")</f>
        <v/>
      </c>
      <c r="L764" s="1041"/>
      <c r="M764" s="753"/>
      <c r="N764" s="3" t="str">
        <f>IF(M764="","",VLOOKUP(M764,'Budget-S&amp;U Codes Lookup'!$E$26:$F$45,2,FALSE))</f>
        <v/>
      </c>
      <c r="P764" s="186"/>
    </row>
    <row r="765" spans="1:16" hidden="1">
      <c r="A765" s="81"/>
      <c r="B765" s="82" t="str">
        <f>IFERROR(VLOOKUP(A765,'Budget-S&amp;U Codes Lookup'!$A$7:$B$550,2,FALSE),"")</f>
        <v/>
      </c>
      <c r="C765" s="993"/>
      <c r="D765" s="118"/>
      <c r="E765" s="131"/>
      <c r="F765" s="126"/>
      <c r="G765" s="126"/>
      <c r="H765" s="125">
        <f t="shared" si="11"/>
        <v>0</v>
      </c>
      <c r="I765" s="191"/>
      <c r="J765" s="268"/>
      <c r="K765" s="182" t="str">
        <f>IFERROR(VLOOKUP(A765,'Budget-S&amp;U Codes Lookup'!$A$7:$C$550,3,FALSE),"")</f>
        <v/>
      </c>
      <c r="L765" s="1041"/>
      <c r="M765" s="753"/>
      <c r="N765" s="3" t="str">
        <f>IF(M765="","",VLOOKUP(M765,'Budget-S&amp;U Codes Lookup'!$E$26:$F$45,2,FALSE))</f>
        <v/>
      </c>
      <c r="P765" s="186"/>
    </row>
    <row r="766" spans="1:16" hidden="1">
      <c r="A766" s="81"/>
      <c r="B766" s="82" t="str">
        <f>IFERROR(VLOOKUP(A766,'Budget-S&amp;U Codes Lookup'!$A$7:$B$550,2,FALSE),"")</f>
        <v/>
      </c>
      <c r="C766" s="993"/>
      <c r="D766" s="118"/>
      <c r="E766" s="131"/>
      <c r="F766" s="126"/>
      <c r="G766" s="126"/>
      <c r="H766" s="125">
        <f t="shared" si="11"/>
        <v>0</v>
      </c>
      <c r="I766" s="191"/>
      <c r="J766" s="268"/>
      <c r="K766" s="182" t="str">
        <f>IFERROR(VLOOKUP(A766,'Budget-S&amp;U Codes Lookup'!$A$7:$C$550,3,FALSE),"")</f>
        <v/>
      </c>
      <c r="L766" s="1041"/>
      <c r="M766" s="753"/>
      <c r="N766" s="3" t="str">
        <f>IF(M766="","",VLOOKUP(M766,'Budget-S&amp;U Codes Lookup'!$E$26:$F$45,2,FALSE))</f>
        <v/>
      </c>
      <c r="P766" s="186"/>
    </row>
    <row r="767" spans="1:16" hidden="1">
      <c r="A767" s="81"/>
      <c r="B767" s="82" t="str">
        <f>IFERROR(VLOOKUP(A767,'Budget-S&amp;U Codes Lookup'!$A$7:$B$550,2,FALSE),"")</f>
        <v/>
      </c>
      <c r="C767" s="993"/>
      <c r="D767" s="118"/>
      <c r="E767" s="131"/>
      <c r="F767" s="126"/>
      <c r="G767" s="126"/>
      <c r="H767" s="125">
        <f t="shared" si="11"/>
        <v>0</v>
      </c>
      <c r="I767" s="191"/>
      <c r="J767" s="268"/>
      <c r="K767" s="182" t="str">
        <f>IFERROR(VLOOKUP(A767,'Budget-S&amp;U Codes Lookup'!$A$7:$C$550,3,FALSE),"")</f>
        <v/>
      </c>
      <c r="L767" s="1041"/>
      <c r="M767" s="753"/>
      <c r="N767" s="3" t="str">
        <f>IF(M767="","",VLOOKUP(M767,'Budget-S&amp;U Codes Lookup'!$E$26:$F$45,2,FALSE))</f>
        <v/>
      </c>
      <c r="P767" s="186"/>
    </row>
    <row r="768" spans="1:16" hidden="1">
      <c r="A768" s="81"/>
      <c r="B768" s="82" t="str">
        <f>IFERROR(VLOOKUP(A768,'Budget-S&amp;U Codes Lookup'!$A$7:$B$550,2,FALSE),"")</f>
        <v/>
      </c>
      <c r="C768" s="993"/>
      <c r="D768" s="118"/>
      <c r="E768" s="131"/>
      <c r="F768" s="126"/>
      <c r="G768" s="126"/>
      <c r="H768" s="125">
        <f t="shared" si="11"/>
        <v>0</v>
      </c>
      <c r="I768" s="191"/>
      <c r="J768" s="268"/>
      <c r="K768" s="182" t="str">
        <f>IFERROR(VLOOKUP(A768,'Budget-S&amp;U Codes Lookup'!$A$7:$C$550,3,FALSE),"")</f>
        <v/>
      </c>
      <c r="L768" s="1041"/>
      <c r="M768" s="753"/>
      <c r="N768" s="3" t="str">
        <f>IF(M768="","",VLOOKUP(M768,'Budget-S&amp;U Codes Lookup'!$E$26:$F$45,2,FALSE))</f>
        <v/>
      </c>
      <c r="P768" s="186"/>
    </row>
    <row r="769" spans="1:16" hidden="1">
      <c r="A769" s="81"/>
      <c r="B769" s="82" t="str">
        <f>IFERROR(VLOOKUP(A769,'Budget-S&amp;U Codes Lookup'!$A$7:$B$550,2,FALSE),"")</f>
        <v/>
      </c>
      <c r="C769" s="993"/>
      <c r="D769" s="118"/>
      <c r="E769" s="131"/>
      <c r="F769" s="126"/>
      <c r="G769" s="126"/>
      <c r="H769" s="125">
        <f t="shared" si="11"/>
        <v>0</v>
      </c>
      <c r="I769" s="191"/>
      <c r="J769" s="268"/>
      <c r="K769" s="182" t="str">
        <f>IFERROR(VLOOKUP(A769,'Budget-S&amp;U Codes Lookup'!$A$7:$C$550,3,FALSE),"")</f>
        <v/>
      </c>
      <c r="L769" s="1041"/>
      <c r="M769" s="753"/>
      <c r="N769" s="3" t="str">
        <f>IF(M769="","",VLOOKUP(M769,'Budget-S&amp;U Codes Lookup'!$E$26:$F$45,2,FALSE))</f>
        <v/>
      </c>
      <c r="P769" s="186"/>
    </row>
    <row r="770" spans="1:16" hidden="1">
      <c r="A770" s="81"/>
      <c r="B770" s="82" t="str">
        <f>IFERROR(VLOOKUP(A770,'Budget-S&amp;U Codes Lookup'!$A$7:$B$550,2,FALSE),"")</f>
        <v/>
      </c>
      <c r="C770" s="993"/>
      <c r="D770" s="118"/>
      <c r="E770" s="131"/>
      <c r="F770" s="126"/>
      <c r="G770" s="126"/>
      <c r="H770" s="125">
        <f t="shared" si="11"/>
        <v>0</v>
      </c>
      <c r="I770" s="191"/>
      <c r="J770" s="268"/>
      <c r="K770" s="182" t="str">
        <f>IFERROR(VLOOKUP(A770,'Budget-S&amp;U Codes Lookup'!$A$7:$C$550,3,FALSE),"")</f>
        <v/>
      </c>
      <c r="L770" s="1041"/>
      <c r="M770" s="753"/>
      <c r="N770" s="3" t="str">
        <f>IF(M770="","",VLOOKUP(M770,'Budget-S&amp;U Codes Lookup'!$E$26:$F$45,2,FALSE))</f>
        <v/>
      </c>
      <c r="P770" s="186"/>
    </row>
    <row r="771" spans="1:16" hidden="1">
      <c r="A771" s="81"/>
      <c r="B771" s="82" t="str">
        <f>IFERROR(VLOOKUP(A771,'Budget-S&amp;U Codes Lookup'!$A$7:$B$550,2,FALSE),"")</f>
        <v/>
      </c>
      <c r="C771" s="993"/>
      <c r="D771" s="118"/>
      <c r="E771" s="131"/>
      <c r="F771" s="126"/>
      <c r="G771" s="126"/>
      <c r="H771" s="125">
        <f t="shared" si="11"/>
        <v>0</v>
      </c>
      <c r="I771" s="191"/>
      <c r="J771" s="268"/>
      <c r="K771" s="182" t="str">
        <f>IFERROR(VLOOKUP(A771,'Budget-S&amp;U Codes Lookup'!$A$7:$C$550,3,FALSE),"")</f>
        <v/>
      </c>
      <c r="L771" s="1041"/>
      <c r="M771" s="753"/>
      <c r="N771" s="3" t="str">
        <f>IF(M771="","",VLOOKUP(M771,'Budget-S&amp;U Codes Lookup'!$E$26:$F$45,2,FALSE))</f>
        <v/>
      </c>
      <c r="P771" s="186"/>
    </row>
    <row r="772" spans="1:16" hidden="1">
      <c r="A772" s="81"/>
      <c r="B772" s="82" t="str">
        <f>IFERROR(VLOOKUP(A772,'Budget-S&amp;U Codes Lookup'!$A$7:$B$550,2,FALSE),"")</f>
        <v/>
      </c>
      <c r="C772" s="993"/>
      <c r="D772" s="118"/>
      <c r="E772" s="131"/>
      <c r="F772" s="126"/>
      <c r="G772" s="126"/>
      <c r="H772" s="125">
        <f t="shared" si="11"/>
        <v>0</v>
      </c>
      <c r="I772" s="191"/>
      <c r="J772" s="268"/>
      <c r="K772" s="182" t="str">
        <f>IFERROR(VLOOKUP(A772,'Budget-S&amp;U Codes Lookup'!$A$7:$C$550,3,FALSE),"")</f>
        <v/>
      </c>
      <c r="L772" s="1041"/>
      <c r="M772" s="753"/>
      <c r="N772" s="3" t="str">
        <f>IF(M772="","",VLOOKUP(M772,'Budget-S&amp;U Codes Lookup'!$E$26:$F$45,2,FALSE))</f>
        <v/>
      </c>
      <c r="P772" s="186"/>
    </row>
    <row r="773" spans="1:16" hidden="1">
      <c r="A773" s="81"/>
      <c r="B773" s="82" t="str">
        <f>IFERROR(VLOOKUP(A773,'Budget-S&amp;U Codes Lookup'!$A$7:$B$550,2,FALSE),"")</f>
        <v/>
      </c>
      <c r="C773" s="993"/>
      <c r="D773" s="118"/>
      <c r="E773" s="131"/>
      <c r="F773" s="126"/>
      <c r="G773" s="126"/>
      <c r="H773" s="125">
        <f t="shared" si="11"/>
        <v>0</v>
      </c>
      <c r="I773" s="191"/>
      <c r="J773" s="268"/>
      <c r="K773" s="182" t="str">
        <f>IFERROR(VLOOKUP(A773,'Budget-S&amp;U Codes Lookup'!$A$7:$C$550,3,FALSE),"")</f>
        <v/>
      </c>
      <c r="L773" s="1041"/>
      <c r="M773" s="753"/>
      <c r="N773" s="3" t="str">
        <f>IF(M773="","",VLOOKUP(M773,'Budget-S&amp;U Codes Lookup'!$E$26:$F$45,2,FALSE))</f>
        <v/>
      </c>
      <c r="P773" s="186"/>
    </row>
    <row r="774" spans="1:16" hidden="1">
      <c r="A774" s="81"/>
      <c r="B774" s="82" t="str">
        <f>IFERROR(VLOOKUP(A774,'Budget-S&amp;U Codes Lookup'!$A$7:$B$550,2,FALSE),"")</f>
        <v/>
      </c>
      <c r="C774" s="993"/>
      <c r="D774" s="118"/>
      <c r="E774" s="131"/>
      <c r="F774" s="126"/>
      <c r="G774" s="126"/>
      <c r="H774" s="125">
        <f t="shared" si="11"/>
        <v>0</v>
      </c>
      <c r="I774" s="191"/>
      <c r="J774" s="268"/>
      <c r="K774" s="182" t="str">
        <f>IFERROR(VLOOKUP(A774,'Budget-S&amp;U Codes Lookup'!$A$7:$C$550,3,FALSE),"")</f>
        <v/>
      </c>
      <c r="L774" s="1041"/>
      <c r="M774" s="753"/>
      <c r="N774" s="3" t="str">
        <f>IF(M774="","",VLOOKUP(M774,'Budget-S&amp;U Codes Lookup'!$E$26:$F$45,2,FALSE))</f>
        <v/>
      </c>
      <c r="P774" s="186"/>
    </row>
    <row r="775" spans="1:16" hidden="1">
      <c r="A775" s="81"/>
      <c r="B775" s="82" t="str">
        <f>IFERROR(VLOOKUP(A775,'Budget-S&amp;U Codes Lookup'!$A$7:$B$550,2,FALSE),"")</f>
        <v/>
      </c>
      <c r="C775" s="993"/>
      <c r="D775" s="118"/>
      <c r="E775" s="131"/>
      <c r="F775" s="126"/>
      <c r="G775" s="126"/>
      <c r="H775" s="125">
        <f t="shared" si="11"/>
        <v>0</v>
      </c>
      <c r="I775" s="191"/>
      <c r="J775" s="268"/>
      <c r="K775" s="182" t="str">
        <f>IFERROR(VLOOKUP(A775,'Budget-S&amp;U Codes Lookup'!$A$7:$C$550,3,FALSE),"")</f>
        <v/>
      </c>
      <c r="L775" s="1041"/>
      <c r="M775" s="753"/>
      <c r="N775" s="3" t="str">
        <f>IF(M775="","",VLOOKUP(M775,'Budget-S&amp;U Codes Lookup'!$E$26:$F$45,2,FALSE))</f>
        <v/>
      </c>
      <c r="P775" s="186"/>
    </row>
    <row r="776" spans="1:16" hidden="1">
      <c r="A776" s="81"/>
      <c r="B776" s="82" t="str">
        <f>IFERROR(VLOOKUP(A776,'Budget-S&amp;U Codes Lookup'!$A$7:$B$550,2,FALSE),"")</f>
        <v/>
      </c>
      <c r="C776" s="993"/>
      <c r="D776" s="118"/>
      <c r="E776" s="131"/>
      <c r="F776" s="126"/>
      <c r="G776" s="126"/>
      <c r="H776" s="125">
        <f t="shared" si="11"/>
        <v>0</v>
      </c>
      <c r="I776" s="191"/>
      <c r="J776" s="268"/>
      <c r="K776" s="182" t="str">
        <f>IFERROR(VLOOKUP(A776,'Budget-S&amp;U Codes Lookup'!$A$7:$C$550,3,FALSE),"")</f>
        <v/>
      </c>
      <c r="L776" s="1041"/>
      <c r="M776" s="753"/>
      <c r="N776" s="3" t="str">
        <f>IF(M776="","",VLOOKUP(M776,'Budget-S&amp;U Codes Lookup'!$E$26:$F$45,2,FALSE))</f>
        <v/>
      </c>
      <c r="P776" s="186"/>
    </row>
    <row r="777" spans="1:16" hidden="1">
      <c r="A777" s="81"/>
      <c r="B777" s="82" t="str">
        <f>IFERROR(VLOOKUP(A777,'Budget-S&amp;U Codes Lookup'!$A$7:$B$550,2,FALSE),"")</f>
        <v/>
      </c>
      <c r="C777" s="993"/>
      <c r="D777" s="118"/>
      <c r="E777" s="131"/>
      <c r="F777" s="126"/>
      <c r="G777" s="126"/>
      <c r="H777" s="125">
        <f t="shared" si="11"/>
        <v>0</v>
      </c>
      <c r="I777" s="191"/>
      <c r="J777" s="268"/>
      <c r="K777" s="182" t="str">
        <f>IFERROR(VLOOKUP(A777,'Budget-S&amp;U Codes Lookup'!$A$7:$C$550,3,FALSE),"")</f>
        <v/>
      </c>
      <c r="L777" s="1041"/>
      <c r="M777" s="753"/>
      <c r="N777" s="3" t="str">
        <f>IF(M777="","",VLOOKUP(M777,'Budget-S&amp;U Codes Lookup'!$E$26:$F$45,2,FALSE))</f>
        <v/>
      </c>
      <c r="P777" s="186"/>
    </row>
    <row r="778" spans="1:16" hidden="1">
      <c r="A778" s="81"/>
      <c r="B778" s="82" t="str">
        <f>IFERROR(VLOOKUP(A778,'Budget-S&amp;U Codes Lookup'!$A$7:$B$550,2,FALSE),"")</f>
        <v/>
      </c>
      <c r="C778" s="993"/>
      <c r="D778" s="118"/>
      <c r="E778" s="131"/>
      <c r="F778" s="126"/>
      <c r="G778" s="126"/>
      <c r="H778" s="125">
        <f t="shared" ref="H778:H841" si="12">F778-G778</f>
        <v>0</v>
      </c>
      <c r="I778" s="191"/>
      <c r="J778" s="268"/>
      <c r="K778" s="182" t="str">
        <f>IFERROR(VLOOKUP(A778,'Budget-S&amp;U Codes Lookup'!$A$7:$C$550,3,FALSE),"")</f>
        <v/>
      </c>
      <c r="L778" s="1041"/>
      <c r="M778" s="753"/>
      <c r="N778" s="3" t="str">
        <f>IF(M778="","",VLOOKUP(M778,'Budget-S&amp;U Codes Lookup'!$E$26:$F$45,2,FALSE))</f>
        <v/>
      </c>
      <c r="P778" s="186"/>
    </row>
    <row r="779" spans="1:16" hidden="1">
      <c r="A779" s="81"/>
      <c r="B779" s="82" t="str">
        <f>IFERROR(VLOOKUP(A779,'Budget-S&amp;U Codes Lookup'!$A$7:$B$550,2,FALSE),"")</f>
        <v/>
      </c>
      <c r="C779" s="993"/>
      <c r="D779" s="118"/>
      <c r="E779" s="131"/>
      <c r="F779" s="126"/>
      <c r="G779" s="126"/>
      <c r="H779" s="125">
        <f t="shared" si="12"/>
        <v>0</v>
      </c>
      <c r="I779" s="191"/>
      <c r="J779" s="268"/>
      <c r="K779" s="182" t="str">
        <f>IFERROR(VLOOKUP(A779,'Budget-S&amp;U Codes Lookup'!$A$7:$C$550,3,FALSE),"")</f>
        <v/>
      </c>
      <c r="L779" s="1041"/>
      <c r="M779" s="753"/>
      <c r="N779" s="3" t="str">
        <f>IF(M779="","",VLOOKUP(M779,'Budget-S&amp;U Codes Lookup'!$E$26:$F$45,2,FALSE))</f>
        <v/>
      </c>
      <c r="P779" s="186"/>
    </row>
    <row r="780" spans="1:16" hidden="1">
      <c r="A780" s="81"/>
      <c r="B780" s="82" t="str">
        <f>IFERROR(VLOOKUP(A780,'Budget-S&amp;U Codes Lookup'!$A$7:$B$550,2,FALSE),"")</f>
        <v/>
      </c>
      <c r="C780" s="993"/>
      <c r="D780" s="118"/>
      <c r="E780" s="131"/>
      <c r="F780" s="126"/>
      <c r="G780" s="126"/>
      <c r="H780" s="125">
        <f t="shared" si="12"/>
        <v>0</v>
      </c>
      <c r="I780" s="191"/>
      <c r="J780" s="268"/>
      <c r="K780" s="182" t="str">
        <f>IFERROR(VLOOKUP(A780,'Budget-S&amp;U Codes Lookup'!$A$7:$C$550,3,FALSE),"")</f>
        <v/>
      </c>
      <c r="L780" s="1041"/>
      <c r="M780" s="753"/>
      <c r="N780" s="3" t="str">
        <f>IF(M780="","",VLOOKUP(M780,'Budget-S&amp;U Codes Lookup'!$E$26:$F$45,2,FALSE))</f>
        <v/>
      </c>
      <c r="P780" s="186"/>
    </row>
    <row r="781" spans="1:16" hidden="1">
      <c r="A781" s="81"/>
      <c r="B781" s="82" t="str">
        <f>IFERROR(VLOOKUP(A781,'Budget-S&amp;U Codes Lookup'!$A$7:$B$550,2,FALSE),"")</f>
        <v/>
      </c>
      <c r="C781" s="993"/>
      <c r="D781" s="118"/>
      <c r="E781" s="131"/>
      <c r="F781" s="126"/>
      <c r="G781" s="126"/>
      <c r="H781" s="125">
        <f t="shared" si="12"/>
        <v>0</v>
      </c>
      <c r="I781" s="191"/>
      <c r="J781" s="268"/>
      <c r="K781" s="182" t="str">
        <f>IFERROR(VLOOKUP(A781,'Budget-S&amp;U Codes Lookup'!$A$7:$C$550,3,FALSE),"")</f>
        <v/>
      </c>
      <c r="L781" s="1041"/>
      <c r="M781" s="753"/>
      <c r="N781" s="3" t="str">
        <f>IF(M781="","",VLOOKUP(M781,'Budget-S&amp;U Codes Lookup'!$E$26:$F$45,2,FALSE))</f>
        <v/>
      </c>
      <c r="P781" s="186"/>
    </row>
    <row r="782" spans="1:16" hidden="1">
      <c r="A782" s="81"/>
      <c r="B782" s="82" t="str">
        <f>IFERROR(VLOOKUP(A782,'Budget-S&amp;U Codes Lookup'!$A$7:$B$550,2,FALSE),"")</f>
        <v/>
      </c>
      <c r="C782" s="993"/>
      <c r="D782" s="118"/>
      <c r="E782" s="131"/>
      <c r="F782" s="126"/>
      <c r="G782" s="126"/>
      <c r="H782" s="125">
        <f t="shared" si="12"/>
        <v>0</v>
      </c>
      <c r="I782" s="191"/>
      <c r="J782" s="268"/>
      <c r="K782" s="182" t="str">
        <f>IFERROR(VLOOKUP(A782,'Budget-S&amp;U Codes Lookup'!$A$7:$C$550,3,FALSE),"")</f>
        <v/>
      </c>
      <c r="L782" s="1041"/>
      <c r="M782" s="753"/>
      <c r="N782" s="3" t="str">
        <f>IF(M782="","",VLOOKUP(M782,'Budget-S&amp;U Codes Lookup'!$E$26:$F$45,2,FALSE))</f>
        <v/>
      </c>
      <c r="P782" s="186"/>
    </row>
    <row r="783" spans="1:16" hidden="1">
      <c r="A783" s="81"/>
      <c r="B783" s="82" t="str">
        <f>IFERROR(VLOOKUP(A783,'Budget-S&amp;U Codes Lookup'!$A$7:$B$550,2,FALSE),"")</f>
        <v/>
      </c>
      <c r="C783" s="993"/>
      <c r="D783" s="118"/>
      <c r="E783" s="131"/>
      <c r="F783" s="126"/>
      <c r="G783" s="126"/>
      <c r="H783" s="125">
        <f t="shared" si="12"/>
        <v>0</v>
      </c>
      <c r="I783" s="191"/>
      <c r="J783" s="268"/>
      <c r="K783" s="182" t="str">
        <f>IFERROR(VLOOKUP(A783,'Budget-S&amp;U Codes Lookup'!$A$7:$C$550,3,FALSE),"")</f>
        <v/>
      </c>
      <c r="L783" s="1041"/>
      <c r="M783" s="753"/>
      <c r="N783" s="3" t="str">
        <f>IF(M783="","",VLOOKUP(M783,'Budget-S&amp;U Codes Lookup'!$E$26:$F$45,2,FALSE))</f>
        <v/>
      </c>
      <c r="P783" s="186"/>
    </row>
    <row r="784" spans="1:16" hidden="1">
      <c r="A784" s="81"/>
      <c r="B784" s="82" t="str">
        <f>IFERROR(VLOOKUP(A784,'Budget-S&amp;U Codes Lookup'!$A$7:$B$550,2,FALSE),"")</f>
        <v/>
      </c>
      <c r="C784" s="993"/>
      <c r="D784" s="118"/>
      <c r="E784" s="131"/>
      <c r="F784" s="126"/>
      <c r="G784" s="126"/>
      <c r="H784" s="125">
        <f t="shared" si="12"/>
        <v>0</v>
      </c>
      <c r="I784" s="191"/>
      <c r="J784" s="268"/>
      <c r="K784" s="182" t="str">
        <f>IFERROR(VLOOKUP(A784,'Budget-S&amp;U Codes Lookup'!$A$7:$C$550,3,FALSE),"")</f>
        <v/>
      </c>
      <c r="L784" s="1041"/>
      <c r="M784" s="753"/>
      <c r="N784" s="3" t="str">
        <f>IF(M784="","",VLOOKUP(M784,'Budget-S&amp;U Codes Lookup'!$E$26:$F$45,2,FALSE))</f>
        <v/>
      </c>
      <c r="P784" s="186"/>
    </row>
    <row r="785" spans="1:16" hidden="1">
      <c r="A785" s="81"/>
      <c r="B785" s="82" t="str">
        <f>IFERROR(VLOOKUP(A785,'Budget-S&amp;U Codes Lookup'!$A$7:$B$550,2,FALSE),"")</f>
        <v/>
      </c>
      <c r="C785" s="993"/>
      <c r="D785" s="118"/>
      <c r="E785" s="131"/>
      <c r="F785" s="126"/>
      <c r="G785" s="126"/>
      <c r="H785" s="125">
        <f t="shared" si="12"/>
        <v>0</v>
      </c>
      <c r="I785" s="191"/>
      <c r="J785" s="268"/>
      <c r="K785" s="182" t="str">
        <f>IFERROR(VLOOKUP(A785,'Budget-S&amp;U Codes Lookup'!$A$7:$C$550,3,FALSE),"")</f>
        <v/>
      </c>
      <c r="L785" s="1041"/>
      <c r="M785" s="753"/>
      <c r="N785" s="3" t="str">
        <f>IF(M785="","",VLOOKUP(M785,'Budget-S&amp;U Codes Lookup'!$E$26:$F$45,2,FALSE))</f>
        <v/>
      </c>
      <c r="P785" s="186"/>
    </row>
    <row r="786" spans="1:16" hidden="1">
      <c r="A786" s="81"/>
      <c r="B786" s="82" t="str">
        <f>IFERROR(VLOOKUP(A786,'Budget-S&amp;U Codes Lookup'!$A$7:$B$550,2,FALSE),"")</f>
        <v/>
      </c>
      <c r="C786" s="993"/>
      <c r="D786" s="118"/>
      <c r="E786" s="131"/>
      <c r="F786" s="126"/>
      <c r="G786" s="126"/>
      <c r="H786" s="125">
        <f t="shared" si="12"/>
        <v>0</v>
      </c>
      <c r="I786" s="191"/>
      <c r="J786" s="268"/>
      <c r="K786" s="182" t="str">
        <f>IFERROR(VLOOKUP(A786,'Budget-S&amp;U Codes Lookup'!$A$7:$C$550,3,FALSE),"")</f>
        <v/>
      </c>
      <c r="L786" s="1041"/>
      <c r="M786" s="753"/>
      <c r="N786" s="3" t="str">
        <f>IF(M786="","",VLOOKUP(M786,'Budget-S&amp;U Codes Lookup'!$E$26:$F$45,2,FALSE))</f>
        <v/>
      </c>
      <c r="P786" s="186"/>
    </row>
    <row r="787" spans="1:16" hidden="1">
      <c r="A787" s="81"/>
      <c r="B787" s="82" t="str">
        <f>IFERROR(VLOOKUP(A787,'Budget-S&amp;U Codes Lookup'!$A$7:$B$550,2,FALSE),"")</f>
        <v/>
      </c>
      <c r="C787" s="993"/>
      <c r="D787" s="118"/>
      <c r="E787" s="131"/>
      <c r="F787" s="126"/>
      <c r="G787" s="126"/>
      <c r="H787" s="125">
        <f t="shared" si="12"/>
        <v>0</v>
      </c>
      <c r="I787" s="191"/>
      <c r="J787" s="268"/>
      <c r="K787" s="182" t="str">
        <f>IFERROR(VLOOKUP(A787,'Budget-S&amp;U Codes Lookup'!$A$7:$C$550,3,FALSE),"")</f>
        <v/>
      </c>
      <c r="L787" s="1041"/>
      <c r="M787" s="753"/>
      <c r="N787" s="3" t="str">
        <f>IF(M787="","",VLOOKUP(M787,'Budget-S&amp;U Codes Lookup'!$E$26:$F$45,2,FALSE))</f>
        <v/>
      </c>
      <c r="P787" s="186"/>
    </row>
    <row r="788" spans="1:16" hidden="1">
      <c r="A788" s="81"/>
      <c r="B788" s="82" t="str">
        <f>IFERROR(VLOOKUP(A788,'Budget-S&amp;U Codes Lookup'!$A$7:$B$550,2,FALSE),"")</f>
        <v/>
      </c>
      <c r="C788" s="993"/>
      <c r="D788" s="118"/>
      <c r="E788" s="131"/>
      <c r="F788" s="126"/>
      <c r="G788" s="126"/>
      <c r="H788" s="125">
        <f t="shared" si="12"/>
        <v>0</v>
      </c>
      <c r="I788" s="191"/>
      <c r="J788" s="268"/>
      <c r="K788" s="182" t="str">
        <f>IFERROR(VLOOKUP(A788,'Budget-S&amp;U Codes Lookup'!$A$7:$C$550,3,FALSE),"")</f>
        <v/>
      </c>
      <c r="L788" s="1041"/>
      <c r="M788" s="753"/>
      <c r="N788" s="3" t="str">
        <f>IF(M788="","",VLOOKUP(M788,'Budget-S&amp;U Codes Lookup'!$E$26:$F$45,2,FALSE))</f>
        <v/>
      </c>
      <c r="P788" s="186"/>
    </row>
    <row r="789" spans="1:16" hidden="1">
      <c r="A789" s="81"/>
      <c r="B789" s="82" t="str">
        <f>IFERROR(VLOOKUP(A789,'Budget-S&amp;U Codes Lookup'!$A$7:$B$550,2,FALSE),"")</f>
        <v/>
      </c>
      <c r="C789" s="993"/>
      <c r="D789" s="118"/>
      <c r="E789" s="131"/>
      <c r="F789" s="126"/>
      <c r="G789" s="126"/>
      <c r="H789" s="125">
        <f t="shared" si="12"/>
        <v>0</v>
      </c>
      <c r="I789" s="191"/>
      <c r="J789" s="268"/>
      <c r="K789" s="182" t="str">
        <f>IFERROR(VLOOKUP(A789,'Budget-S&amp;U Codes Lookup'!$A$7:$C$550,3,FALSE),"")</f>
        <v/>
      </c>
      <c r="L789" s="1041"/>
      <c r="M789" s="753"/>
      <c r="N789" s="3" t="str">
        <f>IF(M789="","",VLOOKUP(M789,'Budget-S&amp;U Codes Lookup'!$E$26:$F$45,2,FALSE))</f>
        <v/>
      </c>
      <c r="P789" s="186"/>
    </row>
    <row r="790" spans="1:16" hidden="1">
      <c r="A790" s="81"/>
      <c r="B790" s="82" t="str">
        <f>IFERROR(VLOOKUP(A790,'Budget-S&amp;U Codes Lookup'!$A$7:$B$550,2,FALSE),"")</f>
        <v/>
      </c>
      <c r="C790" s="993"/>
      <c r="D790" s="118"/>
      <c r="E790" s="131"/>
      <c r="F790" s="126"/>
      <c r="G790" s="126"/>
      <c r="H790" s="125">
        <f t="shared" si="12"/>
        <v>0</v>
      </c>
      <c r="I790" s="191"/>
      <c r="J790" s="268"/>
      <c r="K790" s="182" t="str">
        <f>IFERROR(VLOOKUP(A790,'Budget-S&amp;U Codes Lookup'!$A$7:$C$550,3,FALSE),"")</f>
        <v/>
      </c>
      <c r="L790" s="1041"/>
      <c r="M790" s="753"/>
      <c r="N790" s="3" t="str">
        <f>IF(M790="","",VLOOKUP(M790,'Budget-S&amp;U Codes Lookup'!$E$26:$F$45,2,FALSE))</f>
        <v/>
      </c>
      <c r="P790" s="186"/>
    </row>
    <row r="791" spans="1:16" hidden="1">
      <c r="A791" s="81"/>
      <c r="B791" s="82" t="str">
        <f>IFERROR(VLOOKUP(A791,'Budget-S&amp;U Codes Lookup'!$A$7:$B$550,2,FALSE),"")</f>
        <v/>
      </c>
      <c r="C791" s="993"/>
      <c r="D791" s="118"/>
      <c r="E791" s="131"/>
      <c r="F791" s="126"/>
      <c r="G791" s="126"/>
      <c r="H791" s="125">
        <f t="shared" si="12"/>
        <v>0</v>
      </c>
      <c r="I791" s="191"/>
      <c r="J791" s="268"/>
      <c r="K791" s="182" t="str">
        <f>IFERROR(VLOOKUP(A791,'Budget-S&amp;U Codes Lookup'!$A$7:$C$550,3,FALSE),"")</f>
        <v/>
      </c>
      <c r="L791" s="1041"/>
      <c r="M791" s="753"/>
      <c r="N791" s="3" t="str">
        <f>IF(M791="","",VLOOKUP(M791,'Budget-S&amp;U Codes Lookup'!$E$26:$F$45,2,FALSE))</f>
        <v/>
      </c>
      <c r="P791" s="186"/>
    </row>
    <row r="792" spans="1:16" hidden="1">
      <c r="A792" s="81"/>
      <c r="B792" s="82" t="str">
        <f>IFERROR(VLOOKUP(A792,'Budget-S&amp;U Codes Lookup'!$A$7:$B$550,2,FALSE),"")</f>
        <v/>
      </c>
      <c r="C792" s="993"/>
      <c r="D792" s="118"/>
      <c r="E792" s="131"/>
      <c r="F792" s="126"/>
      <c r="G792" s="126"/>
      <c r="H792" s="125">
        <f t="shared" si="12"/>
        <v>0</v>
      </c>
      <c r="I792" s="191"/>
      <c r="J792" s="268"/>
      <c r="K792" s="182" t="str">
        <f>IFERROR(VLOOKUP(A792,'Budget-S&amp;U Codes Lookup'!$A$7:$C$550,3,FALSE),"")</f>
        <v/>
      </c>
      <c r="L792" s="1041"/>
      <c r="M792" s="753"/>
      <c r="N792" s="3" t="str">
        <f>IF(M792="","",VLOOKUP(M792,'Budget-S&amp;U Codes Lookup'!$E$26:$F$45,2,FALSE))</f>
        <v/>
      </c>
      <c r="P792" s="186"/>
    </row>
    <row r="793" spans="1:16" hidden="1">
      <c r="A793" s="81"/>
      <c r="B793" s="82" t="str">
        <f>IFERROR(VLOOKUP(A793,'Budget-S&amp;U Codes Lookup'!$A$7:$B$550,2,FALSE),"")</f>
        <v/>
      </c>
      <c r="C793" s="993"/>
      <c r="D793" s="118"/>
      <c r="E793" s="131"/>
      <c r="F793" s="126"/>
      <c r="G793" s="126"/>
      <c r="H793" s="125">
        <f t="shared" si="12"/>
        <v>0</v>
      </c>
      <c r="I793" s="191"/>
      <c r="J793" s="268"/>
      <c r="K793" s="182" t="str">
        <f>IFERROR(VLOOKUP(A793,'Budget-S&amp;U Codes Lookup'!$A$7:$C$550,3,FALSE),"")</f>
        <v/>
      </c>
      <c r="L793" s="1041"/>
      <c r="M793" s="753"/>
      <c r="N793" s="3" t="str">
        <f>IF(M793="","",VLOOKUP(M793,'Budget-S&amp;U Codes Lookup'!$E$26:$F$45,2,FALSE))</f>
        <v/>
      </c>
      <c r="P793" s="186"/>
    </row>
    <row r="794" spans="1:16" hidden="1">
      <c r="A794" s="81"/>
      <c r="B794" s="82" t="str">
        <f>IFERROR(VLOOKUP(A794,'Budget-S&amp;U Codes Lookup'!$A$7:$B$550,2,FALSE),"")</f>
        <v/>
      </c>
      <c r="C794" s="993"/>
      <c r="D794" s="118"/>
      <c r="E794" s="131"/>
      <c r="F794" s="126"/>
      <c r="G794" s="126"/>
      <c r="H794" s="125">
        <f t="shared" si="12"/>
        <v>0</v>
      </c>
      <c r="I794" s="191"/>
      <c r="J794" s="268"/>
      <c r="K794" s="182" t="str">
        <f>IFERROR(VLOOKUP(A794,'Budget-S&amp;U Codes Lookup'!$A$7:$C$550,3,FALSE),"")</f>
        <v/>
      </c>
      <c r="L794" s="1041"/>
      <c r="M794" s="753"/>
      <c r="N794" s="3" t="str">
        <f>IF(M794="","",VLOOKUP(M794,'Budget-S&amp;U Codes Lookup'!$E$26:$F$45,2,FALSE))</f>
        <v/>
      </c>
      <c r="P794" s="186"/>
    </row>
    <row r="795" spans="1:16" hidden="1">
      <c r="A795" s="81"/>
      <c r="B795" s="82" t="str">
        <f>IFERROR(VLOOKUP(A795,'Budget-S&amp;U Codes Lookup'!$A$7:$B$550,2,FALSE),"")</f>
        <v/>
      </c>
      <c r="C795" s="993"/>
      <c r="D795" s="118"/>
      <c r="E795" s="131"/>
      <c r="F795" s="126"/>
      <c r="G795" s="126"/>
      <c r="H795" s="125">
        <f t="shared" si="12"/>
        <v>0</v>
      </c>
      <c r="I795" s="191"/>
      <c r="J795" s="268"/>
      <c r="K795" s="182" t="str">
        <f>IFERROR(VLOOKUP(A795,'Budget-S&amp;U Codes Lookup'!$A$7:$C$550,3,FALSE),"")</f>
        <v/>
      </c>
      <c r="L795" s="1041"/>
      <c r="M795" s="753"/>
      <c r="N795" s="3" t="str">
        <f>IF(M795="","",VLOOKUP(M795,'Budget-S&amp;U Codes Lookup'!$E$26:$F$45,2,FALSE))</f>
        <v/>
      </c>
      <c r="P795" s="186"/>
    </row>
    <row r="796" spans="1:16" hidden="1">
      <c r="A796" s="81"/>
      <c r="B796" s="82" t="str">
        <f>IFERROR(VLOOKUP(A796,'Budget-S&amp;U Codes Lookup'!$A$7:$B$550,2,FALSE),"")</f>
        <v/>
      </c>
      <c r="C796" s="993"/>
      <c r="D796" s="118"/>
      <c r="E796" s="131"/>
      <c r="F796" s="126"/>
      <c r="G796" s="126"/>
      <c r="H796" s="125">
        <f t="shared" si="12"/>
        <v>0</v>
      </c>
      <c r="I796" s="191"/>
      <c r="J796" s="268"/>
      <c r="K796" s="182" t="str">
        <f>IFERROR(VLOOKUP(A796,'Budget-S&amp;U Codes Lookup'!$A$7:$C$550,3,FALSE),"")</f>
        <v/>
      </c>
      <c r="L796" s="1041"/>
      <c r="M796" s="753"/>
      <c r="N796" s="3" t="str">
        <f>IF(M796="","",VLOOKUP(M796,'Budget-S&amp;U Codes Lookup'!$E$26:$F$45,2,FALSE))</f>
        <v/>
      </c>
      <c r="P796" s="186"/>
    </row>
    <row r="797" spans="1:16" hidden="1">
      <c r="A797" s="81"/>
      <c r="B797" s="82" t="str">
        <f>IFERROR(VLOOKUP(A797,'Budget-S&amp;U Codes Lookup'!$A$7:$B$550,2,FALSE),"")</f>
        <v/>
      </c>
      <c r="C797" s="993"/>
      <c r="D797" s="118"/>
      <c r="E797" s="131"/>
      <c r="F797" s="126"/>
      <c r="G797" s="126"/>
      <c r="H797" s="125">
        <f t="shared" si="12"/>
        <v>0</v>
      </c>
      <c r="I797" s="191"/>
      <c r="J797" s="268"/>
      <c r="K797" s="182" t="str">
        <f>IFERROR(VLOOKUP(A797,'Budget-S&amp;U Codes Lookup'!$A$7:$C$550,3,FALSE),"")</f>
        <v/>
      </c>
      <c r="L797" s="1041"/>
      <c r="M797" s="753"/>
      <c r="N797" s="3" t="str">
        <f>IF(M797="","",VLOOKUP(M797,'Budget-S&amp;U Codes Lookup'!$E$26:$F$45,2,FALSE))</f>
        <v/>
      </c>
      <c r="P797" s="186"/>
    </row>
    <row r="798" spans="1:16" hidden="1">
      <c r="A798" s="81"/>
      <c r="B798" s="82" t="str">
        <f>IFERROR(VLOOKUP(A798,'Budget-S&amp;U Codes Lookup'!$A$7:$B$550,2,FALSE),"")</f>
        <v/>
      </c>
      <c r="C798" s="993"/>
      <c r="D798" s="118"/>
      <c r="E798" s="131"/>
      <c r="F798" s="126"/>
      <c r="G798" s="126"/>
      <c r="H798" s="125">
        <f t="shared" si="12"/>
        <v>0</v>
      </c>
      <c r="I798" s="191"/>
      <c r="J798" s="268"/>
      <c r="K798" s="182" t="str">
        <f>IFERROR(VLOOKUP(A798,'Budget-S&amp;U Codes Lookup'!$A$7:$C$550,3,FALSE),"")</f>
        <v/>
      </c>
      <c r="L798" s="1041"/>
      <c r="M798" s="753"/>
      <c r="N798" s="3" t="str">
        <f>IF(M798="","",VLOOKUP(M798,'Budget-S&amp;U Codes Lookup'!$E$26:$F$45,2,FALSE))</f>
        <v/>
      </c>
      <c r="P798" s="186"/>
    </row>
    <row r="799" spans="1:16" hidden="1">
      <c r="A799" s="81"/>
      <c r="B799" s="82" t="str">
        <f>IFERROR(VLOOKUP(A799,'Budget-S&amp;U Codes Lookup'!$A$7:$B$550,2,FALSE),"")</f>
        <v/>
      </c>
      <c r="C799" s="993"/>
      <c r="D799" s="118"/>
      <c r="E799" s="131"/>
      <c r="F799" s="126"/>
      <c r="G799" s="126"/>
      <c r="H799" s="125">
        <f t="shared" si="12"/>
        <v>0</v>
      </c>
      <c r="I799" s="191"/>
      <c r="J799" s="268"/>
      <c r="K799" s="182" t="str">
        <f>IFERROR(VLOOKUP(A799,'Budget-S&amp;U Codes Lookup'!$A$7:$C$550,3,FALSE),"")</f>
        <v/>
      </c>
      <c r="L799" s="1041"/>
      <c r="M799" s="753"/>
      <c r="N799" s="3" t="str">
        <f>IF(M799="","",VLOOKUP(M799,'Budget-S&amp;U Codes Lookup'!$E$26:$F$45,2,FALSE))</f>
        <v/>
      </c>
      <c r="P799" s="186"/>
    </row>
    <row r="800" spans="1:16" hidden="1">
      <c r="A800" s="81"/>
      <c r="B800" s="82" t="str">
        <f>IFERROR(VLOOKUP(A800,'Budget-S&amp;U Codes Lookup'!$A$7:$B$550,2,FALSE),"")</f>
        <v/>
      </c>
      <c r="C800" s="993"/>
      <c r="D800" s="118"/>
      <c r="E800" s="131"/>
      <c r="F800" s="126"/>
      <c r="G800" s="126"/>
      <c r="H800" s="125">
        <f t="shared" si="12"/>
        <v>0</v>
      </c>
      <c r="I800" s="191"/>
      <c r="J800" s="268"/>
      <c r="K800" s="182" t="str">
        <f>IFERROR(VLOOKUP(A800,'Budget-S&amp;U Codes Lookup'!$A$7:$C$550,3,FALSE),"")</f>
        <v/>
      </c>
      <c r="L800" s="1041"/>
      <c r="M800" s="753"/>
      <c r="N800" s="3" t="str">
        <f>IF(M800="","",VLOOKUP(M800,'Budget-S&amp;U Codes Lookup'!$E$26:$F$45,2,FALSE))</f>
        <v/>
      </c>
      <c r="P800" s="186"/>
    </row>
    <row r="801" spans="1:16" hidden="1">
      <c r="A801" s="81"/>
      <c r="B801" s="82" t="str">
        <f>IFERROR(VLOOKUP(A801,'Budget-S&amp;U Codes Lookup'!$A$7:$B$550,2,FALSE),"")</f>
        <v/>
      </c>
      <c r="C801" s="993"/>
      <c r="D801" s="118"/>
      <c r="E801" s="131"/>
      <c r="F801" s="126"/>
      <c r="G801" s="126"/>
      <c r="H801" s="125">
        <f t="shared" si="12"/>
        <v>0</v>
      </c>
      <c r="I801" s="191"/>
      <c r="J801" s="268"/>
      <c r="K801" s="182" t="str">
        <f>IFERROR(VLOOKUP(A801,'Budget-S&amp;U Codes Lookup'!$A$7:$C$550,3,FALSE),"")</f>
        <v/>
      </c>
      <c r="L801" s="1041"/>
      <c r="M801" s="753"/>
      <c r="N801" s="3" t="str">
        <f>IF(M801="","",VLOOKUP(M801,'Budget-S&amp;U Codes Lookup'!$E$26:$F$45,2,FALSE))</f>
        <v/>
      </c>
      <c r="P801" s="186"/>
    </row>
    <row r="802" spans="1:16" hidden="1">
      <c r="A802" s="81"/>
      <c r="B802" s="82" t="str">
        <f>IFERROR(VLOOKUP(A802,'Budget-S&amp;U Codes Lookup'!$A$7:$B$550,2,FALSE),"")</f>
        <v/>
      </c>
      <c r="C802" s="993"/>
      <c r="D802" s="118"/>
      <c r="E802" s="131"/>
      <c r="F802" s="126"/>
      <c r="G802" s="126"/>
      <c r="H802" s="125">
        <f t="shared" si="12"/>
        <v>0</v>
      </c>
      <c r="I802" s="191"/>
      <c r="J802" s="268"/>
      <c r="K802" s="182" t="str">
        <f>IFERROR(VLOOKUP(A802,'Budget-S&amp;U Codes Lookup'!$A$7:$C$550,3,FALSE),"")</f>
        <v/>
      </c>
      <c r="L802" s="1041"/>
      <c r="M802" s="753"/>
      <c r="N802" s="3" t="str">
        <f>IF(M802="","",VLOOKUP(M802,'Budget-S&amp;U Codes Lookup'!$E$26:$F$45,2,FALSE))</f>
        <v/>
      </c>
      <c r="P802" s="186"/>
    </row>
    <row r="803" spans="1:16" hidden="1">
      <c r="A803" s="81"/>
      <c r="B803" s="82" t="str">
        <f>IFERROR(VLOOKUP(A803,'Budget-S&amp;U Codes Lookup'!$A$7:$B$550,2,FALSE),"")</f>
        <v/>
      </c>
      <c r="C803" s="993"/>
      <c r="D803" s="118"/>
      <c r="E803" s="131"/>
      <c r="F803" s="126"/>
      <c r="G803" s="126"/>
      <c r="H803" s="125">
        <f t="shared" si="12"/>
        <v>0</v>
      </c>
      <c r="I803" s="191"/>
      <c r="J803" s="268"/>
      <c r="K803" s="182" t="str">
        <f>IFERROR(VLOOKUP(A803,'Budget-S&amp;U Codes Lookup'!$A$7:$C$550,3,FALSE),"")</f>
        <v/>
      </c>
      <c r="L803" s="1041"/>
      <c r="M803" s="753"/>
      <c r="N803" s="3" t="str">
        <f>IF(M803="","",VLOOKUP(M803,'Budget-S&amp;U Codes Lookup'!$E$26:$F$45,2,FALSE))</f>
        <v/>
      </c>
      <c r="P803" s="186"/>
    </row>
    <row r="804" spans="1:16" hidden="1">
      <c r="A804" s="81"/>
      <c r="B804" s="82" t="str">
        <f>IFERROR(VLOOKUP(A804,'Budget-S&amp;U Codes Lookup'!$A$7:$B$550,2,FALSE),"")</f>
        <v/>
      </c>
      <c r="C804" s="993"/>
      <c r="D804" s="118"/>
      <c r="E804" s="131"/>
      <c r="F804" s="126"/>
      <c r="G804" s="126"/>
      <c r="H804" s="125">
        <f t="shared" si="12"/>
        <v>0</v>
      </c>
      <c r="I804" s="191"/>
      <c r="J804" s="268"/>
      <c r="K804" s="182" t="str">
        <f>IFERROR(VLOOKUP(A804,'Budget-S&amp;U Codes Lookup'!$A$7:$C$550,3,FALSE),"")</f>
        <v/>
      </c>
      <c r="L804" s="1041"/>
      <c r="M804" s="753"/>
      <c r="N804" s="3" t="str">
        <f>IF(M804="","",VLOOKUP(M804,'Budget-S&amp;U Codes Lookup'!$E$26:$F$45,2,FALSE))</f>
        <v/>
      </c>
      <c r="P804" s="186"/>
    </row>
    <row r="805" spans="1:16" hidden="1">
      <c r="A805" s="81"/>
      <c r="B805" s="82" t="str">
        <f>IFERROR(VLOOKUP(A805,'Budget-S&amp;U Codes Lookup'!$A$7:$B$550,2,FALSE),"")</f>
        <v/>
      </c>
      <c r="C805" s="993"/>
      <c r="D805" s="118"/>
      <c r="E805" s="131"/>
      <c r="F805" s="126"/>
      <c r="G805" s="126"/>
      <c r="H805" s="125">
        <f t="shared" si="12"/>
        <v>0</v>
      </c>
      <c r="I805" s="191"/>
      <c r="J805" s="268"/>
      <c r="K805" s="182" t="str">
        <f>IFERROR(VLOOKUP(A805,'Budget-S&amp;U Codes Lookup'!$A$7:$C$550,3,FALSE),"")</f>
        <v/>
      </c>
      <c r="L805" s="1041"/>
      <c r="M805" s="753"/>
      <c r="N805" s="3" t="str">
        <f>IF(M805="","",VLOOKUP(M805,'Budget-S&amp;U Codes Lookup'!$E$26:$F$45,2,FALSE))</f>
        <v/>
      </c>
      <c r="P805" s="186"/>
    </row>
    <row r="806" spans="1:16" hidden="1">
      <c r="A806" s="81"/>
      <c r="B806" s="82" t="str">
        <f>IFERROR(VLOOKUP(A806,'Budget-S&amp;U Codes Lookup'!$A$7:$B$550,2,FALSE),"")</f>
        <v/>
      </c>
      <c r="C806" s="993"/>
      <c r="D806" s="118"/>
      <c r="E806" s="131"/>
      <c r="F806" s="126"/>
      <c r="G806" s="126"/>
      <c r="H806" s="125">
        <f t="shared" si="12"/>
        <v>0</v>
      </c>
      <c r="I806" s="191"/>
      <c r="J806" s="268"/>
      <c r="K806" s="182" t="str">
        <f>IFERROR(VLOOKUP(A806,'Budget-S&amp;U Codes Lookup'!$A$7:$C$550,3,FALSE),"")</f>
        <v/>
      </c>
      <c r="L806" s="1041"/>
      <c r="M806" s="753"/>
      <c r="N806" s="3" t="str">
        <f>IF(M806="","",VLOOKUP(M806,'Budget-S&amp;U Codes Lookup'!$E$26:$F$45,2,FALSE))</f>
        <v/>
      </c>
      <c r="P806" s="186"/>
    </row>
    <row r="807" spans="1:16" hidden="1">
      <c r="A807" s="81"/>
      <c r="B807" s="82" t="str">
        <f>IFERROR(VLOOKUP(A807,'Budget-S&amp;U Codes Lookup'!$A$7:$B$550,2,FALSE),"")</f>
        <v/>
      </c>
      <c r="C807" s="993"/>
      <c r="D807" s="118"/>
      <c r="E807" s="131"/>
      <c r="F807" s="126"/>
      <c r="G807" s="126"/>
      <c r="H807" s="125">
        <f t="shared" si="12"/>
        <v>0</v>
      </c>
      <c r="I807" s="191"/>
      <c r="J807" s="268"/>
      <c r="K807" s="182" t="str">
        <f>IFERROR(VLOOKUP(A807,'Budget-S&amp;U Codes Lookup'!$A$7:$C$550,3,FALSE),"")</f>
        <v/>
      </c>
      <c r="L807" s="1041"/>
      <c r="M807" s="753"/>
      <c r="N807" s="3" t="str">
        <f>IF(M807="","",VLOOKUP(M807,'Budget-S&amp;U Codes Lookup'!$E$26:$F$45,2,FALSE))</f>
        <v/>
      </c>
      <c r="P807" s="186"/>
    </row>
    <row r="808" spans="1:16" hidden="1">
      <c r="A808" s="81"/>
      <c r="B808" s="82" t="str">
        <f>IFERROR(VLOOKUP(A808,'Budget-S&amp;U Codes Lookup'!$A$7:$B$550,2,FALSE),"")</f>
        <v/>
      </c>
      <c r="C808" s="993"/>
      <c r="D808" s="118"/>
      <c r="E808" s="131"/>
      <c r="F808" s="126"/>
      <c r="G808" s="126"/>
      <c r="H808" s="125">
        <f t="shared" si="12"/>
        <v>0</v>
      </c>
      <c r="I808" s="191"/>
      <c r="J808" s="268"/>
      <c r="K808" s="182" t="str">
        <f>IFERROR(VLOOKUP(A808,'Budget-S&amp;U Codes Lookup'!$A$7:$C$550,3,FALSE),"")</f>
        <v/>
      </c>
      <c r="L808" s="1041"/>
      <c r="M808" s="753"/>
      <c r="N808" s="3" t="str">
        <f>IF(M808="","",VLOOKUP(M808,'Budget-S&amp;U Codes Lookup'!$E$26:$F$45,2,FALSE))</f>
        <v/>
      </c>
      <c r="P808" s="186"/>
    </row>
    <row r="809" spans="1:16" hidden="1">
      <c r="A809" s="81"/>
      <c r="B809" s="82" t="str">
        <f>IFERROR(VLOOKUP(A809,'Budget-S&amp;U Codes Lookup'!$A$7:$B$550,2,FALSE),"")</f>
        <v/>
      </c>
      <c r="C809" s="993"/>
      <c r="D809" s="118"/>
      <c r="E809" s="131"/>
      <c r="F809" s="126"/>
      <c r="G809" s="126"/>
      <c r="H809" s="125">
        <f t="shared" si="12"/>
        <v>0</v>
      </c>
      <c r="I809" s="191"/>
      <c r="J809" s="268"/>
      <c r="K809" s="182" t="str">
        <f>IFERROR(VLOOKUP(A809,'Budget-S&amp;U Codes Lookup'!$A$7:$C$550,3,FALSE),"")</f>
        <v/>
      </c>
      <c r="L809" s="1041"/>
      <c r="M809" s="753"/>
      <c r="N809" s="3" t="str">
        <f>IF(M809="","",VLOOKUP(M809,'Budget-S&amp;U Codes Lookup'!$E$26:$F$45,2,FALSE))</f>
        <v/>
      </c>
      <c r="P809" s="186"/>
    </row>
    <row r="810" spans="1:16" hidden="1">
      <c r="A810" s="81"/>
      <c r="B810" s="82" t="str">
        <f>IFERROR(VLOOKUP(A810,'Budget-S&amp;U Codes Lookup'!$A$7:$B$550,2,FALSE),"")</f>
        <v/>
      </c>
      <c r="C810" s="993"/>
      <c r="D810" s="118"/>
      <c r="E810" s="131"/>
      <c r="F810" s="126"/>
      <c r="G810" s="126"/>
      <c r="H810" s="125">
        <f t="shared" si="12"/>
        <v>0</v>
      </c>
      <c r="I810" s="191"/>
      <c r="J810" s="268"/>
      <c r="K810" s="182" t="str">
        <f>IFERROR(VLOOKUP(A810,'Budget-S&amp;U Codes Lookup'!$A$7:$C$550,3,FALSE),"")</f>
        <v/>
      </c>
      <c r="L810" s="1041"/>
      <c r="M810" s="753"/>
      <c r="N810" s="3" t="str">
        <f>IF(M810="","",VLOOKUP(M810,'Budget-S&amp;U Codes Lookup'!$E$26:$F$45,2,FALSE))</f>
        <v/>
      </c>
      <c r="P810" s="186"/>
    </row>
    <row r="811" spans="1:16" hidden="1">
      <c r="A811" s="81"/>
      <c r="B811" s="82" t="str">
        <f>IFERROR(VLOOKUP(A811,'Budget-S&amp;U Codes Lookup'!$A$7:$B$550,2,FALSE),"")</f>
        <v/>
      </c>
      <c r="C811" s="993"/>
      <c r="D811" s="118"/>
      <c r="E811" s="131"/>
      <c r="F811" s="126"/>
      <c r="G811" s="126"/>
      <c r="H811" s="125">
        <f t="shared" si="12"/>
        <v>0</v>
      </c>
      <c r="I811" s="191"/>
      <c r="J811" s="268"/>
      <c r="K811" s="182" t="str">
        <f>IFERROR(VLOOKUP(A811,'Budget-S&amp;U Codes Lookup'!$A$7:$C$550,3,FALSE),"")</f>
        <v/>
      </c>
      <c r="L811" s="1041"/>
      <c r="M811" s="753"/>
      <c r="N811" s="3" t="str">
        <f>IF(M811="","",VLOOKUP(M811,'Budget-S&amp;U Codes Lookup'!$E$26:$F$45,2,FALSE))</f>
        <v/>
      </c>
      <c r="P811" s="186"/>
    </row>
    <row r="812" spans="1:16" hidden="1">
      <c r="A812" s="81"/>
      <c r="B812" s="82" t="str">
        <f>IFERROR(VLOOKUP(A812,'Budget-S&amp;U Codes Lookup'!$A$7:$B$550,2,FALSE),"")</f>
        <v/>
      </c>
      <c r="C812" s="993"/>
      <c r="D812" s="118"/>
      <c r="E812" s="131"/>
      <c r="F812" s="126"/>
      <c r="G812" s="126"/>
      <c r="H812" s="125">
        <f t="shared" si="12"/>
        <v>0</v>
      </c>
      <c r="I812" s="191"/>
      <c r="J812" s="268"/>
      <c r="K812" s="182" t="str">
        <f>IFERROR(VLOOKUP(A812,'Budget-S&amp;U Codes Lookup'!$A$7:$C$550,3,FALSE),"")</f>
        <v/>
      </c>
      <c r="L812" s="1041"/>
      <c r="M812" s="753"/>
      <c r="N812" s="3" t="str">
        <f>IF(M812="","",VLOOKUP(M812,'Budget-S&amp;U Codes Lookup'!$E$26:$F$45,2,FALSE))</f>
        <v/>
      </c>
      <c r="P812" s="186"/>
    </row>
    <row r="813" spans="1:16" hidden="1">
      <c r="A813" s="81"/>
      <c r="B813" s="82" t="str">
        <f>IFERROR(VLOOKUP(A813,'Budget-S&amp;U Codes Lookup'!$A$7:$B$550,2,FALSE),"")</f>
        <v/>
      </c>
      <c r="C813" s="993"/>
      <c r="D813" s="118"/>
      <c r="E813" s="131"/>
      <c r="F813" s="126"/>
      <c r="G813" s="126"/>
      <c r="H813" s="125">
        <f t="shared" si="12"/>
        <v>0</v>
      </c>
      <c r="I813" s="191"/>
      <c r="J813" s="268"/>
      <c r="K813" s="182" t="str">
        <f>IFERROR(VLOOKUP(A813,'Budget-S&amp;U Codes Lookup'!$A$7:$C$550,3,FALSE),"")</f>
        <v/>
      </c>
      <c r="L813" s="1041"/>
      <c r="M813" s="753"/>
      <c r="N813" s="3" t="str">
        <f>IF(M813="","",VLOOKUP(M813,'Budget-S&amp;U Codes Lookup'!$E$26:$F$45,2,FALSE))</f>
        <v/>
      </c>
      <c r="P813" s="186"/>
    </row>
    <row r="814" spans="1:16" hidden="1">
      <c r="A814" s="81"/>
      <c r="B814" s="82" t="str">
        <f>IFERROR(VLOOKUP(A814,'Budget-S&amp;U Codes Lookup'!$A$7:$B$550,2,FALSE),"")</f>
        <v/>
      </c>
      <c r="C814" s="993"/>
      <c r="D814" s="118"/>
      <c r="E814" s="131"/>
      <c r="F814" s="126"/>
      <c r="G814" s="126"/>
      <c r="H814" s="125">
        <f t="shared" si="12"/>
        <v>0</v>
      </c>
      <c r="I814" s="191"/>
      <c r="J814" s="268"/>
      <c r="K814" s="182" t="str">
        <f>IFERROR(VLOOKUP(A814,'Budget-S&amp;U Codes Lookup'!$A$7:$C$550,3,FALSE),"")</f>
        <v/>
      </c>
      <c r="L814" s="1041"/>
      <c r="M814" s="753"/>
      <c r="N814" s="3" t="str">
        <f>IF(M814="","",VLOOKUP(M814,'Budget-S&amp;U Codes Lookup'!$E$26:$F$45,2,FALSE))</f>
        <v/>
      </c>
      <c r="P814" s="186"/>
    </row>
    <row r="815" spans="1:16" hidden="1">
      <c r="A815" s="81"/>
      <c r="B815" s="82" t="str">
        <f>IFERROR(VLOOKUP(A815,'Budget-S&amp;U Codes Lookup'!$A$7:$B$550,2,FALSE),"")</f>
        <v/>
      </c>
      <c r="C815" s="993"/>
      <c r="D815" s="118"/>
      <c r="E815" s="131"/>
      <c r="F815" s="126"/>
      <c r="G815" s="126"/>
      <c r="H815" s="125">
        <f t="shared" si="12"/>
        <v>0</v>
      </c>
      <c r="I815" s="191"/>
      <c r="J815" s="268"/>
      <c r="K815" s="182" t="str">
        <f>IFERROR(VLOOKUP(A815,'Budget-S&amp;U Codes Lookup'!$A$7:$C$550,3,FALSE),"")</f>
        <v/>
      </c>
      <c r="L815" s="1041"/>
      <c r="M815" s="753"/>
      <c r="N815" s="3" t="str">
        <f>IF(M815="","",VLOOKUP(M815,'Budget-S&amp;U Codes Lookup'!$E$26:$F$45,2,FALSE))</f>
        <v/>
      </c>
      <c r="P815" s="186"/>
    </row>
    <row r="816" spans="1:16" hidden="1">
      <c r="A816" s="81"/>
      <c r="B816" s="82" t="str">
        <f>IFERROR(VLOOKUP(A816,'Budget-S&amp;U Codes Lookup'!$A$7:$B$550,2,FALSE),"")</f>
        <v/>
      </c>
      <c r="C816" s="993"/>
      <c r="D816" s="118"/>
      <c r="E816" s="131"/>
      <c r="F816" s="126"/>
      <c r="G816" s="126"/>
      <c r="H816" s="125">
        <f t="shared" si="12"/>
        <v>0</v>
      </c>
      <c r="I816" s="191"/>
      <c r="J816" s="268"/>
      <c r="K816" s="182" t="str">
        <f>IFERROR(VLOOKUP(A816,'Budget-S&amp;U Codes Lookup'!$A$7:$C$550,3,FALSE),"")</f>
        <v/>
      </c>
      <c r="L816" s="1041"/>
      <c r="M816" s="753"/>
      <c r="N816" s="3" t="str">
        <f>IF(M816="","",VLOOKUP(M816,'Budget-S&amp;U Codes Lookup'!$E$26:$F$45,2,FALSE))</f>
        <v/>
      </c>
      <c r="P816" s="186"/>
    </row>
    <row r="817" spans="1:16" hidden="1">
      <c r="A817" s="81"/>
      <c r="B817" s="82" t="str">
        <f>IFERROR(VLOOKUP(A817,'Budget-S&amp;U Codes Lookup'!$A$7:$B$550,2,FALSE),"")</f>
        <v/>
      </c>
      <c r="C817" s="993"/>
      <c r="D817" s="118"/>
      <c r="E817" s="131"/>
      <c r="F817" s="126"/>
      <c r="G817" s="126"/>
      <c r="H817" s="125">
        <f t="shared" si="12"/>
        <v>0</v>
      </c>
      <c r="I817" s="191"/>
      <c r="J817" s="268"/>
      <c r="K817" s="182" t="str">
        <f>IFERROR(VLOOKUP(A817,'Budget-S&amp;U Codes Lookup'!$A$7:$C$550,3,FALSE),"")</f>
        <v/>
      </c>
      <c r="L817" s="1041"/>
      <c r="M817" s="753"/>
      <c r="N817" s="3" t="str">
        <f>IF(M817="","",VLOOKUP(M817,'Budget-S&amp;U Codes Lookup'!$E$26:$F$45,2,FALSE))</f>
        <v/>
      </c>
      <c r="P817" s="186"/>
    </row>
    <row r="818" spans="1:16" hidden="1">
      <c r="A818" s="81"/>
      <c r="B818" s="82" t="str">
        <f>IFERROR(VLOOKUP(A818,'Budget-S&amp;U Codes Lookup'!$A$7:$B$550,2,FALSE),"")</f>
        <v/>
      </c>
      <c r="C818" s="993"/>
      <c r="D818" s="118"/>
      <c r="E818" s="131"/>
      <c r="F818" s="126"/>
      <c r="G818" s="126"/>
      <c r="H818" s="125">
        <f t="shared" si="12"/>
        <v>0</v>
      </c>
      <c r="I818" s="191"/>
      <c r="J818" s="268"/>
      <c r="K818" s="182" t="str">
        <f>IFERROR(VLOOKUP(A818,'Budget-S&amp;U Codes Lookup'!$A$7:$C$550,3,FALSE),"")</f>
        <v/>
      </c>
      <c r="L818" s="1041"/>
      <c r="M818" s="753"/>
      <c r="N818" s="3" t="str">
        <f>IF(M818="","",VLOOKUP(M818,'Budget-S&amp;U Codes Lookup'!$E$26:$F$45,2,FALSE))</f>
        <v/>
      </c>
      <c r="P818" s="186"/>
    </row>
    <row r="819" spans="1:16" hidden="1">
      <c r="A819" s="81"/>
      <c r="B819" s="82" t="str">
        <f>IFERROR(VLOOKUP(A819,'Budget-S&amp;U Codes Lookup'!$A$7:$B$550,2,FALSE),"")</f>
        <v/>
      </c>
      <c r="C819" s="993"/>
      <c r="D819" s="118"/>
      <c r="E819" s="131"/>
      <c r="F819" s="126"/>
      <c r="G819" s="126"/>
      <c r="H819" s="125">
        <f t="shared" si="12"/>
        <v>0</v>
      </c>
      <c r="I819" s="191"/>
      <c r="J819" s="268"/>
      <c r="K819" s="182" t="str">
        <f>IFERROR(VLOOKUP(A819,'Budget-S&amp;U Codes Lookup'!$A$7:$C$550,3,FALSE),"")</f>
        <v/>
      </c>
      <c r="L819" s="1041"/>
      <c r="M819" s="753"/>
      <c r="N819" s="3" t="str">
        <f>IF(M819="","",VLOOKUP(M819,'Budget-S&amp;U Codes Lookup'!$E$26:$F$45,2,FALSE))</f>
        <v/>
      </c>
      <c r="P819" s="186"/>
    </row>
    <row r="820" spans="1:16" hidden="1">
      <c r="A820" s="81"/>
      <c r="B820" s="82" t="str">
        <f>IFERROR(VLOOKUP(A820,'Budget-S&amp;U Codes Lookup'!$A$7:$B$550,2,FALSE),"")</f>
        <v/>
      </c>
      <c r="C820" s="993"/>
      <c r="D820" s="118"/>
      <c r="E820" s="131"/>
      <c r="F820" s="126"/>
      <c r="G820" s="126"/>
      <c r="H820" s="125">
        <f t="shared" si="12"/>
        <v>0</v>
      </c>
      <c r="I820" s="191"/>
      <c r="J820" s="268"/>
      <c r="K820" s="182" t="str">
        <f>IFERROR(VLOOKUP(A820,'Budget-S&amp;U Codes Lookup'!$A$7:$C$550,3,FALSE),"")</f>
        <v/>
      </c>
      <c r="L820" s="1041"/>
      <c r="M820" s="753"/>
      <c r="N820" s="3" t="str">
        <f>IF(M820="","",VLOOKUP(M820,'Budget-S&amp;U Codes Lookup'!$E$26:$F$45,2,FALSE))</f>
        <v/>
      </c>
      <c r="P820" s="186"/>
    </row>
    <row r="821" spans="1:16" hidden="1">
      <c r="A821" s="81"/>
      <c r="B821" s="82" t="str">
        <f>IFERROR(VLOOKUP(A821,'Budget-S&amp;U Codes Lookup'!$A$7:$B$550,2,FALSE),"")</f>
        <v/>
      </c>
      <c r="C821" s="993"/>
      <c r="D821" s="118"/>
      <c r="E821" s="131"/>
      <c r="F821" s="126"/>
      <c r="G821" s="126"/>
      <c r="H821" s="125">
        <f t="shared" si="12"/>
        <v>0</v>
      </c>
      <c r="I821" s="191"/>
      <c r="J821" s="268"/>
      <c r="K821" s="182" t="str">
        <f>IFERROR(VLOOKUP(A821,'Budget-S&amp;U Codes Lookup'!$A$7:$C$550,3,FALSE),"")</f>
        <v/>
      </c>
      <c r="L821" s="1041"/>
      <c r="M821" s="753"/>
      <c r="N821" s="3" t="str">
        <f>IF(M821="","",VLOOKUP(M821,'Budget-S&amp;U Codes Lookup'!$E$26:$F$45,2,FALSE))</f>
        <v/>
      </c>
      <c r="P821" s="186"/>
    </row>
    <row r="822" spans="1:16" hidden="1">
      <c r="A822" s="81"/>
      <c r="B822" s="82" t="str">
        <f>IFERROR(VLOOKUP(A822,'Budget-S&amp;U Codes Lookup'!$A$7:$B$550,2,FALSE),"")</f>
        <v/>
      </c>
      <c r="C822" s="993"/>
      <c r="D822" s="118"/>
      <c r="E822" s="131"/>
      <c r="F822" s="126"/>
      <c r="G822" s="126"/>
      <c r="H822" s="125">
        <f t="shared" si="12"/>
        <v>0</v>
      </c>
      <c r="I822" s="191"/>
      <c r="J822" s="268"/>
      <c r="K822" s="182" t="str">
        <f>IFERROR(VLOOKUP(A822,'Budget-S&amp;U Codes Lookup'!$A$7:$C$550,3,FALSE),"")</f>
        <v/>
      </c>
      <c r="L822" s="1041"/>
      <c r="M822" s="753"/>
      <c r="N822" s="3" t="str">
        <f>IF(M822="","",VLOOKUP(M822,'Budget-S&amp;U Codes Lookup'!$E$26:$F$45,2,FALSE))</f>
        <v/>
      </c>
      <c r="P822" s="186"/>
    </row>
    <row r="823" spans="1:16" hidden="1">
      <c r="A823" s="81"/>
      <c r="B823" s="82" t="str">
        <f>IFERROR(VLOOKUP(A823,'Budget-S&amp;U Codes Lookup'!$A$7:$B$550,2,FALSE),"")</f>
        <v/>
      </c>
      <c r="C823" s="993"/>
      <c r="D823" s="118"/>
      <c r="E823" s="131"/>
      <c r="F823" s="126"/>
      <c r="G823" s="126"/>
      <c r="H823" s="125">
        <f t="shared" si="12"/>
        <v>0</v>
      </c>
      <c r="I823" s="191"/>
      <c r="J823" s="268"/>
      <c r="K823" s="182" t="str">
        <f>IFERROR(VLOOKUP(A823,'Budget-S&amp;U Codes Lookup'!$A$7:$C$550,3,FALSE),"")</f>
        <v/>
      </c>
      <c r="L823" s="1041"/>
      <c r="M823" s="753"/>
      <c r="N823" s="3" t="str">
        <f>IF(M823="","",VLOOKUP(M823,'Budget-S&amp;U Codes Lookup'!$E$26:$F$45,2,FALSE))</f>
        <v/>
      </c>
      <c r="P823" s="186"/>
    </row>
    <row r="824" spans="1:16" hidden="1">
      <c r="A824" s="81"/>
      <c r="B824" s="82" t="str">
        <f>IFERROR(VLOOKUP(A824,'Budget-S&amp;U Codes Lookup'!$A$7:$B$550,2,FALSE),"")</f>
        <v/>
      </c>
      <c r="C824" s="993"/>
      <c r="D824" s="118"/>
      <c r="E824" s="131"/>
      <c r="F824" s="126"/>
      <c r="G824" s="126"/>
      <c r="H824" s="125">
        <f t="shared" si="12"/>
        <v>0</v>
      </c>
      <c r="I824" s="191"/>
      <c r="J824" s="268"/>
      <c r="K824" s="182" t="str">
        <f>IFERROR(VLOOKUP(A824,'Budget-S&amp;U Codes Lookup'!$A$7:$C$550,3,FALSE),"")</f>
        <v/>
      </c>
      <c r="L824" s="1041"/>
      <c r="M824" s="753"/>
      <c r="N824" s="3" t="str">
        <f>IF(M824="","",VLOOKUP(M824,'Budget-S&amp;U Codes Lookup'!$E$26:$F$45,2,FALSE))</f>
        <v/>
      </c>
      <c r="P824" s="186"/>
    </row>
    <row r="825" spans="1:16" hidden="1">
      <c r="A825" s="81"/>
      <c r="B825" s="82" t="str">
        <f>IFERROR(VLOOKUP(A825,'Budget-S&amp;U Codes Lookup'!$A$7:$B$550,2,FALSE),"")</f>
        <v/>
      </c>
      <c r="C825" s="993"/>
      <c r="D825" s="118"/>
      <c r="E825" s="131"/>
      <c r="F825" s="126"/>
      <c r="G825" s="126"/>
      <c r="H825" s="125">
        <f t="shared" si="12"/>
        <v>0</v>
      </c>
      <c r="I825" s="191"/>
      <c r="J825" s="268"/>
      <c r="K825" s="182" t="str">
        <f>IFERROR(VLOOKUP(A825,'Budget-S&amp;U Codes Lookup'!$A$7:$C$550,3,FALSE),"")</f>
        <v/>
      </c>
      <c r="L825" s="1041"/>
      <c r="M825" s="753"/>
      <c r="N825" s="3" t="str">
        <f>IF(M825="","",VLOOKUP(M825,'Budget-S&amp;U Codes Lookup'!$E$26:$F$45,2,FALSE))</f>
        <v/>
      </c>
      <c r="P825" s="186"/>
    </row>
    <row r="826" spans="1:16" hidden="1">
      <c r="A826" s="81"/>
      <c r="B826" s="82" t="str">
        <f>IFERROR(VLOOKUP(A826,'Budget-S&amp;U Codes Lookup'!$A$7:$B$550,2,FALSE),"")</f>
        <v/>
      </c>
      <c r="C826" s="993"/>
      <c r="D826" s="118"/>
      <c r="E826" s="131"/>
      <c r="F826" s="126"/>
      <c r="G826" s="126"/>
      <c r="H826" s="125">
        <f t="shared" si="12"/>
        <v>0</v>
      </c>
      <c r="I826" s="191"/>
      <c r="J826" s="268"/>
      <c r="K826" s="182" t="str">
        <f>IFERROR(VLOOKUP(A826,'Budget-S&amp;U Codes Lookup'!$A$7:$C$550,3,FALSE),"")</f>
        <v/>
      </c>
      <c r="L826" s="1041"/>
      <c r="M826" s="753"/>
      <c r="N826" s="3" t="str">
        <f>IF(M826="","",VLOOKUP(M826,'Budget-S&amp;U Codes Lookup'!$E$26:$F$45,2,FALSE))</f>
        <v/>
      </c>
      <c r="P826" s="186"/>
    </row>
    <row r="827" spans="1:16" hidden="1">
      <c r="A827" s="81"/>
      <c r="B827" s="82" t="str">
        <f>IFERROR(VLOOKUP(A827,'Budget-S&amp;U Codes Lookup'!$A$7:$B$550,2,FALSE),"")</f>
        <v/>
      </c>
      <c r="C827" s="993"/>
      <c r="D827" s="118"/>
      <c r="E827" s="131"/>
      <c r="F827" s="126"/>
      <c r="G827" s="126"/>
      <c r="H827" s="125">
        <f t="shared" si="12"/>
        <v>0</v>
      </c>
      <c r="I827" s="191"/>
      <c r="J827" s="268"/>
      <c r="K827" s="182" t="str">
        <f>IFERROR(VLOOKUP(A827,'Budget-S&amp;U Codes Lookup'!$A$7:$C$550,3,FALSE),"")</f>
        <v/>
      </c>
      <c r="L827" s="1041"/>
      <c r="M827" s="753"/>
      <c r="N827" s="3" t="str">
        <f>IF(M827="","",VLOOKUP(M827,'Budget-S&amp;U Codes Lookup'!$E$26:$F$45,2,FALSE))</f>
        <v/>
      </c>
      <c r="P827" s="186"/>
    </row>
    <row r="828" spans="1:16" hidden="1">
      <c r="A828" s="81"/>
      <c r="B828" s="82" t="str">
        <f>IFERROR(VLOOKUP(A828,'Budget-S&amp;U Codes Lookup'!$A$7:$B$550,2,FALSE),"")</f>
        <v/>
      </c>
      <c r="C828" s="993"/>
      <c r="D828" s="118"/>
      <c r="E828" s="131"/>
      <c r="F828" s="126"/>
      <c r="G828" s="126"/>
      <c r="H828" s="125">
        <f t="shared" si="12"/>
        <v>0</v>
      </c>
      <c r="I828" s="191"/>
      <c r="J828" s="268"/>
      <c r="K828" s="182" t="str">
        <f>IFERROR(VLOOKUP(A828,'Budget-S&amp;U Codes Lookup'!$A$7:$C$550,3,FALSE),"")</f>
        <v/>
      </c>
      <c r="L828" s="1041"/>
      <c r="M828" s="753"/>
      <c r="N828" s="3" t="str">
        <f>IF(M828="","",VLOOKUP(M828,'Budget-S&amp;U Codes Lookup'!$E$26:$F$45,2,FALSE))</f>
        <v/>
      </c>
      <c r="P828" s="186"/>
    </row>
    <row r="829" spans="1:16" hidden="1">
      <c r="A829" s="81"/>
      <c r="B829" s="82" t="str">
        <f>IFERROR(VLOOKUP(A829,'Budget-S&amp;U Codes Lookup'!$A$7:$B$550,2,FALSE),"")</f>
        <v/>
      </c>
      <c r="C829" s="993"/>
      <c r="D829" s="118"/>
      <c r="E829" s="131"/>
      <c r="F829" s="126"/>
      <c r="G829" s="126"/>
      <c r="H829" s="125">
        <f t="shared" si="12"/>
        <v>0</v>
      </c>
      <c r="I829" s="191"/>
      <c r="J829" s="268"/>
      <c r="K829" s="182" t="str">
        <f>IFERROR(VLOOKUP(A829,'Budget-S&amp;U Codes Lookup'!$A$7:$C$550,3,FALSE),"")</f>
        <v/>
      </c>
      <c r="L829" s="1041"/>
      <c r="M829" s="753"/>
      <c r="N829" s="3" t="str">
        <f>IF(M829="","",VLOOKUP(M829,'Budget-S&amp;U Codes Lookup'!$E$26:$F$45,2,FALSE))</f>
        <v/>
      </c>
      <c r="P829" s="186"/>
    </row>
    <row r="830" spans="1:16" hidden="1">
      <c r="A830" s="81"/>
      <c r="B830" s="82" t="str">
        <f>IFERROR(VLOOKUP(A830,'Budget-S&amp;U Codes Lookup'!$A$7:$B$550,2,FALSE),"")</f>
        <v/>
      </c>
      <c r="C830" s="993"/>
      <c r="D830" s="118"/>
      <c r="E830" s="131"/>
      <c r="F830" s="126"/>
      <c r="G830" s="126"/>
      <c r="H830" s="125">
        <f t="shared" si="12"/>
        <v>0</v>
      </c>
      <c r="I830" s="191"/>
      <c r="J830" s="268"/>
      <c r="K830" s="182" t="str">
        <f>IFERROR(VLOOKUP(A830,'Budget-S&amp;U Codes Lookup'!$A$7:$C$550,3,FALSE),"")</f>
        <v/>
      </c>
      <c r="L830" s="1041"/>
      <c r="M830" s="753"/>
      <c r="N830" s="3" t="str">
        <f>IF(M830="","",VLOOKUP(M830,'Budget-S&amp;U Codes Lookup'!$E$26:$F$45,2,FALSE))</f>
        <v/>
      </c>
      <c r="P830" s="186"/>
    </row>
    <row r="831" spans="1:16" hidden="1">
      <c r="A831" s="81"/>
      <c r="B831" s="82" t="str">
        <f>IFERROR(VLOOKUP(A831,'Budget-S&amp;U Codes Lookup'!$A$7:$B$550,2,FALSE),"")</f>
        <v/>
      </c>
      <c r="C831" s="993"/>
      <c r="D831" s="118"/>
      <c r="E831" s="131"/>
      <c r="F831" s="126"/>
      <c r="G831" s="126"/>
      <c r="H831" s="125">
        <f t="shared" si="12"/>
        <v>0</v>
      </c>
      <c r="I831" s="191"/>
      <c r="J831" s="268"/>
      <c r="K831" s="182" t="str">
        <f>IFERROR(VLOOKUP(A831,'Budget-S&amp;U Codes Lookup'!$A$7:$C$550,3,FALSE),"")</f>
        <v/>
      </c>
      <c r="L831" s="1041"/>
      <c r="M831" s="753"/>
      <c r="N831" s="3" t="str">
        <f>IF(M831="","",VLOOKUP(M831,'Budget-S&amp;U Codes Lookup'!$E$26:$F$45,2,FALSE))</f>
        <v/>
      </c>
      <c r="P831" s="186"/>
    </row>
    <row r="832" spans="1:16" hidden="1">
      <c r="A832" s="81"/>
      <c r="B832" s="82" t="str">
        <f>IFERROR(VLOOKUP(A832,'Budget-S&amp;U Codes Lookup'!$A$7:$B$550,2,FALSE),"")</f>
        <v/>
      </c>
      <c r="C832" s="993"/>
      <c r="D832" s="118"/>
      <c r="E832" s="131"/>
      <c r="F832" s="126"/>
      <c r="G832" s="126"/>
      <c r="H832" s="125">
        <f t="shared" si="12"/>
        <v>0</v>
      </c>
      <c r="I832" s="191"/>
      <c r="J832" s="268"/>
      <c r="K832" s="182" t="str">
        <f>IFERROR(VLOOKUP(A832,'Budget-S&amp;U Codes Lookup'!$A$7:$C$550,3,FALSE),"")</f>
        <v/>
      </c>
      <c r="L832" s="1041"/>
      <c r="M832" s="753"/>
      <c r="N832" s="3" t="str">
        <f>IF(M832="","",VLOOKUP(M832,'Budget-S&amp;U Codes Lookup'!$E$26:$F$45,2,FALSE))</f>
        <v/>
      </c>
      <c r="P832" s="186"/>
    </row>
    <row r="833" spans="1:16" hidden="1">
      <c r="A833" s="81"/>
      <c r="B833" s="82" t="str">
        <f>IFERROR(VLOOKUP(A833,'Budget-S&amp;U Codes Lookup'!$A$7:$B$550,2,FALSE),"")</f>
        <v/>
      </c>
      <c r="C833" s="993"/>
      <c r="D833" s="118"/>
      <c r="E833" s="131"/>
      <c r="F833" s="126"/>
      <c r="G833" s="126"/>
      <c r="H833" s="125">
        <f t="shared" si="12"/>
        <v>0</v>
      </c>
      <c r="I833" s="191"/>
      <c r="J833" s="268"/>
      <c r="K833" s="182" t="str">
        <f>IFERROR(VLOOKUP(A833,'Budget-S&amp;U Codes Lookup'!$A$7:$C$550,3,FALSE),"")</f>
        <v/>
      </c>
      <c r="L833" s="1041"/>
      <c r="M833" s="753"/>
      <c r="N833" s="3" t="str">
        <f>IF(M833="","",VLOOKUP(M833,'Budget-S&amp;U Codes Lookup'!$E$26:$F$45,2,FALSE))</f>
        <v/>
      </c>
      <c r="P833" s="186"/>
    </row>
    <row r="834" spans="1:16" hidden="1">
      <c r="A834" s="81"/>
      <c r="B834" s="82" t="str">
        <f>IFERROR(VLOOKUP(A834,'Budget-S&amp;U Codes Lookup'!$A$7:$B$550,2,FALSE),"")</f>
        <v/>
      </c>
      <c r="C834" s="993"/>
      <c r="D834" s="118"/>
      <c r="E834" s="131"/>
      <c r="F834" s="126"/>
      <c r="G834" s="126"/>
      <c r="H834" s="125">
        <f t="shared" si="12"/>
        <v>0</v>
      </c>
      <c r="I834" s="191"/>
      <c r="J834" s="268"/>
      <c r="K834" s="182" t="str">
        <f>IFERROR(VLOOKUP(A834,'Budget-S&amp;U Codes Lookup'!$A$7:$C$550,3,FALSE),"")</f>
        <v/>
      </c>
      <c r="L834" s="1041"/>
      <c r="M834" s="753"/>
      <c r="N834" s="3" t="str">
        <f>IF(M834="","",VLOOKUP(M834,'Budget-S&amp;U Codes Lookup'!$E$26:$F$45,2,FALSE))</f>
        <v/>
      </c>
      <c r="P834" s="186"/>
    </row>
    <row r="835" spans="1:16" hidden="1">
      <c r="A835" s="81"/>
      <c r="B835" s="82" t="str">
        <f>IFERROR(VLOOKUP(A835,'Budget-S&amp;U Codes Lookup'!$A$7:$B$550,2,FALSE),"")</f>
        <v/>
      </c>
      <c r="C835" s="993"/>
      <c r="D835" s="118"/>
      <c r="E835" s="131"/>
      <c r="F835" s="126"/>
      <c r="G835" s="126"/>
      <c r="H835" s="125">
        <f t="shared" si="12"/>
        <v>0</v>
      </c>
      <c r="I835" s="191"/>
      <c r="J835" s="268"/>
      <c r="K835" s="182" t="str">
        <f>IFERROR(VLOOKUP(A835,'Budget-S&amp;U Codes Lookup'!$A$7:$C$550,3,FALSE),"")</f>
        <v/>
      </c>
      <c r="L835" s="1041"/>
      <c r="M835" s="753"/>
      <c r="N835" s="3" t="str">
        <f>IF(M835="","",VLOOKUP(M835,'Budget-S&amp;U Codes Lookup'!$E$26:$F$45,2,FALSE))</f>
        <v/>
      </c>
      <c r="P835" s="186"/>
    </row>
    <row r="836" spans="1:16" hidden="1">
      <c r="A836" s="81"/>
      <c r="B836" s="82" t="str">
        <f>IFERROR(VLOOKUP(A836,'Budget-S&amp;U Codes Lookup'!$A$7:$B$550,2,FALSE),"")</f>
        <v/>
      </c>
      <c r="C836" s="993"/>
      <c r="D836" s="118"/>
      <c r="E836" s="131"/>
      <c r="F836" s="126"/>
      <c r="G836" s="126"/>
      <c r="H836" s="125">
        <f t="shared" si="12"/>
        <v>0</v>
      </c>
      <c r="I836" s="191"/>
      <c r="J836" s="268"/>
      <c r="K836" s="182" t="str">
        <f>IFERROR(VLOOKUP(A836,'Budget-S&amp;U Codes Lookup'!$A$7:$C$550,3,FALSE),"")</f>
        <v/>
      </c>
      <c r="L836" s="1041"/>
      <c r="M836" s="753"/>
      <c r="N836" s="3" t="str">
        <f>IF(M836="","",VLOOKUP(M836,'Budget-S&amp;U Codes Lookup'!$E$26:$F$45,2,FALSE))</f>
        <v/>
      </c>
      <c r="P836" s="186"/>
    </row>
    <row r="837" spans="1:16" hidden="1">
      <c r="A837" s="81"/>
      <c r="B837" s="82" t="str">
        <f>IFERROR(VLOOKUP(A837,'Budget-S&amp;U Codes Lookup'!$A$7:$B$550,2,FALSE),"")</f>
        <v/>
      </c>
      <c r="C837" s="993"/>
      <c r="D837" s="118"/>
      <c r="E837" s="131"/>
      <c r="F837" s="126"/>
      <c r="G837" s="126"/>
      <c r="H837" s="125">
        <f t="shared" si="12"/>
        <v>0</v>
      </c>
      <c r="I837" s="191"/>
      <c r="J837" s="268"/>
      <c r="K837" s="182" t="str">
        <f>IFERROR(VLOOKUP(A837,'Budget-S&amp;U Codes Lookup'!$A$7:$C$550,3,FALSE),"")</f>
        <v/>
      </c>
      <c r="L837" s="1041"/>
      <c r="M837" s="753"/>
      <c r="N837" s="3" t="str">
        <f>IF(M837="","",VLOOKUP(M837,'Budget-S&amp;U Codes Lookup'!$E$26:$F$45,2,FALSE))</f>
        <v/>
      </c>
      <c r="P837" s="186"/>
    </row>
    <row r="838" spans="1:16" hidden="1">
      <c r="A838" s="81"/>
      <c r="B838" s="82" t="str">
        <f>IFERROR(VLOOKUP(A838,'Budget-S&amp;U Codes Lookup'!$A$7:$B$550,2,FALSE),"")</f>
        <v/>
      </c>
      <c r="C838" s="993"/>
      <c r="D838" s="118"/>
      <c r="E838" s="131"/>
      <c r="F838" s="126"/>
      <c r="G838" s="126"/>
      <c r="H838" s="125">
        <f t="shared" si="12"/>
        <v>0</v>
      </c>
      <c r="I838" s="191"/>
      <c r="J838" s="268"/>
      <c r="K838" s="182" t="str">
        <f>IFERROR(VLOOKUP(A838,'Budget-S&amp;U Codes Lookup'!$A$7:$C$550,3,FALSE),"")</f>
        <v/>
      </c>
      <c r="L838" s="1041"/>
      <c r="M838" s="753"/>
      <c r="N838" s="3" t="str">
        <f>IF(M838="","",VLOOKUP(M838,'Budget-S&amp;U Codes Lookup'!$E$26:$F$45,2,FALSE))</f>
        <v/>
      </c>
      <c r="P838" s="186"/>
    </row>
    <row r="839" spans="1:16" hidden="1">
      <c r="A839" s="81"/>
      <c r="B839" s="82" t="str">
        <f>IFERROR(VLOOKUP(A839,'Budget-S&amp;U Codes Lookup'!$A$7:$B$550,2,FALSE),"")</f>
        <v/>
      </c>
      <c r="C839" s="993"/>
      <c r="D839" s="118"/>
      <c r="E839" s="131"/>
      <c r="F839" s="126"/>
      <c r="G839" s="126"/>
      <c r="H839" s="125">
        <f t="shared" si="12"/>
        <v>0</v>
      </c>
      <c r="I839" s="191"/>
      <c r="J839" s="268"/>
      <c r="K839" s="182" t="str">
        <f>IFERROR(VLOOKUP(A839,'Budget-S&amp;U Codes Lookup'!$A$7:$C$550,3,FALSE),"")</f>
        <v/>
      </c>
      <c r="L839" s="1041"/>
      <c r="M839" s="753"/>
      <c r="N839" s="3" t="str">
        <f>IF(M839="","",VLOOKUP(M839,'Budget-S&amp;U Codes Lookup'!$E$26:$F$45,2,FALSE))</f>
        <v/>
      </c>
      <c r="P839" s="186"/>
    </row>
    <row r="840" spans="1:16" hidden="1">
      <c r="A840" s="81"/>
      <c r="B840" s="82" t="str">
        <f>IFERROR(VLOOKUP(A840,'Budget-S&amp;U Codes Lookup'!$A$7:$B$550,2,FALSE),"")</f>
        <v/>
      </c>
      <c r="C840" s="993"/>
      <c r="D840" s="118"/>
      <c r="E840" s="131"/>
      <c r="F840" s="126"/>
      <c r="G840" s="126"/>
      <c r="H840" s="125">
        <f t="shared" si="12"/>
        <v>0</v>
      </c>
      <c r="I840" s="191"/>
      <c r="J840" s="268"/>
      <c r="K840" s="182" t="str">
        <f>IFERROR(VLOOKUP(A840,'Budget-S&amp;U Codes Lookup'!$A$7:$C$550,3,FALSE),"")</f>
        <v/>
      </c>
      <c r="L840" s="1041"/>
      <c r="M840" s="753"/>
      <c r="N840" s="3" t="str">
        <f>IF(M840="","",VLOOKUP(M840,'Budget-S&amp;U Codes Lookup'!$E$26:$F$45,2,FALSE))</f>
        <v/>
      </c>
      <c r="P840" s="186"/>
    </row>
    <row r="841" spans="1:16" hidden="1">
      <c r="A841" s="81"/>
      <c r="B841" s="82" t="str">
        <f>IFERROR(VLOOKUP(A841,'Budget-S&amp;U Codes Lookup'!$A$7:$B$550,2,FALSE),"")</f>
        <v/>
      </c>
      <c r="C841" s="993"/>
      <c r="D841" s="118"/>
      <c r="E841" s="131"/>
      <c r="F841" s="126"/>
      <c r="G841" s="126"/>
      <c r="H841" s="125">
        <f t="shared" si="12"/>
        <v>0</v>
      </c>
      <c r="I841" s="191"/>
      <c r="J841" s="268"/>
      <c r="K841" s="182" t="str">
        <f>IFERROR(VLOOKUP(A841,'Budget-S&amp;U Codes Lookup'!$A$7:$C$550,3,FALSE),"")</f>
        <v/>
      </c>
      <c r="L841" s="1041"/>
      <c r="M841" s="753"/>
      <c r="N841" s="3" t="str">
        <f>IF(M841="","",VLOOKUP(M841,'Budget-S&amp;U Codes Lookup'!$E$26:$F$45,2,FALSE))</f>
        <v/>
      </c>
      <c r="P841" s="186"/>
    </row>
    <row r="842" spans="1:16" hidden="1">
      <c r="A842" s="81"/>
      <c r="B842" s="82" t="str">
        <f>IFERROR(VLOOKUP(A842,'Budget-S&amp;U Codes Lookup'!$A$7:$B$550,2,FALSE),"")</f>
        <v/>
      </c>
      <c r="C842" s="993"/>
      <c r="D842" s="118"/>
      <c r="E842" s="131"/>
      <c r="F842" s="126"/>
      <c r="G842" s="126"/>
      <c r="H842" s="125">
        <f t="shared" ref="H842:H905" si="13">F842-G842</f>
        <v>0</v>
      </c>
      <c r="I842" s="191"/>
      <c r="J842" s="268"/>
      <c r="K842" s="182" t="str">
        <f>IFERROR(VLOOKUP(A842,'Budget-S&amp;U Codes Lookup'!$A$7:$C$550,3,FALSE),"")</f>
        <v/>
      </c>
      <c r="L842" s="1041"/>
      <c r="M842" s="753"/>
      <c r="N842" s="3" t="str">
        <f>IF(M842="","",VLOOKUP(M842,'Budget-S&amp;U Codes Lookup'!$E$26:$F$45,2,FALSE))</f>
        <v/>
      </c>
      <c r="P842" s="186"/>
    </row>
    <row r="843" spans="1:16" hidden="1">
      <c r="A843" s="81"/>
      <c r="B843" s="82" t="str">
        <f>IFERROR(VLOOKUP(A843,'Budget-S&amp;U Codes Lookup'!$A$7:$B$550,2,FALSE),"")</f>
        <v/>
      </c>
      <c r="C843" s="993"/>
      <c r="D843" s="118"/>
      <c r="E843" s="131"/>
      <c r="F843" s="126"/>
      <c r="G843" s="126"/>
      <c r="H843" s="125">
        <f t="shared" si="13"/>
        <v>0</v>
      </c>
      <c r="I843" s="191"/>
      <c r="J843" s="268"/>
      <c r="K843" s="182" t="str">
        <f>IFERROR(VLOOKUP(A843,'Budget-S&amp;U Codes Lookup'!$A$7:$C$550,3,FALSE),"")</f>
        <v/>
      </c>
      <c r="L843" s="1041"/>
      <c r="M843" s="753"/>
      <c r="N843" s="3" t="str">
        <f>IF(M843="","",VLOOKUP(M843,'Budget-S&amp;U Codes Lookup'!$E$26:$F$45,2,FALSE))</f>
        <v/>
      </c>
      <c r="P843" s="186"/>
    </row>
    <row r="844" spans="1:16" hidden="1">
      <c r="A844" s="81"/>
      <c r="B844" s="82" t="str">
        <f>IFERROR(VLOOKUP(A844,'Budget-S&amp;U Codes Lookup'!$A$7:$B$550,2,FALSE),"")</f>
        <v/>
      </c>
      <c r="C844" s="993"/>
      <c r="D844" s="118"/>
      <c r="E844" s="131"/>
      <c r="F844" s="126"/>
      <c r="G844" s="126"/>
      <c r="H844" s="125">
        <f t="shared" si="13"/>
        <v>0</v>
      </c>
      <c r="I844" s="191"/>
      <c r="J844" s="268"/>
      <c r="K844" s="182" t="str">
        <f>IFERROR(VLOOKUP(A844,'Budget-S&amp;U Codes Lookup'!$A$7:$C$550,3,FALSE),"")</f>
        <v/>
      </c>
      <c r="L844" s="1041"/>
      <c r="M844" s="753"/>
      <c r="N844" s="3" t="str">
        <f>IF(M844="","",VLOOKUP(M844,'Budget-S&amp;U Codes Lookup'!$E$26:$F$45,2,FALSE))</f>
        <v/>
      </c>
      <c r="P844" s="186"/>
    </row>
    <row r="845" spans="1:16" hidden="1">
      <c r="A845" s="81"/>
      <c r="B845" s="82" t="str">
        <f>IFERROR(VLOOKUP(A845,'Budget-S&amp;U Codes Lookup'!$A$7:$B$550,2,FALSE),"")</f>
        <v/>
      </c>
      <c r="C845" s="993"/>
      <c r="D845" s="118"/>
      <c r="E845" s="131"/>
      <c r="F845" s="126"/>
      <c r="G845" s="126"/>
      <c r="H845" s="125">
        <f t="shared" si="13"/>
        <v>0</v>
      </c>
      <c r="I845" s="191"/>
      <c r="J845" s="268"/>
      <c r="K845" s="182" t="str">
        <f>IFERROR(VLOOKUP(A845,'Budget-S&amp;U Codes Lookup'!$A$7:$C$550,3,FALSE),"")</f>
        <v/>
      </c>
      <c r="L845" s="1041"/>
      <c r="M845" s="753"/>
      <c r="N845" s="3" t="str">
        <f>IF(M845="","",VLOOKUP(M845,'Budget-S&amp;U Codes Lookup'!$E$26:$F$45,2,FALSE))</f>
        <v/>
      </c>
      <c r="P845" s="186"/>
    </row>
    <row r="846" spans="1:16" hidden="1">
      <c r="A846" s="81"/>
      <c r="B846" s="82" t="str">
        <f>IFERROR(VLOOKUP(A846,'Budget-S&amp;U Codes Lookup'!$A$7:$B$550,2,FALSE),"")</f>
        <v/>
      </c>
      <c r="C846" s="993"/>
      <c r="D846" s="118"/>
      <c r="E846" s="131"/>
      <c r="F846" s="126"/>
      <c r="G846" s="126"/>
      <c r="H846" s="125">
        <f t="shared" si="13"/>
        <v>0</v>
      </c>
      <c r="I846" s="191"/>
      <c r="J846" s="268"/>
      <c r="K846" s="182" t="str">
        <f>IFERROR(VLOOKUP(A846,'Budget-S&amp;U Codes Lookup'!$A$7:$C$550,3,FALSE),"")</f>
        <v/>
      </c>
      <c r="L846" s="1041"/>
      <c r="M846" s="753"/>
      <c r="N846" s="3" t="str">
        <f>IF(M846="","",VLOOKUP(M846,'Budget-S&amp;U Codes Lookup'!$E$26:$F$45,2,FALSE))</f>
        <v/>
      </c>
      <c r="P846" s="186"/>
    </row>
    <row r="847" spans="1:16" hidden="1">
      <c r="A847" s="81"/>
      <c r="B847" s="82" t="str">
        <f>IFERROR(VLOOKUP(A847,'Budget-S&amp;U Codes Lookup'!$A$7:$B$550,2,FALSE),"")</f>
        <v/>
      </c>
      <c r="C847" s="993"/>
      <c r="D847" s="118"/>
      <c r="E847" s="131"/>
      <c r="F847" s="126"/>
      <c r="G847" s="126"/>
      <c r="H847" s="125">
        <f t="shared" si="13"/>
        <v>0</v>
      </c>
      <c r="I847" s="191"/>
      <c r="J847" s="268"/>
      <c r="K847" s="182" t="str">
        <f>IFERROR(VLOOKUP(A847,'Budget-S&amp;U Codes Lookup'!$A$7:$C$550,3,FALSE),"")</f>
        <v/>
      </c>
      <c r="L847" s="1041"/>
      <c r="M847" s="753"/>
      <c r="N847" s="3" t="str">
        <f>IF(M847="","",VLOOKUP(M847,'Budget-S&amp;U Codes Lookup'!$E$26:$F$45,2,FALSE))</f>
        <v/>
      </c>
      <c r="P847" s="186"/>
    </row>
    <row r="848" spans="1:16" hidden="1">
      <c r="A848" s="81"/>
      <c r="B848" s="82" t="str">
        <f>IFERROR(VLOOKUP(A848,'Budget-S&amp;U Codes Lookup'!$A$7:$B$550,2,FALSE),"")</f>
        <v/>
      </c>
      <c r="C848" s="993"/>
      <c r="D848" s="118"/>
      <c r="E848" s="131"/>
      <c r="F848" s="126"/>
      <c r="G848" s="126"/>
      <c r="H848" s="125">
        <f t="shared" si="13"/>
        <v>0</v>
      </c>
      <c r="I848" s="191"/>
      <c r="J848" s="268"/>
      <c r="K848" s="182" t="str">
        <f>IFERROR(VLOOKUP(A848,'Budget-S&amp;U Codes Lookup'!$A$7:$C$550,3,FALSE),"")</f>
        <v/>
      </c>
      <c r="L848" s="1041"/>
      <c r="M848" s="753"/>
      <c r="N848" s="3" t="str">
        <f>IF(M848="","",VLOOKUP(M848,'Budget-S&amp;U Codes Lookup'!$E$26:$F$45,2,FALSE))</f>
        <v/>
      </c>
      <c r="P848" s="186"/>
    </row>
    <row r="849" spans="1:16" hidden="1">
      <c r="A849" s="81"/>
      <c r="B849" s="82" t="str">
        <f>IFERROR(VLOOKUP(A849,'Budget-S&amp;U Codes Lookup'!$A$7:$B$550,2,FALSE),"")</f>
        <v/>
      </c>
      <c r="C849" s="993"/>
      <c r="D849" s="118"/>
      <c r="E849" s="131"/>
      <c r="F849" s="126"/>
      <c r="G849" s="126"/>
      <c r="H849" s="125">
        <f t="shared" si="13"/>
        <v>0</v>
      </c>
      <c r="I849" s="191"/>
      <c r="J849" s="268"/>
      <c r="K849" s="182" t="str">
        <f>IFERROR(VLOOKUP(A849,'Budget-S&amp;U Codes Lookup'!$A$7:$C$550,3,FALSE),"")</f>
        <v/>
      </c>
      <c r="L849" s="1041"/>
      <c r="M849" s="753"/>
      <c r="N849" s="3" t="str">
        <f>IF(M849="","",VLOOKUP(M849,'Budget-S&amp;U Codes Lookup'!$E$26:$F$45,2,FALSE))</f>
        <v/>
      </c>
      <c r="P849" s="186"/>
    </row>
    <row r="850" spans="1:16" hidden="1">
      <c r="A850" s="81"/>
      <c r="B850" s="82" t="str">
        <f>IFERROR(VLOOKUP(A850,'Budget-S&amp;U Codes Lookup'!$A$7:$B$550,2,FALSE),"")</f>
        <v/>
      </c>
      <c r="C850" s="993"/>
      <c r="D850" s="118"/>
      <c r="E850" s="131"/>
      <c r="F850" s="126"/>
      <c r="G850" s="126"/>
      <c r="H850" s="125">
        <f t="shared" si="13"/>
        <v>0</v>
      </c>
      <c r="I850" s="191"/>
      <c r="J850" s="268"/>
      <c r="K850" s="182" t="str">
        <f>IFERROR(VLOOKUP(A850,'Budget-S&amp;U Codes Lookup'!$A$7:$C$550,3,FALSE),"")</f>
        <v/>
      </c>
      <c r="L850" s="1041"/>
      <c r="M850" s="753"/>
      <c r="N850" s="3" t="str">
        <f>IF(M850="","",VLOOKUP(M850,'Budget-S&amp;U Codes Lookup'!$E$26:$F$45,2,FALSE))</f>
        <v/>
      </c>
      <c r="P850" s="186"/>
    </row>
    <row r="851" spans="1:16" hidden="1">
      <c r="A851" s="81"/>
      <c r="B851" s="82" t="str">
        <f>IFERROR(VLOOKUP(A851,'Budget-S&amp;U Codes Lookup'!$A$7:$B$550,2,FALSE),"")</f>
        <v/>
      </c>
      <c r="C851" s="993"/>
      <c r="D851" s="118"/>
      <c r="E851" s="131"/>
      <c r="F851" s="126"/>
      <c r="G851" s="126"/>
      <c r="H851" s="125">
        <f t="shared" si="13"/>
        <v>0</v>
      </c>
      <c r="I851" s="191"/>
      <c r="J851" s="268"/>
      <c r="K851" s="182" t="str">
        <f>IFERROR(VLOOKUP(A851,'Budget-S&amp;U Codes Lookup'!$A$7:$C$550,3,FALSE),"")</f>
        <v/>
      </c>
      <c r="L851" s="1041"/>
      <c r="M851" s="753"/>
      <c r="N851" s="3" t="str">
        <f>IF(M851="","",VLOOKUP(M851,'Budget-S&amp;U Codes Lookup'!$E$26:$F$45,2,FALSE))</f>
        <v/>
      </c>
      <c r="P851" s="186"/>
    </row>
    <row r="852" spans="1:16" hidden="1">
      <c r="A852" s="81"/>
      <c r="B852" s="82" t="str">
        <f>IFERROR(VLOOKUP(A852,'Budget-S&amp;U Codes Lookup'!$A$7:$B$550,2,FALSE),"")</f>
        <v/>
      </c>
      <c r="C852" s="993"/>
      <c r="D852" s="118"/>
      <c r="E852" s="131"/>
      <c r="F852" s="126"/>
      <c r="G852" s="126"/>
      <c r="H852" s="125">
        <f t="shared" si="13"/>
        <v>0</v>
      </c>
      <c r="I852" s="191"/>
      <c r="J852" s="268"/>
      <c r="K852" s="182" t="str">
        <f>IFERROR(VLOOKUP(A852,'Budget-S&amp;U Codes Lookup'!$A$7:$C$550,3,FALSE),"")</f>
        <v/>
      </c>
      <c r="L852" s="1041"/>
      <c r="M852" s="753"/>
      <c r="N852" s="3" t="str">
        <f>IF(M852="","",VLOOKUP(M852,'Budget-S&amp;U Codes Lookup'!$E$26:$F$45,2,FALSE))</f>
        <v/>
      </c>
      <c r="P852" s="186"/>
    </row>
    <row r="853" spans="1:16" hidden="1">
      <c r="A853" s="81"/>
      <c r="B853" s="82" t="str">
        <f>IFERROR(VLOOKUP(A853,'Budget-S&amp;U Codes Lookup'!$A$7:$B$550,2,FALSE),"")</f>
        <v/>
      </c>
      <c r="C853" s="993"/>
      <c r="D853" s="118"/>
      <c r="E853" s="131"/>
      <c r="F853" s="126"/>
      <c r="G853" s="126"/>
      <c r="H853" s="125">
        <f t="shared" si="13"/>
        <v>0</v>
      </c>
      <c r="I853" s="191"/>
      <c r="J853" s="268"/>
      <c r="K853" s="182" t="str">
        <f>IFERROR(VLOOKUP(A853,'Budget-S&amp;U Codes Lookup'!$A$7:$C$550,3,FALSE),"")</f>
        <v/>
      </c>
      <c r="L853" s="1041"/>
      <c r="M853" s="753"/>
      <c r="N853" s="3" t="str">
        <f>IF(M853="","",VLOOKUP(M853,'Budget-S&amp;U Codes Lookup'!$E$26:$F$45,2,FALSE))</f>
        <v/>
      </c>
      <c r="P853" s="186"/>
    </row>
    <row r="854" spans="1:16" hidden="1">
      <c r="A854" s="81"/>
      <c r="B854" s="82" t="str">
        <f>IFERROR(VLOOKUP(A854,'Budget-S&amp;U Codes Lookup'!$A$7:$B$550,2,FALSE),"")</f>
        <v/>
      </c>
      <c r="C854" s="993"/>
      <c r="D854" s="118"/>
      <c r="E854" s="131"/>
      <c r="F854" s="126"/>
      <c r="G854" s="126"/>
      <c r="H854" s="125">
        <f t="shared" si="13"/>
        <v>0</v>
      </c>
      <c r="I854" s="191"/>
      <c r="J854" s="268"/>
      <c r="K854" s="182" t="str">
        <f>IFERROR(VLOOKUP(A854,'Budget-S&amp;U Codes Lookup'!$A$7:$C$550,3,FALSE),"")</f>
        <v/>
      </c>
      <c r="L854" s="1041"/>
      <c r="M854" s="753"/>
      <c r="N854" s="3" t="str">
        <f>IF(M854="","",VLOOKUP(M854,'Budget-S&amp;U Codes Lookup'!$E$26:$F$45,2,FALSE))</f>
        <v/>
      </c>
      <c r="P854" s="186"/>
    </row>
    <row r="855" spans="1:16" hidden="1">
      <c r="A855" s="81"/>
      <c r="B855" s="82" t="str">
        <f>IFERROR(VLOOKUP(A855,'Budget-S&amp;U Codes Lookup'!$A$7:$B$550,2,FALSE),"")</f>
        <v/>
      </c>
      <c r="C855" s="993"/>
      <c r="D855" s="118"/>
      <c r="E855" s="131"/>
      <c r="F855" s="126"/>
      <c r="G855" s="126"/>
      <c r="H855" s="125">
        <f t="shared" si="13"/>
        <v>0</v>
      </c>
      <c r="I855" s="191"/>
      <c r="J855" s="268"/>
      <c r="K855" s="182" t="str">
        <f>IFERROR(VLOOKUP(A855,'Budget-S&amp;U Codes Lookup'!$A$7:$C$550,3,FALSE),"")</f>
        <v/>
      </c>
      <c r="L855" s="1041"/>
      <c r="M855" s="753"/>
      <c r="N855" s="3" t="str">
        <f>IF(M855="","",VLOOKUP(M855,'Budget-S&amp;U Codes Lookup'!$E$26:$F$45,2,FALSE))</f>
        <v/>
      </c>
      <c r="P855" s="186"/>
    </row>
    <row r="856" spans="1:16" hidden="1">
      <c r="A856" s="81"/>
      <c r="B856" s="82" t="str">
        <f>IFERROR(VLOOKUP(A856,'Budget-S&amp;U Codes Lookup'!$A$7:$B$550,2,FALSE),"")</f>
        <v/>
      </c>
      <c r="C856" s="993"/>
      <c r="D856" s="118"/>
      <c r="E856" s="131"/>
      <c r="F856" s="126"/>
      <c r="G856" s="126"/>
      <c r="H856" s="125">
        <f t="shared" si="13"/>
        <v>0</v>
      </c>
      <c r="I856" s="191"/>
      <c r="J856" s="268"/>
      <c r="K856" s="182" t="str">
        <f>IFERROR(VLOOKUP(A856,'Budget-S&amp;U Codes Lookup'!$A$7:$C$550,3,FALSE),"")</f>
        <v/>
      </c>
      <c r="L856" s="1041"/>
      <c r="M856" s="753"/>
      <c r="N856" s="3" t="str">
        <f>IF(M856="","",VLOOKUP(M856,'Budget-S&amp;U Codes Lookup'!$E$26:$F$45,2,FALSE))</f>
        <v/>
      </c>
      <c r="P856" s="186"/>
    </row>
    <row r="857" spans="1:16" hidden="1">
      <c r="A857" s="81"/>
      <c r="B857" s="82" t="str">
        <f>IFERROR(VLOOKUP(A857,'Budget-S&amp;U Codes Lookup'!$A$7:$B$550,2,FALSE),"")</f>
        <v/>
      </c>
      <c r="C857" s="993"/>
      <c r="D857" s="118"/>
      <c r="E857" s="131"/>
      <c r="F857" s="126"/>
      <c r="G857" s="126"/>
      <c r="H857" s="125">
        <f t="shared" si="13"/>
        <v>0</v>
      </c>
      <c r="I857" s="191"/>
      <c r="J857" s="268"/>
      <c r="K857" s="182" t="str">
        <f>IFERROR(VLOOKUP(A857,'Budget-S&amp;U Codes Lookup'!$A$7:$C$550,3,FALSE),"")</f>
        <v/>
      </c>
      <c r="L857" s="1041"/>
      <c r="M857" s="753"/>
      <c r="N857" s="3" t="str">
        <f>IF(M857="","",VLOOKUP(M857,'Budget-S&amp;U Codes Lookup'!$E$26:$F$45,2,FALSE))</f>
        <v/>
      </c>
      <c r="P857" s="186"/>
    </row>
    <row r="858" spans="1:16" hidden="1">
      <c r="A858" s="81"/>
      <c r="B858" s="82" t="str">
        <f>IFERROR(VLOOKUP(A858,'Budget-S&amp;U Codes Lookup'!$A$7:$B$550,2,FALSE),"")</f>
        <v/>
      </c>
      <c r="C858" s="993"/>
      <c r="D858" s="118"/>
      <c r="E858" s="131"/>
      <c r="F858" s="126"/>
      <c r="G858" s="126"/>
      <c r="H858" s="125">
        <f t="shared" si="13"/>
        <v>0</v>
      </c>
      <c r="I858" s="191"/>
      <c r="J858" s="268"/>
      <c r="K858" s="182" t="str">
        <f>IFERROR(VLOOKUP(A858,'Budget-S&amp;U Codes Lookup'!$A$7:$C$550,3,FALSE),"")</f>
        <v/>
      </c>
      <c r="L858" s="1041"/>
      <c r="M858" s="753"/>
      <c r="N858" s="3" t="str">
        <f>IF(M858="","",VLOOKUP(M858,'Budget-S&amp;U Codes Lookup'!$E$26:$F$45,2,FALSE))</f>
        <v/>
      </c>
      <c r="P858" s="186"/>
    </row>
    <row r="859" spans="1:16" hidden="1">
      <c r="A859" s="81"/>
      <c r="B859" s="82" t="str">
        <f>IFERROR(VLOOKUP(A859,'Budget-S&amp;U Codes Lookup'!$A$7:$B$550,2,FALSE),"")</f>
        <v/>
      </c>
      <c r="C859" s="993"/>
      <c r="D859" s="118"/>
      <c r="E859" s="131"/>
      <c r="F859" s="126"/>
      <c r="G859" s="126"/>
      <c r="H859" s="125">
        <f t="shared" si="13"/>
        <v>0</v>
      </c>
      <c r="I859" s="191"/>
      <c r="J859" s="268"/>
      <c r="K859" s="182" t="str">
        <f>IFERROR(VLOOKUP(A859,'Budget-S&amp;U Codes Lookup'!$A$7:$C$550,3,FALSE),"")</f>
        <v/>
      </c>
      <c r="L859" s="1041"/>
      <c r="M859" s="753"/>
      <c r="N859" s="3" t="str">
        <f>IF(M859="","",VLOOKUP(M859,'Budget-S&amp;U Codes Lookup'!$E$26:$F$45,2,FALSE))</f>
        <v/>
      </c>
      <c r="P859" s="186"/>
    </row>
    <row r="860" spans="1:16" hidden="1">
      <c r="A860" s="81"/>
      <c r="B860" s="82" t="str">
        <f>IFERROR(VLOOKUP(A860,'Budget-S&amp;U Codes Lookup'!$A$7:$B$550,2,FALSE),"")</f>
        <v/>
      </c>
      <c r="C860" s="993"/>
      <c r="D860" s="118"/>
      <c r="E860" s="131"/>
      <c r="F860" s="126"/>
      <c r="G860" s="126"/>
      <c r="H860" s="125">
        <f t="shared" si="13"/>
        <v>0</v>
      </c>
      <c r="I860" s="191"/>
      <c r="J860" s="268"/>
      <c r="K860" s="182" t="str">
        <f>IFERROR(VLOOKUP(A860,'Budget-S&amp;U Codes Lookup'!$A$7:$C$550,3,FALSE),"")</f>
        <v/>
      </c>
      <c r="L860" s="1041"/>
      <c r="M860" s="753"/>
      <c r="N860" s="3" t="str">
        <f>IF(M860="","",VLOOKUP(M860,'Budget-S&amp;U Codes Lookup'!$E$26:$F$45,2,FALSE))</f>
        <v/>
      </c>
      <c r="P860" s="186"/>
    </row>
    <row r="861" spans="1:16" hidden="1">
      <c r="A861" s="81"/>
      <c r="B861" s="82" t="str">
        <f>IFERROR(VLOOKUP(A861,'Budget-S&amp;U Codes Lookup'!$A$7:$B$550,2,FALSE),"")</f>
        <v/>
      </c>
      <c r="C861" s="993"/>
      <c r="D861" s="118"/>
      <c r="E861" s="131"/>
      <c r="F861" s="126"/>
      <c r="G861" s="126"/>
      <c r="H861" s="125">
        <f t="shared" si="13"/>
        <v>0</v>
      </c>
      <c r="I861" s="191"/>
      <c r="J861" s="268"/>
      <c r="K861" s="182" t="str">
        <f>IFERROR(VLOOKUP(A861,'Budget-S&amp;U Codes Lookup'!$A$7:$C$550,3,FALSE),"")</f>
        <v/>
      </c>
      <c r="L861" s="1041"/>
      <c r="M861" s="753"/>
      <c r="N861" s="3" t="str">
        <f>IF(M861="","",VLOOKUP(M861,'Budget-S&amp;U Codes Lookup'!$E$26:$F$45,2,FALSE))</f>
        <v/>
      </c>
      <c r="P861" s="186"/>
    </row>
    <row r="862" spans="1:16" hidden="1">
      <c r="A862" s="81"/>
      <c r="B862" s="82" t="str">
        <f>IFERROR(VLOOKUP(A862,'Budget-S&amp;U Codes Lookup'!$A$7:$B$550,2,FALSE),"")</f>
        <v/>
      </c>
      <c r="C862" s="993"/>
      <c r="D862" s="118"/>
      <c r="E862" s="131"/>
      <c r="F862" s="126"/>
      <c r="G862" s="126"/>
      <c r="H862" s="125">
        <f t="shared" si="13"/>
        <v>0</v>
      </c>
      <c r="I862" s="191"/>
      <c r="J862" s="268"/>
      <c r="K862" s="182" t="str">
        <f>IFERROR(VLOOKUP(A862,'Budget-S&amp;U Codes Lookup'!$A$7:$C$550,3,FALSE),"")</f>
        <v/>
      </c>
      <c r="L862" s="1041"/>
      <c r="M862" s="753"/>
      <c r="N862" s="3" t="str">
        <f>IF(M862="","",VLOOKUP(M862,'Budget-S&amp;U Codes Lookup'!$E$26:$F$45,2,FALSE))</f>
        <v/>
      </c>
      <c r="P862" s="186"/>
    </row>
    <row r="863" spans="1:16" hidden="1">
      <c r="A863" s="81"/>
      <c r="B863" s="82" t="str">
        <f>IFERROR(VLOOKUP(A863,'Budget-S&amp;U Codes Lookup'!$A$7:$B$550,2,FALSE),"")</f>
        <v/>
      </c>
      <c r="C863" s="993"/>
      <c r="D863" s="118"/>
      <c r="E863" s="131"/>
      <c r="F863" s="126"/>
      <c r="G863" s="126"/>
      <c r="H863" s="125">
        <f t="shared" si="13"/>
        <v>0</v>
      </c>
      <c r="I863" s="191"/>
      <c r="J863" s="268"/>
      <c r="K863" s="182" t="str">
        <f>IFERROR(VLOOKUP(A863,'Budget-S&amp;U Codes Lookup'!$A$7:$C$550,3,FALSE),"")</f>
        <v/>
      </c>
      <c r="L863" s="1041"/>
      <c r="M863" s="753"/>
      <c r="N863" s="3" t="str">
        <f>IF(M863="","",VLOOKUP(M863,'Budget-S&amp;U Codes Lookup'!$E$26:$F$45,2,FALSE))</f>
        <v/>
      </c>
      <c r="P863" s="186"/>
    </row>
    <row r="864" spans="1:16" hidden="1">
      <c r="A864" s="81"/>
      <c r="B864" s="82" t="str">
        <f>IFERROR(VLOOKUP(A864,'Budget-S&amp;U Codes Lookup'!$A$7:$B$550,2,FALSE),"")</f>
        <v/>
      </c>
      <c r="C864" s="993"/>
      <c r="D864" s="118"/>
      <c r="E864" s="131"/>
      <c r="F864" s="126"/>
      <c r="G864" s="126"/>
      <c r="H864" s="125">
        <f t="shared" si="13"/>
        <v>0</v>
      </c>
      <c r="I864" s="191"/>
      <c r="J864" s="268"/>
      <c r="K864" s="182" t="str">
        <f>IFERROR(VLOOKUP(A864,'Budget-S&amp;U Codes Lookup'!$A$7:$C$550,3,FALSE),"")</f>
        <v/>
      </c>
      <c r="L864" s="1041"/>
      <c r="M864" s="753"/>
      <c r="N864" s="3" t="str">
        <f>IF(M864="","",VLOOKUP(M864,'Budget-S&amp;U Codes Lookup'!$E$26:$F$45,2,FALSE))</f>
        <v/>
      </c>
      <c r="P864" s="186"/>
    </row>
    <row r="865" spans="1:16" hidden="1">
      <c r="A865" s="81"/>
      <c r="B865" s="82" t="str">
        <f>IFERROR(VLOOKUP(A865,'Budget-S&amp;U Codes Lookup'!$A$7:$B$550,2,FALSE),"")</f>
        <v/>
      </c>
      <c r="C865" s="993"/>
      <c r="D865" s="118"/>
      <c r="E865" s="131"/>
      <c r="F865" s="126"/>
      <c r="G865" s="126"/>
      <c r="H865" s="125">
        <f t="shared" si="13"/>
        <v>0</v>
      </c>
      <c r="I865" s="191"/>
      <c r="J865" s="268"/>
      <c r="K865" s="182" t="str">
        <f>IFERROR(VLOOKUP(A865,'Budget-S&amp;U Codes Lookup'!$A$7:$C$550,3,FALSE),"")</f>
        <v/>
      </c>
      <c r="L865" s="1041"/>
      <c r="M865" s="753"/>
      <c r="N865" s="3" t="str">
        <f>IF(M865="","",VLOOKUP(M865,'Budget-S&amp;U Codes Lookup'!$E$26:$F$45,2,FALSE))</f>
        <v/>
      </c>
      <c r="P865" s="186"/>
    </row>
    <row r="866" spans="1:16" hidden="1">
      <c r="A866" s="81"/>
      <c r="B866" s="82" t="str">
        <f>IFERROR(VLOOKUP(A866,'Budget-S&amp;U Codes Lookup'!$A$7:$B$550,2,FALSE),"")</f>
        <v/>
      </c>
      <c r="C866" s="993"/>
      <c r="D866" s="118"/>
      <c r="E866" s="131"/>
      <c r="F866" s="126"/>
      <c r="G866" s="126"/>
      <c r="H866" s="125">
        <f t="shared" si="13"/>
        <v>0</v>
      </c>
      <c r="I866" s="191"/>
      <c r="J866" s="268"/>
      <c r="K866" s="182" t="str">
        <f>IFERROR(VLOOKUP(A866,'Budget-S&amp;U Codes Lookup'!$A$7:$C$550,3,FALSE),"")</f>
        <v/>
      </c>
      <c r="L866" s="1041"/>
      <c r="M866" s="753"/>
      <c r="N866" s="3" t="str">
        <f>IF(M866="","",VLOOKUP(M866,'Budget-S&amp;U Codes Lookup'!$E$26:$F$45,2,FALSE))</f>
        <v/>
      </c>
      <c r="P866" s="186"/>
    </row>
    <row r="867" spans="1:16" hidden="1">
      <c r="A867" s="81"/>
      <c r="B867" s="82" t="str">
        <f>IFERROR(VLOOKUP(A867,'Budget-S&amp;U Codes Lookup'!$A$7:$B$550,2,FALSE),"")</f>
        <v/>
      </c>
      <c r="C867" s="993"/>
      <c r="D867" s="118"/>
      <c r="E867" s="131"/>
      <c r="F867" s="126"/>
      <c r="G867" s="126"/>
      <c r="H867" s="125">
        <f t="shared" si="13"/>
        <v>0</v>
      </c>
      <c r="I867" s="191"/>
      <c r="J867" s="268"/>
      <c r="K867" s="182" t="str">
        <f>IFERROR(VLOOKUP(A867,'Budget-S&amp;U Codes Lookup'!$A$7:$C$550,3,FALSE),"")</f>
        <v/>
      </c>
      <c r="L867" s="1041"/>
      <c r="M867" s="753"/>
      <c r="N867" s="3" t="str">
        <f>IF(M867="","",VLOOKUP(M867,'Budget-S&amp;U Codes Lookup'!$E$26:$F$45,2,FALSE))</f>
        <v/>
      </c>
      <c r="P867" s="186"/>
    </row>
    <row r="868" spans="1:16" hidden="1">
      <c r="A868" s="81"/>
      <c r="B868" s="82" t="str">
        <f>IFERROR(VLOOKUP(A868,'Budget-S&amp;U Codes Lookup'!$A$7:$B$550,2,FALSE),"")</f>
        <v/>
      </c>
      <c r="C868" s="993"/>
      <c r="D868" s="118"/>
      <c r="E868" s="131"/>
      <c r="F868" s="126"/>
      <c r="G868" s="126"/>
      <c r="H868" s="125">
        <f t="shared" si="13"/>
        <v>0</v>
      </c>
      <c r="I868" s="191"/>
      <c r="J868" s="268"/>
      <c r="K868" s="182" t="str">
        <f>IFERROR(VLOOKUP(A868,'Budget-S&amp;U Codes Lookup'!$A$7:$C$550,3,FALSE),"")</f>
        <v/>
      </c>
      <c r="L868" s="1041"/>
      <c r="M868" s="753"/>
      <c r="N868" s="3" t="str">
        <f>IF(M868="","",VLOOKUP(M868,'Budget-S&amp;U Codes Lookup'!$E$26:$F$45,2,FALSE))</f>
        <v/>
      </c>
      <c r="P868" s="186"/>
    </row>
    <row r="869" spans="1:16" hidden="1">
      <c r="A869" s="81"/>
      <c r="B869" s="82" t="str">
        <f>IFERROR(VLOOKUP(A869,'Budget-S&amp;U Codes Lookup'!$A$7:$B$550,2,FALSE),"")</f>
        <v/>
      </c>
      <c r="C869" s="993"/>
      <c r="D869" s="118"/>
      <c r="E869" s="131"/>
      <c r="F869" s="126"/>
      <c r="G869" s="126"/>
      <c r="H869" s="125">
        <f t="shared" si="13"/>
        <v>0</v>
      </c>
      <c r="I869" s="191"/>
      <c r="J869" s="268"/>
      <c r="K869" s="182" t="str">
        <f>IFERROR(VLOOKUP(A869,'Budget-S&amp;U Codes Lookup'!$A$7:$C$550,3,FALSE),"")</f>
        <v/>
      </c>
      <c r="L869" s="1041"/>
      <c r="M869" s="753"/>
      <c r="N869" s="3" t="str">
        <f>IF(M869="","",VLOOKUP(M869,'Budget-S&amp;U Codes Lookup'!$E$26:$F$45,2,FALSE))</f>
        <v/>
      </c>
      <c r="P869" s="186"/>
    </row>
    <row r="870" spans="1:16" hidden="1">
      <c r="A870" s="81"/>
      <c r="B870" s="82" t="str">
        <f>IFERROR(VLOOKUP(A870,'Budget-S&amp;U Codes Lookup'!$A$7:$B$550,2,FALSE),"")</f>
        <v/>
      </c>
      <c r="C870" s="993"/>
      <c r="D870" s="118"/>
      <c r="E870" s="131"/>
      <c r="F870" s="126"/>
      <c r="G870" s="126"/>
      <c r="H870" s="125">
        <f t="shared" si="13"/>
        <v>0</v>
      </c>
      <c r="I870" s="191"/>
      <c r="J870" s="268"/>
      <c r="K870" s="182" t="str">
        <f>IFERROR(VLOOKUP(A870,'Budget-S&amp;U Codes Lookup'!$A$7:$C$550,3,FALSE),"")</f>
        <v/>
      </c>
      <c r="L870" s="1041"/>
      <c r="M870" s="753"/>
      <c r="N870" s="3" t="str">
        <f>IF(M870="","",VLOOKUP(M870,'Budget-S&amp;U Codes Lookup'!$E$26:$F$45,2,FALSE))</f>
        <v/>
      </c>
      <c r="P870" s="186"/>
    </row>
    <row r="871" spans="1:16" hidden="1">
      <c r="A871" s="81"/>
      <c r="B871" s="82" t="str">
        <f>IFERROR(VLOOKUP(A871,'Budget-S&amp;U Codes Lookup'!$A$7:$B$550,2,FALSE),"")</f>
        <v/>
      </c>
      <c r="C871" s="993"/>
      <c r="D871" s="118"/>
      <c r="E871" s="131"/>
      <c r="F871" s="126"/>
      <c r="G871" s="126"/>
      <c r="H871" s="125">
        <f t="shared" si="13"/>
        <v>0</v>
      </c>
      <c r="I871" s="191"/>
      <c r="J871" s="268"/>
      <c r="K871" s="182" t="str">
        <f>IFERROR(VLOOKUP(A871,'Budget-S&amp;U Codes Lookup'!$A$7:$C$550,3,FALSE),"")</f>
        <v/>
      </c>
      <c r="L871" s="1041"/>
      <c r="M871" s="753"/>
      <c r="N871" s="3" t="str">
        <f>IF(M871="","",VLOOKUP(M871,'Budget-S&amp;U Codes Lookup'!$E$26:$F$45,2,FALSE))</f>
        <v/>
      </c>
      <c r="P871" s="186"/>
    </row>
    <row r="872" spans="1:16" hidden="1">
      <c r="A872" s="81"/>
      <c r="B872" s="82" t="str">
        <f>IFERROR(VLOOKUP(A872,'Budget-S&amp;U Codes Lookup'!$A$7:$B$550,2,FALSE),"")</f>
        <v/>
      </c>
      <c r="C872" s="993"/>
      <c r="D872" s="118"/>
      <c r="E872" s="131"/>
      <c r="F872" s="126"/>
      <c r="G872" s="126"/>
      <c r="H872" s="125">
        <f t="shared" si="13"/>
        <v>0</v>
      </c>
      <c r="I872" s="191"/>
      <c r="J872" s="268"/>
      <c r="K872" s="182" t="str">
        <f>IFERROR(VLOOKUP(A872,'Budget-S&amp;U Codes Lookup'!$A$7:$C$550,3,FALSE),"")</f>
        <v/>
      </c>
      <c r="L872" s="1041"/>
      <c r="M872" s="753"/>
      <c r="N872" s="3" t="str">
        <f>IF(M872="","",VLOOKUP(M872,'Budget-S&amp;U Codes Lookup'!$E$26:$F$45,2,FALSE))</f>
        <v/>
      </c>
      <c r="P872" s="186"/>
    </row>
    <row r="873" spans="1:16" hidden="1">
      <c r="A873" s="81"/>
      <c r="B873" s="82" t="str">
        <f>IFERROR(VLOOKUP(A873,'Budget-S&amp;U Codes Lookup'!$A$7:$B$550,2,FALSE),"")</f>
        <v/>
      </c>
      <c r="C873" s="993"/>
      <c r="D873" s="118"/>
      <c r="E873" s="131"/>
      <c r="F873" s="126"/>
      <c r="G873" s="126"/>
      <c r="H873" s="125">
        <f t="shared" si="13"/>
        <v>0</v>
      </c>
      <c r="I873" s="191"/>
      <c r="J873" s="268"/>
      <c r="K873" s="182" t="str">
        <f>IFERROR(VLOOKUP(A873,'Budget-S&amp;U Codes Lookup'!$A$7:$C$550,3,FALSE),"")</f>
        <v/>
      </c>
      <c r="L873" s="1041"/>
      <c r="M873" s="753"/>
      <c r="N873" s="3" t="str">
        <f>IF(M873="","",VLOOKUP(M873,'Budget-S&amp;U Codes Lookup'!$E$26:$F$45,2,FALSE))</f>
        <v/>
      </c>
      <c r="P873" s="186"/>
    </row>
    <row r="874" spans="1:16" hidden="1">
      <c r="A874" s="81"/>
      <c r="B874" s="82" t="str">
        <f>IFERROR(VLOOKUP(A874,'Budget-S&amp;U Codes Lookup'!$A$7:$B$550,2,FALSE),"")</f>
        <v/>
      </c>
      <c r="C874" s="993"/>
      <c r="D874" s="118"/>
      <c r="E874" s="131"/>
      <c r="F874" s="126"/>
      <c r="G874" s="126"/>
      <c r="H874" s="125">
        <f t="shared" si="13"/>
        <v>0</v>
      </c>
      <c r="I874" s="191"/>
      <c r="J874" s="268"/>
      <c r="K874" s="182" t="str">
        <f>IFERROR(VLOOKUP(A874,'Budget-S&amp;U Codes Lookup'!$A$7:$C$550,3,FALSE),"")</f>
        <v/>
      </c>
      <c r="L874" s="1041"/>
      <c r="M874" s="753"/>
      <c r="N874" s="3" t="str">
        <f>IF(M874="","",VLOOKUP(M874,'Budget-S&amp;U Codes Lookup'!$E$26:$F$45,2,FALSE))</f>
        <v/>
      </c>
      <c r="P874" s="186"/>
    </row>
    <row r="875" spans="1:16" hidden="1">
      <c r="A875" s="81"/>
      <c r="B875" s="82" t="str">
        <f>IFERROR(VLOOKUP(A875,'Budget-S&amp;U Codes Lookup'!$A$7:$B$550,2,FALSE),"")</f>
        <v/>
      </c>
      <c r="C875" s="993"/>
      <c r="D875" s="118"/>
      <c r="E875" s="131"/>
      <c r="F875" s="126"/>
      <c r="G875" s="126"/>
      <c r="H875" s="125">
        <f t="shared" si="13"/>
        <v>0</v>
      </c>
      <c r="I875" s="191"/>
      <c r="J875" s="268"/>
      <c r="K875" s="182" t="str">
        <f>IFERROR(VLOOKUP(A875,'Budget-S&amp;U Codes Lookup'!$A$7:$C$550,3,FALSE),"")</f>
        <v/>
      </c>
      <c r="L875" s="1041"/>
      <c r="M875" s="753"/>
      <c r="N875" s="3" t="str">
        <f>IF(M875="","",VLOOKUP(M875,'Budget-S&amp;U Codes Lookup'!$E$26:$F$45,2,FALSE))</f>
        <v/>
      </c>
      <c r="P875" s="186"/>
    </row>
    <row r="876" spans="1:16" hidden="1">
      <c r="A876" s="81"/>
      <c r="B876" s="82" t="str">
        <f>IFERROR(VLOOKUP(A876,'Budget-S&amp;U Codes Lookup'!$A$7:$B$550,2,FALSE),"")</f>
        <v/>
      </c>
      <c r="C876" s="993"/>
      <c r="D876" s="118"/>
      <c r="E876" s="131"/>
      <c r="F876" s="126"/>
      <c r="G876" s="126"/>
      <c r="H876" s="125">
        <f t="shared" si="13"/>
        <v>0</v>
      </c>
      <c r="I876" s="191"/>
      <c r="J876" s="268"/>
      <c r="K876" s="182" t="str">
        <f>IFERROR(VLOOKUP(A876,'Budget-S&amp;U Codes Lookup'!$A$7:$C$550,3,FALSE),"")</f>
        <v/>
      </c>
      <c r="L876" s="1041"/>
      <c r="M876" s="753"/>
      <c r="N876" s="3" t="str">
        <f>IF(M876="","",VLOOKUP(M876,'Budget-S&amp;U Codes Lookup'!$E$26:$F$45,2,FALSE))</f>
        <v/>
      </c>
      <c r="P876" s="186"/>
    </row>
    <row r="877" spans="1:16" hidden="1">
      <c r="A877" s="81"/>
      <c r="B877" s="82" t="str">
        <f>IFERROR(VLOOKUP(A877,'Budget-S&amp;U Codes Lookup'!$A$7:$B$550,2,FALSE),"")</f>
        <v/>
      </c>
      <c r="C877" s="993"/>
      <c r="D877" s="118"/>
      <c r="E877" s="131"/>
      <c r="F877" s="126"/>
      <c r="G877" s="126"/>
      <c r="H877" s="125">
        <f t="shared" si="13"/>
        <v>0</v>
      </c>
      <c r="I877" s="191"/>
      <c r="J877" s="268"/>
      <c r="K877" s="182" t="str">
        <f>IFERROR(VLOOKUP(A877,'Budget-S&amp;U Codes Lookup'!$A$7:$C$550,3,FALSE),"")</f>
        <v/>
      </c>
      <c r="L877" s="1041"/>
      <c r="M877" s="753"/>
      <c r="N877" s="3" t="str">
        <f>IF(M877="","",VLOOKUP(M877,'Budget-S&amp;U Codes Lookup'!$E$26:$F$45,2,FALSE))</f>
        <v/>
      </c>
      <c r="P877" s="186"/>
    </row>
    <row r="878" spans="1:16" hidden="1">
      <c r="A878" s="81"/>
      <c r="B878" s="82" t="str">
        <f>IFERROR(VLOOKUP(A878,'Budget-S&amp;U Codes Lookup'!$A$7:$B$550,2,FALSE),"")</f>
        <v/>
      </c>
      <c r="C878" s="993"/>
      <c r="D878" s="118"/>
      <c r="E878" s="131"/>
      <c r="F878" s="126"/>
      <c r="G878" s="126"/>
      <c r="H878" s="125">
        <f t="shared" si="13"/>
        <v>0</v>
      </c>
      <c r="I878" s="191"/>
      <c r="J878" s="268"/>
      <c r="K878" s="182" t="str">
        <f>IFERROR(VLOOKUP(A878,'Budget-S&amp;U Codes Lookup'!$A$7:$C$550,3,FALSE),"")</f>
        <v/>
      </c>
      <c r="L878" s="1041"/>
      <c r="M878" s="753"/>
      <c r="N878" s="3" t="str">
        <f>IF(M878="","",VLOOKUP(M878,'Budget-S&amp;U Codes Lookup'!$E$26:$F$45,2,FALSE))</f>
        <v/>
      </c>
      <c r="P878" s="186"/>
    </row>
    <row r="879" spans="1:16" hidden="1">
      <c r="A879" s="81"/>
      <c r="B879" s="82" t="str">
        <f>IFERROR(VLOOKUP(A879,'Budget-S&amp;U Codes Lookup'!$A$7:$B$550,2,FALSE),"")</f>
        <v/>
      </c>
      <c r="C879" s="993"/>
      <c r="D879" s="118"/>
      <c r="E879" s="131"/>
      <c r="F879" s="126"/>
      <c r="G879" s="126"/>
      <c r="H879" s="125">
        <f t="shared" si="13"/>
        <v>0</v>
      </c>
      <c r="I879" s="191"/>
      <c r="J879" s="268"/>
      <c r="K879" s="182" t="str">
        <f>IFERROR(VLOOKUP(A879,'Budget-S&amp;U Codes Lookup'!$A$7:$C$550,3,FALSE),"")</f>
        <v/>
      </c>
      <c r="L879" s="1041"/>
      <c r="M879" s="753"/>
      <c r="N879" s="3" t="str">
        <f>IF(M879="","",VLOOKUP(M879,'Budget-S&amp;U Codes Lookup'!$E$26:$F$45,2,FALSE))</f>
        <v/>
      </c>
      <c r="P879" s="186"/>
    </row>
    <row r="880" spans="1:16" hidden="1">
      <c r="A880" s="81"/>
      <c r="B880" s="82" t="str">
        <f>IFERROR(VLOOKUP(A880,'Budget-S&amp;U Codes Lookup'!$A$7:$B$550,2,FALSE),"")</f>
        <v/>
      </c>
      <c r="C880" s="993"/>
      <c r="D880" s="118"/>
      <c r="E880" s="131"/>
      <c r="F880" s="126"/>
      <c r="G880" s="126"/>
      <c r="H880" s="125">
        <f t="shared" si="13"/>
        <v>0</v>
      </c>
      <c r="I880" s="191"/>
      <c r="J880" s="268"/>
      <c r="K880" s="182" t="str">
        <f>IFERROR(VLOOKUP(A880,'Budget-S&amp;U Codes Lookup'!$A$7:$C$550,3,FALSE),"")</f>
        <v/>
      </c>
      <c r="L880" s="1041"/>
      <c r="M880" s="753"/>
      <c r="N880" s="3" t="str">
        <f>IF(M880="","",VLOOKUP(M880,'Budget-S&amp;U Codes Lookup'!$E$26:$F$45,2,FALSE))</f>
        <v/>
      </c>
      <c r="P880" s="186"/>
    </row>
    <row r="881" spans="1:16" hidden="1">
      <c r="A881" s="81"/>
      <c r="B881" s="82" t="str">
        <f>IFERROR(VLOOKUP(A881,'Budget-S&amp;U Codes Lookup'!$A$7:$B$550,2,FALSE),"")</f>
        <v/>
      </c>
      <c r="C881" s="993"/>
      <c r="D881" s="118"/>
      <c r="E881" s="131"/>
      <c r="F881" s="126"/>
      <c r="G881" s="126"/>
      <c r="H881" s="125">
        <f t="shared" si="13"/>
        <v>0</v>
      </c>
      <c r="I881" s="191"/>
      <c r="J881" s="268"/>
      <c r="K881" s="182" t="str">
        <f>IFERROR(VLOOKUP(A881,'Budget-S&amp;U Codes Lookup'!$A$7:$C$550,3,FALSE),"")</f>
        <v/>
      </c>
      <c r="L881" s="1041"/>
      <c r="M881" s="753"/>
      <c r="N881" s="3" t="str">
        <f>IF(M881="","",VLOOKUP(M881,'Budget-S&amp;U Codes Lookup'!$E$26:$F$45,2,FALSE))</f>
        <v/>
      </c>
      <c r="P881" s="186"/>
    </row>
    <row r="882" spans="1:16" hidden="1">
      <c r="A882" s="81"/>
      <c r="B882" s="82" t="str">
        <f>IFERROR(VLOOKUP(A882,'Budget-S&amp;U Codes Lookup'!$A$7:$B$550,2,FALSE),"")</f>
        <v/>
      </c>
      <c r="C882" s="993"/>
      <c r="D882" s="118"/>
      <c r="E882" s="131"/>
      <c r="F882" s="126"/>
      <c r="G882" s="126"/>
      <c r="H882" s="125">
        <f t="shared" si="13"/>
        <v>0</v>
      </c>
      <c r="I882" s="191"/>
      <c r="J882" s="268"/>
      <c r="K882" s="182" t="str">
        <f>IFERROR(VLOOKUP(A882,'Budget-S&amp;U Codes Lookup'!$A$7:$C$550,3,FALSE),"")</f>
        <v/>
      </c>
      <c r="L882" s="1041"/>
      <c r="M882" s="753"/>
      <c r="N882" s="3" t="str">
        <f>IF(M882="","",VLOOKUP(M882,'Budget-S&amp;U Codes Lookup'!$E$26:$F$45,2,FALSE))</f>
        <v/>
      </c>
      <c r="P882" s="186"/>
    </row>
    <row r="883" spans="1:16" hidden="1">
      <c r="A883" s="81"/>
      <c r="B883" s="82" t="str">
        <f>IFERROR(VLOOKUP(A883,'Budget-S&amp;U Codes Lookup'!$A$7:$B$550,2,FALSE),"")</f>
        <v/>
      </c>
      <c r="C883" s="993"/>
      <c r="D883" s="118"/>
      <c r="E883" s="131"/>
      <c r="F883" s="126"/>
      <c r="G883" s="126"/>
      <c r="H883" s="125">
        <f t="shared" si="13"/>
        <v>0</v>
      </c>
      <c r="I883" s="191"/>
      <c r="J883" s="268"/>
      <c r="K883" s="182" t="str">
        <f>IFERROR(VLOOKUP(A883,'Budget-S&amp;U Codes Lookup'!$A$7:$C$550,3,FALSE),"")</f>
        <v/>
      </c>
      <c r="L883" s="1041"/>
      <c r="M883" s="753"/>
      <c r="N883" s="3" t="str">
        <f>IF(M883="","",VLOOKUP(M883,'Budget-S&amp;U Codes Lookup'!$E$26:$F$45,2,FALSE))</f>
        <v/>
      </c>
      <c r="P883" s="186"/>
    </row>
    <row r="884" spans="1:16" hidden="1">
      <c r="A884" s="81"/>
      <c r="B884" s="82" t="str">
        <f>IFERROR(VLOOKUP(A884,'Budget-S&amp;U Codes Lookup'!$A$7:$B$550,2,FALSE),"")</f>
        <v/>
      </c>
      <c r="C884" s="993"/>
      <c r="D884" s="118"/>
      <c r="E884" s="131"/>
      <c r="F884" s="126"/>
      <c r="G884" s="126"/>
      <c r="H884" s="125">
        <f t="shared" si="13"/>
        <v>0</v>
      </c>
      <c r="I884" s="191"/>
      <c r="J884" s="268"/>
      <c r="K884" s="182" t="str">
        <f>IFERROR(VLOOKUP(A884,'Budget-S&amp;U Codes Lookup'!$A$7:$C$550,3,FALSE),"")</f>
        <v/>
      </c>
      <c r="L884" s="1041"/>
      <c r="M884" s="753"/>
      <c r="N884" s="3" t="str">
        <f>IF(M884="","",VLOOKUP(M884,'Budget-S&amp;U Codes Lookup'!$E$26:$F$45,2,FALSE))</f>
        <v/>
      </c>
      <c r="P884" s="186"/>
    </row>
    <row r="885" spans="1:16" hidden="1">
      <c r="A885" s="81"/>
      <c r="B885" s="82" t="str">
        <f>IFERROR(VLOOKUP(A885,'Budget-S&amp;U Codes Lookup'!$A$7:$B$550,2,FALSE),"")</f>
        <v/>
      </c>
      <c r="C885" s="993"/>
      <c r="D885" s="118"/>
      <c r="E885" s="131"/>
      <c r="F885" s="126"/>
      <c r="G885" s="126"/>
      <c r="H885" s="125">
        <f t="shared" si="13"/>
        <v>0</v>
      </c>
      <c r="I885" s="191"/>
      <c r="J885" s="268"/>
      <c r="K885" s="182" t="str">
        <f>IFERROR(VLOOKUP(A885,'Budget-S&amp;U Codes Lookup'!$A$7:$C$550,3,FALSE),"")</f>
        <v/>
      </c>
      <c r="L885" s="1041"/>
      <c r="M885" s="753"/>
      <c r="N885" s="3" t="str">
        <f>IF(M885="","",VLOOKUP(M885,'Budget-S&amp;U Codes Lookup'!$E$26:$F$45,2,FALSE))</f>
        <v/>
      </c>
      <c r="P885" s="186"/>
    </row>
    <row r="886" spans="1:16" hidden="1">
      <c r="A886" s="81"/>
      <c r="B886" s="82" t="str">
        <f>IFERROR(VLOOKUP(A886,'Budget-S&amp;U Codes Lookup'!$A$7:$B$550,2,FALSE),"")</f>
        <v/>
      </c>
      <c r="C886" s="993"/>
      <c r="D886" s="118"/>
      <c r="E886" s="131"/>
      <c r="F886" s="126"/>
      <c r="G886" s="126"/>
      <c r="H886" s="125">
        <f t="shared" si="13"/>
        <v>0</v>
      </c>
      <c r="I886" s="191"/>
      <c r="J886" s="268"/>
      <c r="K886" s="182" t="str">
        <f>IFERROR(VLOOKUP(A886,'Budget-S&amp;U Codes Lookup'!$A$7:$C$550,3,FALSE),"")</f>
        <v/>
      </c>
      <c r="L886" s="1041"/>
      <c r="M886" s="753"/>
      <c r="N886" s="3" t="str">
        <f>IF(M886="","",VLOOKUP(M886,'Budget-S&amp;U Codes Lookup'!$E$26:$F$45,2,FALSE))</f>
        <v/>
      </c>
      <c r="P886" s="186"/>
    </row>
    <row r="887" spans="1:16" hidden="1">
      <c r="A887" s="81"/>
      <c r="B887" s="82" t="str">
        <f>IFERROR(VLOOKUP(A887,'Budget-S&amp;U Codes Lookup'!$A$7:$B$550,2,FALSE),"")</f>
        <v/>
      </c>
      <c r="C887" s="993"/>
      <c r="D887" s="118"/>
      <c r="E887" s="131"/>
      <c r="F887" s="126"/>
      <c r="G887" s="126"/>
      <c r="H887" s="125">
        <f t="shared" si="13"/>
        <v>0</v>
      </c>
      <c r="I887" s="191"/>
      <c r="J887" s="268"/>
      <c r="K887" s="182" t="str">
        <f>IFERROR(VLOOKUP(A887,'Budget-S&amp;U Codes Lookup'!$A$7:$C$550,3,FALSE),"")</f>
        <v/>
      </c>
      <c r="L887" s="1041"/>
      <c r="M887" s="753"/>
      <c r="N887" s="3" t="str">
        <f>IF(M887="","",VLOOKUP(M887,'Budget-S&amp;U Codes Lookup'!$E$26:$F$45,2,FALSE))</f>
        <v/>
      </c>
      <c r="P887" s="186"/>
    </row>
    <row r="888" spans="1:16" hidden="1">
      <c r="A888" s="81"/>
      <c r="B888" s="82" t="str">
        <f>IFERROR(VLOOKUP(A888,'Budget-S&amp;U Codes Lookup'!$A$7:$B$550,2,FALSE),"")</f>
        <v/>
      </c>
      <c r="C888" s="993"/>
      <c r="D888" s="118"/>
      <c r="E888" s="131"/>
      <c r="F888" s="126"/>
      <c r="G888" s="126"/>
      <c r="H888" s="125">
        <f t="shared" si="13"/>
        <v>0</v>
      </c>
      <c r="I888" s="191"/>
      <c r="J888" s="268"/>
      <c r="K888" s="182" t="str">
        <f>IFERROR(VLOOKUP(A888,'Budget-S&amp;U Codes Lookup'!$A$7:$C$550,3,FALSE),"")</f>
        <v/>
      </c>
      <c r="L888" s="1041"/>
      <c r="M888" s="753"/>
      <c r="N888" s="3" t="str">
        <f>IF(M888="","",VLOOKUP(M888,'Budget-S&amp;U Codes Lookup'!$E$26:$F$45,2,FALSE))</f>
        <v/>
      </c>
      <c r="P888" s="186"/>
    </row>
    <row r="889" spans="1:16" hidden="1">
      <c r="A889" s="81"/>
      <c r="B889" s="82" t="str">
        <f>IFERROR(VLOOKUP(A889,'Budget-S&amp;U Codes Lookup'!$A$7:$B$550,2,FALSE),"")</f>
        <v/>
      </c>
      <c r="C889" s="993"/>
      <c r="D889" s="118"/>
      <c r="E889" s="131"/>
      <c r="F889" s="126"/>
      <c r="G889" s="126"/>
      <c r="H889" s="125">
        <f t="shared" si="13"/>
        <v>0</v>
      </c>
      <c r="I889" s="191"/>
      <c r="J889" s="268"/>
      <c r="K889" s="182" t="str">
        <f>IFERROR(VLOOKUP(A889,'Budget-S&amp;U Codes Lookup'!$A$7:$C$550,3,FALSE),"")</f>
        <v/>
      </c>
      <c r="L889" s="1041"/>
      <c r="M889" s="753"/>
      <c r="N889" s="3" t="str">
        <f>IF(M889="","",VLOOKUP(M889,'Budget-S&amp;U Codes Lookup'!$E$26:$F$45,2,FALSE))</f>
        <v/>
      </c>
      <c r="P889" s="186"/>
    </row>
    <row r="890" spans="1:16" hidden="1">
      <c r="A890" s="81"/>
      <c r="B890" s="82" t="str">
        <f>IFERROR(VLOOKUP(A890,'Budget-S&amp;U Codes Lookup'!$A$7:$B$550,2,FALSE),"")</f>
        <v/>
      </c>
      <c r="C890" s="993"/>
      <c r="D890" s="118"/>
      <c r="E890" s="131"/>
      <c r="F890" s="126"/>
      <c r="G890" s="126"/>
      <c r="H890" s="125">
        <f t="shared" si="13"/>
        <v>0</v>
      </c>
      <c r="I890" s="191"/>
      <c r="J890" s="268"/>
      <c r="K890" s="182" t="str">
        <f>IFERROR(VLOOKUP(A890,'Budget-S&amp;U Codes Lookup'!$A$7:$C$550,3,FALSE),"")</f>
        <v/>
      </c>
      <c r="L890" s="1041"/>
      <c r="M890" s="753"/>
      <c r="N890" s="3" t="str">
        <f>IF(M890="","",VLOOKUP(M890,'Budget-S&amp;U Codes Lookup'!$E$26:$F$45,2,FALSE))</f>
        <v/>
      </c>
      <c r="P890" s="186"/>
    </row>
    <row r="891" spans="1:16" hidden="1">
      <c r="A891" s="81"/>
      <c r="B891" s="82" t="str">
        <f>IFERROR(VLOOKUP(A891,'Budget-S&amp;U Codes Lookup'!$A$7:$B$550,2,FALSE),"")</f>
        <v/>
      </c>
      <c r="C891" s="993"/>
      <c r="D891" s="118"/>
      <c r="E891" s="131"/>
      <c r="F891" s="126"/>
      <c r="G891" s="126"/>
      <c r="H891" s="125">
        <f t="shared" si="13"/>
        <v>0</v>
      </c>
      <c r="I891" s="191"/>
      <c r="J891" s="268"/>
      <c r="K891" s="182" t="str">
        <f>IFERROR(VLOOKUP(A891,'Budget-S&amp;U Codes Lookup'!$A$7:$C$550,3,FALSE),"")</f>
        <v/>
      </c>
      <c r="L891" s="1041"/>
      <c r="M891" s="753"/>
      <c r="N891" s="3" t="str">
        <f>IF(M891="","",VLOOKUP(M891,'Budget-S&amp;U Codes Lookup'!$E$26:$F$45,2,FALSE))</f>
        <v/>
      </c>
      <c r="P891" s="186"/>
    </row>
    <row r="892" spans="1:16" hidden="1">
      <c r="A892" s="81"/>
      <c r="B892" s="82" t="str">
        <f>IFERROR(VLOOKUP(A892,'Budget-S&amp;U Codes Lookup'!$A$7:$B$550,2,FALSE),"")</f>
        <v/>
      </c>
      <c r="C892" s="993"/>
      <c r="D892" s="118"/>
      <c r="E892" s="131"/>
      <c r="F892" s="126"/>
      <c r="G892" s="126"/>
      <c r="H892" s="125">
        <f t="shared" si="13"/>
        <v>0</v>
      </c>
      <c r="I892" s="191"/>
      <c r="J892" s="268"/>
      <c r="K892" s="182" t="str">
        <f>IFERROR(VLOOKUP(A892,'Budget-S&amp;U Codes Lookup'!$A$7:$C$550,3,FALSE),"")</f>
        <v/>
      </c>
      <c r="L892" s="1041"/>
      <c r="M892" s="753"/>
      <c r="N892" s="3" t="str">
        <f>IF(M892="","",VLOOKUP(M892,'Budget-S&amp;U Codes Lookup'!$E$26:$F$45,2,FALSE))</f>
        <v/>
      </c>
      <c r="P892" s="186"/>
    </row>
    <row r="893" spans="1:16" hidden="1">
      <c r="A893" s="81"/>
      <c r="B893" s="82" t="str">
        <f>IFERROR(VLOOKUP(A893,'Budget-S&amp;U Codes Lookup'!$A$7:$B$550,2,FALSE),"")</f>
        <v/>
      </c>
      <c r="C893" s="993"/>
      <c r="D893" s="118"/>
      <c r="E893" s="131"/>
      <c r="F893" s="126"/>
      <c r="G893" s="126"/>
      <c r="H893" s="125">
        <f t="shared" si="13"/>
        <v>0</v>
      </c>
      <c r="I893" s="191"/>
      <c r="J893" s="268"/>
      <c r="K893" s="182" t="str">
        <f>IFERROR(VLOOKUP(A893,'Budget-S&amp;U Codes Lookup'!$A$7:$C$550,3,FALSE),"")</f>
        <v/>
      </c>
      <c r="L893" s="1041"/>
      <c r="M893" s="753"/>
      <c r="N893" s="3" t="str">
        <f>IF(M893="","",VLOOKUP(M893,'Budget-S&amp;U Codes Lookup'!$E$26:$F$45,2,FALSE))</f>
        <v/>
      </c>
      <c r="P893" s="186"/>
    </row>
    <row r="894" spans="1:16" hidden="1">
      <c r="A894" s="81"/>
      <c r="B894" s="82" t="str">
        <f>IFERROR(VLOOKUP(A894,'Budget-S&amp;U Codes Lookup'!$A$7:$B$550,2,FALSE),"")</f>
        <v/>
      </c>
      <c r="C894" s="993"/>
      <c r="D894" s="118"/>
      <c r="E894" s="131"/>
      <c r="F894" s="126"/>
      <c r="G894" s="126"/>
      <c r="H894" s="125">
        <f t="shared" si="13"/>
        <v>0</v>
      </c>
      <c r="I894" s="191"/>
      <c r="J894" s="268"/>
      <c r="K894" s="182" t="str">
        <f>IFERROR(VLOOKUP(A894,'Budget-S&amp;U Codes Lookup'!$A$7:$C$550,3,FALSE),"")</f>
        <v/>
      </c>
      <c r="L894" s="1041"/>
      <c r="M894" s="753"/>
      <c r="N894" s="3" t="str">
        <f>IF(M894="","",VLOOKUP(M894,'Budget-S&amp;U Codes Lookup'!$E$26:$F$45,2,FALSE))</f>
        <v/>
      </c>
      <c r="P894" s="186"/>
    </row>
    <row r="895" spans="1:16" hidden="1">
      <c r="A895" s="81"/>
      <c r="B895" s="82" t="str">
        <f>IFERROR(VLOOKUP(A895,'Budget-S&amp;U Codes Lookup'!$A$7:$B$550,2,FALSE),"")</f>
        <v/>
      </c>
      <c r="C895" s="993"/>
      <c r="D895" s="118"/>
      <c r="E895" s="131"/>
      <c r="F895" s="126"/>
      <c r="G895" s="126"/>
      <c r="H895" s="125">
        <f t="shared" si="13"/>
        <v>0</v>
      </c>
      <c r="I895" s="191"/>
      <c r="J895" s="268"/>
      <c r="K895" s="182" t="str">
        <f>IFERROR(VLOOKUP(A895,'Budget-S&amp;U Codes Lookup'!$A$7:$C$550,3,FALSE),"")</f>
        <v/>
      </c>
      <c r="L895" s="1041"/>
      <c r="M895" s="753"/>
      <c r="N895" s="3" t="str">
        <f>IF(M895="","",VLOOKUP(M895,'Budget-S&amp;U Codes Lookup'!$E$26:$F$45,2,FALSE))</f>
        <v/>
      </c>
      <c r="P895" s="186"/>
    </row>
    <row r="896" spans="1:16" hidden="1">
      <c r="A896" s="81"/>
      <c r="B896" s="82" t="str">
        <f>IFERROR(VLOOKUP(A896,'Budget-S&amp;U Codes Lookup'!$A$7:$B$550,2,FALSE),"")</f>
        <v/>
      </c>
      <c r="C896" s="993"/>
      <c r="D896" s="118"/>
      <c r="E896" s="131"/>
      <c r="F896" s="126"/>
      <c r="G896" s="126"/>
      <c r="H896" s="125">
        <f t="shared" si="13"/>
        <v>0</v>
      </c>
      <c r="I896" s="191"/>
      <c r="J896" s="268"/>
      <c r="K896" s="182" t="str">
        <f>IFERROR(VLOOKUP(A896,'Budget-S&amp;U Codes Lookup'!$A$7:$C$550,3,FALSE),"")</f>
        <v/>
      </c>
      <c r="L896" s="1041"/>
      <c r="M896" s="753"/>
      <c r="N896" s="3" t="str">
        <f>IF(M896="","",VLOOKUP(M896,'Budget-S&amp;U Codes Lookup'!$E$26:$F$45,2,FALSE))</f>
        <v/>
      </c>
      <c r="P896" s="186"/>
    </row>
    <row r="897" spans="1:16" hidden="1">
      <c r="A897" s="81"/>
      <c r="B897" s="82" t="str">
        <f>IFERROR(VLOOKUP(A897,'Budget-S&amp;U Codes Lookup'!$A$7:$B$550,2,FALSE),"")</f>
        <v/>
      </c>
      <c r="C897" s="993"/>
      <c r="D897" s="118"/>
      <c r="E897" s="131"/>
      <c r="F897" s="126"/>
      <c r="G897" s="126"/>
      <c r="H897" s="125">
        <f t="shared" si="13"/>
        <v>0</v>
      </c>
      <c r="I897" s="191"/>
      <c r="J897" s="268"/>
      <c r="K897" s="182" t="str">
        <f>IFERROR(VLOOKUP(A897,'Budget-S&amp;U Codes Lookup'!$A$7:$C$550,3,FALSE),"")</f>
        <v/>
      </c>
      <c r="L897" s="1041"/>
      <c r="M897" s="753"/>
      <c r="N897" s="3" t="str">
        <f>IF(M897="","",VLOOKUP(M897,'Budget-S&amp;U Codes Lookup'!$E$26:$F$45,2,FALSE))</f>
        <v/>
      </c>
      <c r="P897" s="186"/>
    </row>
    <row r="898" spans="1:16" hidden="1">
      <c r="A898" s="81"/>
      <c r="B898" s="82" t="str">
        <f>IFERROR(VLOOKUP(A898,'Budget-S&amp;U Codes Lookup'!$A$7:$B$550,2,FALSE),"")</f>
        <v/>
      </c>
      <c r="C898" s="993"/>
      <c r="D898" s="118"/>
      <c r="E898" s="131"/>
      <c r="F898" s="126"/>
      <c r="G898" s="126"/>
      <c r="H898" s="125">
        <f t="shared" si="13"/>
        <v>0</v>
      </c>
      <c r="I898" s="191"/>
      <c r="J898" s="268"/>
      <c r="K898" s="182" t="str">
        <f>IFERROR(VLOOKUP(A898,'Budget-S&amp;U Codes Lookup'!$A$7:$C$550,3,FALSE),"")</f>
        <v/>
      </c>
      <c r="L898" s="1041"/>
      <c r="M898" s="753"/>
      <c r="N898" s="3" t="str">
        <f>IF(M898="","",VLOOKUP(M898,'Budget-S&amp;U Codes Lookup'!$E$26:$F$45,2,FALSE))</f>
        <v/>
      </c>
      <c r="P898" s="186"/>
    </row>
    <row r="899" spans="1:16" hidden="1">
      <c r="A899" s="81"/>
      <c r="B899" s="82" t="str">
        <f>IFERROR(VLOOKUP(A899,'Budget-S&amp;U Codes Lookup'!$A$7:$B$550,2,FALSE),"")</f>
        <v/>
      </c>
      <c r="C899" s="993"/>
      <c r="D899" s="118"/>
      <c r="E899" s="131"/>
      <c r="F899" s="126"/>
      <c r="G899" s="126"/>
      <c r="H899" s="125">
        <f t="shared" si="13"/>
        <v>0</v>
      </c>
      <c r="I899" s="191"/>
      <c r="J899" s="268"/>
      <c r="K899" s="182" t="str">
        <f>IFERROR(VLOOKUP(A899,'Budget-S&amp;U Codes Lookup'!$A$7:$C$550,3,FALSE),"")</f>
        <v/>
      </c>
      <c r="L899" s="1041"/>
      <c r="M899" s="753"/>
      <c r="N899" s="3" t="str">
        <f>IF(M899="","",VLOOKUP(M899,'Budget-S&amp;U Codes Lookup'!$E$26:$F$45,2,FALSE))</f>
        <v/>
      </c>
      <c r="P899" s="186"/>
    </row>
    <row r="900" spans="1:16" hidden="1">
      <c r="A900" s="81"/>
      <c r="B900" s="82" t="str">
        <f>IFERROR(VLOOKUP(A900,'Budget-S&amp;U Codes Lookup'!$A$7:$B$550,2,FALSE),"")</f>
        <v/>
      </c>
      <c r="C900" s="993"/>
      <c r="D900" s="118"/>
      <c r="E900" s="131"/>
      <c r="F900" s="126"/>
      <c r="G900" s="126"/>
      <c r="H900" s="125">
        <f t="shared" si="13"/>
        <v>0</v>
      </c>
      <c r="I900" s="191"/>
      <c r="J900" s="268"/>
      <c r="K900" s="182" t="str">
        <f>IFERROR(VLOOKUP(A900,'Budget-S&amp;U Codes Lookup'!$A$7:$C$550,3,FALSE),"")</f>
        <v/>
      </c>
      <c r="L900" s="1041"/>
      <c r="M900" s="753"/>
      <c r="N900" s="3" t="str">
        <f>IF(M900="","",VLOOKUP(M900,'Budget-S&amp;U Codes Lookup'!$E$26:$F$45,2,FALSE))</f>
        <v/>
      </c>
      <c r="P900" s="186"/>
    </row>
    <row r="901" spans="1:16" hidden="1">
      <c r="A901" s="81"/>
      <c r="B901" s="82" t="str">
        <f>IFERROR(VLOOKUP(A901,'Budget-S&amp;U Codes Lookup'!$A$7:$B$550,2,FALSE),"")</f>
        <v/>
      </c>
      <c r="C901" s="993"/>
      <c r="D901" s="118"/>
      <c r="E901" s="131"/>
      <c r="F901" s="126"/>
      <c r="G901" s="126"/>
      <c r="H901" s="125">
        <f t="shared" si="13"/>
        <v>0</v>
      </c>
      <c r="I901" s="191"/>
      <c r="J901" s="268"/>
      <c r="K901" s="182" t="str">
        <f>IFERROR(VLOOKUP(A901,'Budget-S&amp;U Codes Lookup'!$A$7:$C$550,3,FALSE),"")</f>
        <v/>
      </c>
      <c r="L901" s="1041"/>
      <c r="M901" s="753"/>
      <c r="N901" s="3" t="str">
        <f>IF(M901="","",VLOOKUP(M901,'Budget-S&amp;U Codes Lookup'!$E$26:$F$45,2,FALSE))</f>
        <v/>
      </c>
      <c r="P901" s="186"/>
    </row>
    <row r="902" spans="1:16" hidden="1">
      <c r="A902" s="81"/>
      <c r="B902" s="82" t="str">
        <f>IFERROR(VLOOKUP(A902,'Budget-S&amp;U Codes Lookup'!$A$7:$B$550,2,FALSE),"")</f>
        <v/>
      </c>
      <c r="C902" s="993"/>
      <c r="D902" s="118"/>
      <c r="E902" s="131"/>
      <c r="F902" s="126"/>
      <c r="G902" s="126"/>
      <c r="H902" s="125">
        <f t="shared" si="13"/>
        <v>0</v>
      </c>
      <c r="I902" s="191"/>
      <c r="J902" s="268"/>
      <c r="K902" s="182" t="str">
        <f>IFERROR(VLOOKUP(A902,'Budget-S&amp;U Codes Lookup'!$A$7:$C$550,3,FALSE),"")</f>
        <v/>
      </c>
      <c r="L902" s="1041"/>
      <c r="M902" s="753"/>
      <c r="N902" s="3" t="str">
        <f>IF(M902="","",VLOOKUP(M902,'Budget-S&amp;U Codes Lookup'!$E$26:$F$45,2,FALSE))</f>
        <v/>
      </c>
      <c r="P902" s="186"/>
    </row>
    <row r="903" spans="1:16" hidden="1">
      <c r="A903" s="81"/>
      <c r="B903" s="82" t="str">
        <f>IFERROR(VLOOKUP(A903,'Budget-S&amp;U Codes Lookup'!$A$7:$B$550,2,FALSE),"")</f>
        <v/>
      </c>
      <c r="C903" s="993"/>
      <c r="D903" s="118"/>
      <c r="E903" s="131"/>
      <c r="F903" s="126"/>
      <c r="G903" s="126"/>
      <c r="H903" s="125">
        <f t="shared" si="13"/>
        <v>0</v>
      </c>
      <c r="I903" s="191"/>
      <c r="J903" s="268"/>
      <c r="K903" s="182" t="str">
        <f>IFERROR(VLOOKUP(A903,'Budget-S&amp;U Codes Lookup'!$A$7:$C$550,3,FALSE),"")</f>
        <v/>
      </c>
      <c r="L903" s="1041"/>
      <c r="M903" s="753"/>
      <c r="N903" s="3" t="str">
        <f>IF(M903="","",VLOOKUP(M903,'Budget-S&amp;U Codes Lookup'!$E$26:$F$45,2,FALSE))</f>
        <v/>
      </c>
      <c r="P903" s="186"/>
    </row>
    <row r="904" spans="1:16" hidden="1">
      <c r="A904" s="81"/>
      <c r="B904" s="82" t="str">
        <f>IFERROR(VLOOKUP(A904,'Budget-S&amp;U Codes Lookup'!$A$7:$B$550,2,FALSE),"")</f>
        <v/>
      </c>
      <c r="C904" s="993"/>
      <c r="D904" s="118"/>
      <c r="E904" s="131"/>
      <c r="F904" s="126"/>
      <c r="G904" s="126"/>
      <c r="H904" s="125">
        <f t="shared" si="13"/>
        <v>0</v>
      </c>
      <c r="I904" s="191"/>
      <c r="J904" s="268"/>
      <c r="K904" s="182" t="str">
        <f>IFERROR(VLOOKUP(A904,'Budget-S&amp;U Codes Lookup'!$A$7:$C$550,3,FALSE),"")</f>
        <v/>
      </c>
      <c r="L904" s="1041"/>
      <c r="M904" s="753"/>
      <c r="N904" s="3" t="str">
        <f>IF(M904="","",VLOOKUP(M904,'Budget-S&amp;U Codes Lookup'!$E$26:$F$45,2,FALSE))</f>
        <v/>
      </c>
      <c r="P904" s="186"/>
    </row>
    <row r="905" spans="1:16" hidden="1">
      <c r="A905" s="81"/>
      <c r="B905" s="82" t="str">
        <f>IFERROR(VLOOKUP(A905,'Budget-S&amp;U Codes Lookup'!$A$7:$B$550,2,FALSE),"")</f>
        <v/>
      </c>
      <c r="C905" s="993"/>
      <c r="D905" s="118"/>
      <c r="E905" s="131"/>
      <c r="F905" s="126"/>
      <c r="G905" s="126"/>
      <c r="H905" s="125">
        <f t="shared" si="13"/>
        <v>0</v>
      </c>
      <c r="I905" s="191"/>
      <c r="J905" s="268"/>
      <c r="K905" s="182" t="str">
        <f>IFERROR(VLOOKUP(A905,'Budget-S&amp;U Codes Lookup'!$A$7:$C$550,3,FALSE),"")</f>
        <v/>
      </c>
      <c r="L905" s="1041"/>
      <c r="M905" s="753"/>
      <c r="N905" s="3" t="str">
        <f>IF(M905="","",VLOOKUP(M905,'Budget-S&amp;U Codes Lookup'!$E$26:$F$45,2,FALSE))</f>
        <v/>
      </c>
      <c r="P905" s="186"/>
    </row>
    <row r="906" spans="1:16" hidden="1">
      <c r="A906" s="81"/>
      <c r="B906" s="82" t="str">
        <f>IFERROR(VLOOKUP(A906,'Budget-S&amp;U Codes Lookup'!$A$7:$B$550,2,FALSE),"")</f>
        <v/>
      </c>
      <c r="C906" s="993"/>
      <c r="D906" s="118"/>
      <c r="E906" s="131"/>
      <c r="F906" s="126"/>
      <c r="G906" s="126"/>
      <c r="H906" s="125">
        <f t="shared" ref="H906:H969" si="14">F906-G906</f>
        <v>0</v>
      </c>
      <c r="I906" s="191"/>
      <c r="J906" s="268"/>
      <c r="K906" s="182" t="str">
        <f>IFERROR(VLOOKUP(A906,'Budget-S&amp;U Codes Lookup'!$A$7:$C$550,3,FALSE),"")</f>
        <v/>
      </c>
      <c r="L906" s="1041"/>
      <c r="M906" s="753"/>
      <c r="N906" s="3" t="str">
        <f>IF(M906="","",VLOOKUP(M906,'Budget-S&amp;U Codes Lookup'!$E$26:$F$45,2,FALSE))</f>
        <v/>
      </c>
      <c r="P906" s="186"/>
    </row>
    <row r="907" spans="1:16" hidden="1">
      <c r="A907" s="81"/>
      <c r="B907" s="82" t="str">
        <f>IFERROR(VLOOKUP(A907,'Budget-S&amp;U Codes Lookup'!$A$7:$B$550,2,FALSE),"")</f>
        <v/>
      </c>
      <c r="C907" s="993"/>
      <c r="D907" s="118"/>
      <c r="E907" s="131"/>
      <c r="F907" s="126"/>
      <c r="G907" s="126"/>
      <c r="H907" s="125">
        <f t="shared" si="14"/>
        <v>0</v>
      </c>
      <c r="I907" s="191"/>
      <c r="J907" s="268"/>
      <c r="K907" s="182" t="str">
        <f>IFERROR(VLOOKUP(A907,'Budget-S&amp;U Codes Lookup'!$A$7:$C$550,3,FALSE),"")</f>
        <v/>
      </c>
      <c r="L907" s="1041"/>
      <c r="M907" s="753"/>
      <c r="N907" s="3" t="str">
        <f>IF(M907="","",VLOOKUP(M907,'Budget-S&amp;U Codes Lookup'!$E$26:$F$45,2,FALSE))</f>
        <v/>
      </c>
      <c r="P907" s="186"/>
    </row>
    <row r="908" spans="1:16" hidden="1">
      <c r="A908" s="81"/>
      <c r="B908" s="82" t="str">
        <f>IFERROR(VLOOKUP(A908,'Budget-S&amp;U Codes Lookup'!$A$7:$B$550,2,FALSE),"")</f>
        <v/>
      </c>
      <c r="C908" s="993"/>
      <c r="D908" s="118"/>
      <c r="E908" s="131"/>
      <c r="F908" s="126"/>
      <c r="G908" s="126"/>
      <c r="H908" s="125">
        <f t="shared" si="14"/>
        <v>0</v>
      </c>
      <c r="I908" s="191"/>
      <c r="J908" s="268"/>
      <c r="K908" s="182" t="str">
        <f>IFERROR(VLOOKUP(A908,'Budget-S&amp;U Codes Lookup'!$A$7:$C$550,3,FALSE),"")</f>
        <v/>
      </c>
      <c r="L908" s="1041"/>
      <c r="M908" s="753"/>
      <c r="N908" s="3" t="str">
        <f>IF(M908="","",VLOOKUP(M908,'Budget-S&amp;U Codes Lookup'!$E$26:$F$45,2,FALSE))</f>
        <v/>
      </c>
      <c r="P908" s="186"/>
    </row>
    <row r="909" spans="1:16" hidden="1">
      <c r="A909" s="81"/>
      <c r="B909" s="82" t="str">
        <f>IFERROR(VLOOKUP(A909,'Budget-S&amp;U Codes Lookup'!$A$7:$B$550,2,FALSE),"")</f>
        <v/>
      </c>
      <c r="C909" s="993"/>
      <c r="D909" s="118"/>
      <c r="E909" s="131"/>
      <c r="F909" s="126"/>
      <c r="G909" s="126"/>
      <c r="H909" s="125">
        <f t="shared" si="14"/>
        <v>0</v>
      </c>
      <c r="I909" s="191"/>
      <c r="J909" s="268"/>
      <c r="K909" s="182" t="str">
        <f>IFERROR(VLOOKUP(A909,'Budget-S&amp;U Codes Lookup'!$A$7:$C$550,3,FALSE),"")</f>
        <v/>
      </c>
      <c r="L909" s="1041"/>
      <c r="M909" s="753"/>
      <c r="N909" s="3" t="str">
        <f>IF(M909="","",VLOOKUP(M909,'Budget-S&amp;U Codes Lookup'!$E$26:$F$45,2,FALSE))</f>
        <v/>
      </c>
      <c r="P909" s="186"/>
    </row>
    <row r="910" spans="1:16" hidden="1">
      <c r="A910" s="81"/>
      <c r="B910" s="82" t="str">
        <f>IFERROR(VLOOKUP(A910,'Budget-S&amp;U Codes Lookup'!$A$7:$B$550,2,FALSE),"")</f>
        <v/>
      </c>
      <c r="C910" s="993"/>
      <c r="D910" s="118"/>
      <c r="E910" s="131"/>
      <c r="F910" s="126"/>
      <c r="G910" s="126"/>
      <c r="H910" s="125">
        <f t="shared" si="14"/>
        <v>0</v>
      </c>
      <c r="I910" s="191"/>
      <c r="J910" s="268"/>
      <c r="K910" s="182" t="str">
        <f>IFERROR(VLOOKUP(A910,'Budget-S&amp;U Codes Lookup'!$A$7:$C$550,3,FALSE),"")</f>
        <v/>
      </c>
      <c r="L910" s="1041"/>
      <c r="M910" s="753"/>
      <c r="N910" s="3" t="str">
        <f>IF(M910="","",VLOOKUP(M910,'Budget-S&amp;U Codes Lookup'!$E$26:$F$45,2,FALSE))</f>
        <v/>
      </c>
      <c r="P910" s="186"/>
    </row>
    <row r="911" spans="1:16" hidden="1">
      <c r="A911" s="81"/>
      <c r="B911" s="82" t="str">
        <f>IFERROR(VLOOKUP(A911,'Budget-S&amp;U Codes Lookup'!$A$7:$B$550,2,FALSE),"")</f>
        <v/>
      </c>
      <c r="C911" s="993"/>
      <c r="D911" s="118"/>
      <c r="E911" s="131"/>
      <c r="F911" s="126"/>
      <c r="G911" s="126"/>
      <c r="H911" s="125">
        <f t="shared" si="14"/>
        <v>0</v>
      </c>
      <c r="I911" s="191"/>
      <c r="J911" s="268"/>
      <c r="K911" s="182" t="str">
        <f>IFERROR(VLOOKUP(A911,'Budget-S&amp;U Codes Lookup'!$A$7:$C$550,3,FALSE),"")</f>
        <v/>
      </c>
      <c r="L911" s="1041"/>
      <c r="M911" s="753"/>
      <c r="N911" s="3" t="str">
        <f>IF(M911="","",VLOOKUP(M911,'Budget-S&amp;U Codes Lookup'!$E$26:$F$45,2,FALSE))</f>
        <v/>
      </c>
      <c r="P911" s="186"/>
    </row>
    <row r="912" spans="1:16" hidden="1">
      <c r="A912" s="81"/>
      <c r="B912" s="82" t="str">
        <f>IFERROR(VLOOKUP(A912,'Budget-S&amp;U Codes Lookup'!$A$7:$B$550,2,FALSE),"")</f>
        <v/>
      </c>
      <c r="C912" s="993"/>
      <c r="D912" s="118"/>
      <c r="E912" s="131"/>
      <c r="F912" s="126"/>
      <c r="G912" s="126"/>
      <c r="H912" s="125">
        <f t="shared" si="14"/>
        <v>0</v>
      </c>
      <c r="I912" s="191"/>
      <c r="J912" s="268"/>
      <c r="K912" s="182" t="str">
        <f>IFERROR(VLOOKUP(A912,'Budget-S&amp;U Codes Lookup'!$A$7:$C$550,3,FALSE),"")</f>
        <v/>
      </c>
      <c r="L912" s="1041"/>
      <c r="M912" s="753"/>
      <c r="N912" s="3" t="str">
        <f>IF(M912="","",VLOOKUP(M912,'Budget-S&amp;U Codes Lookup'!$E$26:$F$45,2,FALSE))</f>
        <v/>
      </c>
      <c r="P912" s="186"/>
    </row>
    <row r="913" spans="1:16" hidden="1">
      <c r="A913" s="81"/>
      <c r="B913" s="82" t="str">
        <f>IFERROR(VLOOKUP(A913,'Budget-S&amp;U Codes Lookup'!$A$7:$B$550,2,FALSE),"")</f>
        <v/>
      </c>
      <c r="C913" s="993"/>
      <c r="D913" s="118"/>
      <c r="E913" s="131"/>
      <c r="F913" s="126"/>
      <c r="G913" s="126"/>
      <c r="H913" s="125">
        <f t="shared" si="14"/>
        <v>0</v>
      </c>
      <c r="I913" s="191"/>
      <c r="J913" s="268"/>
      <c r="K913" s="182" t="str">
        <f>IFERROR(VLOOKUP(A913,'Budget-S&amp;U Codes Lookup'!$A$7:$C$550,3,FALSE),"")</f>
        <v/>
      </c>
      <c r="L913" s="1041"/>
      <c r="M913" s="753"/>
      <c r="N913" s="3" t="str">
        <f>IF(M913="","",VLOOKUP(M913,'Budget-S&amp;U Codes Lookup'!$E$26:$F$45,2,FALSE))</f>
        <v/>
      </c>
      <c r="P913" s="186"/>
    </row>
    <row r="914" spans="1:16" hidden="1">
      <c r="A914" s="81"/>
      <c r="B914" s="82" t="str">
        <f>IFERROR(VLOOKUP(A914,'Budget-S&amp;U Codes Lookup'!$A$7:$B$550,2,FALSE),"")</f>
        <v/>
      </c>
      <c r="C914" s="993"/>
      <c r="D914" s="118"/>
      <c r="E914" s="131"/>
      <c r="F914" s="126"/>
      <c r="G914" s="126"/>
      <c r="H914" s="125">
        <f t="shared" si="14"/>
        <v>0</v>
      </c>
      <c r="I914" s="191"/>
      <c r="J914" s="268"/>
      <c r="K914" s="182" t="str">
        <f>IFERROR(VLOOKUP(A914,'Budget-S&amp;U Codes Lookup'!$A$7:$C$550,3,FALSE),"")</f>
        <v/>
      </c>
      <c r="L914" s="1041"/>
      <c r="M914" s="753"/>
      <c r="N914" s="3" t="str">
        <f>IF(M914="","",VLOOKUP(M914,'Budget-S&amp;U Codes Lookup'!$E$26:$F$45,2,FALSE))</f>
        <v/>
      </c>
      <c r="P914" s="186"/>
    </row>
    <row r="915" spans="1:16" hidden="1">
      <c r="A915" s="81"/>
      <c r="B915" s="82" t="str">
        <f>IFERROR(VLOOKUP(A915,'Budget-S&amp;U Codes Lookup'!$A$7:$B$550,2,FALSE),"")</f>
        <v/>
      </c>
      <c r="C915" s="993"/>
      <c r="D915" s="118"/>
      <c r="E915" s="131"/>
      <c r="F915" s="126"/>
      <c r="G915" s="126"/>
      <c r="H915" s="125">
        <f t="shared" si="14"/>
        <v>0</v>
      </c>
      <c r="I915" s="191"/>
      <c r="J915" s="268"/>
      <c r="K915" s="182" t="str">
        <f>IFERROR(VLOOKUP(A915,'Budget-S&amp;U Codes Lookup'!$A$7:$C$550,3,FALSE),"")</f>
        <v/>
      </c>
      <c r="L915" s="1041"/>
      <c r="M915" s="753"/>
      <c r="N915" s="3" t="str">
        <f>IF(M915="","",VLOOKUP(M915,'Budget-S&amp;U Codes Lookup'!$E$26:$F$45,2,FALSE))</f>
        <v/>
      </c>
      <c r="P915" s="186"/>
    </row>
    <row r="916" spans="1:16" hidden="1">
      <c r="A916" s="81"/>
      <c r="B916" s="82" t="str">
        <f>IFERROR(VLOOKUP(A916,'Budget-S&amp;U Codes Lookup'!$A$7:$B$550,2,FALSE),"")</f>
        <v/>
      </c>
      <c r="C916" s="993"/>
      <c r="D916" s="118"/>
      <c r="E916" s="131"/>
      <c r="F916" s="126"/>
      <c r="G916" s="126"/>
      <c r="H916" s="125">
        <f t="shared" si="14"/>
        <v>0</v>
      </c>
      <c r="I916" s="191"/>
      <c r="J916" s="268"/>
      <c r="K916" s="182" t="str">
        <f>IFERROR(VLOOKUP(A916,'Budget-S&amp;U Codes Lookup'!$A$7:$C$550,3,FALSE),"")</f>
        <v/>
      </c>
      <c r="L916" s="1041"/>
      <c r="M916" s="753"/>
      <c r="N916" s="3" t="str">
        <f>IF(M916="","",VLOOKUP(M916,'Budget-S&amp;U Codes Lookup'!$E$26:$F$45,2,FALSE))</f>
        <v/>
      </c>
      <c r="P916" s="186"/>
    </row>
    <row r="917" spans="1:16" hidden="1">
      <c r="A917" s="81"/>
      <c r="B917" s="82" t="str">
        <f>IFERROR(VLOOKUP(A917,'Budget-S&amp;U Codes Lookup'!$A$7:$B$550,2,FALSE),"")</f>
        <v/>
      </c>
      <c r="C917" s="993"/>
      <c r="D917" s="118"/>
      <c r="E917" s="131"/>
      <c r="F917" s="126"/>
      <c r="G917" s="126"/>
      <c r="H917" s="125">
        <f t="shared" si="14"/>
        <v>0</v>
      </c>
      <c r="I917" s="191"/>
      <c r="J917" s="268"/>
      <c r="K917" s="182" t="str">
        <f>IFERROR(VLOOKUP(A917,'Budget-S&amp;U Codes Lookup'!$A$7:$C$550,3,FALSE),"")</f>
        <v/>
      </c>
      <c r="L917" s="1041"/>
      <c r="M917" s="753"/>
      <c r="N917" s="3" t="str">
        <f>IF(M917="","",VLOOKUP(M917,'Budget-S&amp;U Codes Lookup'!$E$26:$F$45,2,FALSE))</f>
        <v/>
      </c>
      <c r="P917" s="186"/>
    </row>
    <row r="918" spans="1:16" hidden="1">
      <c r="A918" s="81"/>
      <c r="B918" s="82" t="str">
        <f>IFERROR(VLOOKUP(A918,'Budget-S&amp;U Codes Lookup'!$A$7:$B$550,2,FALSE),"")</f>
        <v/>
      </c>
      <c r="C918" s="993"/>
      <c r="D918" s="118"/>
      <c r="E918" s="131"/>
      <c r="F918" s="126"/>
      <c r="G918" s="126"/>
      <c r="H918" s="125">
        <f t="shared" si="14"/>
        <v>0</v>
      </c>
      <c r="I918" s="191"/>
      <c r="J918" s="268"/>
      <c r="K918" s="182" t="str">
        <f>IFERROR(VLOOKUP(A918,'Budget-S&amp;U Codes Lookup'!$A$7:$C$550,3,FALSE),"")</f>
        <v/>
      </c>
      <c r="L918" s="1041"/>
      <c r="M918" s="753"/>
      <c r="N918" s="3" t="str">
        <f>IF(M918="","",VLOOKUP(M918,'Budget-S&amp;U Codes Lookup'!$E$26:$F$45,2,FALSE))</f>
        <v/>
      </c>
      <c r="P918" s="186"/>
    </row>
    <row r="919" spans="1:16" hidden="1">
      <c r="A919" s="81"/>
      <c r="B919" s="82" t="str">
        <f>IFERROR(VLOOKUP(A919,'Budget-S&amp;U Codes Lookup'!$A$7:$B$550,2,FALSE),"")</f>
        <v/>
      </c>
      <c r="C919" s="993"/>
      <c r="D919" s="118"/>
      <c r="E919" s="131"/>
      <c r="F919" s="126"/>
      <c r="G919" s="126"/>
      <c r="H919" s="125">
        <f t="shared" si="14"/>
        <v>0</v>
      </c>
      <c r="I919" s="191"/>
      <c r="J919" s="268"/>
      <c r="K919" s="182" t="str">
        <f>IFERROR(VLOOKUP(A919,'Budget-S&amp;U Codes Lookup'!$A$7:$C$550,3,FALSE),"")</f>
        <v/>
      </c>
      <c r="L919" s="1041"/>
      <c r="M919" s="753"/>
      <c r="N919" s="3" t="str">
        <f>IF(M919="","",VLOOKUP(M919,'Budget-S&amp;U Codes Lookup'!$E$26:$F$45,2,FALSE))</f>
        <v/>
      </c>
      <c r="P919" s="186"/>
    </row>
    <row r="920" spans="1:16" hidden="1">
      <c r="A920" s="81"/>
      <c r="B920" s="82" t="str">
        <f>IFERROR(VLOOKUP(A920,'Budget-S&amp;U Codes Lookup'!$A$7:$B$550,2,FALSE),"")</f>
        <v/>
      </c>
      <c r="C920" s="993"/>
      <c r="D920" s="118"/>
      <c r="E920" s="131"/>
      <c r="F920" s="126"/>
      <c r="G920" s="126"/>
      <c r="H920" s="125">
        <f t="shared" si="14"/>
        <v>0</v>
      </c>
      <c r="I920" s="191"/>
      <c r="J920" s="268"/>
      <c r="K920" s="182" t="str">
        <f>IFERROR(VLOOKUP(A920,'Budget-S&amp;U Codes Lookup'!$A$7:$C$550,3,FALSE),"")</f>
        <v/>
      </c>
      <c r="L920" s="1041"/>
      <c r="M920" s="753"/>
      <c r="N920" s="3" t="str">
        <f>IF(M920="","",VLOOKUP(M920,'Budget-S&amp;U Codes Lookup'!$E$26:$F$45,2,FALSE))</f>
        <v/>
      </c>
      <c r="P920" s="186"/>
    </row>
    <row r="921" spans="1:16" hidden="1">
      <c r="A921" s="81"/>
      <c r="B921" s="82" t="str">
        <f>IFERROR(VLOOKUP(A921,'Budget-S&amp;U Codes Lookup'!$A$7:$B$550,2,FALSE),"")</f>
        <v/>
      </c>
      <c r="C921" s="993"/>
      <c r="D921" s="118"/>
      <c r="E921" s="131"/>
      <c r="F921" s="126"/>
      <c r="G921" s="126"/>
      <c r="H921" s="125">
        <f t="shared" si="14"/>
        <v>0</v>
      </c>
      <c r="I921" s="191"/>
      <c r="J921" s="268"/>
      <c r="K921" s="182" t="str">
        <f>IFERROR(VLOOKUP(A921,'Budget-S&amp;U Codes Lookup'!$A$7:$C$550,3,FALSE),"")</f>
        <v/>
      </c>
      <c r="L921" s="1041"/>
      <c r="M921" s="753"/>
      <c r="N921" s="3" t="str">
        <f>IF(M921="","",VLOOKUP(M921,'Budget-S&amp;U Codes Lookup'!$E$26:$F$45,2,FALSE))</f>
        <v/>
      </c>
      <c r="P921" s="186"/>
    </row>
    <row r="922" spans="1:16" hidden="1">
      <c r="A922" s="81"/>
      <c r="B922" s="82" t="str">
        <f>IFERROR(VLOOKUP(A922,'Budget-S&amp;U Codes Lookup'!$A$7:$B$550,2,FALSE),"")</f>
        <v/>
      </c>
      <c r="C922" s="993"/>
      <c r="D922" s="118"/>
      <c r="E922" s="131"/>
      <c r="F922" s="126"/>
      <c r="G922" s="126"/>
      <c r="H922" s="125">
        <f t="shared" si="14"/>
        <v>0</v>
      </c>
      <c r="I922" s="191"/>
      <c r="J922" s="268"/>
      <c r="K922" s="182" t="str">
        <f>IFERROR(VLOOKUP(A922,'Budget-S&amp;U Codes Lookup'!$A$7:$C$550,3,FALSE),"")</f>
        <v/>
      </c>
      <c r="L922" s="1041"/>
      <c r="M922" s="753"/>
      <c r="N922" s="3" t="str">
        <f>IF(M922="","",VLOOKUP(M922,'Budget-S&amp;U Codes Lookup'!$E$26:$F$45,2,FALSE))</f>
        <v/>
      </c>
      <c r="P922" s="186"/>
    </row>
    <row r="923" spans="1:16" hidden="1">
      <c r="A923" s="81"/>
      <c r="B923" s="82" t="str">
        <f>IFERROR(VLOOKUP(A923,'Budget-S&amp;U Codes Lookup'!$A$7:$B$550,2,FALSE),"")</f>
        <v/>
      </c>
      <c r="C923" s="993"/>
      <c r="D923" s="118"/>
      <c r="E923" s="131"/>
      <c r="F923" s="126"/>
      <c r="G923" s="126"/>
      <c r="H923" s="125">
        <f t="shared" si="14"/>
        <v>0</v>
      </c>
      <c r="I923" s="191"/>
      <c r="J923" s="268"/>
      <c r="K923" s="182" t="str">
        <f>IFERROR(VLOOKUP(A923,'Budget-S&amp;U Codes Lookup'!$A$7:$C$550,3,FALSE),"")</f>
        <v/>
      </c>
      <c r="L923" s="1041"/>
      <c r="M923" s="753"/>
      <c r="N923" s="3" t="str">
        <f>IF(M923="","",VLOOKUP(M923,'Budget-S&amp;U Codes Lookup'!$E$26:$F$45,2,FALSE))</f>
        <v/>
      </c>
      <c r="P923" s="186"/>
    </row>
    <row r="924" spans="1:16" hidden="1">
      <c r="A924" s="81"/>
      <c r="B924" s="82" t="str">
        <f>IFERROR(VLOOKUP(A924,'Budget-S&amp;U Codes Lookup'!$A$7:$B$550,2,FALSE),"")</f>
        <v/>
      </c>
      <c r="C924" s="993"/>
      <c r="D924" s="118"/>
      <c r="E924" s="131"/>
      <c r="F924" s="126"/>
      <c r="G924" s="126"/>
      <c r="H924" s="125">
        <f t="shared" si="14"/>
        <v>0</v>
      </c>
      <c r="I924" s="191"/>
      <c r="J924" s="268"/>
      <c r="K924" s="182" t="str">
        <f>IFERROR(VLOOKUP(A924,'Budget-S&amp;U Codes Lookup'!$A$7:$C$550,3,FALSE),"")</f>
        <v/>
      </c>
      <c r="L924" s="1041"/>
      <c r="M924" s="753"/>
      <c r="N924" s="3" t="str">
        <f>IF(M924="","",VLOOKUP(M924,'Budget-S&amp;U Codes Lookup'!$E$26:$F$45,2,FALSE))</f>
        <v/>
      </c>
      <c r="P924" s="186"/>
    </row>
    <row r="925" spans="1:16" hidden="1">
      <c r="A925" s="81"/>
      <c r="B925" s="82" t="str">
        <f>IFERROR(VLOOKUP(A925,'Budget-S&amp;U Codes Lookup'!$A$7:$B$550,2,FALSE),"")</f>
        <v/>
      </c>
      <c r="C925" s="993"/>
      <c r="D925" s="118"/>
      <c r="E925" s="131"/>
      <c r="F925" s="126"/>
      <c r="G925" s="126"/>
      <c r="H925" s="125">
        <f t="shared" si="14"/>
        <v>0</v>
      </c>
      <c r="I925" s="191"/>
      <c r="J925" s="268"/>
      <c r="K925" s="182" t="str">
        <f>IFERROR(VLOOKUP(A925,'Budget-S&amp;U Codes Lookup'!$A$7:$C$550,3,FALSE),"")</f>
        <v/>
      </c>
      <c r="L925" s="1041"/>
      <c r="M925" s="753"/>
      <c r="N925" s="3" t="str">
        <f>IF(M925="","",VLOOKUP(M925,'Budget-S&amp;U Codes Lookup'!$E$26:$F$45,2,FALSE))</f>
        <v/>
      </c>
      <c r="P925" s="186"/>
    </row>
    <row r="926" spans="1:16" hidden="1">
      <c r="A926" s="81"/>
      <c r="B926" s="82" t="str">
        <f>IFERROR(VLOOKUP(A926,'Budget-S&amp;U Codes Lookup'!$A$7:$B$550,2,FALSE),"")</f>
        <v/>
      </c>
      <c r="C926" s="993"/>
      <c r="D926" s="118"/>
      <c r="E926" s="131"/>
      <c r="F926" s="126"/>
      <c r="G926" s="126"/>
      <c r="H926" s="125">
        <f t="shared" si="14"/>
        <v>0</v>
      </c>
      <c r="I926" s="191"/>
      <c r="J926" s="268"/>
      <c r="K926" s="182" t="str">
        <f>IFERROR(VLOOKUP(A926,'Budget-S&amp;U Codes Lookup'!$A$7:$C$550,3,FALSE),"")</f>
        <v/>
      </c>
      <c r="L926" s="1041"/>
      <c r="M926" s="753"/>
      <c r="N926" s="3" t="str">
        <f>IF(M926="","",VLOOKUP(M926,'Budget-S&amp;U Codes Lookup'!$E$26:$F$45,2,FALSE))</f>
        <v/>
      </c>
      <c r="P926" s="186"/>
    </row>
    <row r="927" spans="1:16" hidden="1">
      <c r="A927" s="81"/>
      <c r="B927" s="82" t="str">
        <f>IFERROR(VLOOKUP(A927,'Budget-S&amp;U Codes Lookup'!$A$7:$B$550,2,FALSE),"")</f>
        <v/>
      </c>
      <c r="C927" s="993"/>
      <c r="D927" s="118"/>
      <c r="E927" s="131"/>
      <c r="F927" s="126"/>
      <c r="G927" s="126"/>
      <c r="H927" s="125">
        <f t="shared" si="14"/>
        <v>0</v>
      </c>
      <c r="I927" s="191"/>
      <c r="J927" s="268"/>
      <c r="K927" s="182" t="str">
        <f>IFERROR(VLOOKUP(A927,'Budget-S&amp;U Codes Lookup'!$A$7:$C$550,3,FALSE),"")</f>
        <v/>
      </c>
      <c r="L927" s="1041"/>
      <c r="M927" s="753"/>
      <c r="N927" s="3" t="str">
        <f>IF(M927="","",VLOOKUP(M927,'Budget-S&amp;U Codes Lookup'!$E$26:$F$45,2,FALSE))</f>
        <v/>
      </c>
      <c r="P927" s="186"/>
    </row>
    <row r="928" spans="1:16" hidden="1">
      <c r="A928" s="81"/>
      <c r="B928" s="82" t="str">
        <f>IFERROR(VLOOKUP(A928,'Budget-S&amp;U Codes Lookup'!$A$7:$B$550,2,FALSE),"")</f>
        <v/>
      </c>
      <c r="C928" s="993"/>
      <c r="D928" s="118"/>
      <c r="E928" s="131"/>
      <c r="F928" s="126"/>
      <c r="G928" s="126"/>
      <c r="H928" s="125">
        <f t="shared" si="14"/>
        <v>0</v>
      </c>
      <c r="I928" s="191"/>
      <c r="J928" s="268"/>
      <c r="K928" s="182" t="str">
        <f>IFERROR(VLOOKUP(A928,'Budget-S&amp;U Codes Lookup'!$A$7:$C$550,3,FALSE),"")</f>
        <v/>
      </c>
      <c r="L928" s="1041"/>
      <c r="M928" s="753"/>
      <c r="N928" s="3" t="str">
        <f>IF(M928="","",VLOOKUP(M928,'Budget-S&amp;U Codes Lookup'!$E$26:$F$45,2,FALSE))</f>
        <v/>
      </c>
      <c r="P928" s="186"/>
    </row>
    <row r="929" spans="1:16" hidden="1">
      <c r="A929" s="81"/>
      <c r="B929" s="82" t="str">
        <f>IFERROR(VLOOKUP(A929,'Budget-S&amp;U Codes Lookup'!$A$7:$B$550,2,FALSE),"")</f>
        <v/>
      </c>
      <c r="C929" s="993"/>
      <c r="D929" s="118"/>
      <c r="E929" s="131"/>
      <c r="F929" s="126"/>
      <c r="G929" s="126"/>
      <c r="H929" s="125">
        <f t="shared" si="14"/>
        <v>0</v>
      </c>
      <c r="I929" s="191"/>
      <c r="J929" s="268"/>
      <c r="K929" s="182" t="str">
        <f>IFERROR(VLOOKUP(A929,'Budget-S&amp;U Codes Lookup'!$A$7:$C$550,3,FALSE),"")</f>
        <v/>
      </c>
      <c r="L929" s="1041"/>
      <c r="M929" s="753"/>
      <c r="N929" s="3" t="str">
        <f>IF(M929="","",VLOOKUP(M929,'Budget-S&amp;U Codes Lookup'!$E$26:$F$45,2,FALSE))</f>
        <v/>
      </c>
      <c r="P929" s="186"/>
    </row>
    <row r="930" spans="1:16" hidden="1">
      <c r="A930" s="81"/>
      <c r="B930" s="82" t="str">
        <f>IFERROR(VLOOKUP(A930,'Budget-S&amp;U Codes Lookup'!$A$7:$B$550,2,FALSE),"")</f>
        <v/>
      </c>
      <c r="C930" s="993"/>
      <c r="D930" s="118"/>
      <c r="E930" s="131"/>
      <c r="F930" s="126"/>
      <c r="G930" s="126"/>
      <c r="H930" s="125">
        <f t="shared" si="14"/>
        <v>0</v>
      </c>
      <c r="I930" s="191"/>
      <c r="J930" s="268"/>
      <c r="K930" s="182" t="str">
        <f>IFERROR(VLOOKUP(A930,'Budget-S&amp;U Codes Lookup'!$A$7:$C$550,3,FALSE),"")</f>
        <v/>
      </c>
      <c r="L930" s="1041"/>
      <c r="M930" s="753"/>
      <c r="N930" s="3" t="str">
        <f>IF(M930="","",VLOOKUP(M930,'Budget-S&amp;U Codes Lookup'!$E$26:$F$45,2,FALSE))</f>
        <v/>
      </c>
      <c r="P930" s="186"/>
    </row>
    <row r="931" spans="1:16" hidden="1">
      <c r="A931" s="81"/>
      <c r="B931" s="82" t="str">
        <f>IFERROR(VLOOKUP(A931,'Budget-S&amp;U Codes Lookup'!$A$7:$B$550,2,FALSE),"")</f>
        <v/>
      </c>
      <c r="C931" s="993"/>
      <c r="D931" s="118"/>
      <c r="E931" s="131"/>
      <c r="F931" s="126"/>
      <c r="G931" s="126"/>
      <c r="H931" s="125">
        <f t="shared" si="14"/>
        <v>0</v>
      </c>
      <c r="I931" s="191"/>
      <c r="J931" s="268"/>
      <c r="K931" s="182" t="str">
        <f>IFERROR(VLOOKUP(A931,'Budget-S&amp;U Codes Lookup'!$A$7:$C$550,3,FALSE),"")</f>
        <v/>
      </c>
      <c r="L931" s="1041"/>
      <c r="M931" s="753"/>
      <c r="N931" s="3" t="str">
        <f>IF(M931="","",VLOOKUP(M931,'Budget-S&amp;U Codes Lookup'!$E$26:$F$45,2,FALSE))</f>
        <v/>
      </c>
      <c r="P931" s="186"/>
    </row>
    <row r="932" spans="1:16" hidden="1">
      <c r="A932" s="81"/>
      <c r="B932" s="82" t="str">
        <f>IFERROR(VLOOKUP(A932,'Budget-S&amp;U Codes Lookup'!$A$7:$B$550,2,FALSE),"")</f>
        <v/>
      </c>
      <c r="C932" s="993"/>
      <c r="D932" s="118"/>
      <c r="E932" s="131"/>
      <c r="F932" s="126"/>
      <c r="G932" s="126"/>
      <c r="H932" s="125">
        <f t="shared" si="14"/>
        <v>0</v>
      </c>
      <c r="I932" s="191"/>
      <c r="J932" s="268"/>
      <c r="K932" s="182" t="str">
        <f>IFERROR(VLOOKUP(A932,'Budget-S&amp;U Codes Lookup'!$A$7:$C$550,3,FALSE),"")</f>
        <v/>
      </c>
      <c r="L932" s="1041"/>
      <c r="M932" s="753"/>
      <c r="N932" s="3" t="str">
        <f>IF(M932="","",VLOOKUP(M932,'Budget-S&amp;U Codes Lookup'!$E$26:$F$45,2,FALSE))</f>
        <v/>
      </c>
      <c r="P932" s="186"/>
    </row>
    <row r="933" spans="1:16" hidden="1">
      <c r="A933" s="81"/>
      <c r="B933" s="82" t="str">
        <f>IFERROR(VLOOKUP(A933,'Budget-S&amp;U Codes Lookup'!$A$7:$B$550,2,FALSE),"")</f>
        <v/>
      </c>
      <c r="C933" s="993"/>
      <c r="D933" s="118"/>
      <c r="E933" s="131"/>
      <c r="F933" s="126"/>
      <c r="G933" s="126"/>
      <c r="H933" s="125">
        <f t="shared" si="14"/>
        <v>0</v>
      </c>
      <c r="I933" s="191"/>
      <c r="J933" s="268"/>
      <c r="K933" s="182" t="str">
        <f>IFERROR(VLOOKUP(A933,'Budget-S&amp;U Codes Lookup'!$A$7:$C$550,3,FALSE),"")</f>
        <v/>
      </c>
      <c r="L933" s="1041"/>
      <c r="M933" s="753"/>
      <c r="N933" s="3" t="str">
        <f>IF(M933="","",VLOOKUP(M933,'Budget-S&amp;U Codes Lookup'!$E$26:$F$45,2,FALSE))</f>
        <v/>
      </c>
      <c r="P933" s="186"/>
    </row>
    <row r="934" spans="1:16" hidden="1">
      <c r="A934" s="81"/>
      <c r="B934" s="82" t="str">
        <f>IFERROR(VLOOKUP(A934,'Budget-S&amp;U Codes Lookup'!$A$7:$B$550,2,FALSE),"")</f>
        <v/>
      </c>
      <c r="C934" s="993"/>
      <c r="D934" s="118"/>
      <c r="E934" s="131"/>
      <c r="F934" s="126"/>
      <c r="G934" s="126"/>
      <c r="H934" s="125">
        <f t="shared" si="14"/>
        <v>0</v>
      </c>
      <c r="I934" s="191"/>
      <c r="J934" s="268"/>
      <c r="K934" s="182" t="str">
        <f>IFERROR(VLOOKUP(A934,'Budget-S&amp;U Codes Lookup'!$A$7:$C$550,3,FALSE),"")</f>
        <v/>
      </c>
      <c r="L934" s="1041"/>
      <c r="M934" s="753"/>
      <c r="N934" s="3" t="str">
        <f>IF(M934="","",VLOOKUP(M934,'Budget-S&amp;U Codes Lookup'!$E$26:$F$45,2,FALSE))</f>
        <v/>
      </c>
      <c r="P934" s="186"/>
    </row>
    <row r="935" spans="1:16" hidden="1">
      <c r="A935" s="81"/>
      <c r="B935" s="82" t="str">
        <f>IFERROR(VLOOKUP(A935,'Budget-S&amp;U Codes Lookup'!$A$7:$B$550,2,FALSE),"")</f>
        <v/>
      </c>
      <c r="C935" s="993"/>
      <c r="D935" s="118"/>
      <c r="E935" s="131"/>
      <c r="F935" s="126"/>
      <c r="G935" s="126"/>
      <c r="H935" s="125">
        <f t="shared" si="14"/>
        <v>0</v>
      </c>
      <c r="I935" s="191"/>
      <c r="J935" s="268"/>
      <c r="K935" s="182" t="str">
        <f>IFERROR(VLOOKUP(A935,'Budget-S&amp;U Codes Lookup'!$A$7:$C$550,3,FALSE),"")</f>
        <v/>
      </c>
      <c r="L935" s="1041"/>
      <c r="M935" s="753"/>
      <c r="N935" s="3" t="str">
        <f>IF(M935="","",VLOOKUP(M935,'Budget-S&amp;U Codes Lookup'!$E$26:$F$45,2,FALSE))</f>
        <v/>
      </c>
      <c r="P935" s="186"/>
    </row>
    <row r="936" spans="1:16" hidden="1">
      <c r="A936" s="81"/>
      <c r="B936" s="82" t="str">
        <f>IFERROR(VLOOKUP(A936,'Budget-S&amp;U Codes Lookup'!$A$7:$B$550,2,FALSE),"")</f>
        <v/>
      </c>
      <c r="C936" s="993"/>
      <c r="D936" s="118"/>
      <c r="E936" s="131"/>
      <c r="F936" s="126"/>
      <c r="G936" s="126"/>
      <c r="H936" s="125">
        <f t="shared" si="14"/>
        <v>0</v>
      </c>
      <c r="I936" s="191"/>
      <c r="J936" s="268"/>
      <c r="K936" s="182" t="str">
        <f>IFERROR(VLOOKUP(A936,'Budget-S&amp;U Codes Lookup'!$A$7:$C$550,3,FALSE),"")</f>
        <v/>
      </c>
      <c r="L936" s="1041"/>
      <c r="M936" s="753"/>
      <c r="N936" s="3" t="str">
        <f>IF(M936="","",VLOOKUP(M936,'Budget-S&amp;U Codes Lookup'!$E$26:$F$45,2,FALSE))</f>
        <v/>
      </c>
      <c r="P936" s="186"/>
    </row>
    <row r="937" spans="1:16" hidden="1">
      <c r="A937" s="81"/>
      <c r="B937" s="82" t="str">
        <f>IFERROR(VLOOKUP(A937,'Budget-S&amp;U Codes Lookup'!$A$7:$B$550,2,FALSE),"")</f>
        <v/>
      </c>
      <c r="C937" s="993"/>
      <c r="D937" s="118"/>
      <c r="E937" s="131"/>
      <c r="F937" s="126"/>
      <c r="G937" s="126"/>
      <c r="H937" s="125">
        <f t="shared" si="14"/>
        <v>0</v>
      </c>
      <c r="I937" s="191"/>
      <c r="J937" s="268"/>
      <c r="K937" s="182" t="str">
        <f>IFERROR(VLOOKUP(A937,'Budget-S&amp;U Codes Lookup'!$A$7:$C$550,3,FALSE),"")</f>
        <v/>
      </c>
      <c r="L937" s="1041"/>
      <c r="M937" s="753"/>
      <c r="N937" s="3" t="str">
        <f>IF(M937="","",VLOOKUP(M937,'Budget-S&amp;U Codes Lookup'!$E$26:$F$45,2,FALSE))</f>
        <v/>
      </c>
      <c r="P937" s="186"/>
    </row>
    <row r="938" spans="1:16" hidden="1">
      <c r="A938" s="81"/>
      <c r="B938" s="82" t="str">
        <f>IFERROR(VLOOKUP(A938,'Budget-S&amp;U Codes Lookup'!$A$7:$B$550,2,FALSE),"")</f>
        <v/>
      </c>
      <c r="C938" s="993"/>
      <c r="D938" s="118"/>
      <c r="E938" s="131"/>
      <c r="F938" s="126"/>
      <c r="G938" s="126"/>
      <c r="H938" s="125">
        <f t="shared" si="14"/>
        <v>0</v>
      </c>
      <c r="I938" s="191"/>
      <c r="J938" s="268"/>
      <c r="K938" s="182" t="str">
        <f>IFERROR(VLOOKUP(A938,'Budget-S&amp;U Codes Lookup'!$A$7:$C$550,3,FALSE),"")</f>
        <v/>
      </c>
      <c r="L938" s="1041"/>
      <c r="M938" s="753"/>
      <c r="N938" s="3" t="str">
        <f>IF(M938="","",VLOOKUP(M938,'Budget-S&amp;U Codes Lookup'!$E$26:$F$45,2,FALSE))</f>
        <v/>
      </c>
      <c r="P938" s="186"/>
    </row>
    <row r="939" spans="1:16" hidden="1">
      <c r="A939" s="81"/>
      <c r="B939" s="82" t="str">
        <f>IFERROR(VLOOKUP(A939,'Budget-S&amp;U Codes Lookup'!$A$7:$B$550,2,FALSE),"")</f>
        <v/>
      </c>
      <c r="C939" s="993"/>
      <c r="D939" s="118"/>
      <c r="E939" s="131"/>
      <c r="F939" s="126"/>
      <c r="G939" s="126"/>
      <c r="H939" s="125">
        <f t="shared" si="14"/>
        <v>0</v>
      </c>
      <c r="I939" s="191"/>
      <c r="J939" s="268"/>
      <c r="K939" s="182" t="str">
        <f>IFERROR(VLOOKUP(A939,'Budget-S&amp;U Codes Lookup'!$A$7:$C$550,3,FALSE),"")</f>
        <v/>
      </c>
      <c r="L939" s="1041"/>
      <c r="M939" s="753"/>
      <c r="N939" s="3" t="str">
        <f>IF(M939="","",VLOOKUP(M939,'Budget-S&amp;U Codes Lookup'!$E$26:$F$45,2,FALSE))</f>
        <v/>
      </c>
      <c r="P939" s="186"/>
    </row>
    <row r="940" spans="1:16" hidden="1">
      <c r="A940" s="81"/>
      <c r="B940" s="82" t="str">
        <f>IFERROR(VLOOKUP(A940,'Budget-S&amp;U Codes Lookup'!$A$7:$B$550,2,FALSE),"")</f>
        <v/>
      </c>
      <c r="C940" s="993"/>
      <c r="D940" s="118"/>
      <c r="E940" s="131"/>
      <c r="F940" s="126"/>
      <c r="G940" s="126"/>
      <c r="H940" s="125">
        <f t="shared" si="14"/>
        <v>0</v>
      </c>
      <c r="I940" s="191"/>
      <c r="J940" s="268"/>
      <c r="K940" s="182" t="str">
        <f>IFERROR(VLOOKUP(A940,'Budget-S&amp;U Codes Lookup'!$A$7:$C$550,3,FALSE),"")</f>
        <v/>
      </c>
      <c r="L940" s="1041"/>
      <c r="M940" s="753"/>
      <c r="N940" s="3" t="str">
        <f>IF(M940="","",VLOOKUP(M940,'Budget-S&amp;U Codes Lookup'!$E$26:$F$45,2,FALSE))</f>
        <v/>
      </c>
      <c r="P940" s="186"/>
    </row>
    <row r="941" spans="1:16" hidden="1">
      <c r="A941" s="81"/>
      <c r="B941" s="82" t="str">
        <f>IFERROR(VLOOKUP(A941,'Budget-S&amp;U Codes Lookup'!$A$7:$B$550,2,FALSE),"")</f>
        <v/>
      </c>
      <c r="C941" s="993"/>
      <c r="D941" s="118"/>
      <c r="E941" s="131"/>
      <c r="F941" s="126"/>
      <c r="G941" s="126"/>
      <c r="H941" s="125">
        <f t="shared" si="14"/>
        <v>0</v>
      </c>
      <c r="I941" s="191"/>
      <c r="J941" s="268"/>
      <c r="K941" s="182" t="str">
        <f>IFERROR(VLOOKUP(A941,'Budget-S&amp;U Codes Lookup'!$A$7:$C$550,3,FALSE),"")</f>
        <v/>
      </c>
      <c r="L941" s="1041"/>
      <c r="M941" s="753"/>
      <c r="N941" s="3" t="str">
        <f>IF(M941="","",VLOOKUP(M941,'Budget-S&amp;U Codes Lookup'!$E$26:$F$45,2,FALSE))</f>
        <v/>
      </c>
      <c r="P941" s="186"/>
    </row>
    <row r="942" spans="1:16" hidden="1">
      <c r="A942" s="81"/>
      <c r="B942" s="82" t="str">
        <f>IFERROR(VLOOKUP(A942,'Budget-S&amp;U Codes Lookup'!$A$7:$B$550,2,FALSE),"")</f>
        <v/>
      </c>
      <c r="C942" s="993"/>
      <c r="D942" s="118"/>
      <c r="E942" s="131"/>
      <c r="F942" s="126"/>
      <c r="G942" s="126"/>
      <c r="H942" s="125">
        <f t="shared" si="14"/>
        <v>0</v>
      </c>
      <c r="I942" s="191"/>
      <c r="J942" s="268"/>
      <c r="K942" s="182" t="str">
        <f>IFERROR(VLOOKUP(A942,'Budget-S&amp;U Codes Lookup'!$A$7:$C$550,3,FALSE),"")</f>
        <v/>
      </c>
      <c r="L942" s="1041"/>
      <c r="M942" s="753"/>
      <c r="N942" s="3" t="str">
        <f>IF(M942="","",VLOOKUP(M942,'Budget-S&amp;U Codes Lookup'!$E$26:$F$45,2,FALSE))</f>
        <v/>
      </c>
      <c r="P942" s="186"/>
    </row>
    <row r="943" spans="1:16" hidden="1">
      <c r="A943" s="81"/>
      <c r="B943" s="82" t="str">
        <f>IFERROR(VLOOKUP(A943,'Budget-S&amp;U Codes Lookup'!$A$7:$B$550,2,FALSE),"")</f>
        <v/>
      </c>
      <c r="C943" s="993"/>
      <c r="D943" s="118"/>
      <c r="E943" s="131"/>
      <c r="F943" s="126"/>
      <c r="G943" s="126"/>
      <c r="H943" s="125">
        <f t="shared" si="14"/>
        <v>0</v>
      </c>
      <c r="I943" s="191"/>
      <c r="J943" s="268"/>
      <c r="K943" s="182" t="str">
        <f>IFERROR(VLOOKUP(A943,'Budget-S&amp;U Codes Lookup'!$A$7:$C$550,3,FALSE),"")</f>
        <v/>
      </c>
      <c r="L943" s="1041"/>
      <c r="M943" s="753"/>
      <c r="N943" s="3" t="str">
        <f>IF(M943="","",VLOOKUP(M943,'Budget-S&amp;U Codes Lookup'!$E$26:$F$45,2,FALSE))</f>
        <v/>
      </c>
      <c r="P943" s="186"/>
    </row>
    <row r="944" spans="1:16" hidden="1">
      <c r="A944" s="81"/>
      <c r="B944" s="82" t="str">
        <f>IFERROR(VLOOKUP(A944,'Budget-S&amp;U Codes Lookup'!$A$7:$B$550,2,FALSE),"")</f>
        <v/>
      </c>
      <c r="C944" s="993"/>
      <c r="D944" s="118"/>
      <c r="E944" s="131"/>
      <c r="F944" s="126"/>
      <c r="G944" s="126"/>
      <c r="H944" s="125">
        <f t="shared" si="14"/>
        <v>0</v>
      </c>
      <c r="I944" s="191"/>
      <c r="J944" s="268"/>
      <c r="K944" s="182" t="str">
        <f>IFERROR(VLOOKUP(A944,'Budget-S&amp;U Codes Lookup'!$A$7:$C$550,3,FALSE),"")</f>
        <v/>
      </c>
      <c r="L944" s="1041"/>
      <c r="M944" s="753"/>
      <c r="N944" s="3" t="str">
        <f>IF(M944="","",VLOOKUP(M944,'Budget-S&amp;U Codes Lookup'!$E$26:$F$45,2,FALSE))</f>
        <v/>
      </c>
      <c r="P944" s="186"/>
    </row>
    <row r="945" spans="1:16" hidden="1">
      <c r="A945" s="81"/>
      <c r="B945" s="82" t="str">
        <f>IFERROR(VLOOKUP(A945,'Budget-S&amp;U Codes Lookup'!$A$7:$B$550,2,FALSE),"")</f>
        <v/>
      </c>
      <c r="C945" s="993"/>
      <c r="D945" s="118"/>
      <c r="E945" s="131"/>
      <c r="F945" s="126"/>
      <c r="G945" s="126"/>
      <c r="H945" s="125">
        <f t="shared" si="14"/>
        <v>0</v>
      </c>
      <c r="I945" s="191"/>
      <c r="J945" s="268"/>
      <c r="K945" s="182" t="str">
        <f>IFERROR(VLOOKUP(A945,'Budget-S&amp;U Codes Lookup'!$A$7:$C$550,3,FALSE),"")</f>
        <v/>
      </c>
      <c r="L945" s="1041"/>
      <c r="M945" s="753"/>
      <c r="N945" s="3" t="str">
        <f>IF(M945="","",VLOOKUP(M945,'Budget-S&amp;U Codes Lookup'!$E$26:$F$45,2,FALSE))</f>
        <v/>
      </c>
      <c r="P945" s="186"/>
    </row>
    <row r="946" spans="1:16" hidden="1">
      <c r="A946" s="81"/>
      <c r="B946" s="82" t="str">
        <f>IFERROR(VLOOKUP(A946,'Budget-S&amp;U Codes Lookup'!$A$7:$B$550,2,FALSE),"")</f>
        <v/>
      </c>
      <c r="C946" s="993"/>
      <c r="D946" s="118"/>
      <c r="E946" s="131"/>
      <c r="F946" s="126"/>
      <c r="G946" s="126"/>
      <c r="H946" s="125">
        <f t="shared" si="14"/>
        <v>0</v>
      </c>
      <c r="I946" s="191"/>
      <c r="J946" s="268"/>
      <c r="K946" s="182" t="str">
        <f>IFERROR(VLOOKUP(A946,'Budget-S&amp;U Codes Lookup'!$A$7:$C$550,3,FALSE),"")</f>
        <v/>
      </c>
      <c r="L946" s="1041"/>
      <c r="M946" s="753"/>
      <c r="N946" s="3" t="str">
        <f>IF(M946="","",VLOOKUP(M946,'Budget-S&amp;U Codes Lookup'!$E$26:$F$45,2,FALSE))</f>
        <v/>
      </c>
      <c r="P946" s="186"/>
    </row>
    <row r="947" spans="1:16" hidden="1">
      <c r="A947" s="81"/>
      <c r="B947" s="82" t="str">
        <f>IFERROR(VLOOKUP(A947,'Budget-S&amp;U Codes Lookup'!$A$7:$B$550,2,FALSE),"")</f>
        <v/>
      </c>
      <c r="C947" s="993"/>
      <c r="D947" s="118"/>
      <c r="E947" s="131"/>
      <c r="F947" s="126"/>
      <c r="G947" s="126"/>
      <c r="H947" s="125">
        <f t="shared" si="14"/>
        <v>0</v>
      </c>
      <c r="I947" s="191"/>
      <c r="J947" s="268"/>
      <c r="K947" s="182" t="str">
        <f>IFERROR(VLOOKUP(A947,'Budget-S&amp;U Codes Lookup'!$A$7:$C$550,3,FALSE),"")</f>
        <v/>
      </c>
      <c r="L947" s="1041"/>
      <c r="M947" s="753"/>
      <c r="N947" s="3" t="str">
        <f>IF(M947="","",VLOOKUP(M947,'Budget-S&amp;U Codes Lookup'!$E$26:$F$45,2,FALSE))</f>
        <v/>
      </c>
      <c r="P947" s="186"/>
    </row>
    <row r="948" spans="1:16" hidden="1">
      <c r="A948" s="81"/>
      <c r="B948" s="82" t="str">
        <f>IFERROR(VLOOKUP(A948,'Budget-S&amp;U Codes Lookup'!$A$7:$B$550,2,FALSE),"")</f>
        <v/>
      </c>
      <c r="C948" s="993"/>
      <c r="D948" s="118"/>
      <c r="E948" s="131"/>
      <c r="F948" s="126"/>
      <c r="G948" s="126"/>
      <c r="H948" s="125">
        <f t="shared" si="14"/>
        <v>0</v>
      </c>
      <c r="I948" s="191"/>
      <c r="J948" s="268"/>
      <c r="K948" s="182" t="str">
        <f>IFERROR(VLOOKUP(A948,'Budget-S&amp;U Codes Lookup'!$A$7:$C$550,3,FALSE),"")</f>
        <v/>
      </c>
      <c r="L948" s="1041"/>
      <c r="M948" s="753"/>
      <c r="N948" s="3" t="str">
        <f>IF(M948="","",VLOOKUP(M948,'Budget-S&amp;U Codes Lookup'!$E$26:$F$45,2,FALSE))</f>
        <v/>
      </c>
      <c r="P948" s="186"/>
    </row>
    <row r="949" spans="1:16" hidden="1">
      <c r="A949" s="81"/>
      <c r="B949" s="82" t="str">
        <f>IFERROR(VLOOKUP(A949,'Budget-S&amp;U Codes Lookup'!$A$7:$B$550,2,FALSE),"")</f>
        <v/>
      </c>
      <c r="C949" s="993"/>
      <c r="D949" s="118"/>
      <c r="E949" s="131"/>
      <c r="F949" s="126"/>
      <c r="G949" s="126"/>
      <c r="H949" s="125">
        <f t="shared" si="14"/>
        <v>0</v>
      </c>
      <c r="I949" s="191"/>
      <c r="J949" s="268"/>
      <c r="K949" s="182" t="str">
        <f>IFERROR(VLOOKUP(A949,'Budget-S&amp;U Codes Lookup'!$A$7:$C$550,3,FALSE),"")</f>
        <v/>
      </c>
      <c r="L949" s="1041"/>
      <c r="M949" s="753"/>
      <c r="N949" s="3" t="str">
        <f>IF(M949="","",VLOOKUP(M949,'Budget-S&amp;U Codes Lookup'!$E$26:$F$45,2,FALSE))</f>
        <v/>
      </c>
      <c r="P949" s="186"/>
    </row>
    <row r="950" spans="1:16" hidden="1">
      <c r="A950" s="81"/>
      <c r="B950" s="82" t="str">
        <f>IFERROR(VLOOKUP(A950,'Budget-S&amp;U Codes Lookup'!$A$7:$B$550,2,FALSE),"")</f>
        <v/>
      </c>
      <c r="C950" s="993"/>
      <c r="D950" s="118"/>
      <c r="E950" s="131"/>
      <c r="F950" s="126"/>
      <c r="G950" s="126"/>
      <c r="H950" s="125">
        <f t="shared" si="14"/>
        <v>0</v>
      </c>
      <c r="I950" s="191"/>
      <c r="J950" s="268"/>
      <c r="K950" s="182" t="str">
        <f>IFERROR(VLOOKUP(A950,'Budget-S&amp;U Codes Lookup'!$A$7:$C$550,3,FALSE),"")</f>
        <v/>
      </c>
      <c r="L950" s="1041"/>
      <c r="M950" s="753"/>
      <c r="N950" s="3" t="str">
        <f>IF(M950="","",VLOOKUP(M950,'Budget-S&amp;U Codes Lookup'!$E$26:$F$45,2,FALSE))</f>
        <v/>
      </c>
      <c r="P950" s="186"/>
    </row>
    <row r="951" spans="1:16" hidden="1">
      <c r="A951" s="81"/>
      <c r="B951" s="82" t="str">
        <f>IFERROR(VLOOKUP(A951,'Budget-S&amp;U Codes Lookup'!$A$7:$B$550,2,FALSE),"")</f>
        <v/>
      </c>
      <c r="C951" s="993"/>
      <c r="D951" s="118"/>
      <c r="E951" s="131"/>
      <c r="F951" s="126"/>
      <c r="G951" s="126"/>
      <c r="H951" s="125">
        <f t="shared" si="14"/>
        <v>0</v>
      </c>
      <c r="I951" s="191"/>
      <c r="J951" s="268"/>
      <c r="K951" s="182" t="str">
        <f>IFERROR(VLOOKUP(A951,'Budget-S&amp;U Codes Lookup'!$A$7:$C$550,3,FALSE),"")</f>
        <v/>
      </c>
      <c r="L951" s="1041"/>
      <c r="M951" s="753"/>
      <c r="N951" s="3" t="str">
        <f>IF(M951="","",VLOOKUP(M951,'Budget-S&amp;U Codes Lookup'!$E$26:$F$45,2,FALSE))</f>
        <v/>
      </c>
      <c r="P951" s="186"/>
    </row>
    <row r="952" spans="1:16" hidden="1">
      <c r="A952" s="81"/>
      <c r="B952" s="82" t="str">
        <f>IFERROR(VLOOKUP(A952,'Budget-S&amp;U Codes Lookup'!$A$7:$B$550,2,FALSE),"")</f>
        <v/>
      </c>
      <c r="C952" s="993"/>
      <c r="D952" s="118"/>
      <c r="E952" s="131"/>
      <c r="F952" s="126"/>
      <c r="G952" s="126"/>
      <c r="H952" s="125">
        <f t="shared" si="14"/>
        <v>0</v>
      </c>
      <c r="I952" s="191"/>
      <c r="J952" s="268"/>
      <c r="K952" s="182" t="str">
        <f>IFERROR(VLOOKUP(A952,'Budget-S&amp;U Codes Lookup'!$A$7:$C$550,3,FALSE),"")</f>
        <v/>
      </c>
      <c r="L952" s="1041"/>
      <c r="M952" s="753"/>
      <c r="N952" s="3" t="str">
        <f>IF(M952="","",VLOOKUP(M952,'Budget-S&amp;U Codes Lookup'!$E$26:$F$45,2,FALSE))</f>
        <v/>
      </c>
      <c r="P952" s="186"/>
    </row>
    <row r="953" spans="1:16" hidden="1">
      <c r="A953" s="81"/>
      <c r="B953" s="82" t="str">
        <f>IFERROR(VLOOKUP(A953,'Budget-S&amp;U Codes Lookup'!$A$7:$B$550,2,FALSE),"")</f>
        <v/>
      </c>
      <c r="C953" s="993"/>
      <c r="D953" s="118"/>
      <c r="E953" s="131"/>
      <c r="F953" s="126"/>
      <c r="G953" s="126"/>
      <c r="H953" s="125">
        <f t="shared" si="14"/>
        <v>0</v>
      </c>
      <c r="I953" s="191"/>
      <c r="J953" s="268"/>
      <c r="K953" s="182" t="str">
        <f>IFERROR(VLOOKUP(A953,'Budget-S&amp;U Codes Lookup'!$A$7:$C$550,3,FALSE),"")</f>
        <v/>
      </c>
      <c r="L953" s="1041"/>
      <c r="M953" s="753"/>
      <c r="N953" s="3" t="str">
        <f>IF(M953="","",VLOOKUP(M953,'Budget-S&amp;U Codes Lookup'!$E$26:$F$45,2,FALSE))</f>
        <v/>
      </c>
      <c r="P953" s="186"/>
    </row>
    <row r="954" spans="1:16" hidden="1">
      <c r="A954" s="81"/>
      <c r="B954" s="82" t="str">
        <f>IFERROR(VLOOKUP(A954,'Budget-S&amp;U Codes Lookup'!$A$7:$B$550,2,FALSE),"")</f>
        <v/>
      </c>
      <c r="C954" s="993"/>
      <c r="D954" s="118"/>
      <c r="E954" s="131"/>
      <c r="F954" s="126"/>
      <c r="G954" s="126"/>
      <c r="H954" s="125">
        <f t="shared" si="14"/>
        <v>0</v>
      </c>
      <c r="I954" s="191"/>
      <c r="J954" s="268"/>
      <c r="K954" s="182" t="str">
        <f>IFERROR(VLOOKUP(A954,'Budget-S&amp;U Codes Lookup'!$A$7:$C$550,3,FALSE),"")</f>
        <v/>
      </c>
      <c r="L954" s="1041"/>
      <c r="M954" s="753"/>
      <c r="N954" s="3" t="str">
        <f>IF(M954="","",VLOOKUP(M954,'Budget-S&amp;U Codes Lookup'!$E$26:$F$45,2,FALSE))</f>
        <v/>
      </c>
      <c r="P954" s="186"/>
    </row>
    <row r="955" spans="1:16" hidden="1">
      <c r="A955" s="81"/>
      <c r="B955" s="82" t="str">
        <f>IFERROR(VLOOKUP(A955,'Budget-S&amp;U Codes Lookup'!$A$7:$B$550,2,FALSE),"")</f>
        <v/>
      </c>
      <c r="C955" s="993"/>
      <c r="D955" s="118"/>
      <c r="E955" s="131"/>
      <c r="F955" s="126"/>
      <c r="G955" s="126"/>
      <c r="H955" s="125">
        <f t="shared" si="14"/>
        <v>0</v>
      </c>
      <c r="I955" s="191"/>
      <c r="J955" s="268"/>
      <c r="K955" s="182" t="str">
        <f>IFERROR(VLOOKUP(A955,'Budget-S&amp;U Codes Lookup'!$A$7:$C$550,3,FALSE),"")</f>
        <v/>
      </c>
      <c r="L955" s="1041"/>
      <c r="M955" s="753"/>
      <c r="N955" s="3" t="str">
        <f>IF(M955="","",VLOOKUP(M955,'Budget-S&amp;U Codes Lookup'!$E$26:$F$45,2,FALSE))</f>
        <v/>
      </c>
      <c r="P955" s="186"/>
    </row>
    <row r="956" spans="1:16" hidden="1">
      <c r="A956" s="81"/>
      <c r="B956" s="82" t="str">
        <f>IFERROR(VLOOKUP(A956,'Budget-S&amp;U Codes Lookup'!$A$7:$B$550,2,FALSE),"")</f>
        <v/>
      </c>
      <c r="C956" s="993"/>
      <c r="D956" s="118"/>
      <c r="E956" s="131"/>
      <c r="F956" s="126"/>
      <c r="G956" s="126"/>
      <c r="H956" s="125">
        <f t="shared" si="14"/>
        <v>0</v>
      </c>
      <c r="I956" s="191"/>
      <c r="J956" s="268"/>
      <c r="K956" s="182" t="str">
        <f>IFERROR(VLOOKUP(A956,'Budget-S&amp;U Codes Lookup'!$A$7:$C$550,3,FALSE),"")</f>
        <v/>
      </c>
      <c r="L956" s="1041"/>
      <c r="M956" s="753"/>
      <c r="N956" s="3" t="str">
        <f>IF(M956="","",VLOOKUP(M956,'Budget-S&amp;U Codes Lookup'!$E$26:$F$45,2,FALSE))</f>
        <v/>
      </c>
      <c r="P956" s="186"/>
    </row>
    <row r="957" spans="1:16" hidden="1">
      <c r="A957" s="81"/>
      <c r="B957" s="82" t="str">
        <f>IFERROR(VLOOKUP(A957,'Budget-S&amp;U Codes Lookup'!$A$7:$B$550,2,FALSE),"")</f>
        <v/>
      </c>
      <c r="C957" s="993"/>
      <c r="D957" s="118"/>
      <c r="E957" s="131"/>
      <c r="F957" s="126"/>
      <c r="G957" s="126"/>
      <c r="H957" s="125">
        <f t="shared" si="14"/>
        <v>0</v>
      </c>
      <c r="I957" s="191"/>
      <c r="J957" s="268"/>
      <c r="K957" s="182" t="str">
        <f>IFERROR(VLOOKUP(A957,'Budget-S&amp;U Codes Lookup'!$A$7:$C$550,3,FALSE),"")</f>
        <v/>
      </c>
      <c r="L957" s="1041"/>
      <c r="M957" s="753"/>
      <c r="N957" s="3" t="str">
        <f>IF(M957="","",VLOOKUP(M957,'Budget-S&amp;U Codes Lookup'!$E$26:$F$45,2,FALSE))</f>
        <v/>
      </c>
      <c r="P957" s="186"/>
    </row>
    <row r="958" spans="1:16" hidden="1">
      <c r="A958" s="81"/>
      <c r="B958" s="82" t="str">
        <f>IFERROR(VLOOKUP(A958,'Budget-S&amp;U Codes Lookup'!$A$7:$B$550,2,FALSE),"")</f>
        <v/>
      </c>
      <c r="C958" s="993"/>
      <c r="D958" s="118"/>
      <c r="E958" s="131"/>
      <c r="F958" s="126"/>
      <c r="G958" s="126"/>
      <c r="H958" s="125">
        <f t="shared" si="14"/>
        <v>0</v>
      </c>
      <c r="I958" s="191"/>
      <c r="J958" s="268"/>
      <c r="K958" s="182" t="str">
        <f>IFERROR(VLOOKUP(A958,'Budget-S&amp;U Codes Lookup'!$A$7:$C$550,3,FALSE),"")</f>
        <v/>
      </c>
      <c r="L958" s="1041"/>
      <c r="M958" s="753"/>
      <c r="N958" s="3" t="str">
        <f>IF(M958="","",VLOOKUP(M958,'Budget-S&amp;U Codes Lookup'!$E$26:$F$45,2,FALSE))</f>
        <v/>
      </c>
      <c r="P958" s="186"/>
    </row>
    <row r="959" spans="1:16" hidden="1">
      <c r="A959" s="81"/>
      <c r="B959" s="82" t="str">
        <f>IFERROR(VLOOKUP(A959,'Budget-S&amp;U Codes Lookup'!$A$7:$B$550,2,FALSE),"")</f>
        <v/>
      </c>
      <c r="C959" s="993"/>
      <c r="D959" s="118"/>
      <c r="E959" s="131"/>
      <c r="F959" s="126"/>
      <c r="G959" s="126"/>
      <c r="H959" s="125">
        <f t="shared" si="14"/>
        <v>0</v>
      </c>
      <c r="I959" s="191"/>
      <c r="J959" s="268"/>
      <c r="K959" s="182" t="str">
        <f>IFERROR(VLOOKUP(A959,'Budget-S&amp;U Codes Lookup'!$A$7:$C$550,3,FALSE),"")</f>
        <v/>
      </c>
      <c r="L959" s="1041"/>
      <c r="M959" s="753"/>
      <c r="N959" s="3" t="str">
        <f>IF(M959="","",VLOOKUP(M959,'Budget-S&amp;U Codes Lookup'!$E$26:$F$45,2,FALSE))</f>
        <v/>
      </c>
      <c r="P959" s="186"/>
    </row>
    <row r="960" spans="1:16" hidden="1">
      <c r="A960" s="81"/>
      <c r="B960" s="82" t="str">
        <f>IFERROR(VLOOKUP(A960,'Budget-S&amp;U Codes Lookup'!$A$7:$B$550,2,FALSE),"")</f>
        <v/>
      </c>
      <c r="C960" s="993"/>
      <c r="D960" s="118"/>
      <c r="E960" s="131"/>
      <c r="F960" s="126"/>
      <c r="G960" s="126"/>
      <c r="H960" s="125">
        <f t="shared" si="14"/>
        <v>0</v>
      </c>
      <c r="I960" s="191"/>
      <c r="J960" s="268"/>
      <c r="K960" s="182" t="str">
        <f>IFERROR(VLOOKUP(A960,'Budget-S&amp;U Codes Lookup'!$A$7:$C$550,3,FALSE),"")</f>
        <v/>
      </c>
      <c r="L960" s="1041"/>
      <c r="M960" s="753"/>
      <c r="N960" s="3" t="str">
        <f>IF(M960="","",VLOOKUP(M960,'Budget-S&amp;U Codes Lookup'!$E$26:$F$45,2,FALSE))</f>
        <v/>
      </c>
      <c r="P960" s="186"/>
    </row>
    <row r="961" spans="1:16" hidden="1">
      <c r="A961" s="81"/>
      <c r="B961" s="82" t="str">
        <f>IFERROR(VLOOKUP(A961,'Budget-S&amp;U Codes Lookup'!$A$7:$B$550,2,FALSE),"")</f>
        <v/>
      </c>
      <c r="C961" s="993"/>
      <c r="D961" s="118"/>
      <c r="E961" s="131"/>
      <c r="F961" s="126"/>
      <c r="G961" s="126"/>
      <c r="H961" s="125">
        <f t="shared" si="14"/>
        <v>0</v>
      </c>
      <c r="I961" s="191"/>
      <c r="J961" s="268"/>
      <c r="K961" s="182" t="str">
        <f>IFERROR(VLOOKUP(A961,'Budget-S&amp;U Codes Lookup'!$A$7:$C$550,3,FALSE),"")</f>
        <v/>
      </c>
      <c r="L961" s="1041"/>
      <c r="M961" s="753"/>
      <c r="N961" s="3" t="str">
        <f>IF(M961="","",VLOOKUP(M961,'Budget-S&amp;U Codes Lookup'!$E$26:$F$45,2,FALSE))</f>
        <v/>
      </c>
      <c r="P961" s="186"/>
    </row>
    <row r="962" spans="1:16" hidden="1">
      <c r="A962" s="81"/>
      <c r="B962" s="82" t="str">
        <f>IFERROR(VLOOKUP(A962,'Budget-S&amp;U Codes Lookup'!$A$7:$B$550,2,FALSE),"")</f>
        <v/>
      </c>
      <c r="C962" s="993"/>
      <c r="D962" s="118"/>
      <c r="E962" s="131"/>
      <c r="F962" s="126"/>
      <c r="G962" s="126"/>
      <c r="H962" s="125">
        <f t="shared" si="14"/>
        <v>0</v>
      </c>
      <c r="I962" s="191"/>
      <c r="J962" s="268"/>
      <c r="K962" s="182" t="str">
        <f>IFERROR(VLOOKUP(A962,'Budget-S&amp;U Codes Lookup'!$A$7:$C$550,3,FALSE),"")</f>
        <v/>
      </c>
      <c r="L962" s="1041"/>
      <c r="M962" s="753"/>
      <c r="N962" s="3" t="str">
        <f>IF(M962="","",VLOOKUP(M962,'Budget-S&amp;U Codes Lookup'!$E$26:$F$45,2,FALSE))</f>
        <v/>
      </c>
      <c r="P962" s="186"/>
    </row>
    <row r="963" spans="1:16" hidden="1">
      <c r="A963" s="81"/>
      <c r="B963" s="82" t="str">
        <f>IFERROR(VLOOKUP(A963,'Budget-S&amp;U Codes Lookup'!$A$7:$B$550,2,FALSE),"")</f>
        <v/>
      </c>
      <c r="C963" s="993"/>
      <c r="D963" s="118"/>
      <c r="E963" s="131"/>
      <c r="F963" s="126"/>
      <c r="G963" s="126"/>
      <c r="H963" s="125">
        <f t="shared" si="14"/>
        <v>0</v>
      </c>
      <c r="I963" s="191"/>
      <c r="J963" s="268"/>
      <c r="K963" s="182" t="str">
        <f>IFERROR(VLOOKUP(A963,'Budget-S&amp;U Codes Lookup'!$A$7:$C$550,3,FALSE),"")</f>
        <v/>
      </c>
      <c r="L963" s="1041"/>
      <c r="M963" s="753"/>
      <c r="N963" s="3" t="str">
        <f>IF(M963="","",VLOOKUP(M963,'Budget-S&amp;U Codes Lookup'!$E$26:$F$45,2,FALSE))</f>
        <v/>
      </c>
      <c r="P963" s="186"/>
    </row>
    <row r="964" spans="1:16" hidden="1">
      <c r="A964" s="81"/>
      <c r="B964" s="82" t="str">
        <f>IFERROR(VLOOKUP(A964,'Budget-S&amp;U Codes Lookup'!$A$7:$B$550,2,FALSE),"")</f>
        <v/>
      </c>
      <c r="C964" s="993"/>
      <c r="D964" s="118"/>
      <c r="E964" s="131"/>
      <c r="F964" s="126"/>
      <c r="G964" s="126"/>
      <c r="H964" s="125">
        <f t="shared" si="14"/>
        <v>0</v>
      </c>
      <c r="I964" s="191"/>
      <c r="J964" s="268"/>
      <c r="K964" s="182" t="str">
        <f>IFERROR(VLOOKUP(A964,'Budget-S&amp;U Codes Lookup'!$A$7:$C$550,3,FALSE),"")</f>
        <v/>
      </c>
      <c r="L964" s="1041"/>
      <c r="M964" s="753"/>
      <c r="N964" s="3" t="str">
        <f>IF(M964="","",VLOOKUP(M964,'Budget-S&amp;U Codes Lookup'!$E$26:$F$45,2,FALSE))</f>
        <v/>
      </c>
      <c r="P964" s="186"/>
    </row>
    <row r="965" spans="1:16" hidden="1">
      <c r="A965" s="81"/>
      <c r="B965" s="82" t="str">
        <f>IFERROR(VLOOKUP(A965,'Budget-S&amp;U Codes Lookup'!$A$7:$B$550,2,FALSE),"")</f>
        <v/>
      </c>
      <c r="C965" s="993"/>
      <c r="D965" s="118"/>
      <c r="E965" s="131"/>
      <c r="F965" s="126"/>
      <c r="G965" s="126"/>
      <c r="H965" s="125">
        <f t="shared" si="14"/>
        <v>0</v>
      </c>
      <c r="I965" s="191"/>
      <c r="J965" s="268"/>
      <c r="K965" s="182" t="str">
        <f>IFERROR(VLOOKUP(A965,'Budget-S&amp;U Codes Lookup'!$A$7:$C$550,3,FALSE),"")</f>
        <v/>
      </c>
      <c r="L965" s="1041"/>
      <c r="M965" s="753"/>
      <c r="N965" s="3" t="str">
        <f>IF(M965="","",VLOOKUP(M965,'Budget-S&amp;U Codes Lookup'!$E$26:$F$45,2,FALSE))</f>
        <v/>
      </c>
      <c r="P965" s="186"/>
    </row>
    <row r="966" spans="1:16" hidden="1">
      <c r="A966" s="81"/>
      <c r="B966" s="82" t="str">
        <f>IFERROR(VLOOKUP(A966,'Budget-S&amp;U Codes Lookup'!$A$7:$B$550,2,FALSE),"")</f>
        <v/>
      </c>
      <c r="C966" s="993"/>
      <c r="D966" s="118"/>
      <c r="E966" s="131"/>
      <c r="F966" s="126"/>
      <c r="G966" s="126"/>
      <c r="H966" s="125">
        <f t="shared" si="14"/>
        <v>0</v>
      </c>
      <c r="I966" s="191"/>
      <c r="J966" s="268"/>
      <c r="K966" s="182" t="str">
        <f>IFERROR(VLOOKUP(A966,'Budget-S&amp;U Codes Lookup'!$A$7:$C$550,3,FALSE),"")</f>
        <v/>
      </c>
      <c r="L966" s="1041"/>
      <c r="M966" s="753"/>
      <c r="N966" s="3" t="str">
        <f>IF(M966="","",VLOOKUP(M966,'Budget-S&amp;U Codes Lookup'!$E$26:$F$45,2,FALSE))</f>
        <v/>
      </c>
      <c r="P966" s="186"/>
    </row>
    <row r="967" spans="1:16" hidden="1">
      <c r="A967" s="81"/>
      <c r="B967" s="82" t="str">
        <f>IFERROR(VLOOKUP(A967,'Budget-S&amp;U Codes Lookup'!$A$7:$B$550,2,FALSE),"")</f>
        <v/>
      </c>
      <c r="C967" s="993"/>
      <c r="D967" s="118"/>
      <c r="E967" s="131"/>
      <c r="F967" s="126"/>
      <c r="G967" s="126"/>
      <c r="H967" s="125">
        <f t="shared" si="14"/>
        <v>0</v>
      </c>
      <c r="I967" s="191"/>
      <c r="J967" s="268"/>
      <c r="K967" s="182" t="str">
        <f>IFERROR(VLOOKUP(A967,'Budget-S&amp;U Codes Lookup'!$A$7:$C$550,3,FALSE),"")</f>
        <v/>
      </c>
      <c r="L967" s="1041"/>
      <c r="M967" s="753"/>
      <c r="N967" s="3" t="str">
        <f>IF(M967="","",VLOOKUP(M967,'Budget-S&amp;U Codes Lookup'!$E$26:$F$45,2,FALSE))</f>
        <v/>
      </c>
      <c r="P967" s="186"/>
    </row>
    <row r="968" spans="1:16" hidden="1">
      <c r="A968" s="81"/>
      <c r="B968" s="82" t="str">
        <f>IFERROR(VLOOKUP(A968,'Budget-S&amp;U Codes Lookup'!$A$7:$B$550,2,FALSE),"")</f>
        <v/>
      </c>
      <c r="C968" s="993"/>
      <c r="D968" s="118"/>
      <c r="E968" s="131"/>
      <c r="F968" s="126"/>
      <c r="G968" s="126"/>
      <c r="H968" s="125">
        <f t="shared" si="14"/>
        <v>0</v>
      </c>
      <c r="I968" s="191"/>
      <c r="J968" s="268"/>
      <c r="K968" s="182" t="str">
        <f>IFERROR(VLOOKUP(A968,'Budget-S&amp;U Codes Lookup'!$A$7:$C$550,3,FALSE),"")</f>
        <v/>
      </c>
      <c r="L968" s="1041"/>
      <c r="M968" s="753"/>
      <c r="N968" s="3" t="str">
        <f>IF(M968="","",VLOOKUP(M968,'Budget-S&amp;U Codes Lookup'!$E$26:$F$45,2,FALSE))</f>
        <v/>
      </c>
      <c r="P968" s="186"/>
    </row>
    <row r="969" spans="1:16" hidden="1">
      <c r="A969" s="81"/>
      <c r="B969" s="82" t="str">
        <f>IFERROR(VLOOKUP(A969,'Budget-S&amp;U Codes Lookup'!$A$7:$B$550,2,FALSE),"")</f>
        <v/>
      </c>
      <c r="C969" s="993"/>
      <c r="D969" s="118"/>
      <c r="E969" s="131"/>
      <c r="F969" s="126"/>
      <c r="G969" s="126"/>
      <c r="H969" s="125">
        <f t="shared" si="14"/>
        <v>0</v>
      </c>
      <c r="I969" s="191"/>
      <c r="J969" s="268"/>
      <c r="K969" s="182" t="str">
        <f>IFERROR(VLOOKUP(A969,'Budget-S&amp;U Codes Lookup'!$A$7:$C$550,3,FALSE),"")</f>
        <v/>
      </c>
      <c r="L969" s="1041"/>
      <c r="M969" s="753"/>
      <c r="N969" s="3" t="str">
        <f>IF(M969="","",VLOOKUP(M969,'Budget-S&amp;U Codes Lookup'!$E$26:$F$45,2,FALSE))</f>
        <v/>
      </c>
      <c r="P969" s="186"/>
    </row>
    <row r="970" spans="1:16" hidden="1">
      <c r="A970" s="81"/>
      <c r="B970" s="82" t="str">
        <f>IFERROR(VLOOKUP(A970,'Budget-S&amp;U Codes Lookup'!$A$7:$B$550,2,FALSE),"")</f>
        <v/>
      </c>
      <c r="C970" s="993"/>
      <c r="D970" s="118"/>
      <c r="E970" s="131"/>
      <c r="F970" s="126"/>
      <c r="G970" s="126"/>
      <c r="H970" s="125">
        <f t="shared" ref="H970:H998" si="15">F970-G970</f>
        <v>0</v>
      </c>
      <c r="I970" s="191"/>
      <c r="J970" s="268"/>
      <c r="K970" s="182" t="str">
        <f>IFERROR(VLOOKUP(A970,'Budget-S&amp;U Codes Lookup'!$A$7:$C$550,3,FALSE),"")</f>
        <v/>
      </c>
      <c r="L970" s="1041"/>
      <c r="M970" s="753"/>
      <c r="N970" s="3" t="str">
        <f>IF(M970="","",VLOOKUP(M970,'Budget-S&amp;U Codes Lookup'!$E$26:$F$45,2,FALSE))</f>
        <v/>
      </c>
      <c r="P970" s="186"/>
    </row>
    <row r="971" spans="1:16" hidden="1">
      <c r="A971" s="81"/>
      <c r="B971" s="82" t="str">
        <f>IFERROR(VLOOKUP(A971,'Budget-S&amp;U Codes Lookup'!$A$7:$B$550,2,FALSE),"")</f>
        <v/>
      </c>
      <c r="C971" s="993"/>
      <c r="D971" s="118"/>
      <c r="E971" s="131"/>
      <c r="F971" s="126"/>
      <c r="G971" s="126"/>
      <c r="H971" s="125">
        <f t="shared" si="15"/>
        <v>0</v>
      </c>
      <c r="I971" s="191"/>
      <c r="J971" s="268"/>
      <c r="K971" s="182" t="str">
        <f>IFERROR(VLOOKUP(A971,'Budget-S&amp;U Codes Lookup'!$A$7:$C$550,3,FALSE),"")</f>
        <v/>
      </c>
      <c r="L971" s="1041"/>
      <c r="M971" s="753"/>
      <c r="N971" s="3" t="str">
        <f>IF(M971="","",VLOOKUP(M971,'Budget-S&amp;U Codes Lookup'!$E$26:$F$45,2,FALSE))</f>
        <v/>
      </c>
      <c r="P971" s="186"/>
    </row>
    <row r="972" spans="1:16" hidden="1">
      <c r="A972" s="81"/>
      <c r="B972" s="82" t="str">
        <f>IFERROR(VLOOKUP(A972,'Budget-S&amp;U Codes Lookup'!$A$7:$B$550,2,FALSE),"")</f>
        <v/>
      </c>
      <c r="C972" s="993"/>
      <c r="D972" s="118"/>
      <c r="E972" s="131"/>
      <c r="F972" s="126"/>
      <c r="G972" s="126"/>
      <c r="H972" s="125">
        <f t="shared" si="15"/>
        <v>0</v>
      </c>
      <c r="I972" s="191"/>
      <c r="J972" s="268"/>
      <c r="K972" s="182" t="str">
        <f>IFERROR(VLOOKUP(A972,'Budget-S&amp;U Codes Lookup'!$A$7:$C$550,3,FALSE),"")</f>
        <v/>
      </c>
      <c r="L972" s="1041"/>
      <c r="M972" s="753"/>
      <c r="N972" s="3" t="str">
        <f>IF(M972="","",VLOOKUP(M972,'Budget-S&amp;U Codes Lookup'!$E$26:$F$45,2,FALSE))</f>
        <v/>
      </c>
      <c r="P972" s="186"/>
    </row>
    <row r="973" spans="1:16" hidden="1">
      <c r="A973" s="81"/>
      <c r="B973" s="82" t="str">
        <f>IFERROR(VLOOKUP(A973,'Budget-S&amp;U Codes Lookup'!$A$7:$B$550,2,FALSE),"")</f>
        <v/>
      </c>
      <c r="C973" s="993"/>
      <c r="D973" s="118"/>
      <c r="E973" s="131"/>
      <c r="F973" s="126"/>
      <c r="G973" s="126"/>
      <c r="H973" s="125">
        <f t="shared" si="15"/>
        <v>0</v>
      </c>
      <c r="I973" s="191"/>
      <c r="J973" s="268"/>
      <c r="K973" s="182" t="str">
        <f>IFERROR(VLOOKUP(A973,'Budget-S&amp;U Codes Lookup'!$A$7:$C$550,3,FALSE),"")</f>
        <v/>
      </c>
      <c r="L973" s="1041"/>
      <c r="M973" s="753"/>
      <c r="N973" s="3" t="str">
        <f>IF(M973="","",VLOOKUP(M973,'Budget-S&amp;U Codes Lookup'!$E$26:$F$45,2,FALSE))</f>
        <v/>
      </c>
      <c r="P973" s="186"/>
    </row>
    <row r="974" spans="1:16" hidden="1">
      <c r="A974" s="81"/>
      <c r="B974" s="82" t="str">
        <f>IFERROR(VLOOKUP(A974,'Budget-S&amp;U Codes Lookup'!$A$7:$B$550,2,FALSE),"")</f>
        <v/>
      </c>
      <c r="C974" s="993"/>
      <c r="D974" s="118"/>
      <c r="E974" s="131"/>
      <c r="F974" s="126"/>
      <c r="G974" s="126"/>
      <c r="H974" s="125">
        <f t="shared" si="15"/>
        <v>0</v>
      </c>
      <c r="I974" s="191"/>
      <c r="J974" s="268"/>
      <c r="K974" s="182" t="str">
        <f>IFERROR(VLOOKUP(A974,'Budget-S&amp;U Codes Lookup'!$A$7:$C$550,3,FALSE),"")</f>
        <v/>
      </c>
      <c r="L974" s="1041"/>
      <c r="M974" s="753"/>
      <c r="N974" s="3" t="str">
        <f>IF(M974="","",VLOOKUP(M974,'Budget-S&amp;U Codes Lookup'!$E$26:$F$45,2,FALSE))</f>
        <v/>
      </c>
      <c r="P974" s="186"/>
    </row>
    <row r="975" spans="1:16" hidden="1">
      <c r="A975" s="81"/>
      <c r="B975" s="82" t="str">
        <f>IFERROR(VLOOKUP(A975,'Budget-S&amp;U Codes Lookup'!$A$7:$B$550,2,FALSE),"")</f>
        <v/>
      </c>
      <c r="C975" s="993"/>
      <c r="D975" s="118"/>
      <c r="E975" s="131"/>
      <c r="F975" s="126"/>
      <c r="G975" s="126"/>
      <c r="H975" s="125">
        <f t="shared" si="15"/>
        <v>0</v>
      </c>
      <c r="I975" s="191"/>
      <c r="J975" s="268"/>
      <c r="K975" s="182" t="str">
        <f>IFERROR(VLOOKUP(A975,'Budget-S&amp;U Codes Lookup'!$A$7:$C$550,3,FALSE),"")</f>
        <v/>
      </c>
      <c r="L975" s="1041"/>
      <c r="M975" s="753"/>
      <c r="N975" s="3" t="str">
        <f>IF(M975="","",VLOOKUP(M975,'Budget-S&amp;U Codes Lookup'!$E$26:$F$45,2,FALSE))</f>
        <v/>
      </c>
      <c r="P975" s="186"/>
    </row>
    <row r="976" spans="1:16" hidden="1">
      <c r="A976" s="81"/>
      <c r="B976" s="82" t="str">
        <f>IFERROR(VLOOKUP(A976,'Budget-S&amp;U Codes Lookup'!$A$7:$B$550,2,FALSE),"")</f>
        <v/>
      </c>
      <c r="C976" s="993"/>
      <c r="D976" s="118"/>
      <c r="E976" s="131"/>
      <c r="F976" s="126"/>
      <c r="G976" s="126"/>
      <c r="H976" s="125">
        <f t="shared" si="15"/>
        <v>0</v>
      </c>
      <c r="I976" s="191"/>
      <c r="J976" s="268"/>
      <c r="K976" s="182" t="str">
        <f>IFERROR(VLOOKUP(A976,'Budget-S&amp;U Codes Lookup'!$A$7:$C$550,3,FALSE),"")</f>
        <v/>
      </c>
      <c r="L976" s="1041"/>
      <c r="M976" s="753"/>
      <c r="N976" s="3" t="str">
        <f>IF(M976="","",VLOOKUP(M976,'Budget-S&amp;U Codes Lookup'!$E$26:$F$45,2,FALSE))</f>
        <v/>
      </c>
      <c r="P976" s="186"/>
    </row>
    <row r="977" spans="1:16" hidden="1">
      <c r="A977" s="81"/>
      <c r="B977" s="82" t="str">
        <f>IFERROR(VLOOKUP(A977,'Budget-S&amp;U Codes Lookup'!$A$7:$B$550,2,FALSE),"")</f>
        <v/>
      </c>
      <c r="C977" s="993"/>
      <c r="D977" s="118"/>
      <c r="E977" s="131"/>
      <c r="F977" s="126"/>
      <c r="G977" s="126"/>
      <c r="H977" s="125">
        <f t="shared" si="15"/>
        <v>0</v>
      </c>
      <c r="I977" s="191"/>
      <c r="J977" s="268"/>
      <c r="K977" s="182" t="str">
        <f>IFERROR(VLOOKUP(A977,'Budget-S&amp;U Codes Lookup'!$A$7:$C$550,3,FALSE),"")</f>
        <v/>
      </c>
      <c r="L977" s="1041"/>
      <c r="M977" s="753"/>
      <c r="N977" s="3" t="str">
        <f>IF(M977="","",VLOOKUP(M977,'Budget-S&amp;U Codes Lookup'!$E$26:$F$45,2,FALSE))</f>
        <v/>
      </c>
      <c r="P977" s="186"/>
    </row>
    <row r="978" spans="1:16" hidden="1">
      <c r="A978" s="81"/>
      <c r="B978" s="82" t="str">
        <f>IFERROR(VLOOKUP(A978,'Budget-S&amp;U Codes Lookup'!$A$7:$B$550,2,FALSE),"")</f>
        <v/>
      </c>
      <c r="C978" s="993"/>
      <c r="D978" s="118"/>
      <c r="E978" s="131"/>
      <c r="F978" s="126"/>
      <c r="G978" s="126"/>
      <c r="H978" s="125">
        <f t="shared" si="15"/>
        <v>0</v>
      </c>
      <c r="I978" s="191"/>
      <c r="J978" s="268"/>
      <c r="K978" s="182" t="str">
        <f>IFERROR(VLOOKUP(A978,'Budget-S&amp;U Codes Lookup'!$A$7:$C$550,3,FALSE),"")</f>
        <v/>
      </c>
      <c r="L978" s="1041"/>
      <c r="M978" s="753"/>
      <c r="N978" s="3" t="str">
        <f>IF(M978="","",VLOOKUP(M978,'Budget-S&amp;U Codes Lookup'!$E$26:$F$45,2,FALSE))</f>
        <v/>
      </c>
      <c r="P978" s="186"/>
    </row>
    <row r="979" spans="1:16" hidden="1">
      <c r="A979" s="81"/>
      <c r="B979" s="82" t="str">
        <f>IFERROR(VLOOKUP(A979,'Budget-S&amp;U Codes Lookup'!$A$7:$B$550,2,FALSE),"")</f>
        <v/>
      </c>
      <c r="C979" s="993"/>
      <c r="D979" s="118"/>
      <c r="E979" s="131"/>
      <c r="F979" s="126"/>
      <c r="G979" s="126"/>
      <c r="H979" s="125">
        <f t="shared" si="15"/>
        <v>0</v>
      </c>
      <c r="I979" s="191"/>
      <c r="J979" s="268"/>
      <c r="K979" s="182" t="str">
        <f>IFERROR(VLOOKUP(A979,'Budget-S&amp;U Codes Lookup'!$A$7:$C$550,3,FALSE),"")</f>
        <v/>
      </c>
      <c r="L979" s="1041"/>
      <c r="M979" s="753"/>
      <c r="N979" s="3" t="str">
        <f>IF(M979="","",VLOOKUP(M979,'Budget-S&amp;U Codes Lookup'!$E$26:$F$45,2,FALSE))</f>
        <v/>
      </c>
      <c r="P979" s="186"/>
    </row>
    <row r="980" spans="1:16" hidden="1">
      <c r="A980" s="81"/>
      <c r="B980" s="82" t="str">
        <f>IFERROR(VLOOKUP(A980,'Budget-S&amp;U Codes Lookup'!$A$7:$B$550,2,FALSE),"")</f>
        <v/>
      </c>
      <c r="C980" s="993"/>
      <c r="D980" s="118"/>
      <c r="E980" s="131"/>
      <c r="F980" s="126"/>
      <c r="G980" s="126"/>
      <c r="H980" s="125">
        <f t="shared" si="15"/>
        <v>0</v>
      </c>
      <c r="I980" s="191"/>
      <c r="J980" s="268"/>
      <c r="K980" s="182" t="str">
        <f>IFERROR(VLOOKUP(A980,'Budget-S&amp;U Codes Lookup'!$A$7:$C$550,3,FALSE),"")</f>
        <v/>
      </c>
      <c r="L980" s="1041"/>
      <c r="M980" s="753"/>
      <c r="N980" s="3" t="str">
        <f>IF(M980="","",VLOOKUP(M980,'Budget-S&amp;U Codes Lookup'!$E$26:$F$45,2,FALSE))</f>
        <v/>
      </c>
      <c r="P980" s="186"/>
    </row>
    <row r="981" spans="1:16" hidden="1">
      <c r="A981" s="81"/>
      <c r="B981" s="82" t="str">
        <f>IFERROR(VLOOKUP(A981,'Budget-S&amp;U Codes Lookup'!$A$7:$B$550,2,FALSE),"")</f>
        <v/>
      </c>
      <c r="C981" s="993"/>
      <c r="D981" s="118"/>
      <c r="E981" s="131"/>
      <c r="F981" s="126"/>
      <c r="G981" s="126"/>
      <c r="H981" s="125">
        <f t="shared" si="15"/>
        <v>0</v>
      </c>
      <c r="I981" s="191"/>
      <c r="J981" s="268"/>
      <c r="K981" s="182" t="str">
        <f>IFERROR(VLOOKUP(A981,'Budget-S&amp;U Codes Lookup'!$A$7:$C$550,3,FALSE),"")</f>
        <v/>
      </c>
      <c r="L981" s="1041"/>
      <c r="M981" s="753"/>
      <c r="N981" s="3" t="str">
        <f>IF(M981="","",VLOOKUP(M981,'Budget-S&amp;U Codes Lookup'!$E$26:$F$45,2,FALSE))</f>
        <v/>
      </c>
      <c r="P981" s="186"/>
    </row>
    <row r="982" spans="1:16" hidden="1">
      <c r="A982" s="81"/>
      <c r="B982" s="82" t="str">
        <f>IFERROR(VLOOKUP(A982,'Budget-S&amp;U Codes Lookup'!$A$7:$B$550,2,FALSE),"")</f>
        <v/>
      </c>
      <c r="C982" s="993"/>
      <c r="D982" s="118"/>
      <c r="E982" s="131"/>
      <c r="F982" s="126"/>
      <c r="G982" s="126"/>
      <c r="H982" s="125">
        <f t="shared" si="15"/>
        <v>0</v>
      </c>
      <c r="I982" s="191"/>
      <c r="J982" s="268"/>
      <c r="K982" s="182" t="str">
        <f>IFERROR(VLOOKUP(A982,'Budget-S&amp;U Codes Lookup'!$A$7:$C$550,3,FALSE),"")</f>
        <v/>
      </c>
      <c r="L982" s="1041"/>
      <c r="M982" s="753"/>
      <c r="N982" s="3" t="str">
        <f>IF(M982="","",VLOOKUP(M982,'Budget-S&amp;U Codes Lookup'!$E$26:$F$45,2,FALSE))</f>
        <v/>
      </c>
      <c r="P982" s="186"/>
    </row>
    <row r="983" spans="1:16" hidden="1">
      <c r="A983" s="81"/>
      <c r="B983" s="82" t="str">
        <f>IFERROR(VLOOKUP(A983,'Budget-S&amp;U Codes Lookup'!$A$7:$B$550,2,FALSE),"")</f>
        <v/>
      </c>
      <c r="C983" s="993"/>
      <c r="D983" s="118"/>
      <c r="E983" s="131"/>
      <c r="F983" s="126"/>
      <c r="G983" s="126"/>
      <c r="H983" s="125">
        <f t="shared" si="15"/>
        <v>0</v>
      </c>
      <c r="I983" s="191"/>
      <c r="J983" s="268"/>
      <c r="K983" s="182" t="str">
        <f>IFERROR(VLOOKUP(A983,'Budget-S&amp;U Codes Lookup'!$A$7:$C$550,3,FALSE),"")</f>
        <v/>
      </c>
      <c r="L983" s="1041"/>
      <c r="M983" s="753"/>
      <c r="N983" s="3" t="str">
        <f>IF(M983="","",VLOOKUP(M983,'Budget-S&amp;U Codes Lookup'!$E$26:$F$45,2,FALSE))</f>
        <v/>
      </c>
      <c r="P983" s="186"/>
    </row>
    <row r="984" spans="1:16" hidden="1">
      <c r="A984" s="81"/>
      <c r="B984" s="82" t="str">
        <f>IFERROR(VLOOKUP(A984,'Budget-S&amp;U Codes Lookup'!$A$7:$B$550,2,FALSE),"")</f>
        <v/>
      </c>
      <c r="C984" s="993"/>
      <c r="D984" s="118"/>
      <c r="E984" s="131"/>
      <c r="F984" s="126"/>
      <c r="G984" s="126"/>
      <c r="H984" s="125">
        <f t="shared" si="15"/>
        <v>0</v>
      </c>
      <c r="I984" s="191"/>
      <c r="J984" s="268"/>
      <c r="K984" s="182" t="str">
        <f>IFERROR(VLOOKUP(A984,'Budget-S&amp;U Codes Lookup'!$A$7:$C$550,3,FALSE),"")</f>
        <v/>
      </c>
      <c r="L984" s="1041"/>
      <c r="M984" s="753"/>
      <c r="N984" s="3" t="str">
        <f>IF(M984="","",VLOOKUP(M984,'Budget-S&amp;U Codes Lookup'!$E$26:$F$45,2,FALSE))</f>
        <v/>
      </c>
      <c r="P984" s="186"/>
    </row>
    <row r="985" spans="1:16" hidden="1">
      <c r="A985" s="81"/>
      <c r="B985" s="82" t="str">
        <f>IFERROR(VLOOKUP(A985,'Budget-S&amp;U Codes Lookup'!$A$7:$B$550,2,FALSE),"")</f>
        <v/>
      </c>
      <c r="C985" s="993"/>
      <c r="D985" s="118"/>
      <c r="E985" s="131"/>
      <c r="F985" s="126"/>
      <c r="G985" s="126"/>
      <c r="H985" s="125">
        <f t="shared" si="15"/>
        <v>0</v>
      </c>
      <c r="I985" s="191"/>
      <c r="J985" s="268"/>
      <c r="K985" s="182" t="str">
        <f>IFERROR(VLOOKUP(A985,'Budget-S&amp;U Codes Lookup'!$A$7:$C$550,3,FALSE),"")</f>
        <v/>
      </c>
      <c r="L985" s="1041"/>
      <c r="M985" s="753"/>
      <c r="N985" s="3" t="str">
        <f>IF(M985="","",VLOOKUP(M985,'Budget-S&amp;U Codes Lookup'!$E$26:$F$45,2,FALSE))</f>
        <v/>
      </c>
      <c r="P985" s="186"/>
    </row>
    <row r="986" spans="1:16" hidden="1">
      <c r="A986" s="81"/>
      <c r="B986" s="82" t="str">
        <f>IFERROR(VLOOKUP(A986,'Budget-S&amp;U Codes Lookup'!$A$7:$B$550,2,FALSE),"")</f>
        <v/>
      </c>
      <c r="C986" s="993"/>
      <c r="D986" s="118"/>
      <c r="E986" s="131"/>
      <c r="F986" s="126"/>
      <c r="G986" s="126"/>
      <c r="H986" s="125">
        <f t="shared" si="15"/>
        <v>0</v>
      </c>
      <c r="I986" s="191"/>
      <c r="J986" s="268"/>
      <c r="K986" s="182" t="str">
        <f>IFERROR(VLOOKUP(A986,'Budget-S&amp;U Codes Lookup'!$A$7:$C$550,3,FALSE),"")</f>
        <v/>
      </c>
      <c r="L986" s="1041"/>
      <c r="M986" s="753"/>
      <c r="N986" s="3" t="str">
        <f>IF(M986="","",VLOOKUP(M986,'Budget-S&amp;U Codes Lookup'!$E$26:$F$45,2,FALSE))</f>
        <v/>
      </c>
      <c r="P986" s="186"/>
    </row>
    <row r="987" spans="1:16" hidden="1">
      <c r="A987" s="81"/>
      <c r="B987" s="82" t="str">
        <f>IFERROR(VLOOKUP(A987,'Budget-S&amp;U Codes Lookup'!$A$7:$B$550,2,FALSE),"")</f>
        <v/>
      </c>
      <c r="C987" s="993"/>
      <c r="D987" s="118"/>
      <c r="E987" s="131"/>
      <c r="F987" s="126"/>
      <c r="G987" s="126"/>
      <c r="H987" s="125">
        <f t="shared" si="15"/>
        <v>0</v>
      </c>
      <c r="I987" s="191"/>
      <c r="J987" s="268"/>
      <c r="K987" s="182" t="str">
        <f>IFERROR(VLOOKUP(A987,'Budget-S&amp;U Codes Lookup'!$A$7:$C$550,3,FALSE),"")</f>
        <v/>
      </c>
      <c r="L987" s="1041"/>
      <c r="M987" s="753"/>
      <c r="N987" s="3" t="str">
        <f>IF(M987="","",VLOOKUP(M987,'Budget-S&amp;U Codes Lookup'!$E$26:$F$45,2,FALSE))</f>
        <v/>
      </c>
      <c r="P987" s="186"/>
    </row>
    <row r="988" spans="1:16" hidden="1">
      <c r="A988" s="81"/>
      <c r="B988" s="82" t="str">
        <f>IFERROR(VLOOKUP(A988,'Budget-S&amp;U Codes Lookup'!$A$7:$B$550,2,FALSE),"")</f>
        <v/>
      </c>
      <c r="C988" s="993"/>
      <c r="D988" s="118"/>
      <c r="E988" s="131"/>
      <c r="F988" s="126"/>
      <c r="G988" s="126"/>
      <c r="H988" s="125">
        <f t="shared" si="15"/>
        <v>0</v>
      </c>
      <c r="I988" s="191"/>
      <c r="J988" s="268"/>
      <c r="K988" s="182" t="str">
        <f>IFERROR(VLOOKUP(A988,'Budget-S&amp;U Codes Lookup'!$A$7:$C$550,3,FALSE),"")</f>
        <v/>
      </c>
      <c r="L988" s="1041"/>
      <c r="M988" s="753"/>
      <c r="N988" s="3" t="str">
        <f>IF(M988="","",VLOOKUP(M988,'Budget-S&amp;U Codes Lookup'!$E$26:$F$45,2,FALSE))</f>
        <v/>
      </c>
      <c r="P988" s="186"/>
    </row>
    <row r="989" spans="1:16" hidden="1">
      <c r="A989" s="81"/>
      <c r="B989" s="82" t="str">
        <f>IFERROR(VLOOKUP(A989,'Budget-S&amp;U Codes Lookup'!$A$7:$B$550,2,FALSE),"")</f>
        <v/>
      </c>
      <c r="C989" s="993"/>
      <c r="D989" s="118"/>
      <c r="E989" s="131"/>
      <c r="F989" s="126"/>
      <c r="G989" s="126"/>
      <c r="H989" s="125">
        <f t="shared" si="15"/>
        <v>0</v>
      </c>
      <c r="I989" s="191"/>
      <c r="J989" s="268"/>
      <c r="K989" s="182" t="str">
        <f>IFERROR(VLOOKUP(A989,'Budget-S&amp;U Codes Lookup'!$A$7:$C$550,3,FALSE),"")</f>
        <v/>
      </c>
      <c r="L989" s="1041"/>
      <c r="M989" s="753"/>
      <c r="N989" s="3" t="str">
        <f>IF(M989="","",VLOOKUP(M989,'Budget-S&amp;U Codes Lookup'!$E$26:$F$45,2,FALSE))</f>
        <v/>
      </c>
      <c r="P989" s="186"/>
    </row>
    <row r="990" spans="1:16" hidden="1">
      <c r="A990" s="81"/>
      <c r="B990" s="82" t="str">
        <f>IFERROR(VLOOKUP(A990,'Budget-S&amp;U Codes Lookup'!$A$7:$B$550,2,FALSE),"")</f>
        <v/>
      </c>
      <c r="C990" s="993"/>
      <c r="D990" s="118"/>
      <c r="E990" s="131"/>
      <c r="F990" s="126"/>
      <c r="G990" s="126"/>
      <c r="H990" s="125">
        <f t="shared" si="15"/>
        <v>0</v>
      </c>
      <c r="I990" s="191"/>
      <c r="J990" s="268"/>
      <c r="K990" s="182" t="str">
        <f>IFERROR(VLOOKUP(A990,'Budget-S&amp;U Codes Lookup'!$A$7:$C$550,3,FALSE),"")</f>
        <v/>
      </c>
      <c r="L990" s="1041"/>
      <c r="M990" s="753"/>
      <c r="N990" s="3" t="str">
        <f>IF(M990="","",VLOOKUP(M990,'Budget-S&amp;U Codes Lookup'!$E$26:$F$45,2,FALSE))</f>
        <v/>
      </c>
      <c r="P990" s="186"/>
    </row>
    <row r="991" spans="1:16" hidden="1">
      <c r="A991" s="81"/>
      <c r="B991" s="82" t="str">
        <f>IFERROR(VLOOKUP(A991,'Budget-S&amp;U Codes Lookup'!$A$7:$B$550,2,FALSE),"")</f>
        <v/>
      </c>
      <c r="C991" s="993"/>
      <c r="D991" s="118"/>
      <c r="E991" s="131"/>
      <c r="F991" s="126"/>
      <c r="G991" s="126"/>
      <c r="H991" s="125">
        <f t="shared" si="15"/>
        <v>0</v>
      </c>
      <c r="I991" s="191"/>
      <c r="J991" s="268"/>
      <c r="K991" s="182" t="str">
        <f>IFERROR(VLOOKUP(A991,'Budget-S&amp;U Codes Lookup'!$A$7:$C$550,3,FALSE),"")</f>
        <v/>
      </c>
      <c r="L991" s="1041"/>
      <c r="M991" s="753"/>
      <c r="N991" s="3" t="str">
        <f>IF(M991="","",VLOOKUP(M991,'Budget-S&amp;U Codes Lookup'!$E$26:$F$45,2,FALSE))</f>
        <v/>
      </c>
      <c r="P991" s="186"/>
    </row>
    <row r="992" spans="1:16" hidden="1">
      <c r="A992" s="81"/>
      <c r="B992" s="82" t="str">
        <f>IFERROR(VLOOKUP(A992,'Budget-S&amp;U Codes Lookup'!$A$7:$B$550,2,FALSE),"")</f>
        <v/>
      </c>
      <c r="C992" s="993"/>
      <c r="D992" s="118"/>
      <c r="E992" s="131"/>
      <c r="F992" s="126"/>
      <c r="G992" s="126"/>
      <c r="H992" s="125">
        <f t="shared" si="15"/>
        <v>0</v>
      </c>
      <c r="I992" s="191"/>
      <c r="J992" s="268"/>
      <c r="K992" s="182" t="str">
        <f>IFERROR(VLOOKUP(A992,'Budget-S&amp;U Codes Lookup'!$A$7:$C$550,3,FALSE),"")</f>
        <v/>
      </c>
      <c r="L992" s="1041"/>
      <c r="M992" s="753"/>
      <c r="N992" s="3" t="str">
        <f>IF(M992="","",VLOOKUP(M992,'Budget-S&amp;U Codes Lookup'!$E$26:$F$45,2,FALSE))</f>
        <v/>
      </c>
      <c r="P992" s="186"/>
    </row>
    <row r="993" spans="1:16" hidden="1">
      <c r="A993" s="81"/>
      <c r="B993" s="82" t="str">
        <f>IFERROR(VLOOKUP(A993,'Budget-S&amp;U Codes Lookup'!$A$7:$B$550,2,FALSE),"")</f>
        <v/>
      </c>
      <c r="C993" s="993"/>
      <c r="D993" s="118"/>
      <c r="E993" s="131"/>
      <c r="F993" s="126"/>
      <c r="G993" s="126"/>
      <c r="H993" s="125">
        <f t="shared" si="15"/>
        <v>0</v>
      </c>
      <c r="I993" s="191"/>
      <c r="J993" s="268"/>
      <c r="K993" s="182" t="str">
        <f>IFERROR(VLOOKUP(A993,'Budget-S&amp;U Codes Lookup'!$A$7:$C$550,3,FALSE),"")</f>
        <v/>
      </c>
      <c r="L993" s="1041"/>
      <c r="M993" s="753"/>
      <c r="N993" s="3" t="str">
        <f>IF(M993="","",VLOOKUP(M993,'Budget-S&amp;U Codes Lookup'!$E$26:$F$45,2,FALSE))</f>
        <v/>
      </c>
      <c r="P993" s="186"/>
    </row>
    <row r="994" spans="1:16" hidden="1">
      <c r="A994" s="81"/>
      <c r="B994" s="82" t="str">
        <f>IFERROR(VLOOKUP(A994,'Budget-S&amp;U Codes Lookup'!$A$7:$B$550,2,FALSE),"")</f>
        <v/>
      </c>
      <c r="C994" s="993"/>
      <c r="D994" s="118"/>
      <c r="E994" s="131"/>
      <c r="F994" s="126"/>
      <c r="G994" s="126"/>
      <c r="H994" s="125">
        <f t="shared" si="15"/>
        <v>0</v>
      </c>
      <c r="I994" s="191"/>
      <c r="J994" s="268"/>
      <c r="K994" s="182" t="str">
        <f>IFERROR(VLOOKUP(A994,'Budget-S&amp;U Codes Lookup'!$A$7:$C$550,3,FALSE),"")</f>
        <v/>
      </c>
      <c r="L994" s="1041"/>
      <c r="M994" s="753"/>
      <c r="N994" s="3" t="str">
        <f>IF(M994="","",VLOOKUP(M994,'Budget-S&amp;U Codes Lookup'!$E$26:$F$45,2,FALSE))</f>
        <v/>
      </c>
      <c r="P994" s="186"/>
    </row>
    <row r="995" spans="1:16">
      <c r="A995" s="81"/>
      <c r="B995" s="82" t="str">
        <f>IFERROR(VLOOKUP(A995,'Budget-S&amp;U Codes Lookup'!$A$7:$B$550,2,FALSE),"")</f>
        <v/>
      </c>
      <c r="C995" s="993"/>
      <c r="D995" s="118"/>
      <c r="E995" s="131"/>
      <c r="F995" s="126"/>
      <c r="G995" s="126"/>
      <c r="H995" s="125">
        <f t="shared" si="15"/>
        <v>0</v>
      </c>
      <c r="I995" s="191"/>
      <c r="J995" s="268"/>
      <c r="K995" s="182" t="str">
        <f>IFERROR(VLOOKUP(A995,'Budget-S&amp;U Codes Lookup'!$A$7:$C$550,3,FALSE),"")</f>
        <v/>
      </c>
      <c r="L995" s="1041"/>
      <c r="M995" s="753"/>
      <c r="N995" s="3" t="str">
        <f>IF(M995="","",VLOOKUP(M995,'Budget-S&amp;U Codes Lookup'!$E$26:$F$45,2,FALSE))</f>
        <v/>
      </c>
      <c r="P995" s="186"/>
    </row>
    <row r="996" spans="1:16">
      <c r="A996" s="81"/>
      <c r="B996" s="82" t="str">
        <f>IFERROR(VLOOKUP(A996,'Budget-S&amp;U Codes Lookup'!$A$7:$B$550,2,FALSE),"")</f>
        <v/>
      </c>
      <c r="C996" s="993"/>
      <c r="D996" s="118"/>
      <c r="E996" s="131"/>
      <c r="F996" s="126"/>
      <c r="G996" s="126"/>
      <c r="H996" s="125">
        <f t="shared" si="15"/>
        <v>0</v>
      </c>
      <c r="I996" s="191"/>
      <c r="J996" s="268"/>
      <c r="K996" s="182" t="str">
        <f>IFERROR(VLOOKUP(A996,'Budget-S&amp;U Codes Lookup'!$A$7:$C$550,3,FALSE),"")</f>
        <v/>
      </c>
      <c r="L996" s="1041"/>
      <c r="M996" s="753"/>
      <c r="N996" s="3" t="str">
        <f>IF(M996="","",VLOOKUP(M996,'Budget-S&amp;U Codes Lookup'!$E$26:$F$45,2,FALSE))</f>
        <v/>
      </c>
      <c r="P996" s="186"/>
    </row>
    <row r="997" spans="1:16">
      <c r="A997" s="81"/>
      <c r="B997" s="82" t="str">
        <f>IFERROR(VLOOKUP(A997,'Budget-S&amp;U Codes Lookup'!$A$7:$B$550,2,FALSE),"")</f>
        <v/>
      </c>
      <c r="C997" s="993"/>
      <c r="D997" s="118"/>
      <c r="E997" s="131"/>
      <c r="F997" s="126"/>
      <c r="G997" s="126"/>
      <c r="H997" s="125">
        <f t="shared" si="15"/>
        <v>0</v>
      </c>
      <c r="I997" s="191"/>
      <c r="J997" s="268"/>
      <c r="K997" s="182" t="str">
        <f>IFERROR(VLOOKUP(A997,'Budget-S&amp;U Codes Lookup'!$A$7:$C$550,3,FALSE),"")</f>
        <v/>
      </c>
      <c r="L997" s="1041"/>
      <c r="M997" s="753"/>
      <c r="N997" s="3" t="str">
        <f>IF(M997="","",VLOOKUP(M997,'Budget-S&amp;U Codes Lookup'!$E$26:$F$45,2,FALSE))</f>
        <v/>
      </c>
      <c r="P997" s="186"/>
    </row>
    <row r="998" spans="1:16">
      <c r="A998" s="249"/>
      <c r="B998" s="82" t="str">
        <f>IFERROR(VLOOKUP(A998,'Budget-S&amp;U Codes Lookup'!$A$7:$B$550,2,FALSE),"")</f>
        <v/>
      </c>
      <c r="C998" s="994"/>
      <c r="D998" s="119"/>
      <c r="E998" s="132"/>
      <c r="F998" s="127"/>
      <c r="G998" s="127"/>
      <c r="H998" s="125">
        <f t="shared" si="15"/>
        <v>0</v>
      </c>
      <c r="I998" s="191"/>
      <c r="J998" s="268"/>
      <c r="K998" s="182" t="str">
        <f>IFERROR(VLOOKUP(A998,'Budget-S&amp;U Codes Lookup'!$A$7:$C$550,3,FALSE),"")</f>
        <v/>
      </c>
      <c r="L998" s="1041"/>
      <c r="M998" s="753"/>
      <c r="N998" s="3" t="str">
        <f>IF(M998="","",VLOOKUP(M998,'Budget-S&amp;U Codes Lookup'!$E$26:$F$45,2,FALSE))</f>
        <v/>
      </c>
      <c r="P998" s="186"/>
    </row>
    <row r="999" spans="1:16" s="2" customFormat="1" ht="16.5" customHeight="1" thickBot="1">
      <c r="A999" s="85" t="s">
        <v>324</v>
      </c>
      <c r="B999" s="85"/>
      <c r="C999" s="85"/>
      <c r="D999" s="120"/>
      <c r="E999" s="133"/>
      <c r="F999" s="128">
        <f>SUMIF($A$9:$A$998,"&gt;0",F9:F998)</f>
        <v>0</v>
      </c>
      <c r="G999" s="128">
        <f>SUMIF($A$9:$A$998,"&gt;0",G9:G998)</f>
        <v>0</v>
      </c>
      <c r="H999" s="128">
        <f>SUMIF($A$9:$A$998,"&gt;0",H9:H998)</f>
        <v>0</v>
      </c>
      <c r="I999" s="57"/>
      <c r="J999" s="57"/>
      <c r="K999" s="57"/>
    </row>
    <row r="1000" spans="1:16">
      <c r="A1000" s="2" t="s">
        <v>2193</v>
      </c>
      <c r="B1000" s="2"/>
      <c r="C1000" s="2"/>
      <c r="D1000" s="192"/>
      <c r="E1000" s="193"/>
      <c r="F1000" s="194">
        <f>F999-(SUMIF($I$9:$I$998,"CLOSE",F9:F998))</f>
        <v>0</v>
      </c>
      <c r="G1000" s="194">
        <f>G999-(SUMIF($I$9:$I$998,"CLOSE",G9:G998))</f>
        <v>0</v>
      </c>
      <c r="H1000" s="194">
        <f>H999-(SUMIF($I$9:$I$998,"CLOSE",H9:H998))</f>
        <v>0</v>
      </c>
      <c r="I1000" s="2"/>
      <c r="J1000" s="2"/>
      <c r="K1000" s="2"/>
    </row>
    <row r="1002" spans="1:16">
      <c r="B1002" s="140" t="s">
        <v>2194</v>
      </c>
      <c r="C1002" s="183"/>
    </row>
    <row r="1003" spans="1:16">
      <c r="B1003" s="3" t="s">
        <v>2195</v>
      </c>
      <c r="C1003" s="185">
        <f>SUMIF($K$9:$K$998,"Acq.",$F$9:$F$998)-SUMIFS($F$9:$F$998,$K$9:$K$998,"Acq.",$I$9:$I$998,"Close")</f>
        <v>0</v>
      </c>
    </row>
    <row r="1004" spans="1:16">
      <c r="B1004" s="3" t="s">
        <v>2196</v>
      </c>
      <c r="C1004" s="185">
        <f>SUMIF($K$9:$K$998,"HC",$F$9:$F$998)-SUMIFS($F$9:$F$998,$K$9:$K$998,"HC",$I$9:$I$998,"Close")</f>
        <v>0</v>
      </c>
    </row>
    <row r="1005" spans="1:16">
      <c r="B1005" s="3" t="s">
        <v>2197</v>
      </c>
      <c r="C1005" s="185">
        <f>SUMIF($K$9:$K$998,"SC",$F$9:$F$998)-SUMIFS($F$9:$F$998,$K$9:$K$998,"SC",$I$9:$I$998,"Close")</f>
        <v>0</v>
      </c>
    </row>
    <row r="1006" spans="1:16">
      <c r="B1006" s="3" t="s">
        <v>2198</v>
      </c>
      <c r="C1006" s="185">
        <f>SUMIF($K$9:$K$998,"devel. fee",$F$9:$F$998)-SUMIFS($F$9:$F$998,$K$9:$K$998,"devel. fee",$I$9:$I$998,"Close")</f>
        <v>0</v>
      </c>
    </row>
    <row r="1007" spans="1:16">
      <c r="B1007" s="3" t="s">
        <v>1419</v>
      </c>
      <c r="C1007" s="185">
        <f>SUMIF($K$9:$K$998,"SC-finance",$F$9:$F$998)-SUMIFS($F$9:$F$998,$K$9:$K$998,"SC-finance",$I$9:$I$998,"Close")</f>
        <v>0</v>
      </c>
    </row>
    <row r="1008" spans="1:16">
      <c r="B1008" s="2" t="s">
        <v>22</v>
      </c>
      <c r="C1008" s="195">
        <f>SUM(C1003:C1007)</f>
        <v>0</v>
      </c>
    </row>
    <row r="1010" spans="2:6">
      <c r="B1010" s="140" t="s">
        <v>2199</v>
      </c>
      <c r="C1010" s="266"/>
      <c r="D1010" s="270"/>
      <c r="E1010" s="275"/>
    </row>
    <row r="1011" spans="2:6">
      <c r="B1011" s="3" t="s">
        <v>2195</v>
      </c>
      <c r="C1011" s="184">
        <f>SUMIFS($F$9:$F$998,$K$9:$K$998,"Acq.",$I$9:$I$998,"Close")</f>
        <v>0</v>
      </c>
      <c r="D1011" s="271"/>
      <c r="E1011" s="273"/>
    </row>
    <row r="1012" spans="2:6">
      <c r="B1012" s="3" t="s">
        <v>2196</v>
      </c>
      <c r="C1012" s="184">
        <f>SUMIFS($F$9:$F$998,$K$9:$K$998,"hc",$I$9:$I$998,"Close")</f>
        <v>0</v>
      </c>
      <c r="D1012" s="271"/>
      <c r="E1012" s="273"/>
    </row>
    <row r="1013" spans="2:6">
      <c r="B1013" s="3" t="s">
        <v>2197</v>
      </c>
      <c r="C1013" s="184">
        <f>SUMIFS($F$9:$F$998,$K$9:$K$998,"SC",$I$9:$I$998,"Close")</f>
        <v>0</v>
      </c>
      <c r="D1013" s="271"/>
      <c r="E1013" s="273"/>
    </row>
    <row r="1014" spans="2:6">
      <c r="B1014" s="3" t="s">
        <v>2198</v>
      </c>
      <c r="C1014" s="184">
        <f>SUMIFS($F$9:$F$998,$K$9:$K$998,"devel. Fee",$I$9:$I$998,"Close")</f>
        <v>0</v>
      </c>
      <c r="D1014" s="271"/>
      <c r="E1014" s="273"/>
    </row>
    <row r="1015" spans="2:6">
      <c r="B1015" s="3" t="s">
        <v>1419</v>
      </c>
      <c r="C1015" s="184">
        <f>SUMIFS($F$9:$F$998,$K$9:$K$998,"SC-finance",$I$9:$I$998,"Close")</f>
        <v>0</v>
      </c>
      <c r="D1015" s="271"/>
      <c r="E1015" s="273"/>
    </row>
    <row r="1016" spans="2:6">
      <c r="B1016" s="2" t="s">
        <v>22</v>
      </c>
      <c r="C1016" s="267">
        <f>SUM(C1011:C1015)</f>
        <v>0</v>
      </c>
      <c r="D1016" s="272"/>
      <c r="E1016" s="274"/>
      <c r="F1016" s="269"/>
    </row>
    <row r="1017" spans="2:6">
      <c r="D1017" s="271"/>
    </row>
    <row r="1018" spans="2:6">
      <c r="B1018" s="2" t="s">
        <v>2200</v>
      </c>
      <c r="C1018" s="195">
        <f>C1008+C1016</f>
        <v>0</v>
      </c>
      <c r="D1018" s="271"/>
    </row>
    <row r="1023" spans="2:6">
      <c r="C1023" s="184"/>
    </row>
    <row r="1031" spans="2:3">
      <c r="B1031" s="276"/>
    </row>
    <row r="1032" spans="2:3">
      <c r="B1032" s="276"/>
    </row>
    <row r="1033" spans="2:3">
      <c r="B1033" s="277"/>
    </row>
    <row r="1034" spans="2:3">
      <c r="B1034" s="276"/>
      <c r="C1034" s="186"/>
    </row>
    <row r="1036" spans="2:3">
      <c r="B1036" s="185"/>
    </row>
  </sheetData>
  <mergeCells count="3">
    <mergeCell ref="A7:B7"/>
    <mergeCell ref="M7:N7"/>
    <mergeCell ref="A1:M5"/>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9FF99"/>
  </sheetPr>
  <dimension ref="A1:V696"/>
  <sheetViews>
    <sheetView workbookViewId="0">
      <selection activeCell="A16" sqref="A16"/>
    </sheetView>
  </sheetViews>
  <sheetFormatPr defaultColWidth="9.42578125" defaultRowHeight="15"/>
  <cols>
    <col min="1" max="2" width="17" customWidth="1"/>
    <col min="3" max="3" width="34.5703125" customWidth="1"/>
    <col min="4" max="4" width="23" customWidth="1"/>
    <col min="5" max="5" width="19.42578125" customWidth="1"/>
    <col min="6" max="6" width="17.42578125" customWidth="1"/>
    <col min="7" max="7" width="14.5703125" bestFit="1" customWidth="1"/>
    <col min="8" max="8" width="19.42578125" customWidth="1"/>
    <col min="9" max="9" width="20.42578125" customWidth="1"/>
    <col min="10" max="10" width="31.5703125" hidden="1" customWidth="1"/>
    <col min="11" max="11" width="23.42578125" hidden="1" customWidth="1"/>
    <col min="12" max="12" width="15.42578125" hidden="1" customWidth="1"/>
    <col min="13" max="13" width="11.5703125" hidden="1" customWidth="1"/>
    <col min="14" max="14" width="17" hidden="1" customWidth="1"/>
    <col min="15" max="15" width="15" hidden="1" customWidth="1"/>
    <col min="16" max="16" width="8.5703125" hidden="1" customWidth="1"/>
    <col min="17" max="17" width="16.42578125" hidden="1" customWidth="1"/>
    <col min="18" max="18" width="15.5703125" hidden="1" customWidth="1"/>
    <col min="19" max="19" width="16.42578125" hidden="1" customWidth="1"/>
    <col min="21" max="21" width="10.42578125" bestFit="1" customWidth="1"/>
    <col min="22" max="22" width="11.42578125" bestFit="1" customWidth="1"/>
  </cols>
  <sheetData>
    <row r="1" spans="1:22" ht="21">
      <c r="A1" s="744"/>
      <c r="B1" s="745"/>
      <c r="C1" s="1444" t="s">
        <v>2201</v>
      </c>
      <c r="D1" s="745" t="s">
        <v>2202</v>
      </c>
      <c r="E1" s="745"/>
      <c r="F1" s="745"/>
      <c r="G1" s="745"/>
      <c r="H1" s="745"/>
      <c r="I1" s="772"/>
      <c r="K1" s="1444" t="s">
        <v>2203</v>
      </c>
    </row>
    <row r="2" spans="1:22">
      <c r="A2" s="141" t="s">
        <v>2204</v>
      </c>
      <c r="D2" s="504">
        <f>G13</f>
        <v>306900000</v>
      </c>
      <c r="I2" s="1445"/>
      <c r="J2" s="1851" t="s">
        <v>2205</v>
      </c>
      <c r="K2" s="1851"/>
      <c r="L2" s="1852"/>
      <c r="M2" s="1472"/>
      <c r="S2" s="742"/>
    </row>
    <row r="3" spans="1:22">
      <c r="A3" s="141" t="s">
        <v>2206</v>
      </c>
      <c r="D3" s="1446">
        <f>IF(D2=0,0,INPUT!E174)</f>
        <v>360</v>
      </c>
      <c r="I3" s="1445"/>
      <c r="J3" t="s">
        <v>1683</v>
      </c>
      <c r="L3" s="1668">
        <f>IF(INPUT!E148="No",0,INPUT!J216)</f>
        <v>0</v>
      </c>
      <c r="M3" s="1668"/>
      <c r="N3" s="855" t="s">
        <v>2207</v>
      </c>
      <c r="O3" s="1670">
        <f>IF(L3=0,0,FV(L7/12,L9-L10,(L3*L11)/12,-L3,0))</f>
        <v>0</v>
      </c>
    </row>
    <row r="4" spans="1:22">
      <c r="A4" s="141" t="s">
        <v>2208</v>
      </c>
      <c r="D4" s="1447">
        <f>IF(D2=0,0,INPUT!E154+INPUT!M216)</f>
        <v>2.5000000000000001E-3</v>
      </c>
      <c r="E4" t="s">
        <v>2209</v>
      </c>
      <c r="I4" s="1445"/>
      <c r="J4" t="s">
        <v>2210</v>
      </c>
      <c r="L4" s="1669">
        <f>IF(L3=0,0,INPUT!E159)</f>
        <v>0</v>
      </c>
      <c r="M4" s="1669"/>
      <c r="N4" s="855" t="s">
        <v>2211</v>
      </c>
      <c r="O4" s="95">
        <f>L3-O3</f>
        <v>0</v>
      </c>
    </row>
    <row r="5" spans="1:22">
      <c r="A5" s="141" t="s">
        <v>2212</v>
      </c>
      <c r="D5" s="1448">
        <f>IF($D$2=0,0,PMT($D$4/12,$D$3,-$D$2,0,0))</f>
        <v>884957.07930839236</v>
      </c>
      <c r="I5" s="1445"/>
      <c r="J5" t="s">
        <v>2213</v>
      </c>
      <c r="L5" s="1669">
        <f>IF(L3=0,0,INPUT!E158)</f>
        <v>0</v>
      </c>
      <c r="M5" s="1669"/>
      <c r="N5" s="789" t="s">
        <v>2214</v>
      </c>
      <c r="O5" s="95">
        <f>IFERROR((O4/(L9-L10)),0)</f>
        <v>0</v>
      </c>
    </row>
    <row r="6" spans="1:22">
      <c r="A6" s="141" t="s">
        <v>2215</v>
      </c>
      <c r="D6" s="1449">
        <f>IF(D2=0,0,INPUT!$E$175)</f>
        <v>0</v>
      </c>
      <c r="I6" s="1445"/>
      <c r="J6" t="s">
        <v>2216</v>
      </c>
      <c r="L6" s="1669">
        <f>IF(L3=0,0,INPUT!E160)</f>
        <v>0</v>
      </c>
      <c r="M6" s="1664"/>
      <c r="O6" s="1665"/>
      <c r="S6" s="1473"/>
      <c r="V6" s="417"/>
    </row>
    <row r="7" spans="1:22">
      <c r="I7" s="1445"/>
      <c r="J7" t="s">
        <v>2217</v>
      </c>
      <c r="L7" s="789">
        <f>MAX(L6,L4+L5)</f>
        <v>0</v>
      </c>
      <c r="M7" s="850"/>
      <c r="O7" s="1736" t="s">
        <v>2218</v>
      </c>
      <c r="P7" s="2428" t="s">
        <v>322</v>
      </c>
      <c r="Q7" s="1737" t="s">
        <v>2219</v>
      </c>
    </row>
    <row r="8" spans="1:22">
      <c r="I8" s="1445"/>
      <c r="J8" t="s">
        <v>2220</v>
      </c>
      <c r="L8" s="855">
        <f>IF(L3=0,0,INPUT!E174)</f>
        <v>0</v>
      </c>
      <c r="M8" s="855"/>
      <c r="N8" t="s">
        <v>231</v>
      </c>
      <c r="O8" s="1671">
        <f>IF(L3=0,0,SUMIF(INPUT!$E$186:$E$215,N8,INPUT!$J$186:$J$215))</f>
        <v>0</v>
      </c>
      <c r="P8" s="787">
        <f>IF(O8=0,0,O8/$O$10)</f>
        <v>0</v>
      </c>
      <c r="Q8" s="742">
        <f>IF(O8=0,0,ROUND((O5*P8),0))</f>
        <v>0</v>
      </c>
    </row>
    <row r="9" spans="1:22" ht="15.75" thickBot="1">
      <c r="H9" s="135"/>
      <c r="I9" s="1450"/>
      <c r="J9" t="s">
        <v>2221</v>
      </c>
      <c r="L9" s="855">
        <f>IF(L3=0,0,INPUT!E136)</f>
        <v>0</v>
      </c>
      <c r="M9" s="855"/>
      <c r="N9" s="1672" t="s">
        <v>233</v>
      </c>
      <c r="O9" s="1673">
        <f>IF(L3=0,0,SUMIF(INPUT!$E$186:$E$215,N9,INPUT!$J$186:$J$215))</f>
        <v>0</v>
      </c>
      <c r="P9" s="1674">
        <f>IF(O9=0,0,O9/$O$10)</f>
        <v>0</v>
      </c>
      <c r="Q9" s="1675">
        <f>ROUND((P9*O5),0)</f>
        <v>0</v>
      </c>
    </row>
    <row r="10" spans="1:22" ht="30">
      <c r="A10" s="141"/>
      <c r="D10" s="855"/>
      <c r="F10" s="744"/>
      <c r="G10" s="745" t="s">
        <v>244</v>
      </c>
      <c r="H10" s="746" t="s">
        <v>2222</v>
      </c>
      <c r="I10" s="747" t="s">
        <v>2223</v>
      </c>
      <c r="J10" t="s">
        <v>2224</v>
      </c>
      <c r="L10">
        <f>IF(L3=0,0,INPUT!E176)</f>
        <v>0</v>
      </c>
      <c r="N10" s="1" t="s">
        <v>22</v>
      </c>
      <c r="O10" s="1676">
        <f>SUM(O8:O9)</f>
        <v>0</v>
      </c>
      <c r="P10" s="1464">
        <f>IF(O10=0,0,O10/$O$10)</f>
        <v>0</v>
      </c>
      <c r="Q10" s="1677">
        <f>SUM(Q8:Q9)</f>
        <v>0</v>
      </c>
      <c r="R10" s="787"/>
      <c r="V10" s="728"/>
    </row>
    <row r="11" spans="1:22">
      <c r="A11" s="141"/>
      <c r="B11" t="s">
        <v>2225</v>
      </c>
      <c r="D11" s="1448">
        <f>SUM(D18:D377)</f>
        <v>0</v>
      </c>
      <c r="F11" s="141" t="s">
        <v>231</v>
      </c>
      <c r="G11" s="504">
        <f>IF(INPUT!E148="yes",0,SUMIF(INPUT!$E$186:$E$215,'Amortization for Floating Rate'!F11,INPUT!$J$186:$J$215))</f>
        <v>299227500</v>
      </c>
      <c r="H11" s="1023">
        <f>IF(G11=0,0,(G11/G13)*D12)</f>
        <v>0</v>
      </c>
      <c r="I11" s="1024">
        <f>ROUND((H11),0)</f>
        <v>0</v>
      </c>
      <c r="J11" t="s">
        <v>2226</v>
      </c>
      <c r="L11" s="1666">
        <f>IF(L3=0,0,PMT(L7/12,L8,-1,0,0)*12)</f>
        <v>0</v>
      </c>
      <c r="M11" s="1666"/>
    </row>
    <row r="12" spans="1:22" ht="17.25">
      <c r="A12" s="141"/>
      <c r="B12" t="s">
        <v>2227</v>
      </c>
      <c r="D12" s="1451">
        <f>IF(D11=0,0,D11/D6)</f>
        <v>0</v>
      </c>
      <c r="F12" s="141" t="s">
        <v>233</v>
      </c>
      <c r="G12" s="504">
        <f>IF(INPUT!E148="Yes",0,SUMIF(INPUT!$E$186:$E$215,'Amortization for Floating Rate'!F12,INPUT!$J$186:$J$215))</f>
        <v>7672500</v>
      </c>
      <c r="H12" s="1025">
        <f>IF(G12=0,0,(G12/G13)*D12)</f>
        <v>0</v>
      </c>
      <c r="I12" s="1024">
        <f>ROUND((H12),0)</f>
        <v>0</v>
      </c>
      <c r="J12" t="s">
        <v>2228</v>
      </c>
      <c r="L12" s="1949">
        <f>ROUND(((L3*L11)/12),2)</f>
        <v>0</v>
      </c>
      <c r="M12" s="1667"/>
      <c r="N12" s="1734" t="s">
        <v>2229</v>
      </c>
      <c r="O12" s="1734"/>
      <c r="P12" s="1735"/>
      <c r="Q12" s="1734"/>
      <c r="V12" s="742"/>
    </row>
    <row r="13" spans="1:22" ht="15.75" thickBot="1">
      <c r="A13" s="141"/>
      <c r="F13" s="179" t="s">
        <v>22</v>
      </c>
      <c r="G13" s="748">
        <f>SUM(G11:G12)</f>
        <v>306900000</v>
      </c>
      <c r="H13" s="1026">
        <f>SUM(H11:H12)</f>
        <v>0</v>
      </c>
      <c r="I13" s="1027">
        <f>SUM(I11:I12)</f>
        <v>0</v>
      </c>
      <c r="L13" s="504"/>
      <c r="M13" s="504"/>
      <c r="Q13" s="855"/>
      <c r="R13" s="742"/>
    </row>
    <row r="14" spans="1:22">
      <c r="A14" s="141"/>
      <c r="H14" s="742"/>
      <c r="I14" s="1445"/>
    </row>
    <row r="15" spans="1:22">
      <c r="A15" s="141"/>
      <c r="H15" s="742"/>
      <c r="I15" s="1445"/>
    </row>
    <row r="16" spans="1:22">
      <c r="A16" s="1452" t="s">
        <v>2230</v>
      </c>
      <c r="B16" s="743" t="s">
        <v>2231</v>
      </c>
      <c r="C16" s="743" t="s">
        <v>961</v>
      </c>
      <c r="D16" s="743" t="s">
        <v>2232</v>
      </c>
      <c r="E16" s="743" t="s">
        <v>22</v>
      </c>
      <c r="H16" s="742"/>
      <c r="I16" s="1445"/>
      <c r="J16" s="1696" t="s">
        <v>2233</v>
      </c>
      <c r="K16" s="1696"/>
      <c r="L16" s="1697"/>
      <c r="M16" s="1697"/>
      <c r="V16" s="1463"/>
    </row>
    <row r="17" spans="1:21">
      <c r="A17" s="1453">
        <v>0</v>
      </c>
      <c r="B17" s="1454">
        <f>D2</f>
        <v>306900000</v>
      </c>
      <c r="C17" s="1454"/>
      <c r="D17" s="1454"/>
      <c r="E17" s="1454"/>
      <c r="H17" s="742"/>
      <c r="I17" s="1445"/>
      <c r="J17" s="1698" t="s">
        <v>2234</v>
      </c>
      <c r="K17" s="1699"/>
      <c r="L17" s="1700"/>
      <c r="M17" s="1700"/>
      <c r="R17" s="420"/>
    </row>
    <row r="18" spans="1:21" ht="30">
      <c r="A18" s="1453">
        <f>A17+1</f>
        <v>1</v>
      </c>
      <c r="B18" s="1454">
        <f>MAX(0,B17-D18)</f>
        <v>306900000</v>
      </c>
      <c r="C18" s="1454">
        <f>B17*$D$4/12</f>
        <v>63937.5</v>
      </c>
      <c r="D18" s="1454">
        <f t="shared" ref="D18:D81" si="0">IF(A18&gt;$D$6,0,$D$5-C18)</f>
        <v>0</v>
      </c>
      <c r="E18" s="1454">
        <f>SUM(C18:D18)</f>
        <v>63937.5</v>
      </c>
      <c r="F18" s="1454"/>
      <c r="I18" s="1445"/>
      <c r="J18" s="1463" t="s">
        <v>2235</v>
      </c>
      <c r="K18" s="1463"/>
      <c r="L18" s="1463" t="s">
        <v>2236</v>
      </c>
      <c r="M18" s="1463" t="s">
        <v>2237</v>
      </c>
      <c r="N18" s="1463" t="s">
        <v>2238</v>
      </c>
      <c r="O18" s="1463" t="s">
        <v>2239</v>
      </c>
      <c r="P18" s="1463" t="s">
        <v>2240</v>
      </c>
      <c r="Q18" s="1463" t="s">
        <v>2241</v>
      </c>
      <c r="R18" s="1463" t="s">
        <v>2242</v>
      </c>
      <c r="S18" s="1463" t="s">
        <v>2243</v>
      </c>
      <c r="T18" s="1463"/>
      <c r="U18" s="1463"/>
    </row>
    <row r="19" spans="1:21">
      <c r="A19" s="1453">
        <f t="shared" ref="A19:A82" si="1">A18+1</f>
        <v>2</v>
      </c>
      <c r="B19" s="1454">
        <f>B18-D19</f>
        <v>306900000</v>
      </c>
      <c r="C19" s="1454">
        <f t="shared" ref="C19:C81" si="2">B18*$D$4/12</f>
        <v>63937.5</v>
      </c>
      <c r="D19" s="1454">
        <f t="shared" si="0"/>
        <v>0</v>
      </c>
      <c r="E19" s="1454">
        <f t="shared" ref="E19:E82" si="3">SUM(C19:D19)</f>
        <v>63937.5</v>
      </c>
      <c r="I19" s="1445"/>
      <c r="J19" s="1678">
        <v>25000000</v>
      </c>
      <c r="K19" s="742" t="s">
        <v>2244</v>
      </c>
      <c r="L19" s="1686">
        <v>360</v>
      </c>
      <c r="M19" s="1680">
        <v>5.2499999999999998E-2</v>
      </c>
      <c r="N19" s="135">
        <v>24</v>
      </c>
      <c r="O19" s="1692">
        <v>12</v>
      </c>
      <c r="P19" s="862">
        <f>IFERROR((PMT(M19/12,L19,-1,0,0)*12),0)</f>
        <v>6.6264444257027794E-2</v>
      </c>
      <c r="Q19" s="1683">
        <f>FV(M19/12,N19-O19,(J19*P19)/12,-J19,0)</f>
        <v>24647486.770524792</v>
      </c>
      <c r="R19" s="1684">
        <f>J19-Q19</f>
        <v>352513.22947520763</v>
      </c>
      <c r="S19" s="1684">
        <f>R19/12</f>
        <v>29376.102456267301</v>
      </c>
    </row>
    <row r="20" spans="1:21">
      <c r="A20" s="1453">
        <f t="shared" si="1"/>
        <v>3</v>
      </c>
      <c r="B20" s="1454">
        <f t="shared" ref="B20:B82" si="4">B19-D20</f>
        <v>306900000</v>
      </c>
      <c r="C20" s="1454">
        <f t="shared" si="2"/>
        <v>63937.5</v>
      </c>
      <c r="D20" s="1454">
        <f t="shared" si="0"/>
        <v>0</v>
      </c>
      <c r="E20" s="1454">
        <f t="shared" si="3"/>
        <v>63937.5</v>
      </c>
      <c r="I20" s="1445"/>
      <c r="J20" s="1678">
        <v>4000000</v>
      </c>
      <c r="K20" s="742" t="s">
        <v>2245</v>
      </c>
      <c r="L20" s="1686">
        <v>360</v>
      </c>
      <c r="M20" s="1687">
        <v>5.2499999999999998E-2</v>
      </c>
      <c r="N20" s="135">
        <f>120-24</f>
        <v>96</v>
      </c>
      <c r="O20" s="1692">
        <v>0</v>
      </c>
      <c r="P20" s="862">
        <f>IFERROR((PMT(M20/12,L20,-1,0,0)*12),0)</f>
        <v>6.6264444257027794E-2</v>
      </c>
      <c r="Q20" s="1683">
        <f>FV(M20/12,N20-O20,(J20*P20)/12,-J20,0)</f>
        <v>3454070.200013116</v>
      </c>
      <c r="R20" s="1684">
        <f>J20-Q20</f>
        <v>545929.799986884</v>
      </c>
      <c r="S20" s="1681">
        <f>(R20/12)+S19</f>
        <v>74870.252455174297</v>
      </c>
      <c r="T20" s="742"/>
    </row>
    <row r="21" spans="1:21">
      <c r="A21" s="1453">
        <f t="shared" si="1"/>
        <v>4</v>
      </c>
      <c r="B21" s="1454">
        <f t="shared" si="4"/>
        <v>306900000</v>
      </c>
      <c r="C21" s="1454">
        <f t="shared" si="2"/>
        <v>63937.5</v>
      </c>
      <c r="D21" s="1454">
        <f t="shared" si="0"/>
        <v>0</v>
      </c>
      <c r="E21" s="1454">
        <f t="shared" si="3"/>
        <v>63937.5</v>
      </c>
      <c r="I21" s="1445"/>
      <c r="J21" s="1678"/>
      <c r="K21" s="742" t="s">
        <v>2246</v>
      </c>
      <c r="L21" s="1685"/>
      <c r="M21" s="1687"/>
      <c r="N21" s="135"/>
      <c r="O21" s="1692"/>
      <c r="P21" s="862">
        <f>IFERROR((PMT(M21/12,L21,-1,0,0)*12),0)</f>
        <v>0</v>
      </c>
      <c r="Q21" s="1683">
        <f>FV(M21/12,N21-O21,(J21*P21)/12,-J21,0)</f>
        <v>0</v>
      </c>
      <c r="R21" s="1684">
        <f>J21-Q21</f>
        <v>0</v>
      </c>
      <c r="S21" s="1681">
        <f>(R21/12)+S20</f>
        <v>74870.252455174297</v>
      </c>
      <c r="T21" s="742"/>
    </row>
    <row r="22" spans="1:21">
      <c r="A22" s="1453">
        <f t="shared" si="1"/>
        <v>5</v>
      </c>
      <c r="B22" s="1454">
        <f t="shared" si="4"/>
        <v>306900000</v>
      </c>
      <c r="C22" s="1454">
        <f t="shared" si="2"/>
        <v>63937.5</v>
      </c>
      <c r="D22" s="1454">
        <f t="shared" si="0"/>
        <v>0</v>
      </c>
      <c r="E22" s="1454">
        <f t="shared" si="3"/>
        <v>63937.5</v>
      </c>
      <c r="I22" s="1445"/>
      <c r="J22" s="1678"/>
      <c r="K22" s="742" t="s">
        <v>2247</v>
      </c>
      <c r="L22" s="1685"/>
      <c r="M22" s="1687"/>
      <c r="N22" s="135"/>
      <c r="O22" s="1692"/>
      <c r="P22" s="862">
        <f>IFERROR((PMT(M22/12,L22,-1,0,0)*12),0)</f>
        <v>0</v>
      </c>
      <c r="Q22" s="1683">
        <f>FV(M22/12,N22-O22,(J22*P22)/12,-J22,0)</f>
        <v>0</v>
      </c>
      <c r="R22" s="1684">
        <f>J22-Q22</f>
        <v>0</v>
      </c>
      <c r="S22" s="1681">
        <f>(R22/12)+S21</f>
        <v>74870.252455174297</v>
      </c>
      <c r="T22" s="742"/>
      <c r="U22" s="417"/>
    </row>
    <row r="23" spans="1:21">
      <c r="A23" s="1453">
        <f t="shared" si="1"/>
        <v>6</v>
      </c>
      <c r="B23" s="1454">
        <f t="shared" si="4"/>
        <v>306900000</v>
      </c>
      <c r="C23" s="1454">
        <f t="shared" si="2"/>
        <v>63937.5</v>
      </c>
      <c r="D23" s="1454">
        <f t="shared" si="0"/>
        <v>0</v>
      </c>
      <c r="E23" s="1454">
        <f t="shared" si="3"/>
        <v>63937.5</v>
      </c>
      <c r="I23" s="1445"/>
      <c r="J23" s="1671">
        <f>SUM(J19:J22)</f>
        <v>29000000</v>
      </c>
      <c r="K23" s="1671"/>
      <c r="L23" s="1688"/>
      <c r="M23" s="1689"/>
      <c r="N23" s="135">
        <f>SUM(N19:N22)</f>
        <v>120</v>
      </c>
      <c r="O23" s="1691">
        <f>SUM(O19:O22)</f>
        <v>12</v>
      </c>
      <c r="P23" s="1690"/>
      <c r="Q23" s="1683">
        <f>SUM(Q19:Q22)</f>
        <v>28101556.970537908</v>
      </c>
      <c r="R23" s="1681">
        <f>SUM(R19:R22)</f>
        <v>898443.02946209162</v>
      </c>
      <c r="S23" s="1681">
        <f>(S22)</f>
        <v>74870.252455174297</v>
      </c>
      <c r="T23" s="742"/>
    </row>
    <row r="24" spans="1:21">
      <c r="A24" s="1453">
        <f t="shared" si="1"/>
        <v>7</v>
      </c>
      <c r="B24" s="1454">
        <f t="shared" si="4"/>
        <v>306900000</v>
      </c>
      <c r="C24" s="1454">
        <f t="shared" si="2"/>
        <v>63937.5</v>
      </c>
      <c r="D24" s="1454">
        <f t="shared" si="0"/>
        <v>0</v>
      </c>
      <c r="E24" s="1454">
        <f t="shared" si="3"/>
        <v>63937.5</v>
      </c>
      <c r="I24" s="1445"/>
      <c r="R24" s="1681"/>
      <c r="S24" s="1681"/>
      <c r="T24" s="742"/>
      <c r="U24" s="857"/>
    </row>
    <row r="25" spans="1:21">
      <c r="A25" s="1453">
        <f t="shared" si="1"/>
        <v>8</v>
      </c>
      <c r="B25" s="1454">
        <f t="shared" si="4"/>
        <v>306900000</v>
      </c>
      <c r="C25" s="1454">
        <f t="shared" si="2"/>
        <v>63937.5</v>
      </c>
      <c r="D25" s="1454">
        <f t="shared" si="0"/>
        <v>0</v>
      </c>
      <c r="E25" s="1454">
        <f t="shared" si="3"/>
        <v>63937.5</v>
      </c>
      <c r="I25" s="1445"/>
      <c r="J25" s="1671" t="s">
        <v>2229</v>
      </c>
      <c r="K25" s="1671"/>
      <c r="L25" s="1688"/>
      <c r="M25" s="1689"/>
      <c r="N25" s="135"/>
      <c r="O25" s="1689"/>
      <c r="P25" s="1690"/>
      <c r="Q25" s="135"/>
      <c r="R25" s="1681"/>
      <c r="S25" s="1681"/>
      <c r="T25" s="742"/>
    </row>
    <row r="26" spans="1:21">
      <c r="A26" s="1453">
        <f t="shared" si="1"/>
        <v>9</v>
      </c>
      <c r="B26" s="1454">
        <f t="shared" si="4"/>
        <v>306900000</v>
      </c>
      <c r="C26" s="1454">
        <f t="shared" si="2"/>
        <v>63937.5</v>
      </c>
      <c r="D26" s="1454">
        <f t="shared" si="0"/>
        <v>0</v>
      </c>
      <c r="E26" s="1454">
        <f t="shared" si="3"/>
        <v>63937.5</v>
      </c>
      <c r="I26" s="1445"/>
      <c r="J26" s="1671" t="s">
        <v>2248</v>
      </c>
      <c r="K26" s="1671"/>
      <c r="L26" s="1688"/>
      <c r="M26" s="1689"/>
      <c r="N26" s="135"/>
      <c r="O26" s="1689"/>
      <c r="P26" s="1690"/>
      <c r="Q26" s="135"/>
      <c r="R26" s="1681"/>
      <c r="S26" s="1681"/>
      <c r="T26" s="742"/>
    </row>
    <row r="27" spans="1:21" ht="45">
      <c r="A27" s="1453">
        <f t="shared" si="1"/>
        <v>10</v>
      </c>
      <c r="B27" s="1454">
        <f t="shared" si="4"/>
        <v>306900000</v>
      </c>
      <c r="C27" s="1454">
        <f t="shared" si="2"/>
        <v>63937.5</v>
      </c>
      <c r="D27" s="1454">
        <f t="shared" si="0"/>
        <v>0</v>
      </c>
      <c r="E27" s="1454">
        <f t="shared" si="3"/>
        <v>63937.5</v>
      </c>
      <c r="I27" s="1445"/>
      <c r="J27" s="1694" t="s">
        <v>1497</v>
      </c>
      <c r="K27" s="1688" t="s">
        <v>2249</v>
      </c>
      <c r="L27" s="1693" t="s">
        <v>2250</v>
      </c>
      <c r="M27" s="1695" t="s">
        <v>2251</v>
      </c>
      <c r="N27" s="1463" t="s">
        <v>2252</v>
      </c>
      <c r="O27" s="1695" t="s">
        <v>2253</v>
      </c>
      <c r="P27" s="1682"/>
      <c r="Q27" s="135"/>
      <c r="R27" s="1681"/>
      <c r="S27" s="1681"/>
      <c r="T27" s="742"/>
      <c r="U27" s="728"/>
    </row>
    <row r="28" spans="1:21">
      <c r="A28" s="1453">
        <f t="shared" si="1"/>
        <v>11</v>
      </c>
      <c r="B28" s="1454">
        <f t="shared" si="4"/>
        <v>306900000</v>
      </c>
      <c r="C28" s="1454">
        <f t="shared" si="2"/>
        <v>63937.5</v>
      </c>
      <c r="D28" s="1454">
        <f t="shared" si="0"/>
        <v>0</v>
      </c>
      <c r="E28" s="1454">
        <f t="shared" si="3"/>
        <v>63937.5</v>
      </c>
      <c r="I28" s="1445"/>
      <c r="J28" s="135" t="s">
        <v>231</v>
      </c>
      <c r="K28" s="416">
        <f>1-K29</f>
        <v>0.97499999999999998</v>
      </c>
      <c r="L28" s="1689">
        <f>IF($J$19=0,0,ROUND((K28*$S$19),0))</f>
        <v>28642</v>
      </c>
      <c r="M28" s="1689">
        <f>IF($J$20=0,0,ROUND((K28*$S$20),0))</f>
        <v>72998</v>
      </c>
      <c r="N28" s="1689">
        <f>IF($J$21=0,0,ROUND((K28*$S$21),0))</f>
        <v>0</v>
      </c>
      <c r="O28" s="1689">
        <f>IF($J$22=0,0,ROUND((K28*$S$22),0))</f>
        <v>0</v>
      </c>
      <c r="P28" s="1682"/>
      <c r="Q28" s="135"/>
      <c r="R28" s="1681"/>
      <c r="S28" s="1681"/>
      <c r="T28" s="742"/>
      <c r="U28" s="728"/>
    </row>
    <row r="29" spans="1:21">
      <c r="A29" s="1453">
        <f t="shared" si="1"/>
        <v>12</v>
      </c>
      <c r="B29" s="1454">
        <f t="shared" si="4"/>
        <v>306900000</v>
      </c>
      <c r="C29" s="1454">
        <f t="shared" si="2"/>
        <v>63937.5</v>
      </c>
      <c r="D29" s="1454">
        <f t="shared" si="0"/>
        <v>0</v>
      </c>
      <c r="E29" s="1454">
        <f t="shared" si="3"/>
        <v>63937.5</v>
      </c>
      <c r="I29" s="1445"/>
      <c r="J29" s="135" t="s">
        <v>804</v>
      </c>
      <c r="K29" s="1679">
        <v>2.5000000000000001E-2</v>
      </c>
      <c r="L29" s="1689">
        <f>IF($J$19=0,0,ROUND((K29*$S$19),0))</f>
        <v>734</v>
      </c>
      <c r="M29" s="1689">
        <f>IF($J$20=0,0,ROUND((K29*$S$20),0))</f>
        <v>1872</v>
      </c>
      <c r="N29" s="1689">
        <f>IF($J$21=0,0,ROUND((K29*$S$21),0))</f>
        <v>0</v>
      </c>
      <c r="O29" s="1689">
        <f>IF($J$22=0,0,ROUND((K29*$S$22),0))</f>
        <v>0</v>
      </c>
      <c r="P29" s="1682"/>
      <c r="Q29" s="135"/>
      <c r="R29" s="1681"/>
      <c r="S29" s="1681"/>
      <c r="T29" s="742"/>
    </row>
    <row r="30" spans="1:21">
      <c r="A30" s="1453">
        <f t="shared" si="1"/>
        <v>13</v>
      </c>
      <c r="B30" s="1454">
        <f t="shared" si="4"/>
        <v>306900000</v>
      </c>
      <c r="C30" s="1454">
        <f t="shared" si="2"/>
        <v>63937.5</v>
      </c>
      <c r="D30" s="1454">
        <f t="shared" si="0"/>
        <v>0</v>
      </c>
      <c r="E30" s="1454">
        <f t="shared" si="3"/>
        <v>63937.5</v>
      </c>
      <c r="I30" s="1445"/>
      <c r="J30" s="135" t="s">
        <v>22</v>
      </c>
      <c r="K30" s="416">
        <f>SUM(K28:K29)</f>
        <v>1</v>
      </c>
      <c r="L30" s="1681">
        <f>SUM(L28:L29)</f>
        <v>29376</v>
      </c>
      <c r="M30" s="1681">
        <f>SUM(M28:M29)</f>
        <v>74870</v>
      </c>
      <c r="N30" s="1681">
        <f>SUM(N28:N29)</f>
        <v>0</v>
      </c>
      <c r="O30" s="1681">
        <f>SUM(O28:O29)</f>
        <v>0</v>
      </c>
      <c r="P30" s="1682"/>
      <c r="Q30" s="135"/>
      <c r="R30" s="742"/>
      <c r="S30" s="742"/>
      <c r="T30" s="742"/>
    </row>
    <row r="31" spans="1:21">
      <c r="A31" s="1453">
        <f t="shared" si="1"/>
        <v>14</v>
      </c>
      <c r="B31" s="1454">
        <f t="shared" si="4"/>
        <v>306900000</v>
      </c>
      <c r="C31" s="1454">
        <f t="shared" si="2"/>
        <v>63937.5</v>
      </c>
      <c r="D31" s="1454">
        <f t="shared" si="0"/>
        <v>0</v>
      </c>
      <c r="E31" s="1454">
        <f t="shared" si="3"/>
        <v>63937.5</v>
      </c>
      <c r="I31" s="1445"/>
      <c r="J31" s="135"/>
      <c r="K31" s="1093"/>
      <c r="L31" s="1457"/>
      <c r="M31" s="1457"/>
      <c r="N31" s="742"/>
      <c r="O31" s="742"/>
      <c r="P31" s="504"/>
      <c r="R31" s="742"/>
      <c r="S31" s="742"/>
      <c r="T31" s="742"/>
    </row>
    <row r="32" spans="1:21">
      <c r="A32" s="1453">
        <f t="shared" si="1"/>
        <v>15</v>
      </c>
      <c r="B32" s="1454">
        <f t="shared" si="4"/>
        <v>306900000</v>
      </c>
      <c r="C32" s="1454">
        <f t="shared" si="2"/>
        <v>63937.5</v>
      </c>
      <c r="D32" s="1454">
        <f t="shared" si="0"/>
        <v>0</v>
      </c>
      <c r="E32" s="1454">
        <f t="shared" si="3"/>
        <v>63937.5</v>
      </c>
      <c r="I32" s="1445"/>
      <c r="J32" s="1480" t="s">
        <v>2254</v>
      </c>
      <c r="K32" s="1093"/>
      <c r="L32" s="1457"/>
      <c r="M32" s="1457"/>
      <c r="N32" s="742"/>
      <c r="O32" s="742"/>
      <c r="P32" s="504"/>
      <c r="R32" s="742"/>
      <c r="S32" s="742"/>
      <c r="T32" s="742"/>
    </row>
    <row r="33" spans="1:20">
      <c r="A33" s="1453">
        <f t="shared" si="1"/>
        <v>16</v>
      </c>
      <c r="B33" s="1454">
        <f t="shared" si="4"/>
        <v>306900000</v>
      </c>
      <c r="C33" s="1454">
        <f t="shared" si="2"/>
        <v>63937.5</v>
      </c>
      <c r="D33" s="1454">
        <f t="shared" si="0"/>
        <v>0</v>
      </c>
      <c r="E33" s="1454">
        <f t="shared" si="3"/>
        <v>63937.5</v>
      </c>
      <c r="I33" s="1445"/>
      <c r="J33" s="135"/>
      <c r="K33" s="1093"/>
      <c r="L33" s="1457"/>
      <c r="M33" s="1457"/>
      <c r="N33" s="742"/>
      <c r="O33" s="742"/>
      <c r="P33" s="504"/>
      <c r="R33" s="742"/>
      <c r="S33" s="742"/>
      <c r="T33" s="742"/>
    </row>
    <row r="34" spans="1:20">
      <c r="A34" s="1453">
        <f t="shared" si="1"/>
        <v>17</v>
      </c>
      <c r="B34" s="1454">
        <f t="shared" si="4"/>
        <v>306900000</v>
      </c>
      <c r="C34" s="1454">
        <f t="shared" si="2"/>
        <v>63937.5</v>
      </c>
      <c r="D34" s="1454">
        <f t="shared" si="0"/>
        <v>0</v>
      </c>
      <c r="E34" s="1454">
        <f t="shared" si="3"/>
        <v>63937.5</v>
      </c>
      <c r="I34" s="1445"/>
      <c r="J34" s="135"/>
      <c r="K34" s="1093"/>
      <c r="L34" s="1457"/>
      <c r="M34" s="1457"/>
      <c r="N34" s="742"/>
      <c r="O34" s="742"/>
      <c r="P34" s="504"/>
      <c r="R34" s="742"/>
      <c r="S34" s="742"/>
      <c r="T34" s="742"/>
    </row>
    <row r="35" spans="1:20">
      <c r="A35" s="1453">
        <f t="shared" si="1"/>
        <v>18</v>
      </c>
      <c r="B35" s="1454">
        <f t="shared" si="4"/>
        <v>306900000</v>
      </c>
      <c r="C35" s="1454">
        <f t="shared" si="2"/>
        <v>63937.5</v>
      </c>
      <c r="D35" s="1454">
        <f t="shared" si="0"/>
        <v>0</v>
      </c>
      <c r="E35" s="1454">
        <f t="shared" si="3"/>
        <v>63937.5</v>
      </c>
      <c r="I35" s="1445"/>
      <c r="J35" s="135"/>
      <c r="K35" s="1093"/>
      <c r="L35" s="1457"/>
      <c r="M35" s="1457"/>
      <c r="N35" s="742"/>
      <c r="O35" s="742"/>
      <c r="P35" s="504"/>
      <c r="R35" s="742"/>
      <c r="S35" s="742"/>
      <c r="T35" s="742"/>
    </row>
    <row r="36" spans="1:20">
      <c r="A36" s="1453">
        <f t="shared" si="1"/>
        <v>19</v>
      </c>
      <c r="B36" s="1454">
        <f t="shared" si="4"/>
        <v>306900000</v>
      </c>
      <c r="C36" s="1454">
        <f t="shared" si="2"/>
        <v>63937.5</v>
      </c>
      <c r="D36" s="1454">
        <f t="shared" si="0"/>
        <v>0</v>
      </c>
      <c r="E36" s="1454">
        <f t="shared" si="3"/>
        <v>63937.5</v>
      </c>
      <c r="I36" s="1445"/>
      <c r="J36" s="135"/>
      <c r="K36" s="1093"/>
      <c r="L36" s="1457"/>
      <c r="M36" s="1457"/>
      <c r="N36" s="742"/>
      <c r="O36" s="742"/>
      <c r="P36" s="504"/>
      <c r="R36" s="742"/>
      <c r="S36" s="742"/>
      <c r="T36" s="742"/>
    </row>
    <row r="37" spans="1:20">
      <c r="A37" s="1453">
        <f t="shared" si="1"/>
        <v>20</v>
      </c>
      <c r="B37" s="1454">
        <f t="shared" si="4"/>
        <v>306900000</v>
      </c>
      <c r="C37" s="1454">
        <f t="shared" si="2"/>
        <v>63937.5</v>
      </c>
      <c r="D37" s="1454">
        <f t="shared" si="0"/>
        <v>0</v>
      </c>
      <c r="E37" s="1454">
        <f t="shared" si="3"/>
        <v>63937.5</v>
      </c>
      <c r="I37" s="1445"/>
      <c r="J37" s="135"/>
      <c r="K37" s="1093"/>
      <c r="L37" s="1457"/>
      <c r="M37" s="1457"/>
      <c r="N37" s="742"/>
      <c r="O37" s="742"/>
      <c r="P37" s="504"/>
      <c r="R37" s="742"/>
      <c r="S37" s="742"/>
      <c r="T37" s="742"/>
    </row>
    <row r="38" spans="1:20">
      <c r="A38" s="1453">
        <f t="shared" si="1"/>
        <v>21</v>
      </c>
      <c r="B38" s="1454">
        <f t="shared" si="4"/>
        <v>306900000</v>
      </c>
      <c r="C38" s="1454">
        <f t="shared" si="2"/>
        <v>63937.5</v>
      </c>
      <c r="D38" s="1454">
        <f t="shared" si="0"/>
        <v>0</v>
      </c>
      <c r="E38" s="1454">
        <f t="shared" si="3"/>
        <v>63937.5</v>
      </c>
      <c r="I38" s="1445"/>
      <c r="J38" s="135"/>
      <c r="K38" s="1093"/>
      <c r="L38" s="1457"/>
      <c r="M38" s="1457"/>
      <c r="N38" s="742"/>
      <c r="O38" s="742"/>
      <c r="P38" s="504"/>
      <c r="R38" s="742"/>
      <c r="S38" s="742"/>
      <c r="T38" s="742"/>
    </row>
    <row r="39" spans="1:20">
      <c r="A39" s="1453">
        <f t="shared" si="1"/>
        <v>22</v>
      </c>
      <c r="B39" s="1454">
        <f t="shared" si="4"/>
        <v>306900000</v>
      </c>
      <c r="C39" s="1454">
        <f t="shared" si="2"/>
        <v>63937.5</v>
      </c>
      <c r="D39" s="1454">
        <f t="shared" si="0"/>
        <v>0</v>
      </c>
      <c r="E39" s="1454">
        <f t="shared" si="3"/>
        <v>63937.5</v>
      </c>
      <c r="I39" s="1445"/>
      <c r="J39" s="135"/>
      <c r="K39" s="1093"/>
      <c r="L39" s="1457"/>
      <c r="M39" s="1457"/>
      <c r="N39" s="742"/>
      <c r="O39" s="742"/>
      <c r="P39" s="504"/>
      <c r="R39" s="742"/>
      <c r="S39" s="742"/>
      <c r="T39" s="742"/>
    </row>
    <row r="40" spans="1:20">
      <c r="A40" s="1453">
        <f t="shared" si="1"/>
        <v>23</v>
      </c>
      <c r="B40" s="1454">
        <f t="shared" si="4"/>
        <v>306900000</v>
      </c>
      <c r="C40" s="1454">
        <f t="shared" si="2"/>
        <v>63937.5</v>
      </c>
      <c r="D40" s="1454">
        <f t="shared" si="0"/>
        <v>0</v>
      </c>
      <c r="E40" s="1454">
        <f t="shared" si="3"/>
        <v>63937.5</v>
      </c>
      <c r="I40" s="1445"/>
      <c r="J40" s="135"/>
      <c r="K40" s="1093"/>
      <c r="L40" s="1457"/>
      <c r="M40" s="1457"/>
      <c r="N40" s="742"/>
      <c r="O40" s="742"/>
      <c r="P40" s="504"/>
      <c r="R40" s="742"/>
      <c r="S40" s="742"/>
      <c r="T40" s="742"/>
    </row>
    <row r="41" spans="1:20">
      <c r="A41" s="1453">
        <f t="shared" si="1"/>
        <v>24</v>
      </c>
      <c r="B41" s="1454">
        <f t="shared" si="4"/>
        <v>306900000</v>
      </c>
      <c r="C41" s="1454">
        <f t="shared" si="2"/>
        <v>63937.5</v>
      </c>
      <c r="D41" s="1454">
        <f t="shared" si="0"/>
        <v>0</v>
      </c>
      <c r="E41" s="1454">
        <f t="shared" si="3"/>
        <v>63937.5</v>
      </c>
      <c r="I41" s="1445"/>
      <c r="J41" s="135"/>
      <c r="K41" s="1093"/>
      <c r="L41" s="1457"/>
      <c r="M41" s="1457"/>
      <c r="N41" s="742"/>
      <c r="O41" s="742"/>
      <c r="P41" s="504"/>
      <c r="R41" s="742"/>
      <c r="S41" s="742"/>
      <c r="T41" s="742"/>
    </row>
    <row r="42" spans="1:20">
      <c r="A42" s="1453">
        <f t="shared" si="1"/>
        <v>25</v>
      </c>
      <c r="B42" s="1454">
        <f t="shared" si="4"/>
        <v>306900000</v>
      </c>
      <c r="C42" s="1454">
        <f t="shared" si="2"/>
        <v>63937.5</v>
      </c>
      <c r="D42" s="1454">
        <f t="shared" si="0"/>
        <v>0</v>
      </c>
      <c r="E42" s="1454">
        <f t="shared" si="3"/>
        <v>63937.5</v>
      </c>
      <c r="I42" s="1445"/>
      <c r="J42" s="135"/>
      <c r="K42" s="1093"/>
      <c r="L42" s="1457"/>
      <c r="M42" s="1457"/>
      <c r="N42" s="742"/>
      <c r="O42" s="742"/>
      <c r="P42" s="504"/>
      <c r="R42" s="742"/>
      <c r="S42" s="742"/>
      <c r="T42" s="742"/>
    </row>
    <row r="43" spans="1:20">
      <c r="A43" s="1453">
        <f t="shared" si="1"/>
        <v>26</v>
      </c>
      <c r="B43" s="1454">
        <f t="shared" si="4"/>
        <v>306900000</v>
      </c>
      <c r="C43" s="1454">
        <f t="shared" si="2"/>
        <v>63937.5</v>
      </c>
      <c r="D43" s="1454">
        <f t="shared" si="0"/>
        <v>0</v>
      </c>
      <c r="E43" s="1454">
        <f t="shared" si="3"/>
        <v>63937.5</v>
      </c>
      <c r="I43" s="1445"/>
      <c r="J43" s="135"/>
      <c r="K43" s="1093"/>
      <c r="L43" s="1457"/>
      <c r="M43" s="1457"/>
      <c r="N43" s="742"/>
      <c r="O43" s="742"/>
      <c r="P43" s="504"/>
      <c r="R43" s="742"/>
      <c r="S43" s="742"/>
      <c r="T43" s="742"/>
    </row>
    <row r="44" spans="1:20">
      <c r="A44" s="1453">
        <f t="shared" si="1"/>
        <v>27</v>
      </c>
      <c r="B44" s="1454">
        <f t="shared" si="4"/>
        <v>306900000</v>
      </c>
      <c r="C44" s="1454">
        <f t="shared" si="2"/>
        <v>63937.5</v>
      </c>
      <c r="D44" s="1454">
        <f t="shared" si="0"/>
        <v>0</v>
      </c>
      <c r="E44" s="1454">
        <f t="shared" si="3"/>
        <v>63937.5</v>
      </c>
      <c r="I44" s="1445"/>
      <c r="J44" s="135"/>
      <c r="K44" s="1093"/>
      <c r="L44" s="1457"/>
      <c r="M44" s="1457"/>
      <c r="N44" s="742"/>
      <c r="O44" s="742"/>
      <c r="P44" s="504"/>
      <c r="R44" s="742"/>
      <c r="S44" s="742"/>
      <c r="T44" s="742"/>
    </row>
    <row r="45" spans="1:20">
      <c r="A45" s="1453">
        <f t="shared" si="1"/>
        <v>28</v>
      </c>
      <c r="B45" s="1454">
        <f t="shared" si="4"/>
        <v>306900000</v>
      </c>
      <c r="C45" s="1454">
        <f t="shared" si="2"/>
        <v>63937.5</v>
      </c>
      <c r="D45" s="1454">
        <f t="shared" si="0"/>
        <v>0</v>
      </c>
      <c r="E45" s="1454">
        <f t="shared" si="3"/>
        <v>63937.5</v>
      </c>
      <c r="I45" s="1445"/>
      <c r="J45" s="135"/>
      <c r="K45" s="1093"/>
      <c r="L45" s="1457"/>
      <c r="M45" s="1457"/>
      <c r="N45" s="742"/>
      <c r="O45" s="742"/>
      <c r="P45" s="504"/>
      <c r="R45" s="742"/>
      <c r="S45" s="742"/>
      <c r="T45" s="742"/>
    </row>
    <row r="46" spans="1:20">
      <c r="A46" s="1453">
        <f t="shared" si="1"/>
        <v>29</v>
      </c>
      <c r="B46" s="1454">
        <f t="shared" si="4"/>
        <v>306900000</v>
      </c>
      <c r="C46" s="1454">
        <f t="shared" si="2"/>
        <v>63937.5</v>
      </c>
      <c r="D46" s="1454">
        <f t="shared" si="0"/>
        <v>0</v>
      </c>
      <c r="E46" s="1454">
        <f t="shared" si="3"/>
        <v>63937.5</v>
      </c>
      <c r="I46" s="1445"/>
      <c r="J46" s="135"/>
      <c r="K46" s="1093"/>
      <c r="L46" s="1457"/>
      <c r="M46" s="1457"/>
      <c r="N46" s="742"/>
      <c r="O46" s="742"/>
      <c r="P46" s="504"/>
      <c r="R46" s="742"/>
      <c r="S46" s="742"/>
      <c r="T46" s="742"/>
    </row>
    <row r="47" spans="1:20">
      <c r="A47" s="1453">
        <f t="shared" si="1"/>
        <v>30</v>
      </c>
      <c r="B47" s="1454">
        <f t="shared" si="4"/>
        <v>306900000</v>
      </c>
      <c r="C47" s="1454">
        <f t="shared" si="2"/>
        <v>63937.5</v>
      </c>
      <c r="D47" s="1454">
        <f t="shared" si="0"/>
        <v>0</v>
      </c>
      <c r="E47" s="1454">
        <f t="shared" si="3"/>
        <v>63937.5</v>
      </c>
      <c r="I47" s="1445"/>
      <c r="J47" s="135"/>
      <c r="K47" s="1093"/>
      <c r="L47" s="1457"/>
      <c r="M47" s="1457"/>
      <c r="N47" s="742"/>
      <c r="O47" s="742"/>
      <c r="P47" s="504"/>
      <c r="R47" s="742"/>
      <c r="S47" s="742"/>
      <c r="T47" s="742"/>
    </row>
    <row r="48" spans="1:20">
      <c r="A48" s="1453">
        <f t="shared" si="1"/>
        <v>31</v>
      </c>
      <c r="B48" s="1454">
        <f t="shared" si="4"/>
        <v>306900000</v>
      </c>
      <c r="C48" s="1454">
        <f t="shared" si="2"/>
        <v>63937.5</v>
      </c>
      <c r="D48" s="1454">
        <f t="shared" si="0"/>
        <v>0</v>
      </c>
      <c r="E48" s="1454">
        <f t="shared" si="3"/>
        <v>63937.5</v>
      </c>
      <c r="I48" s="1445"/>
      <c r="J48" s="135"/>
      <c r="K48" s="1093"/>
      <c r="L48" s="1457"/>
      <c r="M48" s="1457"/>
      <c r="N48" s="742"/>
      <c r="O48" s="742"/>
      <c r="P48" s="504"/>
      <c r="R48" s="742"/>
      <c r="S48" s="742"/>
      <c r="T48" s="742"/>
    </row>
    <row r="49" spans="1:20">
      <c r="A49" s="1453">
        <f t="shared" si="1"/>
        <v>32</v>
      </c>
      <c r="B49" s="1454">
        <f t="shared" si="4"/>
        <v>306900000</v>
      </c>
      <c r="C49" s="1454">
        <f t="shared" si="2"/>
        <v>63937.5</v>
      </c>
      <c r="D49" s="1454">
        <f t="shared" si="0"/>
        <v>0</v>
      </c>
      <c r="E49" s="1454">
        <f t="shared" si="3"/>
        <v>63937.5</v>
      </c>
      <c r="I49" s="1445"/>
      <c r="J49" s="135"/>
      <c r="K49" s="1093"/>
      <c r="L49" s="1457"/>
      <c r="M49" s="1457"/>
      <c r="N49" s="742"/>
      <c r="O49" s="742"/>
      <c r="P49" s="504"/>
      <c r="R49" s="742"/>
      <c r="S49" s="742"/>
      <c r="T49" s="742"/>
    </row>
    <row r="50" spans="1:20">
      <c r="A50" s="1453">
        <f t="shared" si="1"/>
        <v>33</v>
      </c>
      <c r="B50" s="1454">
        <f t="shared" si="4"/>
        <v>306900000</v>
      </c>
      <c r="C50" s="1454">
        <f t="shared" si="2"/>
        <v>63937.5</v>
      </c>
      <c r="D50" s="1454">
        <f t="shared" si="0"/>
        <v>0</v>
      </c>
      <c r="E50" s="1454">
        <f t="shared" si="3"/>
        <v>63937.5</v>
      </c>
      <c r="I50" s="1445"/>
      <c r="J50" s="135"/>
      <c r="K50" s="1093"/>
      <c r="L50" s="1457"/>
      <c r="M50" s="1457"/>
      <c r="N50" s="742"/>
      <c r="O50" s="742"/>
      <c r="P50" s="504"/>
      <c r="R50" s="742"/>
      <c r="S50" s="742"/>
      <c r="T50" s="742"/>
    </row>
    <row r="51" spans="1:20">
      <c r="A51" s="1453">
        <f t="shared" si="1"/>
        <v>34</v>
      </c>
      <c r="B51" s="1454">
        <f t="shared" si="4"/>
        <v>306900000</v>
      </c>
      <c r="C51" s="1454">
        <f t="shared" si="2"/>
        <v>63937.5</v>
      </c>
      <c r="D51" s="1454">
        <f t="shared" si="0"/>
        <v>0</v>
      </c>
      <c r="E51" s="1454">
        <f t="shared" si="3"/>
        <v>63937.5</v>
      </c>
      <c r="I51" s="1445"/>
      <c r="J51" s="135"/>
      <c r="K51" s="1093"/>
      <c r="L51" s="1457"/>
      <c r="M51" s="1457"/>
      <c r="N51" s="742"/>
      <c r="O51" s="742"/>
      <c r="P51" s="504"/>
      <c r="R51" s="742"/>
      <c r="S51" s="742"/>
      <c r="T51" s="742"/>
    </row>
    <row r="52" spans="1:20">
      <c r="A52" s="1453">
        <f t="shared" si="1"/>
        <v>35</v>
      </c>
      <c r="B52" s="1454">
        <f t="shared" si="4"/>
        <v>306900000</v>
      </c>
      <c r="C52" s="1454">
        <f t="shared" si="2"/>
        <v>63937.5</v>
      </c>
      <c r="D52" s="1454">
        <f t="shared" si="0"/>
        <v>0</v>
      </c>
      <c r="E52" s="1454">
        <f t="shared" si="3"/>
        <v>63937.5</v>
      </c>
      <c r="I52" s="1445"/>
      <c r="J52" s="135"/>
      <c r="K52" s="1093"/>
      <c r="L52" s="1457"/>
      <c r="M52" s="1457"/>
      <c r="N52" s="742"/>
      <c r="O52" s="742"/>
      <c r="P52" s="504"/>
      <c r="R52" s="742"/>
      <c r="S52" s="742"/>
      <c r="T52" s="742"/>
    </row>
    <row r="53" spans="1:20">
      <c r="A53" s="1453">
        <f t="shared" si="1"/>
        <v>36</v>
      </c>
      <c r="B53" s="1454">
        <f t="shared" si="4"/>
        <v>306900000</v>
      </c>
      <c r="C53" s="1454">
        <f t="shared" si="2"/>
        <v>63937.5</v>
      </c>
      <c r="D53" s="1454">
        <f t="shared" si="0"/>
        <v>0</v>
      </c>
      <c r="E53" s="1454">
        <f t="shared" si="3"/>
        <v>63937.5</v>
      </c>
      <c r="I53" s="1445"/>
      <c r="J53" s="135"/>
      <c r="K53" s="1093"/>
      <c r="L53" s="1457"/>
      <c r="M53" s="1457"/>
      <c r="N53" s="742"/>
      <c r="O53" s="742"/>
      <c r="P53" s="504"/>
      <c r="R53" s="742"/>
      <c r="S53" s="742"/>
      <c r="T53" s="742"/>
    </row>
    <row r="54" spans="1:20">
      <c r="A54" s="1453">
        <f t="shared" si="1"/>
        <v>37</v>
      </c>
      <c r="B54" s="1454">
        <f t="shared" si="4"/>
        <v>306900000</v>
      </c>
      <c r="C54" s="1454">
        <f t="shared" si="2"/>
        <v>63937.5</v>
      </c>
      <c r="D54" s="1454">
        <f t="shared" si="0"/>
        <v>0</v>
      </c>
      <c r="E54" s="1454">
        <f t="shared" si="3"/>
        <v>63937.5</v>
      </c>
      <c r="I54" s="1445"/>
      <c r="J54" s="135"/>
      <c r="K54" s="1093"/>
      <c r="L54" s="1457"/>
      <c r="M54" s="1457"/>
      <c r="N54" s="742"/>
      <c r="O54" s="742"/>
      <c r="P54" s="504"/>
      <c r="R54" s="742"/>
      <c r="S54" s="742"/>
      <c r="T54" s="742"/>
    </row>
    <row r="55" spans="1:20">
      <c r="A55" s="1453">
        <f t="shared" si="1"/>
        <v>38</v>
      </c>
      <c r="B55" s="1454">
        <f t="shared" si="4"/>
        <v>306900000</v>
      </c>
      <c r="C55" s="1454">
        <f t="shared" si="2"/>
        <v>63937.5</v>
      </c>
      <c r="D55" s="1454">
        <f t="shared" si="0"/>
        <v>0</v>
      </c>
      <c r="E55" s="1454">
        <f t="shared" si="3"/>
        <v>63937.5</v>
      </c>
      <c r="I55" s="1445"/>
      <c r="J55" s="135"/>
      <c r="K55" s="1093"/>
      <c r="L55" s="1457"/>
      <c r="M55" s="1457"/>
      <c r="N55" s="742"/>
      <c r="O55" s="742"/>
      <c r="P55" s="504"/>
      <c r="R55" s="742"/>
      <c r="S55" s="742"/>
      <c r="T55" s="742"/>
    </row>
    <row r="56" spans="1:20">
      <c r="A56" s="1453">
        <f t="shared" si="1"/>
        <v>39</v>
      </c>
      <c r="B56" s="1454">
        <f t="shared" si="4"/>
        <v>306900000</v>
      </c>
      <c r="C56" s="1454">
        <f t="shared" si="2"/>
        <v>63937.5</v>
      </c>
      <c r="D56" s="1454">
        <f t="shared" si="0"/>
        <v>0</v>
      </c>
      <c r="E56" s="1454">
        <f t="shared" si="3"/>
        <v>63937.5</v>
      </c>
      <c r="I56" s="1445"/>
      <c r="J56" s="135"/>
      <c r="K56" s="1093"/>
      <c r="L56" s="1457"/>
      <c r="M56" s="1457"/>
      <c r="N56" s="742"/>
      <c r="O56" s="742"/>
      <c r="P56" s="504"/>
      <c r="R56" s="742"/>
      <c r="S56" s="742"/>
      <c r="T56" s="742"/>
    </row>
    <row r="57" spans="1:20">
      <c r="A57" s="1453">
        <f t="shared" si="1"/>
        <v>40</v>
      </c>
      <c r="B57" s="1454">
        <f t="shared" si="4"/>
        <v>306900000</v>
      </c>
      <c r="C57" s="1454">
        <f t="shared" si="2"/>
        <v>63937.5</v>
      </c>
      <c r="D57" s="1454">
        <f t="shared" si="0"/>
        <v>0</v>
      </c>
      <c r="E57" s="1454">
        <f t="shared" si="3"/>
        <v>63937.5</v>
      </c>
      <c r="I57" s="1445"/>
      <c r="J57" s="135"/>
      <c r="K57" s="1093"/>
      <c r="L57" s="1457"/>
      <c r="M57" s="1457"/>
      <c r="N57" s="742"/>
      <c r="O57" s="742"/>
      <c r="P57" s="504"/>
      <c r="R57" s="742"/>
      <c r="S57" s="742"/>
      <c r="T57" s="742"/>
    </row>
    <row r="58" spans="1:20">
      <c r="A58" s="1453">
        <f t="shared" si="1"/>
        <v>41</v>
      </c>
      <c r="B58" s="1454">
        <f t="shared" si="4"/>
        <v>306900000</v>
      </c>
      <c r="C58" s="1454">
        <f t="shared" si="2"/>
        <v>63937.5</v>
      </c>
      <c r="D58" s="1454">
        <f t="shared" si="0"/>
        <v>0</v>
      </c>
      <c r="E58" s="1454">
        <f t="shared" si="3"/>
        <v>63937.5</v>
      </c>
      <c r="I58" s="1445"/>
      <c r="J58" s="135"/>
      <c r="K58" s="1093"/>
      <c r="L58" s="1457"/>
      <c r="M58" s="1457"/>
      <c r="N58" s="742"/>
      <c r="O58" s="742"/>
      <c r="P58" s="504"/>
      <c r="R58" s="742"/>
      <c r="S58" s="742"/>
      <c r="T58" s="742"/>
    </row>
    <row r="59" spans="1:20">
      <c r="A59" s="1453">
        <f t="shared" si="1"/>
        <v>42</v>
      </c>
      <c r="B59" s="1454">
        <f t="shared" si="4"/>
        <v>306900000</v>
      </c>
      <c r="C59" s="1454">
        <f t="shared" si="2"/>
        <v>63937.5</v>
      </c>
      <c r="D59" s="1454">
        <f t="shared" si="0"/>
        <v>0</v>
      </c>
      <c r="E59" s="1454">
        <f t="shared" si="3"/>
        <v>63937.5</v>
      </c>
      <c r="I59" s="1445"/>
      <c r="J59" s="135"/>
      <c r="K59" s="1093"/>
      <c r="L59" s="1457"/>
      <c r="M59" s="1457"/>
      <c r="N59" s="742"/>
      <c r="O59" s="742"/>
      <c r="P59" s="504"/>
      <c r="R59" s="742"/>
      <c r="S59" s="742"/>
      <c r="T59" s="742"/>
    </row>
    <row r="60" spans="1:20">
      <c r="A60" s="1453">
        <f t="shared" si="1"/>
        <v>43</v>
      </c>
      <c r="B60" s="1454">
        <f t="shared" si="4"/>
        <v>306900000</v>
      </c>
      <c r="C60" s="1454">
        <f t="shared" si="2"/>
        <v>63937.5</v>
      </c>
      <c r="D60" s="1454">
        <f t="shared" si="0"/>
        <v>0</v>
      </c>
      <c r="E60" s="1454">
        <f t="shared" si="3"/>
        <v>63937.5</v>
      </c>
      <c r="I60" s="1445"/>
      <c r="J60" s="135"/>
      <c r="K60" s="1093"/>
      <c r="L60" s="1457"/>
      <c r="M60" s="1457"/>
      <c r="N60" s="742"/>
      <c r="O60" s="742"/>
      <c r="P60" s="504"/>
      <c r="R60" s="742"/>
      <c r="S60" s="742"/>
      <c r="T60" s="742"/>
    </row>
    <row r="61" spans="1:20">
      <c r="A61" s="1453">
        <f t="shared" si="1"/>
        <v>44</v>
      </c>
      <c r="B61" s="1454">
        <f t="shared" si="4"/>
        <v>306900000</v>
      </c>
      <c r="C61" s="1454">
        <f t="shared" si="2"/>
        <v>63937.5</v>
      </c>
      <c r="D61" s="1454">
        <f t="shared" si="0"/>
        <v>0</v>
      </c>
      <c r="E61" s="1454">
        <f t="shared" si="3"/>
        <v>63937.5</v>
      </c>
      <c r="I61" s="1445"/>
      <c r="J61" s="135"/>
      <c r="K61" s="1093"/>
      <c r="L61" s="1457"/>
      <c r="M61" s="1457"/>
      <c r="N61" s="742"/>
      <c r="O61" s="742"/>
      <c r="P61" s="504"/>
      <c r="R61" s="742"/>
      <c r="S61" s="742"/>
      <c r="T61" s="742"/>
    </row>
    <row r="62" spans="1:20">
      <c r="A62" s="1453">
        <f t="shared" si="1"/>
        <v>45</v>
      </c>
      <c r="B62" s="1454">
        <f t="shared" si="4"/>
        <v>306900000</v>
      </c>
      <c r="C62" s="1454">
        <f t="shared" si="2"/>
        <v>63937.5</v>
      </c>
      <c r="D62" s="1454">
        <f t="shared" si="0"/>
        <v>0</v>
      </c>
      <c r="E62" s="1454">
        <f t="shared" si="3"/>
        <v>63937.5</v>
      </c>
      <c r="I62" s="1445"/>
      <c r="J62" s="135"/>
      <c r="K62" s="1093"/>
      <c r="L62" s="1457"/>
      <c r="M62" s="1457"/>
      <c r="N62" s="742"/>
      <c r="O62" s="742"/>
      <c r="P62" s="504"/>
      <c r="R62" s="742"/>
      <c r="S62" s="742"/>
      <c r="T62" s="742"/>
    </row>
    <row r="63" spans="1:20">
      <c r="A63" s="1453">
        <f t="shared" si="1"/>
        <v>46</v>
      </c>
      <c r="B63" s="1454">
        <f t="shared" si="4"/>
        <v>306900000</v>
      </c>
      <c r="C63" s="1454">
        <f t="shared" si="2"/>
        <v>63937.5</v>
      </c>
      <c r="D63" s="1454">
        <f t="shared" si="0"/>
        <v>0</v>
      </c>
      <c r="E63" s="1454">
        <f t="shared" si="3"/>
        <v>63937.5</v>
      </c>
      <c r="I63" s="1445"/>
      <c r="J63" s="135"/>
      <c r="K63" s="1093"/>
      <c r="L63" s="1457"/>
      <c r="M63" s="1457"/>
      <c r="N63" s="742"/>
      <c r="O63" s="742"/>
      <c r="P63" s="504"/>
      <c r="R63" s="742"/>
      <c r="S63" s="742"/>
      <c r="T63" s="742"/>
    </row>
    <row r="64" spans="1:20">
      <c r="A64" s="1453">
        <f t="shared" si="1"/>
        <v>47</v>
      </c>
      <c r="B64" s="1454">
        <f t="shared" si="4"/>
        <v>306900000</v>
      </c>
      <c r="C64" s="1454">
        <f t="shared" si="2"/>
        <v>63937.5</v>
      </c>
      <c r="D64" s="1454">
        <f t="shared" si="0"/>
        <v>0</v>
      </c>
      <c r="E64" s="1454">
        <f t="shared" si="3"/>
        <v>63937.5</v>
      </c>
      <c r="I64" s="1445"/>
      <c r="J64" s="135"/>
      <c r="K64" s="1093"/>
      <c r="L64" s="1457"/>
      <c r="M64" s="1457"/>
      <c r="N64" s="742"/>
      <c r="O64" s="742"/>
      <c r="P64" s="504"/>
      <c r="R64" s="742"/>
      <c r="S64" s="742"/>
      <c r="T64" s="742"/>
    </row>
    <row r="65" spans="1:20">
      <c r="A65" s="1453">
        <f t="shared" si="1"/>
        <v>48</v>
      </c>
      <c r="B65" s="1454">
        <f t="shared" si="4"/>
        <v>306900000</v>
      </c>
      <c r="C65" s="1454">
        <f t="shared" si="2"/>
        <v>63937.5</v>
      </c>
      <c r="D65" s="1454">
        <f t="shared" si="0"/>
        <v>0</v>
      </c>
      <c r="E65" s="1454">
        <f t="shared" si="3"/>
        <v>63937.5</v>
      </c>
      <c r="I65" s="1445"/>
      <c r="J65" s="135"/>
      <c r="K65" s="1093"/>
      <c r="L65" s="1457"/>
      <c r="M65" s="1457"/>
      <c r="N65" s="742"/>
      <c r="O65" s="742"/>
      <c r="P65" s="504"/>
      <c r="R65" s="742"/>
      <c r="S65" s="742"/>
      <c r="T65" s="742"/>
    </row>
    <row r="66" spans="1:20">
      <c r="A66" s="1453">
        <f t="shared" si="1"/>
        <v>49</v>
      </c>
      <c r="B66" s="1454">
        <f t="shared" si="4"/>
        <v>306900000</v>
      </c>
      <c r="C66" s="1454">
        <f t="shared" si="2"/>
        <v>63937.5</v>
      </c>
      <c r="D66" s="1454">
        <f t="shared" si="0"/>
        <v>0</v>
      </c>
      <c r="E66" s="1454">
        <f t="shared" si="3"/>
        <v>63937.5</v>
      </c>
      <c r="I66" s="1445"/>
      <c r="J66" s="135"/>
      <c r="K66" s="1093"/>
      <c r="L66" s="1457"/>
      <c r="M66" s="1457"/>
      <c r="N66" s="742"/>
      <c r="O66" s="742"/>
      <c r="P66" s="504"/>
      <c r="R66" s="742"/>
      <c r="S66" s="742"/>
      <c r="T66" s="742"/>
    </row>
    <row r="67" spans="1:20">
      <c r="A67" s="1453">
        <f t="shared" si="1"/>
        <v>50</v>
      </c>
      <c r="B67" s="1454">
        <f t="shared" si="4"/>
        <v>306900000</v>
      </c>
      <c r="C67" s="1454">
        <f t="shared" si="2"/>
        <v>63937.5</v>
      </c>
      <c r="D67" s="1454">
        <f t="shared" si="0"/>
        <v>0</v>
      </c>
      <c r="E67" s="1454">
        <f t="shared" si="3"/>
        <v>63937.5</v>
      </c>
      <c r="I67" s="1445"/>
      <c r="J67" s="135"/>
      <c r="K67" s="1093"/>
      <c r="L67" s="1457"/>
      <c r="M67" s="1457"/>
      <c r="N67" s="742"/>
      <c r="O67" s="742"/>
      <c r="P67" s="504"/>
      <c r="R67" s="742"/>
      <c r="S67" s="742"/>
      <c r="T67" s="742"/>
    </row>
    <row r="68" spans="1:20">
      <c r="A68" s="1453">
        <f t="shared" si="1"/>
        <v>51</v>
      </c>
      <c r="B68" s="1454">
        <f t="shared" si="4"/>
        <v>306900000</v>
      </c>
      <c r="C68" s="1454">
        <f t="shared" si="2"/>
        <v>63937.5</v>
      </c>
      <c r="D68" s="1454">
        <f t="shared" si="0"/>
        <v>0</v>
      </c>
      <c r="E68" s="1454">
        <f t="shared" si="3"/>
        <v>63937.5</v>
      </c>
      <c r="I68" s="1445"/>
      <c r="J68" s="135"/>
      <c r="K68" s="1093"/>
      <c r="L68" s="1457"/>
      <c r="M68" s="1457"/>
      <c r="N68" s="742"/>
      <c r="O68" s="742"/>
      <c r="P68" s="504"/>
      <c r="R68" s="742"/>
      <c r="S68" s="742"/>
      <c r="T68" s="742"/>
    </row>
    <row r="69" spans="1:20">
      <c r="A69" s="1453">
        <f t="shared" si="1"/>
        <v>52</v>
      </c>
      <c r="B69" s="1454">
        <f t="shared" si="4"/>
        <v>306900000</v>
      </c>
      <c r="C69" s="1454">
        <f t="shared" si="2"/>
        <v>63937.5</v>
      </c>
      <c r="D69" s="1454">
        <f t="shared" si="0"/>
        <v>0</v>
      </c>
      <c r="E69" s="1454">
        <f t="shared" si="3"/>
        <v>63937.5</v>
      </c>
      <c r="I69" s="1445"/>
      <c r="J69" s="135"/>
      <c r="K69" s="1093"/>
      <c r="L69" s="1457"/>
      <c r="M69" s="1457"/>
      <c r="N69" s="742"/>
      <c r="O69" s="742"/>
      <c r="P69" s="504"/>
      <c r="R69" s="742"/>
      <c r="S69" s="742"/>
      <c r="T69" s="742"/>
    </row>
    <row r="70" spans="1:20">
      <c r="A70" s="1453">
        <f t="shared" si="1"/>
        <v>53</v>
      </c>
      <c r="B70" s="1454">
        <f t="shared" si="4"/>
        <v>306900000</v>
      </c>
      <c r="C70" s="1454">
        <f t="shared" si="2"/>
        <v>63937.5</v>
      </c>
      <c r="D70" s="1454">
        <f t="shared" si="0"/>
        <v>0</v>
      </c>
      <c r="E70" s="1454">
        <f t="shared" si="3"/>
        <v>63937.5</v>
      </c>
      <c r="I70" s="1445"/>
      <c r="J70" s="135"/>
      <c r="K70" s="1093"/>
      <c r="L70" s="1457"/>
      <c r="M70" s="1457"/>
      <c r="N70" s="742"/>
      <c r="O70" s="742"/>
      <c r="P70" s="504"/>
      <c r="R70" s="742"/>
      <c r="S70" s="742"/>
      <c r="T70" s="742"/>
    </row>
    <row r="71" spans="1:20">
      <c r="A71" s="1453">
        <f t="shared" si="1"/>
        <v>54</v>
      </c>
      <c r="B71" s="1454">
        <f t="shared" si="4"/>
        <v>306900000</v>
      </c>
      <c r="C71" s="1454">
        <f t="shared" si="2"/>
        <v>63937.5</v>
      </c>
      <c r="D71" s="1454">
        <f t="shared" si="0"/>
        <v>0</v>
      </c>
      <c r="E71" s="1454">
        <f t="shared" si="3"/>
        <v>63937.5</v>
      </c>
      <c r="I71" s="1445"/>
      <c r="J71" s="135"/>
      <c r="K71" s="1093"/>
      <c r="L71" s="1457"/>
      <c r="M71" s="1457"/>
      <c r="N71" s="742"/>
      <c r="O71" s="742"/>
      <c r="P71" s="504"/>
      <c r="R71" s="742"/>
      <c r="S71" s="742"/>
      <c r="T71" s="742"/>
    </row>
    <row r="72" spans="1:20">
      <c r="A72" s="1453">
        <f t="shared" si="1"/>
        <v>55</v>
      </c>
      <c r="B72" s="1454">
        <f t="shared" si="4"/>
        <v>306900000</v>
      </c>
      <c r="C72" s="1454">
        <f t="shared" si="2"/>
        <v>63937.5</v>
      </c>
      <c r="D72" s="1454">
        <f t="shared" si="0"/>
        <v>0</v>
      </c>
      <c r="E72" s="1454">
        <f t="shared" si="3"/>
        <v>63937.5</v>
      </c>
      <c r="I72" s="1445"/>
      <c r="J72" s="135"/>
      <c r="K72" s="1093"/>
      <c r="L72" s="1457"/>
      <c r="M72" s="1457"/>
      <c r="N72" s="742"/>
      <c r="O72" s="742"/>
      <c r="P72" s="504"/>
      <c r="R72" s="742"/>
      <c r="S72" s="742"/>
      <c r="T72" s="742"/>
    </row>
    <row r="73" spans="1:20">
      <c r="A73" s="1453">
        <f t="shared" si="1"/>
        <v>56</v>
      </c>
      <c r="B73" s="1454">
        <f t="shared" si="4"/>
        <v>306900000</v>
      </c>
      <c r="C73" s="1454">
        <f t="shared" si="2"/>
        <v>63937.5</v>
      </c>
      <c r="D73" s="1454">
        <f t="shared" si="0"/>
        <v>0</v>
      </c>
      <c r="E73" s="1454">
        <f t="shared" si="3"/>
        <v>63937.5</v>
      </c>
      <c r="I73" s="1445"/>
      <c r="J73" s="135"/>
      <c r="K73" s="1093"/>
      <c r="L73" s="1457"/>
      <c r="M73" s="1457"/>
      <c r="N73" s="742"/>
      <c r="O73" s="742"/>
      <c r="P73" s="504"/>
      <c r="R73" s="742"/>
      <c r="S73" s="742"/>
      <c r="T73" s="742"/>
    </row>
    <row r="74" spans="1:20">
      <c r="A74" s="1453">
        <f t="shared" si="1"/>
        <v>57</v>
      </c>
      <c r="B74" s="1454">
        <f t="shared" si="4"/>
        <v>306900000</v>
      </c>
      <c r="C74" s="1454">
        <f t="shared" si="2"/>
        <v>63937.5</v>
      </c>
      <c r="D74" s="1454">
        <f t="shared" si="0"/>
        <v>0</v>
      </c>
      <c r="E74" s="1454">
        <f t="shared" si="3"/>
        <v>63937.5</v>
      </c>
      <c r="I74" s="1445"/>
      <c r="J74" s="135"/>
      <c r="K74" s="1093"/>
      <c r="L74" s="1457"/>
      <c r="M74" s="1457"/>
      <c r="N74" s="742"/>
      <c r="O74" s="742"/>
      <c r="P74" s="504"/>
      <c r="R74" s="742"/>
      <c r="S74" s="742"/>
      <c r="T74" s="742"/>
    </row>
    <row r="75" spans="1:20">
      <c r="A75" s="1453">
        <f t="shared" si="1"/>
        <v>58</v>
      </c>
      <c r="B75" s="1454">
        <f t="shared" si="4"/>
        <v>306900000</v>
      </c>
      <c r="C75" s="1454">
        <f t="shared" si="2"/>
        <v>63937.5</v>
      </c>
      <c r="D75" s="1454">
        <f t="shared" si="0"/>
        <v>0</v>
      </c>
      <c r="E75" s="1454">
        <f t="shared" si="3"/>
        <v>63937.5</v>
      </c>
      <c r="I75" s="1445"/>
      <c r="J75" s="135"/>
      <c r="K75" s="1093"/>
      <c r="L75" s="1457"/>
      <c r="M75" s="1457"/>
      <c r="N75" s="742"/>
      <c r="O75" s="742"/>
      <c r="P75" s="504"/>
      <c r="R75" s="742"/>
      <c r="S75" s="742"/>
      <c r="T75" s="742"/>
    </row>
    <row r="76" spans="1:20">
      <c r="A76" s="1453">
        <f t="shared" si="1"/>
        <v>59</v>
      </c>
      <c r="B76" s="1454">
        <f t="shared" si="4"/>
        <v>306900000</v>
      </c>
      <c r="C76" s="1454">
        <f t="shared" si="2"/>
        <v>63937.5</v>
      </c>
      <c r="D76" s="1454">
        <f t="shared" si="0"/>
        <v>0</v>
      </c>
      <c r="E76" s="1454">
        <f t="shared" si="3"/>
        <v>63937.5</v>
      </c>
      <c r="I76" s="1445"/>
      <c r="J76" s="135"/>
      <c r="K76" s="1093"/>
      <c r="L76" s="1457"/>
      <c r="M76" s="1457"/>
      <c r="N76" s="742"/>
      <c r="O76" s="742"/>
      <c r="P76" s="504"/>
      <c r="R76" s="742"/>
      <c r="S76" s="742"/>
      <c r="T76" s="742"/>
    </row>
    <row r="77" spans="1:20">
      <c r="A77" s="1453">
        <f t="shared" si="1"/>
        <v>60</v>
      </c>
      <c r="B77" s="1454">
        <f t="shared" si="4"/>
        <v>306900000</v>
      </c>
      <c r="C77" s="1454">
        <f t="shared" si="2"/>
        <v>63937.5</v>
      </c>
      <c r="D77" s="1454">
        <f t="shared" si="0"/>
        <v>0</v>
      </c>
      <c r="E77" s="1454">
        <f t="shared" si="3"/>
        <v>63937.5</v>
      </c>
      <c r="I77" s="1445"/>
      <c r="J77" s="135"/>
      <c r="K77" s="1093"/>
      <c r="L77" s="1457"/>
      <c r="M77" s="1457"/>
      <c r="N77" s="742"/>
      <c r="O77" s="742"/>
      <c r="P77" s="504"/>
      <c r="R77" s="742"/>
      <c r="S77" s="742"/>
      <c r="T77" s="742"/>
    </row>
    <row r="78" spans="1:20">
      <c r="A78" s="1453">
        <f t="shared" si="1"/>
        <v>61</v>
      </c>
      <c r="B78" s="1454">
        <f t="shared" si="4"/>
        <v>306900000</v>
      </c>
      <c r="C78" s="1454">
        <f t="shared" si="2"/>
        <v>63937.5</v>
      </c>
      <c r="D78" s="1454">
        <f t="shared" si="0"/>
        <v>0</v>
      </c>
      <c r="E78" s="1454">
        <f t="shared" si="3"/>
        <v>63937.5</v>
      </c>
      <c r="I78" s="1445"/>
      <c r="J78" s="135"/>
      <c r="K78" s="1093"/>
      <c r="L78" s="1457"/>
      <c r="M78" s="1457"/>
      <c r="N78" s="742"/>
      <c r="O78" s="742"/>
      <c r="P78" s="504"/>
      <c r="R78" s="742"/>
      <c r="S78" s="742"/>
      <c r="T78" s="742"/>
    </row>
    <row r="79" spans="1:20">
      <c r="A79" s="1453">
        <f t="shared" si="1"/>
        <v>62</v>
      </c>
      <c r="B79" s="1454">
        <f t="shared" si="4"/>
        <v>306900000</v>
      </c>
      <c r="C79" s="1454">
        <f t="shared" si="2"/>
        <v>63937.5</v>
      </c>
      <c r="D79" s="1454">
        <f t="shared" si="0"/>
        <v>0</v>
      </c>
      <c r="E79" s="1454">
        <f t="shared" si="3"/>
        <v>63937.5</v>
      </c>
      <c r="I79" s="1445"/>
      <c r="J79" s="135"/>
      <c r="K79" s="1093"/>
      <c r="L79" s="1457"/>
      <c r="M79" s="1457"/>
      <c r="N79" s="742"/>
      <c r="O79" s="742"/>
      <c r="P79" s="504"/>
      <c r="R79" s="742"/>
      <c r="S79" s="742"/>
      <c r="T79" s="742"/>
    </row>
    <row r="80" spans="1:20">
      <c r="A80" s="1453">
        <f t="shared" si="1"/>
        <v>63</v>
      </c>
      <c r="B80" s="1454">
        <f t="shared" si="4"/>
        <v>306900000</v>
      </c>
      <c r="C80" s="1454">
        <f t="shared" si="2"/>
        <v>63937.5</v>
      </c>
      <c r="D80" s="1454">
        <f t="shared" si="0"/>
        <v>0</v>
      </c>
      <c r="E80" s="1454">
        <f t="shared" si="3"/>
        <v>63937.5</v>
      </c>
      <c r="I80" s="1445"/>
      <c r="J80" s="135"/>
      <c r="K80" s="1093"/>
      <c r="L80" s="1457"/>
      <c r="M80" s="1457"/>
      <c r="N80" s="742"/>
      <c r="O80" s="742"/>
      <c r="P80" s="504"/>
      <c r="R80" s="742"/>
      <c r="S80" s="742"/>
      <c r="T80" s="742"/>
    </row>
    <row r="81" spans="1:20">
      <c r="A81" s="1453">
        <f t="shared" si="1"/>
        <v>64</v>
      </c>
      <c r="B81" s="1454">
        <f t="shared" si="4"/>
        <v>306900000</v>
      </c>
      <c r="C81" s="1454">
        <f t="shared" si="2"/>
        <v>63937.5</v>
      </c>
      <c r="D81" s="1454">
        <f t="shared" si="0"/>
        <v>0</v>
      </c>
      <c r="E81" s="1454">
        <f t="shared" si="3"/>
        <v>63937.5</v>
      </c>
      <c r="I81" s="1445"/>
      <c r="J81" s="135"/>
      <c r="K81" s="1093"/>
      <c r="L81" s="1457"/>
      <c r="M81" s="1457"/>
      <c r="N81" s="742"/>
      <c r="O81" s="742"/>
      <c r="P81" s="504"/>
      <c r="R81" s="742"/>
      <c r="S81" s="742"/>
      <c r="T81" s="742"/>
    </row>
    <row r="82" spans="1:20">
      <c r="A82" s="1453">
        <f t="shared" si="1"/>
        <v>65</v>
      </c>
      <c r="B82" s="1454">
        <f t="shared" si="4"/>
        <v>306900000</v>
      </c>
      <c r="C82" s="1454">
        <f t="shared" ref="C82:C145" si="5">B81*$D$4/12</f>
        <v>63937.5</v>
      </c>
      <c r="D82" s="1454">
        <f t="shared" ref="D82:D145" si="6">IF(A82&gt;$D$6,0,$D$5-C82)</f>
        <v>0</v>
      </c>
      <c r="E82" s="1454">
        <f t="shared" si="3"/>
        <v>63937.5</v>
      </c>
      <c r="I82" s="1445"/>
      <c r="J82" s="135"/>
      <c r="K82" s="1093"/>
      <c r="L82" s="1457"/>
      <c r="M82" s="1457"/>
      <c r="N82" s="742"/>
      <c r="O82" s="742"/>
      <c r="P82" s="504"/>
      <c r="R82" s="742"/>
      <c r="S82" s="742"/>
      <c r="T82" s="742"/>
    </row>
    <row r="83" spans="1:20">
      <c r="A83" s="1453">
        <f t="shared" ref="A83:A146" si="7">A82+1</f>
        <v>66</v>
      </c>
      <c r="B83" s="1454">
        <f t="shared" ref="B83:B146" si="8">B82-D83</f>
        <v>306900000</v>
      </c>
      <c r="C83" s="1454">
        <f t="shared" si="5"/>
        <v>63937.5</v>
      </c>
      <c r="D83" s="1454">
        <f t="shared" si="6"/>
        <v>0</v>
      </c>
      <c r="E83" s="1454">
        <f t="shared" ref="E83:E146" si="9">SUM(C83:D83)</f>
        <v>63937.5</v>
      </c>
      <c r="I83" s="1445"/>
      <c r="J83" s="135"/>
      <c r="K83" s="1093"/>
      <c r="L83" s="1457"/>
      <c r="M83" s="1457"/>
      <c r="N83" s="742"/>
      <c r="O83" s="742"/>
      <c r="P83" s="504"/>
      <c r="R83" s="742"/>
      <c r="S83" s="742"/>
      <c r="T83" s="742"/>
    </row>
    <row r="84" spans="1:20">
      <c r="A84" s="1453">
        <f t="shared" si="7"/>
        <v>67</v>
      </c>
      <c r="B84" s="1454">
        <f t="shared" si="8"/>
        <v>306900000</v>
      </c>
      <c r="C84" s="1454">
        <f t="shared" si="5"/>
        <v>63937.5</v>
      </c>
      <c r="D84" s="1454">
        <f t="shared" si="6"/>
        <v>0</v>
      </c>
      <c r="E84" s="1454">
        <f t="shared" si="9"/>
        <v>63937.5</v>
      </c>
      <c r="I84" s="1445"/>
      <c r="J84" s="135"/>
      <c r="K84" s="1093"/>
      <c r="L84" s="1457"/>
      <c r="M84" s="1457"/>
      <c r="N84" s="742"/>
      <c r="O84" s="742"/>
      <c r="P84" s="504"/>
      <c r="R84" s="742"/>
      <c r="S84" s="742"/>
      <c r="T84" s="742"/>
    </row>
    <row r="85" spans="1:20">
      <c r="A85" s="1453">
        <f t="shared" si="7"/>
        <v>68</v>
      </c>
      <c r="B85" s="1454">
        <f t="shared" si="8"/>
        <v>306900000</v>
      </c>
      <c r="C85" s="1454">
        <f t="shared" si="5"/>
        <v>63937.5</v>
      </c>
      <c r="D85" s="1454">
        <f t="shared" si="6"/>
        <v>0</v>
      </c>
      <c r="E85" s="1454">
        <f t="shared" si="9"/>
        <v>63937.5</v>
      </c>
      <c r="I85" s="1445"/>
      <c r="J85" s="135"/>
      <c r="K85" s="1093"/>
      <c r="L85" s="1457"/>
      <c r="M85" s="1457"/>
      <c r="N85" s="742"/>
      <c r="O85" s="742"/>
      <c r="P85" s="504"/>
      <c r="R85" s="742"/>
      <c r="S85" s="742"/>
      <c r="T85" s="742"/>
    </row>
    <row r="86" spans="1:20">
      <c r="A86" s="1453">
        <f t="shared" si="7"/>
        <v>69</v>
      </c>
      <c r="B86" s="1454">
        <f t="shared" si="8"/>
        <v>306900000</v>
      </c>
      <c r="C86" s="1454">
        <f t="shared" si="5"/>
        <v>63937.5</v>
      </c>
      <c r="D86" s="1454">
        <f t="shared" si="6"/>
        <v>0</v>
      </c>
      <c r="E86" s="1454">
        <f t="shared" si="9"/>
        <v>63937.5</v>
      </c>
      <c r="I86" s="1445"/>
      <c r="J86" s="135"/>
      <c r="K86" s="1093"/>
      <c r="L86" s="1457"/>
      <c r="M86" s="1457"/>
      <c r="N86" s="742"/>
      <c r="O86" s="742"/>
      <c r="P86" s="504"/>
      <c r="R86" s="742"/>
      <c r="S86" s="742"/>
      <c r="T86" s="742"/>
    </row>
    <row r="87" spans="1:20">
      <c r="A87" s="1453">
        <f t="shared" si="7"/>
        <v>70</v>
      </c>
      <c r="B87" s="1454">
        <f t="shared" si="8"/>
        <v>306900000</v>
      </c>
      <c r="C87" s="1454">
        <f t="shared" si="5"/>
        <v>63937.5</v>
      </c>
      <c r="D87" s="1454">
        <f t="shared" si="6"/>
        <v>0</v>
      </c>
      <c r="E87" s="1454">
        <f t="shared" si="9"/>
        <v>63937.5</v>
      </c>
      <c r="I87" s="1445"/>
      <c r="J87" s="135"/>
      <c r="K87" s="1093"/>
      <c r="L87" s="1457"/>
      <c r="M87" s="1457"/>
      <c r="N87" s="742"/>
      <c r="O87" s="742"/>
      <c r="P87" s="504"/>
      <c r="R87" s="742"/>
      <c r="S87" s="742"/>
      <c r="T87" s="742"/>
    </row>
    <row r="88" spans="1:20">
      <c r="A88" s="1453">
        <f t="shared" si="7"/>
        <v>71</v>
      </c>
      <c r="B88" s="1454">
        <f t="shared" si="8"/>
        <v>306900000</v>
      </c>
      <c r="C88" s="1454">
        <f t="shared" si="5"/>
        <v>63937.5</v>
      </c>
      <c r="D88" s="1454">
        <f t="shared" si="6"/>
        <v>0</v>
      </c>
      <c r="E88" s="1454">
        <f t="shared" si="9"/>
        <v>63937.5</v>
      </c>
      <c r="I88" s="1445"/>
      <c r="J88" s="135"/>
      <c r="K88" s="1093"/>
      <c r="L88" s="1457"/>
      <c r="M88" s="1457"/>
      <c r="N88" s="742"/>
      <c r="O88" s="742"/>
      <c r="P88" s="504"/>
      <c r="R88" s="742"/>
      <c r="S88" s="742"/>
      <c r="T88" s="742"/>
    </row>
    <row r="89" spans="1:20">
      <c r="A89" s="1453">
        <f t="shared" si="7"/>
        <v>72</v>
      </c>
      <c r="B89" s="1454">
        <f t="shared" si="8"/>
        <v>306900000</v>
      </c>
      <c r="C89" s="1454">
        <f t="shared" si="5"/>
        <v>63937.5</v>
      </c>
      <c r="D89" s="1454">
        <f t="shared" si="6"/>
        <v>0</v>
      </c>
      <c r="E89" s="1454">
        <f t="shared" si="9"/>
        <v>63937.5</v>
      </c>
      <c r="I89" s="1445"/>
      <c r="J89" s="135"/>
      <c r="K89" s="1093"/>
      <c r="L89" s="1457"/>
      <c r="M89" s="1457"/>
      <c r="N89" s="742"/>
      <c r="O89" s="742"/>
      <c r="P89" s="504"/>
      <c r="R89" s="742"/>
      <c r="S89" s="742"/>
      <c r="T89" s="742"/>
    </row>
    <row r="90" spans="1:20">
      <c r="A90" s="1453">
        <f t="shared" si="7"/>
        <v>73</v>
      </c>
      <c r="B90" s="1454">
        <f t="shared" si="8"/>
        <v>306900000</v>
      </c>
      <c r="C90" s="1454">
        <f t="shared" si="5"/>
        <v>63937.5</v>
      </c>
      <c r="D90" s="1454">
        <f t="shared" si="6"/>
        <v>0</v>
      </c>
      <c r="E90" s="1454">
        <f t="shared" si="9"/>
        <v>63937.5</v>
      </c>
      <c r="I90" s="1445"/>
      <c r="J90" s="135"/>
      <c r="K90" s="1093"/>
      <c r="L90" s="1457"/>
      <c r="M90" s="1457"/>
      <c r="N90" s="742"/>
      <c r="O90" s="742"/>
      <c r="P90" s="504"/>
      <c r="R90" s="742"/>
      <c r="S90" s="742"/>
      <c r="T90" s="742"/>
    </row>
    <row r="91" spans="1:20">
      <c r="A91" s="1453">
        <f t="shared" si="7"/>
        <v>74</v>
      </c>
      <c r="B91" s="1454">
        <f t="shared" si="8"/>
        <v>306900000</v>
      </c>
      <c r="C91" s="1454">
        <f t="shared" si="5"/>
        <v>63937.5</v>
      </c>
      <c r="D91" s="1454">
        <f t="shared" si="6"/>
        <v>0</v>
      </c>
      <c r="E91" s="1454">
        <f t="shared" si="9"/>
        <v>63937.5</v>
      </c>
      <c r="I91" s="1445"/>
      <c r="J91" s="135"/>
      <c r="K91" s="1093"/>
      <c r="L91" s="1457"/>
      <c r="M91" s="1457"/>
      <c r="N91" s="742"/>
      <c r="O91" s="742"/>
      <c r="P91" s="504"/>
      <c r="R91" s="742"/>
      <c r="S91" s="742"/>
      <c r="T91" s="742"/>
    </row>
    <row r="92" spans="1:20">
      <c r="A92" s="1453">
        <f t="shared" si="7"/>
        <v>75</v>
      </c>
      <c r="B92" s="1454">
        <f t="shared" si="8"/>
        <v>306900000</v>
      </c>
      <c r="C92" s="1454">
        <f t="shared" si="5"/>
        <v>63937.5</v>
      </c>
      <c r="D92" s="1454">
        <f t="shared" si="6"/>
        <v>0</v>
      </c>
      <c r="E92" s="1454">
        <f t="shared" si="9"/>
        <v>63937.5</v>
      </c>
      <c r="I92" s="1445"/>
      <c r="J92" s="135"/>
      <c r="K92" s="1093"/>
      <c r="L92" s="1457"/>
      <c r="M92" s="1457"/>
      <c r="N92" s="742"/>
      <c r="O92" s="742"/>
      <c r="P92" s="504"/>
      <c r="R92" s="742"/>
      <c r="S92" s="742"/>
      <c r="T92" s="742"/>
    </row>
    <row r="93" spans="1:20">
      <c r="A93" s="1453">
        <f t="shared" si="7"/>
        <v>76</v>
      </c>
      <c r="B93" s="1454">
        <f t="shared" si="8"/>
        <v>306900000</v>
      </c>
      <c r="C93" s="1454">
        <f t="shared" si="5"/>
        <v>63937.5</v>
      </c>
      <c r="D93" s="1454">
        <f t="shared" si="6"/>
        <v>0</v>
      </c>
      <c r="E93" s="1454">
        <f t="shared" si="9"/>
        <v>63937.5</v>
      </c>
      <c r="I93" s="1445"/>
      <c r="J93" s="135"/>
      <c r="K93" s="1093"/>
      <c r="L93" s="1457"/>
      <c r="M93" s="1457"/>
      <c r="N93" s="742"/>
      <c r="O93" s="742"/>
      <c r="P93" s="504"/>
      <c r="R93" s="742"/>
      <c r="S93" s="742"/>
      <c r="T93" s="742"/>
    </row>
    <row r="94" spans="1:20">
      <c r="A94" s="1453">
        <f t="shared" si="7"/>
        <v>77</v>
      </c>
      <c r="B94" s="1454">
        <f t="shared" si="8"/>
        <v>306900000</v>
      </c>
      <c r="C94" s="1454">
        <f t="shared" si="5"/>
        <v>63937.5</v>
      </c>
      <c r="D94" s="1454">
        <f t="shared" si="6"/>
        <v>0</v>
      </c>
      <c r="E94" s="1454">
        <f t="shared" si="9"/>
        <v>63937.5</v>
      </c>
      <c r="I94" s="1445"/>
      <c r="J94" s="135"/>
      <c r="K94" s="1093"/>
      <c r="L94" s="1457"/>
      <c r="M94" s="1457"/>
      <c r="N94" s="742"/>
      <c r="O94" s="742"/>
      <c r="P94" s="504"/>
      <c r="R94" s="742"/>
      <c r="S94" s="742"/>
      <c r="T94" s="742"/>
    </row>
    <row r="95" spans="1:20">
      <c r="A95" s="1453">
        <f t="shared" si="7"/>
        <v>78</v>
      </c>
      <c r="B95" s="1454">
        <f t="shared" si="8"/>
        <v>306900000</v>
      </c>
      <c r="C95" s="1454">
        <f t="shared" si="5"/>
        <v>63937.5</v>
      </c>
      <c r="D95" s="1454">
        <f t="shared" si="6"/>
        <v>0</v>
      </c>
      <c r="E95" s="1454">
        <f t="shared" si="9"/>
        <v>63937.5</v>
      </c>
      <c r="I95" s="1445"/>
      <c r="J95" s="135"/>
      <c r="K95" s="1093"/>
      <c r="L95" s="1457"/>
      <c r="M95" s="1457"/>
      <c r="N95" s="742"/>
      <c r="O95" s="742"/>
      <c r="P95" s="504"/>
      <c r="R95" s="742"/>
      <c r="S95" s="742"/>
      <c r="T95" s="742"/>
    </row>
    <row r="96" spans="1:20">
      <c r="A96" s="1453">
        <f t="shared" si="7"/>
        <v>79</v>
      </c>
      <c r="B96" s="1454">
        <f t="shared" si="8"/>
        <v>306900000</v>
      </c>
      <c r="C96" s="1454">
        <f t="shared" si="5"/>
        <v>63937.5</v>
      </c>
      <c r="D96" s="1454">
        <f t="shared" si="6"/>
        <v>0</v>
      </c>
      <c r="E96" s="1454">
        <f t="shared" si="9"/>
        <v>63937.5</v>
      </c>
      <c r="I96" s="1445"/>
      <c r="J96" s="135"/>
      <c r="K96" s="1093"/>
      <c r="L96" s="1457"/>
      <c r="M96" s="1457"/>
      <c r="N96" s="742"/>
      <c r="O96" s="742"/>
      <c r="P96" s="504"/>
      <c r="R96" s="742"/>
      <c r="S96" s="742"/>
      <c r="T96" s="742"/>
    </row>
    <row r="97" spans="1:20">
      <c r="A97" s="1453">
        <f t="shared" si="7"/>
        <v>80</v>
      </c>
      <c r="B97" s="1454">
        <f t="shared" si="8"/>
        <v>306900000</v>
      </c>
      <c r="C97" s="1454">
        <f t="shared" si="5"/>
        <v>63937.5</v>
      </c>
      <c r="D97" s="1454">
        <f t="shared" si="6"/>
        <v>0</v>
      </c>
      <c r="E97" s="1454">
        <f t="shared" si="9"/>
        <v>63937.5</v>
      </c>
      <c r="I97" s="1445"/>
      <c r="J97" s="135"/>
      <c r="K97" s="1093"/>
      <c r="L97" s="1457"/>
      <c r="M97" s="1457"/>
      <c r="N97" s="742"/>
      <c r="O97" s="742"/>
      <c r="P97" s="504"/>
      <c r="R97" s="742"/>
      <c r="S97" s="742"/>
      <c r="T97" s="742"/>
    </row>
    <row r="98" spans="1:20">
      <c r="A98" s="1453">
        <f t="shared" si="7"/>
        <v>81</v>
      </c>
      <c r="B98" s="1454">
        <f t="shared" si="8"/>
        <v>306900000</v>
      </c>
      <c r="C98" s="1454">
        <f t="shared" si="5"/>
        <v>63937.5</v>
      </c>
      <c r="D98" s="1454">
        <f t="shared" si="6"/>
        <v>0</v>
      </c>
      <c r="E98" s="1454">
        <f t="shared" si="9"/>
        <v>63937.5</v>
      </c>
      <c r="I98" s="1445"/>
      <c r="J98" s="135"/>
      <c r="K98" s="1093"/>
      <c r="L98" s="1457"/>
      <c r="M98" s="1457"/>
      <c r="N98" s="742"/>
      <c r="O98" s="742"/>
      <c r="P98" s="504"/>
      <c r="R98" s="742"/>
      <c r="S98" s="742"/>
      <c r="T98" s="742"/>
    </row>
    <row r="99" spans="1:20">
      <c r="A99" s="1453">
        <f t="shared" si="7"/>
        <v>82</v>
      </c>
      <c r="B99" s="1454">
        <f t="shared" si="8"/>
        <v>306900000</v>
      </c>
      <c r="C99" s="1454">
        <f t="shared" si="5"/>
        <v>63937.5</v>
      </c>
      <c r="D99" s="1454">
        <f t="shared" si="6"/>
        <v>0</v>
      </c>
      <c r="E99" s="1454">
        <f t="shared" si="9"/>
        <v>63937.5</v>
      </c>
      <c r="I99" s="1445"/>
      <c r="J99" s="135"/>
      <c r="K99" s="1093"/>
      <c r="L99" s="1457"/>
      <c r="M99" s="1457"/>
      <c r="N99" s="742"/>
      <c r="O99" s="742"/>
      <c r="P99" s="504"/>
      <c r="R99" s="742"/>
      <c r="S99" s="742"/>
      <c r="T99" s="742"/>
    </row>
    <row r="100" spans="1:20">
      <c r="A100" s="1453">
        <f t="shared" si="7"/>
        <v>83</v>
      </c>
      <c r="B100" s="1454">
        <f t="shared" si="8"/>
        <v>306900000</v>
      </c>
      <c r="C100" s="1454">
        <f t="shared" si="5"/>
        <v>63937.5</v>
      </c>
      <c r="D100" s="1454">
        <f t="shared" si="6"/>
        <v>0</v>
      </c>
      <c r="E100" s="1454">
        <f t="shared" si="9"/>
        <v>63937.5</v>
      </c>
      <c r="I100" s="1445"/>
      <c r="J100" s="135"/>
      <c r="K100" s="1093"/>
      <c r="L100" s="1457"/>
      <c r="M100" s="1457"/>
      <c r="N100" s="742"/>
      <c r="O100" s="742"/>
      <c r="P100" s="504"/>
      <c r="R100" s="742"/>
      <c r="S100" s="742"/>
      <c r="T100" s="742"/>
    </row>
    <row r="101" spans="1:20">
      <c r="A101" s="1453">
        <f t="shared" si="7"/>
        <v>84</v>
      </c>
      <c r="B101" s="1454">
        <f t="shared" si="8"/>
        <v>306900000</v>
      </c>
      <c r="C101" s="1454">
        <f t="shared" si="5"/>
        <v>63937.5</v>
      </c>
      <c r="D101" s="1454">
        <f t="shared" si="6"/>
        <v>0</v>
      </c>
      <c r="E101" s="1454">
        <f t="shared" si="9"/>
        <v>63937.5</v>
      </c>
      <c r="I101" s="1445"/>
      <c r="J101" s="135"/>
      <c r="K101" s="1093"/>
      <c r="L101" s="1457"/>
      <c r="M101" s="1457"/>
      <c r="N101" s="742"/>
      <c r="O101" s="742"/>
      <c r="P101" s="504"/>
      <c r="R101" s="742"/>
      <c r="S101" s="742"/>
      <c r="T101" s="742"/>
    </row>
    <row r="102" spans="1:20">
      <c r="A102" s="1453">
        <f t="shared" si="7"/>
        <v>85</v>
      </c>
      <c r="B102" s="1454">
        <f t="shared" si="8"/>
        <v>306900000</v>
      </c>
      <c r="C102" s="1454">
        <f t="shared" si="5"/>
        <v>63937.5</v>
      </c>
      <c r="D102" s="1454">
        <f t="shared" si="6"/>
        <v>0</v>
      </c>
      <c r="E102" s="1454">
        <f t="shared" si="9"/>
        <v>63937.5</v>
      </c>
      <c r="I102" s="1445"/>
      <c r="J102" s="135"/>
      <c r="K102" s="1093"/>
      <c r="L102" s="1457"/>
      <c r="M102" s="1457"/>
      <c r="N102" s="742"/>
      <c r="O102" s="742"/>
      <c r="P102" s="504"/>
      <c r="R102" s="742"/>
      <c r="S102" s="742"/>
      <c r="T102" s="742"/>
    </row>
    <row r="103" spans="1:20">
      <c r="A103" s="1453">
        <f t="shared" si="7"/>
        <v>86</v>
      </c>
      <c r="B103" s="1454">
        <f t="shared" si="8"/>
        <v>306900000</v>
      </c>
      <c r="C103" s="1454">
        <f t="shared" si="5"/>
        <v>63937.5</v>
      </c>
      <c r="D103" s="1454">
        <f t="shared" si="6"/>
        <v>0</v>
      </c>
      <c r="E103" s="1454">
        <f t="shared" si="9"/>
        <v>63937.5</v>
      </c>
      <c r="I103" s="1445"/>
      <c r="J103" s="135"/>
      <c r="K103" s="1093"/>
      <c r="L103" s="1457"/>
      <c r="M103" s="1457"/>
      <c r="N103" s="742"/>
      <c r="O103" s="742"/>
      <c r="P103" s="504"/>
      <c r="R103" s="742"/>
      <c r="S103" s="742"/>
      <c r="T103" s="742"/>
    </row>
    <row r="104" spans="1:20">
      <c r="A104" s="1453">
        <f t="shared" si="7"/>
        <v>87</v>
      </c>
      <c r="B104" s="1454">
        <f t="shared" si="8"/>
        <v>306900000</v>
      </c>
      <c r="C104" s="1454">
        <f t="shared" si="5"/>
        <v>63937.5</v>
      </c>
      <c r="D104" s="1454">
        <f t="shared" si="6"/>
        <v>0</v>
      </c>
      <c r="E104" s="1454">
        <f t="shared" si="9"/>
        <v>63937.5</v>
      </c>
      <c r="I104" s="1445"/>
      <c r="J104" s="135"/>
      <c r="K104" s="1093"/>
      <c r="L104" s="1457"/>
      <c r="M104" s="1457"/>
      <c r="N104" s="742"/>
      <c r="O104" s="742"/>
      <c r="P104" s="504"/>
      <c r="R104" s="742"/>
      <c r="S104" s="742"/>
      <c r="T104" s="742"/>
    </row>
    <row r="105" spans="1:20">
      <c r="A105" s="1453">
        <f t="shared" si="7"/>
        <v>88</v>
      </c>
      <c r="B105" s="1454">
        <f t="shared" si="8"/>
        <v>306900000</v>
      </c>
      <c r="C105" s="1454">
        <f t="shared" si="5"/>
        <v>63937.5</v>
      </c>
      <c r="D105" s="1454">
        <f t="shared" si="6"/>
        <v>0</v>
      </c>
      <c r="E105" s="1454">
        <f t="shared" si="9"/>
        <v>63937.5</v>
      </c>
      <c r="I105" s="1445"/>
      <c r="J105" s="135"/>
      <c r="K105" s="1093"/>
      <c r="L105" s="1457"/>
      <c r="M105" s="1457"/>
      <c r="N105" s="742"/>
      <c r="O105" s="742"/>
      <c r="P105" s="504"/>
      <c r="R105" s="742"/>
      <c r="S105" s="742"/>
      <c r="T105" s="742"/>
    </row>
    <row r="106" spans="1:20">
      <c r="A106" s="1453">
        <f t="shared" si="7"/>
        <v>89</v>
      </c>
      <c r="B106" s="1454">
        <f t="shared" si="8"/>
        <v>306900000</v>
      </c>
      <c r="C106" s="1454">
        <f t="shared" si="5"/>
        <v>63937.5</v>
      </c>
      <c r="D106" s="1454">
        <f t="shared" si="6"/>
        <v>0</v>
      </c>
      <c r="E106" s="1454">
        <f t="shared" si="9"/>
        <v>63937.5</v>
      </c>
      <c r="I106" s="1445"/>
      <c r="J106" s="135"/>
      <c r="K106" s="1093"/>
      <c r="L106" s="1457"/>
      <c r="M106" s="1457"/>
      <c r="N106" s="742"/>
      <c r="O106" s="742"/>
      <c r="P106" s="504"/>
      <c r="R106" s="742"/>
      <c r="S106" s="742"/>
      <c r="T106" s="742"/>
    </row>
    <row r="107" spans="1:20">
      <c r="A107" s="1453">
        <f t="shared" si="7"/>
        <v>90</v>
      </c>
      <c r="B107" s="1454">
        <f t="shared" si="8"/>
        <v>306900000</v>
      </c>
      <c r="C107" s="1454">
        <f t="shared" si="5"/>
        <v>63937.5</v>
      </c>
      <c r="D107" s="1454">
        <f t="shared" si="6"/>
        <v>0</v>
      </c>
      <c r="E107" s="1454">
        <f t="shared" si="9"/>
        <v>63937.5</v>
      </c>
      <c r="I107" s="1445"/>
      <c r="J107" s="135"/>
      <c r="K107" s="1093"/>
      <c r="L107" s="1457"/>
      <c r="M107" s="1457"/>
      <c r="N107" s="742"/>
      <c r="O107" s="742"/>
      <c r="P107" s="504"/>
      <c r="R107" s="742"/>
      <c r="S107" s="742"/>
      <c r="T107" s="742"/>
    </row>
    <row r="108" spans="1:20">
      <c r="A108" s="1453">
        <f t="shared" si="7"/>
        <v>91</v>
      </c>
      <c r="B108" s="1454">
        <f t="shared" si="8"/>
        <v>306900000</v>
      </c>
      <c r="C108" s="1454">
        <f t="shared" si="5"/>
        <v>63937.5</v>
      </c>
      <c r="D108" s="1454">
        <f t="shared" si="6"/>
        <v>0</v>
      </c>
      <c r="E108" s="1454">
        <f t="shared" si="9"/>
        <v>63937.5</v>
      </c>
      <c r="I108" s="1445"/>
      <c r="J108" s="135"/>
      <c r="K108" s="1093"/>
      <c r="L108" s="1457"/>
      <c r="M108" s="1457"/>
      <c r="N108" s="742"/>
      <c r="O108" s="742"/>
      <c r="P108" s="504"/>
      <c r="R108" s="742"/>
      <c r="S108" s="742"/>
      <c r="T108" s="742"/>
    </row>
    <row r="109" spans="1:20">
      <c r="A109" s="1453">
        <f t="shared" si="7"/>
        <v>92</v>
      </c>
      <c r="B109" s="1454">
        <f t="shared" si="8"/>
        <v>306900000</v>
      </c>
      <c r="C109" s="1454">
        <f t="shared" si="5"/>
        <v>63937.5</v>
      </c>
      <c r="D109" s="1454">
        <f t="shared" si="6"/>
        <v>0</v>
      </c>
      <c r="E109" s="1454">
        <f t="shared" si="9"/>
        <v>63937.5</v>
      </c>
      <c r="I109" s="1445"/>
      <c r="J109" s="135"/>
      <c r="K109" s="1093"/>
      <c r="L109" s="1457"/>
      <c r="M109" s="1457"/>
      <c r="N109" s="742"/>
      <c r="O109" s="742"/>
      <c r="P109" s="504"/>
      <c r="R109" s="742"/>
      <c r="S109" s="742"/>
      <c r="T109" s="742"/>
    </row>
    <row r="110" spans="1:20">
      <c r="A110" s="1453">
        <f t="shared" si="7"/>
        <v>93</v>
      </c>
      <c r="B110" s="1454">
        <f t="shared" si="8"/>
        <v>306900000</v>
      </c>
      <c r="C110" s="1454">
        <f t="shared" si="5"/>
        <v>63937.5</v>
      </c>
      <c r="D110" s="1454">
        <f t="shared" si="6"/>
        <v>0</v>
      </c>
      <c r="E110" s="1454">
        <f t="shared" si="9"/>
        <v>63937.5</v>
      </c>
      <c r="I110" s="1445"/>
      <c r="J110" s="135"/>
      <c r="K110" s="1093"/>
      <c r="L110" s="1457"/>
      <c r="M110" s="1457"/>
      <c r="N110" s="742"/>
      <c r="O110" s="742"/>
      <c r="P110" s="504"/>
      <c r="R110" s="742"/>
      <c r="S110" s="742"/>
      <c r="T110" s="742"/>
    </row>
    <row r="111" spans="1:20">
      <c r="A111" s="1453">
        <f t="shared" si="7"/>
        <v>94</v>
      </c>
      <c r="B111" s="1454">
        <f t="shared" si="8"/>
        <v>306900000</v>
      </c>
      <c r="C111" s="1454">
        <f t="shared" si="5"/>
        <v>63937.5</v>
      </c>
      <c r="D111" s="1454">
        <f t="shared" si="6"/>
        <v>0</v>
      </c>
      <c r="E111" s="1454">
        <f t="shared" si="9"/>
        <v>63937.5</v>
      </c>
      <c r="I111" s="1445"/>
      <c r="J111" s="135"/>
      <c r="K111" s="1093"/>
      <c r="L111" s="1457"/>
      <c r="M111" s="1457"/>
      <c r="N111" s="742"/>
      <c r="O111" s="742"/>
      <c r="P111" s="504"/>
      <c r="R111" s="742"/>
      <c r="S111" s="742"/>
      <c r="T111" s="742"/>
    </row>
    <row r="112" spans="1:20">
      <c r="A112" s="1453">
        <f t="shared" si="7"/>
        <v>95</v>
      </c>
      <c r="B112" s="1454">
        <f t="shared" si="8"/>
        <v>306900000</v>
      </c>
      <c r="C112" s="1454">
        <f t="shared" si="5"/>
        <v>63937.5</v>
      </c>
      <c r="D112" s="1454">
        <f t="shared" si="6"/>
        <v>0</v>
      </c>
      <c r="E112" s="1454">
        <f t="shared" si="9"/>
        <v>63937.5</v>
      </c>
      <c r="I112" s="1445"/>
      <c r="J112" s="135"/>
      <c r="K112" s="1093"/>
      <c r="L112" s="1457"/>
      <c r="M112" s="1457"/>
      <c r="N112" s="742"/>
      <c r="O112" s="742"/>
      <c r="P112" s="504"/>
      <c r="R112" s="742"/>
      <c r="S112" s="742"/>
      <c r="T112" s="742"/>
    </row>
    <row r="113" spans="1:20">
      <c r="A113" s="1453">
        <f t="shared" si="7"/>
        <v>96</v>
      </c>
      <c r="B113" s="1454">
        <f t="shared" si="8"/>
        <v>306900000</v>
      </c>
      <c r="C113" s="1454">
        <f t="shared" si="5"/>
        <v>63937.5</v>
      </c>
      <c r="D113" s="1454">
        <f t="shared" si="6"/>
        <v>0</v>
      </c>
      <c r="E113" s="1454">
        <f t="shared" si="9"/>
        <v>63937.5</v>
      </c>
      <c r="I113" s="1445"/>
      <c r="J113" s="135"/>
      <c r="K113" s="1093"/>
      <c r="L113" s="1457"/>
      <c r="M113" s="1457"/>
      <c r="N113" s="742"/>
      <c r="O113" s="742"/>
      <c r="P113" s="504"/>
      <c r="R113" s="742"/>
      <c r="S113" s="742"/>
      <c r="T113" s="742"/>
    </row>
    <row r="114" spans="1:20">
      <c r="A114" s="1453">
        <f t="shared" si="7"/>
        <v>97</v>
      </c>
      <c r="B114" s="1454">
        <f t="shared" si="8"/>
        <v>306900000</v>
      </c>
      <c r="C114" s="1454">
        <f t="shared" si="5"/>
        <v>63937.5</v>
      </c>
      <c r="D114" s="1454">
        <f t="shared" si="6"/>
        <v>0</v>
      </c>
      <c r="E114" s="1454">
        <f t="shared" si="9"/>
        <v>63937.5</v>
      </c>
      <c r="I114" s="1445"/>
      <c r="J114" s="135"/>
      <c r="K114" s="1093"/>
      <c r="L114" s="1457"/>
      <c r="M114" s="1457"/>
      <c r="N114" s="742"/>
      <c r="O114" s="742"/>
      <c r="P114" s="504"/>
      <c r="R114" s="742"/>
      <c r="S114" s="742"/>
      <c r="T114" s="742"/>
    </row>
    <row r="115" spans="1:20">
      <c r="A115" s="1453">
        <f t="shared" si="7"/>
        <v>98</v>
      </c>
      <c r="B115" s="1454">
        <f t="shared" si="8"/>
        <v>306900000</v>
      </c>
      <c r="C115" s="1454">
        <f t="shared" si="5"/>
        <v>63937.5</v>
      </c>
      <c r="D115" s="1454">
        <f t="shared" si="6"/>
        <v>0</v>
      </c>
      <c r="E115" s="1454">
        <f t="shared" si="9"/>
        <v>63937.5</v>
      </c>
      <c r="I115" s="1445"/>
      <c r="J115" s="135"/>
      <c r="K115" s="1093"/>
      <c r="L115" s="1457"/>
      <c r="M115" s="1457"/>
      <c r="N115" s="742"/>
      <c r="O115" s="742"/>
      <c r="P115" s="504"/>
      <c r="R115" s="742"/>
      <c r="S115" s="742"/>
      <c r="T115" s="742"/>
    </row>
    <row r="116" spans="1:20">
      <c r="A116" s="1453">
        <f t="shared" si="7"/>
        <v>99</v>
      </c>
      <c r="B116" s="1454">
        <f t="shared" si="8"/>
        <v>306900000</v>
      </c>
      <c r="C116" s="1454">
        <f t="shared" si="5"/>
        <v>63937.5</v>
      </c>
      <c r="D116" s="1454">
        <f t="shared" si="6"/>
        <v>0</v>
      </c>
      <c r="E116" s="1454">
        <f t="shared" si="9"/>
        <v>63937.5</v>
      </c>
      <c r="I116" s="1445"/>
      <c r="J116" s="135"/>
      <c r="K116" s="1093"/>
      <c r="L116" s="1457"/>
      <c r="M116" s="1457"/>
      <c r="N116" s="742"/>
      <c r="O116" s="742"/>
      <c r="P116" s="504"/>
      <c r="R116" s="742"/>
      <c r="S116" s="742"/>
      <c r="T116" s="742"/>
    </row>
    <row r="117" spans="1:20">
      <c r="A117" s="1453">
        <f t="shared" si="7"/>
        <v>100</v>
      </c>
      <c r="B117" s="1454">
        <f t="shared" si="8"/>
        <v>306900000</v>
      </c>
      <c r="C117" s="1454">
        <f t="shared" si="5"/>
        <v>63937.5</v>
      </c>
      <c r="D117" s="1454">
        <f t="shared" si="6"/>
        <v>0</v>
      </c>
      <c r="E117" s="1454">
        <f t="shared" si="9"/>
        <v>63937.5</v>
      </c>
      <c r="I117" s="1445"/>
      <c r="J117" s="135"/>
      <c r="K117" s="1093"/>
      <c r="L117" s="1457"/>
      <c r="M117" s="1457"/>
      <c r="N117" s="742"/>
      <c r="O117" s="742"/>
      <c r="P117" s="504"/>
      <c r="R117" s="742"/>
      <c r="S117" s="742"/>
      <c r="T117" s="742"/>
    </row>
    <row r="118" spans="1:20">
      <c r="A118" s="1453">
        <f t="shared" si="7"/>
        <v>101</v>
      </c>
      <c r="B118" s="1454">
        <f t="shared" si="8"/>
        <v>306900000</v>
      </c>
      <c r="C118" s="1454">
        <f t="shared" si="5"/>
        <v>63937.5</v>
      </c>
      <c r="D118" s="1454">
        <f t="shared" si="6"/>
        <v>0</v>
      </c>
      <c r="E118" s="1454">
        <f t="shared" si="9"/>
        <v>63937.5</v>
      </c>
      <c r="I118" s="1445"/>
      <c r="J118" s="135"/>
      <c r="K118" s="1093"/>
      <c r="L118" s="1457"/>
      <c r="M118" s="1457"/>
      <c r="N118" s="742"/>
      <c r="O118" s="742"/>
      <c r="P118" s="504"/>
      <c r="R118" s="742"/>
      <c r="S118" s="742"/>
      <c r="T118" s="742"/>
    </row>
    <row r="119" spans="1:20">
      <c r="A119" s="1453">
        <f t="shared" si="7"/>
        <v>102</v>
      </c>
      <c r="B119" s="1454">
        <f t="shared" si="8"/>
        <v>306900000</v>
      </c>
      <c r="C119" s="1454">
        <f t="shared" si="5"/>
        <v>63937.5</v>
      </c>
      <c r="D119" s="1454">
        <f t="shared" si="6"/>
        <v>0</v>
      </c>
      <c r="E119" s="1454">
        <f t="shared" si="9"/>
        <v>63937.5</v>
      </c>
      <c r="I119" s="1445"/>
      <c r="J119" s="135"/>
      <c r="K119" s="1093"/>
      <c r="L119" s="1457"/>
      <c r="M119" s="1457"/>
      <c r="N119" s="742"/>
      <c r="O119" s="742"/>
      <c r="P119" s="504"/>
      <c r="R119" s="742"/>
      <c r="S119" s="742"/>
      <c r="T119" s="742"/>
    </row>
    <row r="120" spans="1:20">
      <c r="A120" s="1453">
        <f t="shared" si="7"/>
        <v>103</v>
      </c>
      <c r="B120" s="1454">
        <f t="shared" si="8"/>
        <v>306900000</v>
      </c>
      <c r="C120" s="1454">
        <f t="shared" si="5"/>
        <v>63937.5</v>
      </c>
      <c r="D120" s="1454">
        <f t="shared" si="6"/>
        <v>0</v>
      </c>
      <c r="E120" s="1454">
        <f t="shared" si="9"/>
        <v>63937.5</v>
      </c>
      <c r="I120" s="1445"/>
      <c r="J120" s="135"/>
      <c r="K120" s="1093"/>
      <c r="L120" s="1457"/>
      <c r="M120" s="1457"/>
      <c r="N120" s="742"/>
      <c r="O120" s="742"/>
      <c r="P120" s="504"/>
      <c r="R120" s="742"/>
      <c r="S120" s="742"/>
      <c r="T120" s="742"/>
    </row>
    <row r="121" spans="1:20">
      <c r="A121" s="1453">
        <f t="shared" si="7"/>
        <v>104</v>
      </c>
      <c r="B121" s="1454">
        <f t="shared" si="8"/>
        <v>306900000</v>
      </c>
      <c r="C121" s="1454">
        <f t="shared" si="5"/>
        <v>63937.5</v>
      </c>
      <c r="D121" s="1454">
        <f t="shared" si="6"/>
        <v>0</v>
      </c>
      <c r="E121" s="1454">
        <f t="shared" si="9"/>
        <v>63937.5</v>
      </c>
      <c r="I121" s="1445"/>
      <c r="J121" s="135"/>
      <c r="K121" s="1093"/>
      <c r="L121" s="1457"/>
      <c r="M121" s="1457"/>
      <c r="N121" s="742"/>
      <c r="O121" s="742"/>
      <c r="P121" s="504"/>
      <c r="R121" s="742"/>
      <c r="S121" s="742"/>
      <c r="T121" s="742"/>
    </row>
    <row r="122" spans="1:20">
      <c r="A122" s="1453">
        <f t="shared" si="7"/>
        <v>105</v>
      </c>
      <c r="B122" s="1454">
        <f t="shared" si="8"/>
        <v>306900000</v>
      </c>
      <c r="C122" s="1454">
        <f t="shared" si="5"/>
        <v>63937.5</v>
      </c>
      <c r="D122" s="1454">
        <f t="shared" si="6"/>
        <v>0</v>
      </c>
      <c r="E122" s="1454">
        <f t="shared" si="9"/>
        <v>63937.5</v>
      </c>
      <c r="I122" s="1445"/>
      <c r="J122" s="135"/>
      <c r="K122" s="1093"/>
      <c r="L122" s="1457"/>
      <c r="M122" s="1457"/>
      <c r="N122" s="742"/>
      <c r="O122" s="742"/>
      <c r="P122" s="504"/>
      <c r="R122" s="742"/>
      <c r="S122" s="742"/>
      <c r="T122" s="742"/>
    </row>
    <row r="123" spans="1:20">
      <c r="A123" s="1453">
        <f t="shared" si="7"/>
        <v>106</v>
      </c>
      <c r="B123" s="1454">
        <f t="shared" si="8"/>
        <v>306900000</v>
      </c>
      <c r="C123" s="1454">
        <f t="shared" si="5"/>
        <v>63937.5</v>
      </c>
      <c r="D123" s="1454">
        <f t="shared" si="6"/>
        <v>0</v>
      </c>
      <c r="E123" s="1454">
        <f t="shared" si="9"/>
        <v>63937.5</v>
      </c>
      <c r="I123" s="1445"/>
      <c r="J123" s="135"/>
      <c r="K123" s="1093"/>
      <c r="L123" s="1457"/>
      <c r="M123" s="1457"/>
      <c r="N123" s="742"/>
      <c r="O123" s="742"/>
      <c r="P123" s="504"/>
      <c r="R123" s="742"/>
      <c r="S123" s="742"/>
      <c r="T123" s="742"/>
    </row>
    <row r="124" spans="1:20">
      <c r="A124" s="1453">
        <f t="shared" si="7"/>
        <v>107</v>
      </c>
      <c r="B124" s="1454">
        <f t="shared" si="8"/>
        <v>306900000</v>
      </c>
      <c r="C124" s="1454">
        <f t="shared" si="5"/>
        <v>63937.5</v>
      </c>
      <c r="D124" s="1454">
        <f t="shared" si="6"/>
        <v>0</v>
      </c>
      <c r="E124" s="1454">
        <f t="shared" si="9"/>
        <v>63937.5</v>
      </c>
      <c r="I124" s="1445"/>
      <c r="J124" s="135"/>
      <c r="K124" s="1093"/>
      <c r="L124" s="1457"/>
      <c r="M124" s="1457"/>
      <c r="N124" s="742"/>
      <c r="O124" s="742"/>
      <c r="P124" s="504"/>
      <c r="R124" s="742"/>
      <c r="S124" s="742"/>
      <c r="T124" s="742"/>
    </row>
    <row r="125" spans="1:20">
      <c r="A125" s="1453">
        <f t="shared" si="7"/>
        <v>108</v>
      </c>
      <c r="B125" s="1454">
        <f t="shared" si="8"/>
        <v>306900000</v>
      </c>
      <c r="C125" s="1454">
        <f t="shared" si="5"/>
        <v>63937.5</v>
      </c>
      <c r="D125" s="1454">
        <f t="shared" si="6"/>
        <v>0</v>
      </c>
      <c r="E125" s="1454">
        <f t="shared" si="9"/>
        <v>63937.5</v>
      </c>
      <c r="I125" s="1445"/>
      <c r="J125" s="135"/>
      <c r="K125" s="1093"/>
      <c r="L125" s="1457"/>
      <c r="M125" s="1457"/>
      <c r="N125" s="742"/>
      <c r="O125" s="742"/>
      <c r="P125" s="504"/>
      <c r="R125" s="742"/>
      <c r="S125" s="742"/>
      <c r="T125" s="742"/>
    </row>
    <row r="126" spans="1:20">
      <c r="A126" s="1453">
        <f t="shared" si="7"/>
        <v>109</v>
      </c>
      <c r="B126" s="1454">
        <f t="shared" si="8"/>
        <v>306900000</v>
      </c>
      <c r="C126" s="1454">
        <f t="shared" si="5"/>
        <v>63937.5</v>
      </c>
      <c r="D126" s="1454">
        <f t="shared" si="6"/>
        <v>0</v>
      </c>
      <c r="E126" s="1454">
        <f t="shared" si="9"/>
        <v>63937.5</v>
      </c>
      <c r="I126" s="1445"/>
      <c r="J126" s="135"/>
      <c r="K126" s="1093"/>
      <c r="L126" s="1457"/>
      <c r="M126" s="1457"/>
      <c r="N126" s="742"/>
      <c r="O126" s="742"/>
      <c r="P126" s="504"/>
      <c r="R126" s="742"/>
      <c r="S126" s="742"/>
      <c r="T126" s="742"/>
    </row>
    <row r="127" spans="1:20">
      <c r="A127" s="1453">
        <f t="shared" si="7"/>
        <v>110</v>
      </c>
      <c r="B127" s="1454">
        <f t="shared" si="8"/>
        <v>306900000</v>
      </c>
      <c r="C127" s="1454">
        <f t="shared" si="5"/>
        <v>63937.5</v>
      </c>
      <c r="D127" s="1454">
        <f t="shared" si="6"/>
        <v>0</v>
      </c>
      <c r="E127" s="1454">
        <f t="shared" si="9"/>
        <v>63937.5</v>
      </c>
      <c r="I127" s="1445"/>
      <c r="J127" s="135"/>
      <c r="K127" s="1093"/>
      <c r="L127" s="1457"/>
      <c r="M127" s="1457"/>
      <c r="N127" s="742"/>
      <c r="O127" s="742"/>
      <c r="P127" s="504"/>
      <c r="R127" s="742"/>
      <c r="S127" s="742"/>
      <c r="T127" s="742"/>
    </row>
    <row r="128" spans="1:20">
      <c r="A128" s="1453">
        <f t="shared" si="7"/>
        <v>111</v>
      </c>
      <c r="B128" s="1454">
        <f t="shared" si="8"/>
        <v>306900000</v>
      </c>
      <c r="C128" s="1454">
        <f t="shared" si="5"/>
        <v>63937.5</v>
      </c>
      <c r="D128" s="1454">
        <f t="shared" si="6"/>
        <v>0</v>
      </c>
      <c r="E128" s="1454">
        <f t="shared" si="9"/>
        <v>63937.5</v>
      </c>
      <c r="I128" s="1445"/>
      <c r="J128" s="135"/>
      <c r="K128" s="1093"/>
      <c r="L128" s="1457"/>
      <c r="M128" s="1457"/>
      <c r="N128" s="742"/>
      <c r="O128" s="742"/>
      <c r="P128" s="504"/>
      <c r="R128" s="742"/>
      <c r="S128" s="742"/>
      <c r="T128" s="742"/>
    </row>
    <row r="129" spans="1:20">
      <c r="A129" s="1453">
        <f t="shared" si="7"/>
        <v>112</v>
      </c>
      <c r="B129" s="1454">
        <f t="shared" si="8"/>
        <v>306900000</v>
      </c>
      <c r="C129" s="1454">
        <f t="shared" si="5"/>
        <v>63937.5</v>
      </c>
      <c r="D129" s="1454">
        <f t="shared" si="6"/>
        <v>0</v>
      </c>
      <c r="E129" s="1454">
        <f t="shared" si="9"/>
        <v>63937.5</v>
      </c>
      <c r="I129" s="1445"/>
      <c r="J129" s="135"/>
      <c r="K129" s="1093"/>
      <c r="L129" s="1457"/>
      <c r="M129" s="1457"/>
      <c r="N129" s="742"/>
      <c r="O129" s="742"/>
      <c r="P129" s="504"/>
      <c r="R129" s="742"/>
      <c r="S129" s="742"/>
      <c r="T129" s="742"/>
    </row>
    <row r="130" spans="1:20">
      <c r="A130" s="1453">
        <f t="shared" si="7"/>
        <v>113</v>
      </c>
      <c r="B130" s="1454">
        <f t="shared" si="8"/>
        <v>306900000</v>
      </c>
      <c r="C130" s="1454">
        <f t="shared" si="5"/>
        <v>63937.5</v>
      </c>
      <c r="D130" s="1454">
        <f t="shared" si="6"/>
        <v>0</v>
      </c>
      <c r="E130" s="1454">
        <f t="shared" si="9"/>
        <v>63937.5</v>
      </c>
      <c r="I130" s="1445"/>
      <c r="J130" s="135"/>
      <c r="K130" s="1093"/>
      <c r="L130" s="1457"/>
      <c r="M130" s="1457"/>
      <c r="N130" s="742"/>
      <c r="O130" s="742"/>
      <c r="P130" s="504"/>
      <c r="R130" s="742"/>
      <c r="S130" s="742"/>
      <c r="T130" s="742"/>
    </row>
    <row r="131" spans="1:20">
      <c r="A131" s="1453">
        <f t="shared" si="7"/>
        <v>114</v>
      </c>
      <c r="B131" s="1454">
        <f t="shared" si="8"/>
        <v>306900000</v>
      </c>
      <c r="C131" s="1454">
        <f t="shared" si="5"/>
        <v>63937.5</v>
      </c>
      <c r="D131" s="1454">
        <f t="shared" si="6"/>
        <v>0</v>
      </c>
      <c r="E131" s="1454">
        <f t="shared" si="9"/>
        <v>63937.5</v>
      </c>
      <c r="I131" s="1445"/>
      <c r="J131" s="135"/>
      <c r="K131" s="1093"/>
      <c r="L131" s="1457"/>
      <c r="M131" s="1457"/>
      <c r="N131" s="742"/>
      <c r="O131" s="742"/>
      <c r="P131" s="504"/>
      <c r="R131" s="742"/>
      <c r="S131" s="742"/>
      <c r="T131" s="742"/>
    </row>
    <row r="132" spans="1:20">
      <c r="A132" s="1453">
        <f t="shared" si="7"/>
        <v>115</v>
      </c>
      <c r="B132" s="1454">
        <f t="shared" si="8"/>
        <v>306900000</v>
      </c>
      <c r="C132" s="1454">
        <f t="shared" si="5"/>
        <v>63937.5</v>
      </c>
      <c r="D132" s="1454">
        <f t="shared" si="6"/>
        <v>0</v>
      </c>
      <c r="E132" s="1454">
        <f t="shared" si="9"/>
        <v>63937.5</v>
      </c>
      <c r="I132" s="1445"/>
      <c r="J132" s="135"/>
      <c r="K132" s="1093"/>
      <c r="L132" s="1457"/>
      <c r="M132" s="1457"/>
      <c r="N132" s="742"/>
      <c r="O132" s="742"/>
      <c r="P132" s="504"/>
      <c r="R132" s="742"/>
      <c r="S132" s="742"/>
      <c r="T132" s="742"/>
    </row>
    <row r="133" spans="1:20">
      <c r="A133" s="1453">
        <f t="shared" si="7"/>
        <v>116</v>
      </c>
      <c r="B133" s="1454">
        <f t="shared" si="8"/>
        <v>306900000</v>
      </c>
      <c r="C133" s="1454">
        <f t="shared" si="5"/>
        <v>63937.5</v>
      </c>
      <c r="D133" s="1454">
        <f t="shared" si="6"/>
        <v>0</v>
      </c>
      <c r="E133" s="1454">
        <f t="shared" si="9"/>
        <v>63937.5</v>
      </c>
      <c r="I133" s="1445"/>
      <c r="J133" s="135"/>
      <c r="K133" s="1093"/>
      <c r="L133" s="1457"/>
      <c r="M133" s="1457"/>
      <c r="N133" s="742"/>
      <c r="O133" s="742"/>
      <c r="P133" s="504"/>
      <c r="R133" s="742"/>
      <c r="S133" s="742"/>
      <c r="T133" s="742"/>
    </row>
    <row r="134" spans="1:20">
      <c r="A134" s="1453">
        <f t="shared" si="7"/>
        <v>117</v>
      </c>
      <c r="B134" s="1454">
        <f t="shared" si="8"/>
        <v>306900000</v>
      </c>
      <c r="C134" s="1454">
        <f t="shared" si="5"/>
        <v>63937.5</v>
      </c>
      <c r="D134" s="1454">
        <f t="shared" si="6"/>
        <v>0</v>
      </c>
      <c r="E134" s="1454">
        <f t="shared" si="9"/>
        <v>63937.5</v>
      </c>
      <c r="I134" s="1445"/>
      <c r="J134" s="135"/>
      <c r="K134" s="1093"/>
      <c r="L134" s="1457"/>
      <c r="M134" s="1457"/>
      <c r="N134" s="742"/>
      <c r="O134" s="742"/>
      <c r="P134" s="504"/>
      <c r="R134" s="742"/>
      <c r="S134" s="742"/>
      <c r="T134" s="742"/>
    </row>
    <row r="135" spans="1:20">
      <c r="A135" s="1453">
        <f t="shared" si="7"/>
        <v>118</v>
      </c>
      <c r="B135" s="1454">
        <f t="shared" si="8"/>
        <v>306900000</v>
      </c>
      <c r="C135" s="1454">
        <f t="shared" si="5"/>
        <v>63937.5</v>
      </c>
      <c r="D135" s="1454">
        <f t="shared" si="6"/>
        <v>0</v>
      </c>
      <c r="E135" s="1454">
        <f t="shared" si="9"/>
        <v>63937.5</v>
      </c>
      <c r="I135" s="1445"/>
      <c r="J135" s="135"/>
      <c r="K135" s="1093"/>
      <c r="L135" s="1457"/>
      <c r="M135" s="1457"/>
      <c r="N135" s="742"/>
      <c r="O135" s="742"/>
      <c r="P135" s="504"/>
      <c r="R135" s="742"/>
      <c r="S135" s="742"/>
      <c r="T135" s="742"/>
    </row>
    <row r="136" spans="1:20">
      <c r="A136" s="1453">
        <f t="shared" si="7"/>
        <v>119</v>
      </c>
      <c r="B136" s="1454">
        <f t="shared" si="8"/>
        <v>306900000</v>
      </c>
      <c r="C136" s="1454">
        <f t="shared" si="5"/>
        <v>63937.5</v>
      </c>
      <c r="D136" s="1454">
        <f t="shared" si="6"/>
        <v>0</v>
      </c>
      <c r="E136" s="1454">
        <f t="shared" si="9"/>
        <v>63937.5</v>
      </c>
      <c r="I136" s="1445"/>
      <c r="J136" s="135"/>
      <c r="K136" s="1093"/>
      <c r="L136" s="1457"/>
      <c r="M136" s="1457"/>
      <c r="N136" s="742"/>
      <c r="O136" s="742"/>
      <c r="P136" s="504"/>
      <c r="R136" s="742"/>
      <c r="S136" s="742"/>
      <c r="T136" s="742"/>
    </row>
    <row r="137" spans="1:20">
      <c r="A137" s="1453">
        <f t="shared" si="7"/>
        <v>120</v>
      </c>
      <c r="B137" s="1454">
        <f t="shared" si="8"/>
        <v>306900000</v>
      </c>
      <c r="C137" s="1454">
        <f t="shared" si="5"/>
        <v>63937.5</v>
      </c>
      <c r="D137" s="1454">
        <f t="shared" si="6"/>
        <v>0</v>
      </c>
      <c r="E137" s="1454">
        <f t="shared" si="9"/>
        <v>63937.5</v>
      </c>
      <c r="I137" s="1445"/>
      <c r="J137" s="135"/>
      <c r="K137" s="1093"/>
      <c r="L137" s="1457"/>
      <c r="M137" s="1457"/>
      <c r="N137" s="742"/>
      <c r="O137" s="742"/>
      <c r="P137" s="504"/>
      <c r="R137" s="742"/>
      <c r="S137" s="742"/>
      <c r="T137" s="742"/>
    </row>
    <row r="138" spans="1:20">
      <c r="A138" s="1453">
        <f t="shared" si="7"/>
        <v>121</v>
      </c>
      <c r="B138" s="1454">
        <f t="shared" si="8"/>
        <v>306900000</v>
      </c>
      <c r="C138" s="1454">
        <f t="shared" si="5"/>
        <v>63937.5</v>
      </c>
      <c r="D138" s="1454">
        <f t="shared" si="6"/>
        <v>0</v>
      </c>
      <c r="E138" s="1454">
        <f t="shared" si="9"/>
        <v>63937.5</v>
      </c>
      <c r="I138" s="1445"/>
      <c r="J138" s="135"/>
      <c r="K138" s="1093"/>
      <c r="L138" s="1457"/>
      <c r="M138" s="1457"/>
      <c r="N138" s="742"/>
      <c r="O138" s="742"/>
      <c r="P138" s="504"/>
      <c r="R138" s="742"/>
      <c r="S138" s="742"/>
      <c r="T138" s="742"/>
    </row>
    <row r="139" spans="1:20">
      <c r="A139" s="1453">
        <f t="shared" si="7"/>
        <v>122</v>
      </c>
      <c r="B139" s="1454">
        <f t="shared" si="8"/>
        <v>306900000</v>
      </c>
      <c r="C139" s="1454">
        <f t="shared" si="5"/>
        <v>63937.5</v>
      </c>
      <c r="D139" s="1454">
        <f t="shared" si="6"/>
        <v>0</v>
      </c>
      <c r="E139" s="1454">
        <f t="shared" si="9"/>
        <v>63937.5</v>
      </c>
      <c r="I139" s="1445"/>
      <c r="J139" s="135"/>
      <c r="K139" s="1093"/>
      <c r="L139" s="1457"/>
      <c r="M139" s="1457"/>
      <c r="N139" s="742"/>
      <c r="O139" s="742"/>
      <c r="P139" s="504"/>
      <c r="R139" s="742"/>
      <c r="S139" s="742"/>
      <c r="T139" s="742"/>
    </row>
    <row r="140" spans="1:20">
      <c r="A140" s="1453">
        <f t="shared" si="7"/>
        <v>123</v>
      </c>
      <c r="B140" s="1454">
        <f t="shared" si="8"/>
        <v>306900000</v>
      </c>
      <c r="C140" s="1454">
        <f t="shared" si="5"/>
        <v>63937.5</v>
      </c>
      <c r="D140" s="1454">
        <f t="shared" si="6"/>
        <v>0</v>
      </c>
      <c r="E140" s="1454">
        <f t="shared" si="9"/>
        <v>63937.5</v>
      </c>
      <c r="I140" s="1445"/>
      <c r="J140" s="135"/>
      <c r="K140" s="1093"/>
      <c r="L140" s="1457"/>
      <c r="M140" s="1457"/>
      <c r="N140" s="742"/>
      <c r="O140" s="742"/>
      <c r="P140" s="504"/>
      <c r="R140" s="742"/>
      <c r="S140" s="742"/>
      <c r="T140" s="742"/>
    </row>
    <row r="141" spans="1:20">
      <c r="A141" s="1453">
        <f t="shared" si="7"/>
        <v>124</v>
      </c>
      <c r="B141" s="1454">
        <f t="shared" si="8"/>
        <v>306900000</v>
      </c>
      <c r="C141" s="1454">
        <f t="shared" si="5"/>
        <v>63937.5</v>
      </c>
      <c r="D141" s="1454">
        <f t="shared" si="6"/>
        <v>0</v>
      </c>
      <c r="E141" s="1454">
        <f t="shared" si="9"/>
        <v>63937.5</v>
      </c>
      <c r="I141" s="1445"/>
      <c r="J141" s="135"/>
      <c r="K141" s="1093"/>
      <c r="L141" s="1457"/>
      <c r="M141" s="1457"/>
      <c r="N141" s="742"/>
      <c r="O141" s="742"/>
      <c r="P141" s="504"/>
      <c r="R141" s="742"/>
      <c r="S141" s="742"/>
      <c r="T141" s="742"/>
    </row>
    <row r="142" spans="1:20">
      <c r="A142" s="1453">
        <f t="shared" si="7"/>
        <v>125</v>
      </c>
      <c r="B142" s="1454">
        <f t="shared" si="8"/>
        <v>306900000</v>
      </c>
      <c r="C142" s="1454">
        <f t="shared" si="5"/>
        <v>63937.5</v>
      </c>
      <c r="D142" s="1454">
        <f t="shared" si="6"/>
        <v>0</v>
      </c>
      <c r="E142" s="1454">
        <f t="shared" si="9"/>
        <v>63937.5</v>
      </c>
      <c r="I142" s="1445"/>
      <c r="J142" s="135"/>
      <c r="K142" s="1093"/>
      <c r="L142" s="1457"/>
      <c r="M142" s="1457"/>
      <c r="N142" s="742"/>
      <c r="O142" s="742"/>
      <c r="P142" s="504"/>
      <c r="R142" s="742"/>
      <c r="S142" s="742"/>
      <c r="T142" s="742"/>
    </row>
    <row r="143" spans="1:20">
      <c r="A143" s="1453">
        <f t="shared" si="7"/>
        <v>126</v>
      </c>
      <c r="B143" s="1454">
        <f t="shared" si="8"/>
        <v>306900000</v>
      </c>
      <c r="C143" s="1454">
        <f t="shared" si="5"/>
        <v>63937.5</v>
      </c>
      <c r="D143" s="1454">
        <f t="shared" si="6"/>
        <v>0</v>
      </c>
      <c r="E143" s="1454">
        <f t="shared" si="9"/>
        <v>63937.5</v>
      </c>
      <c r="I143" s="1445"/>
      <c r="J143" s="135"/>
      <c r="K143" s="1093"/>
      <c r="L143" s="1457"/>
      <c r="M143" s="1457"/>
      <c r="N143" s="742"/>
      <c r="O143" s="742"/>
      <c r="P143" s="504"/>
      <c r="R143" s="742"/>
      <c r="S143" s="742"/>
      <c r="T143" s="742"/>
    </row>
    <row r="144" spans="1:20">
      <c r="A144" s="1453">
        <f t="shared" si="7"/>
        <v>127</v>
      </c>
      <c r="B144" s="1454">
        <f t="shared" si="8"/>
        <v>306900000</v>
      </c>
      <c r="C144" s="1454">
        <f t="shared" si="5"/>
        <v>63937.5</v>
      </c>
      <c r="D144" s="1454">
        <f t="shared" si="6"/>
        <v>0</v>
      </c>
      <c r="E144" s="1454">
        <f t="shared" si="9"/>
        <v>63937.5</v>
      </c>
      <c r="I144" s="1445"/>
      <c r="J144" s="135"/>
      <c r="K144" s="1093"/>
      <c r="L144" s="1457"/>
      <c r="M144" s="1457"/>
      <c r="N144" s="742"/>
      <c r="O144" s="742"/>
      <c r="P144" s="504"/>
      <c r="R144" s="742"/>
      <c r="S144" s="742"/>
      <c r="T144" s="742"/>
    </row>
    <row r="145" spans="1:20">
      <c r="A145" s="1453">
        <f t="shared" si="7"/>
        <v>128</v>
      </c>
      <c r="B145" s="1454">
        <f t="shared" si="8"/>
        <v>306900000</v>
      </c>
      <c r="C145" s="1454">
        <f t="shared" si="5"/>
        <v>63937.5</v>
      </c>
      <c r="D145" s="1454">
        <f t="shared" si="6"/>
        <v>0</v>
      </c>
      <c r="E145" s="1454">
        <f t="shared" si="9"/>
        <v>63937.5</v>
      </c>
      <c r="I145" s="1445"/>
      <c r="J145" s="135"/>
      <c r="K145" s="1093"/>
      <c r="L145" s="1457"/>
      <c r="M145" s="1457"/>
      <c r="N145" s="742"/>
      <c r="O145" s="742"/>
      <c r="P145" s="504"/>
      <c r="R145" s="742"/>
      <c r="S145" s="742"/>
      <c r="T145" s="742"/>
    </row>
    <row r="146" spans="1:20">
      <c r="A146" s="1453">
        <f t="shared" si="7"/>
        <v>129</v>
      </c>
      <c r="B146" s="1454">
        <f t="shared" si="8"/>
        <v>306900000</v>
      </c>
      <c r="C146" s="1454">
        <f t="shared" ref="C146:C209" si="10">B145*$D$4/12</f>
        <v>63937.5</v>
      </c>
      <c r="D146" s="1454">
        <f t="shared" ref="D146:D209" si="11">IF(A146&gt;$D$6,0,$D$5-C146)</f>
        <v>0</v>
      </c>
      <c r="E146" s="1454">
        <f t="shared" si="9"/>
        <v>63937.5</v>
      </c>
      <c r="I146" s="1445"/>
      <c r="J146" s="135"/>
      <c r="K146" s="1093"/>
      <c r="L146" s="1457"/>
      <c r="M146" s="1457"/>
      <c r="N146" s="742"/>
      <c r="O146" s="742"/>
      <c r="P146" s="504"/>
      <c r="R146" s="742"/>
      <c r="S146" s="742"/>
      <c r="T146" s="742"/>
    </row>
    <row r="147" spans="1:20">
      <c r="A147" s="1453">
        <f t="shared" ref="A147:A210" si="12">A146+1</f>
        <v>130</v>
      </c>
      <c r="B147" s="1454">
        <f t="shared" ref="B147:B210" si="13">B146-D147</f>
        <v>306900000</v>
      </c>
      <c r="C147" s="1454">
        <f t="shared" si="10"/>
        <v>63937.5</v>
      </c>
      <c r="D147" s="1454">
        <f t="shared" si="11"/>
        <v>0</v>
      </c>
      <c r="E147" s="1454">
        <f t="shared" ref="E147:E210" si="14">SUM(C147:D147)</f>
        <v>63937.5</v>
      </c>
      <c r="I147" s="1445"/>
      <c r="J147" s="135"/>
      <c r="K147" s="1093"/>
      <c r="L147" s="1457"/>
      <c r="M147" s="1457"/>
      <c r="N147" s="742"/>
      <c r="O147" s="742"/>
      <c r="P147" s="504"/>
      <c r="R147" s="742"/>
      <c r="S147" s="742"/>
      <c r="T147" s="742"/>
    </row>
    <row r="148" spans="1:20">
      <c r="A148" s="1453">
        <f t="shared" si="12"/>
        <v>131</v>
      </c>
      <c r="B148" s="1454">
        <f t="shared" si="13"/>
        <v>306900000</v>
      </c>
      <c r="C148" s="1454">
        <f t="shared" si="10"/>
        <v>63937.5</v>
      </c>
      <c r="D148" s="1454">
        <f t="shared" si="11"/>
        <v>0</v>
      </c>
      <c r="E148" s="1454">
        <f t="shared" si="14"/>
        <v>63937.5</v>
      </c>
      <c r="I148" s="1445"/>
      <c r="J148" s="135"/>
      <c r="K148" s="1093"/>
      <c r="L148" s="1457"/>
      <c r="M148" s="1457"/>
      <c r="N148" s="742"/>
      <c r="O148" s="742"/>
      <c r="P148" s="504"/>
      <c r="R148" s="742"/>
      <c r="S148" s="742"/>
      <c r="T148" s="742"/>
    </row>
    <row r="149" spans="1:20">
      <c r="A149" s="1453">
        <f t="shared" si="12"/>
        <v>132</v>
      </c>
      <c r="B149" s="1454">
        <f t="shared" si="13"/>
        <v>306900000</v>
      </c>
      <c r="C149" s="1454">
        <f t="shared" si="10"/>
        <v>63937.5</v>
      </c>
      <c r="D149" s="1454">
        <f t="shared" si="11"/>
        <v>0</v>
      </c>
      <c r="E149" s="1454">
        <f t="shared" si="14"/>
        <v>63937.5</v>
      </c>
      <c r="I149" s="1445"/>
      <c r="J149" s="135"/>
      <c r="K149" s="1093"/>
      <c r="L149" s="1457"/>
      <c r="M149" s="1457"/>
      <c r="N149" s="742"/>
      <c r="O149" s="742"/>
      <c r="P149" s="504"/>
      <c r="R149" s="742"/>
      <c r="S149" s="742"/>
      <c r="T149" s="742"/>
    </row>
    <row r="150" spans="1:20">
      <c r="A150" s="1453">
        <f t="shared" si="12"/>
        <v>133</v>
      </c>
      <c r="B150" s="1454">
        <f t="shared" si="13"/>
        <v>306900000</v>
      </c>
      <c r="C150" s="1454">
        <f t="shared" si="10"/>
        <v>63937.5</v>
      </c>
      <c r="D150" s="1454">
        <f t="shared" si="11"/>
        <v>0</v>
      </c>
      <c r="E150" s="1454">
        <f t="shared" si="14"/>
        <v>63937.5</v>
      </c>
      <c r="I150" s="1445"/>
      <c r="J150" s="135"/>
      <c r="K150" s="1093"/>
      <c r="L150" s="1457"/>
      <c r="M150" s="1457"/>
      <c r="N150" s="742"/>
      <c r="O150" s="742"/>
      <c r="P150" s="504"/>
      <c r="R150" s="742"/>
      <c r="S150" s="742"/>
      <c r="T150" s="742"/>
    </row>
    <row r="151" spans="1:20">
      <c r="A151" s="1453">
        <f t="shared" si="12"/>
        <v>134</v>
      </c>
      <c r="B151" s="1454">
        <f t="shared" si="13"/>
        <v>306900000</v>
      </c>
      <c r="C151" s="1454">
        <f t="shared" si="10"/>
        <v>63937.5</v>
      </c>
      <c r="D151" s="1454">
        <f t="shared" si="11"/>
        <v>0</v>
      </c>
      <c r="E151" s="1454">
        <f t="shared" si="14"/>
        <v>63937.5</v>
      </c>
      <c r="I151" s="1445"/>
      <c r="J151" s="135"/>
      <c r="K151" s="1093"/>
      <c r="L151" s="1457"/>
      <c r="M151" s="1457"/>
      <c r="N151" s="742"/>
      <c r="O151" s="742"/>
      <c r="P151" s="504"/>
      <c r="R151" s="742"/>
      <c r="S151" s="742"/>
      <c r="T151" s="742"/>
    </row>
    <row r="152" spans="1:20">
      <c r="A152" s="1453">
        <f t="shared" si="12"/>
        <v>135</v>
      </c>
      <c r="B152" s="1454">
        <f t="shared" si="13"/>
        <v>306900000</v>
      </c>
      <c r="C152" s="1454">
        <f t="shared" si="10"/>
        <v>63937.5</v>
      </c>
      <c r="D152" s="1454">
        <f t="shared" si="11"/>
        <v>0</v>
      </c>
      <c r="E152" s="1454">
        <f t="shared" si="14"/>
        <v>63937.5</v>
      </c>
      <c r="I152" s="1445"/>
      <c r="J152" s="135"/>
      <c r="K152" s="1093"/>
      <c r="L152" s="1457"/>
      <c r="M152" s="1457"/>
      <c r="N152" s="742"/>
      <c r="O152" s="742"/>
      <c r="P152" s="504"/>
      <c r="R152" s="742"/>
      <c r="S152" s="742"/>
      <c r="T152" s="742"/>
    </row>
    <row r="153" spans="1:20">
      <c r="A153" s="1453">
        <f t="shared" si="12"/>
        <v>136</v>
      </c>
      <c r="B153" s="1454">
        <f t="shared" si="13"/>
        <v>306900000</v>
      </c>
      <c r="C153" s="1454">
        <f t="shared" si="10"/>
        <v>63937.5</v>
      </c>
      <c r="D153" s="1454">
        <f t="shared" si="11"/>
        <v>0</v>
      </c>
      <c r="E153" s="1454">
        <f t="shared" si="14"/>
        <v>63937.5</v>
      </c>
      <c r="I153" s="1445"/>
      <c r="J153" s="135"/>
      <c r="K153" s="1093"/>
      <c r="L153" s="1457"/>
      <c r="M153" s="1457"/>
      <c r="N153" s="742"/>
      <c r="O153" s="742"/>
      <c r="P153" s="504"/>
      <c r="R153" s="742"/>
      <c r="S153" s="742"/>
      <c r="T153" s="742"/>
    </row>
    <row r="154" spans="1:20">
      <c r="A154" s="1453">
        <f t="shared" si="12"/>
        <v>137</v>
      </c>
      <c r="B154" s="1454">
        <f t="shared" si="13"/>
        <v>306900000</v>
      </c>
      <c r="C154" s="1454">
        <f t="shared" si="10"/>
        <v>63937.5</v>
      </c>
      <c r="D154" s="1454">
        <f t="shared" si="11"/>
        <v>0</v>
      </c>
      <c r="E154" s="1454">
        <f t="shared" si="14"/>
        <v>63937.5</v>
      </c>
      <c r="I154" s="1445"/>
      <c r="J154" s="135"/>
      <c r="K154" s="1093"/>
      <c r="L154" s="1457"/>
      <c r="M154" s="1457"/>
      <c r="N154" s="742"/>
      <c r="O154" s="742"/>
      <c r="P154" s="504"/>
      <c r="R154" s="742"/>
      <c r="S154" s="742"/>
      <c r="T154" s="742"/>
    </row>
    <row r="155" spans="1:20">
      <c r="A155" s="1453">
        <f t="shared" si="12"/>
        <v>138</v>
      </c>
      <c r="B155" s="1454">
        <f t="shared" si="13"/>
        <v>306900000</v>
      </c>
      <c r="C155" s="1454">
        <f t="shared" si="10"/>
        <v>63937.5</v>
      </c>
      <c r="D155" s="1454">
        <f t="shared" si="11"/>
        <v>0</v>
      </c>
      <c r="E155" s="1454">
        <f t="shared" si="14"/>
        <v>63937.5</v>
      </c>
      <c r="I155" s="1445"/>
      <c r="J155" s="135"/>
      <c r="K155" s="1093"/>
      <c r="L155" s="1457"/>
      <c r="M155" s="1457"/>
      <c r="N155" s="742"/>
      <c r="O155" s="742"/>
      <c r="P155" s="504"/>
      <c r="R155" s="742"/>
      <c r="S155" s="742"/>
      <c r="T155" s="742"/>
    </row>
    <row r="156" spans="1:20">
      <c r="A156" s="1453">
        <f t="shared" si="12"/>
        <v>139</v>
      </c>
      <c r="B156" s="1454">
        <f t="shared" si="13"/>
        <v>306900000</v>
      </c>
      <c r="C156" s="1454">
        <f t="shared" si="10"/>
        <v>63937.5</v>
      </c>
      <c r="D156" s="1454">
        <f t="shared" si="11"/>
        <v>0</v>
      </c>
      <c r="E156" s="1454">
        <f t="shared" si="14"/>
        <v>63937.5</v>
      </c>
      <c r="I156" s="1445"/>
      <c r="J156" s="135"/>
      <c r="K156" s="1093"/>
      <c r="L156" s="1457"/>
      <c r="M156" s="1457"/>
      <c r="N156" s="742"/>
      <c r="O156" s="742"/>
      <c r="P156" s="504"/>
      <c r="R156" s="742"/>
      <c r="S156" s="742"/>
      <c r="T156" s="742"/>
    </row>
    <row r="157" spans="1:20">
      <c r="A157" s="1453">
        <f t="shared" si="12"/>
        <v>140</v>
      </c>
      <c r="B157" s="1454">
        <f t="shared" si="13"/>
        <v>306900000</v>
      </c>
      <c r="C157" s="1454">
        <f t="shared" si="10"/>
        <v>63937.5</v>
      </c>
      <c r="D157" s="1454">
        <f t="shared" si="11"/>
        <v>0</v>
      </c>
      <c r="E157" s="1454">
        <f t="shared" si="14"/>
        <v>63937.5</v>
      </c>
      <c r="I157" s="1445"/>
      <c r="J157" s="135"/>
      <c r="K157" s="1093"/>
      <c r="L157" s="1457"/>
      <c r="M157" s="1457"/>
      <c r="N157" s="742"/>
      <c r="O157" s="742"/>
      <c r="P157" s="504"/>
      <c r="R157" s="742"/>
      <c r="S157" s="742"/>
      <c r="T157" s="742"/>
    </row>
    <row r="158" spans="1:20">
      <c r="A158" s="1453">
        <f t="shared" si="12"/>
        <v>141</v>
      </c>
      <c r="B158" s="1454">
        <f t="shared" si="13"/>
        <v>306900000</v>
      </c>
      <c r="C158" s="1454">
        <f t="shared" si="10"/>
        <v>63937.5</v>
      </c>
      <c r="D158" s="1454">
        <f t="shared" si="11"/>
        <v>0</v>
      </c>
      <c r="E158" s="1454">
        <f t="shared" si="14"/>
        <v>63937.5</v>
      </c>
      <c r="I158" s="1445"/>
      <c r="J158" s="135"/>
      <c r="K158" s="1093"/>
      <c r="L158" s="1457"/>
      <c r="M158" s="1457"/>
      <c r="N158" s="742"/>
      <c r="O158" s="742"/>
      <c r="P158" s="504"/>
      <c r="R158" s="742"/>
      <c r="S158" s="742"/>
      <c r="T158" s="742"/>
    </row>
    <row r="159" spans="1:20">
      <c r="A159" s="1453">
        <f t="shared" si="12"/>
        <v>142</v>
      </c>
      <c r="B159" s="1454">
        <f t="shared" si="13"/>
        <v>306900000</v>
      </c>
      <c r="C159" s="1454">
        <f t="shared" si="10"/>
        <v>63937.5</v>
      </c>
      <c r="D159" s="1454">
        <f t="shared" si="11"/>
        <v>0</v>
      </c>
      <c r="E159" s="1454">
        <f t="shared" si="14"/>
        <v>63937.5</v>
      </c>
      <c r="I159" s="1445"/>
      <c r="J159" s="135"/>
      <c r="K159" s="1093"/>
      <c r="L159" s="1457"/>
      <c r="M159" s="1457"/>
      <c r="N159" s="742"/>
      <c r="O159" s="742"/>
      <c r="P159" s="504"/>
      <c r="R159" s="742"/>
      <c r="S159" s="742"/>
      <c r="T159" s="742"/>
    </row>
    <row r="160" spans="1:20">
      <c r="A160" s="1453">
        <f t="shared" si="12"/>
        <v>143</v>
      </c>
      <c r="B160" s="1454">
        <f t="shared" si="13"/>
        <v>306900000</v>
      </c>
      <c r="C160" s="1454">
        <f t="shared" si="10"/>
        <v>63937.5</v>
      </c>
      <c r="D160" s="1454">
        <f t="shared" si="11"/>
        <v>0</v>
      </c>
      <c r="E160" s="1454">
        <f t="shared" si="14"/>
        <v>63937.5</v>
      </c>
      <c r="I160" s="1445"/>
      <c r="J160" s="135"/>
      <c r="K160" s="1093"/>
      <c r="L160" s="1457"/>
      <c r="M160" s="1457"/>
      <c r="N160" s="742"/>
      <c r="O160" s="742"/>
      <c r="P160" s="504"/>
      <c r="R160" s="742"/>
      <c r="S160" s="742"/>
      <c r="T160" s="742"/>
    </row>
    <row r="161" spans="1:20">
      <c r="A161" s="1453">
        <f t="shared" si="12"/>
        <v>144</v>
      </c>
      <c r="B161" s="1454">
        <f t="shared" si="13"/>
        <v>306900000</v>
      </c>
      <c r="C161" s="1454">
        <f t="shared" si="10"/>
        <v>63937.5</v>
      </c>
      <c r="D161" s="1454">
        <f t="shared" si="11"/>
        <v>0</v>
      </c>
      <c r="E161" s="1454">
        <f t="shared" si="14"/>
        <v>63937.5</v>
      </c>
      <c r="I161" s="1445"/>
      <c r="J161" s="135"/>
      <c r="K161" s="1093"/>
      <c r="L161" s="1457"/>
      <c r="M161" s="1457"/>
      <c r="N161" s="742"/>
      <c r="O161" s="742"/>
      <c r="P161" s="504"/>
      <c r="R161" s="742"/>
      <c r="S161" s="742"/>
      <c r="T161" s="742"/>
    </row>
    <row r="162" spans="1:20">
      <c r="A162" s="1453">
        <f t="shared" si="12"/>
        <v>145</v>
      </c>
      <c r="B162" s="1454">
        <f t="shared" si="13"/>
        <v>306900000</v>
      </c>
      <c r="C162" s="1454">
        <f t="shared" si="10"/>
        <v>63937.5</v>
      </c>
      <c r="D162" s="1454">
        <f t="shared" si="11"/>
        <v>0</v>
      </c>
      <c r="E162" s="1454">
        <f t="shared" si="14"/>
        <v>63937.5</v>
      </c>
      <c r="I162" s="1445"/>
      <c r="J162" s="135"/>
      <c r="K162" s="1093"/>
      <c r="L162" s="1457"/>
      <c r="M162" s="1457"/>
      <c r="N162" s="742"/>
      <c r="O162" s="742"/>
      <c r="P162" s="504"/>
      <c r="R162" s="742"/>
      <c r="S162" s="742"/>
      <c r="T162" s="742"/>
    </row>
    <row r="163" spans="1:20">
      <c r="A163" s="1453">
        <f t="shared" si="12"/>
        <v>146</v>
      </c>
      <c r="B163" s="1454">
        <f t="shared" si="13"/>
        <v>306900000</v>
      </c>
      <c r="C163" s="1454">
        <f t="shared" si="10"/>
        <v>63937.5</v>
      </c>
      <c r="D163" s="1454">
        <f t="shared" si="11"/>
        <v>0</v>
      </c>
      <c r="E163" s="1454">
        <f t="shared" si="14"/>
        <v>63937.5</v>
      </c>
      <c r="I163" s="1445"/>
      <c r="J163" s="135"/>
      <c r="K163" s="1093"/>
      <c r="L163" s="1457"/>
      <c r="M163" s="1457"/>
      <c r="N163" s="742"/>
      <c r="O163" s="742"/>
      <c r="P163" s="504"/>
      <c r="R163" s="742"/>
      <c r="S163" s="742"/>
      <c r="T163" s="742"/>
    </row>
    <row r="164" spans="1:20">
      <c r="A164" s="1453">
        <f t="shared" si="12"/>
        <v>147</v>
      </c>
      <c r="B164" s="1454">
        <f t="shared" si="13"/>
        <v>306900000</v>
      </c>
      <c r="C164" s="1454">
        <f t="shared" si="10"/>
        <v>63937.5</v>
      </c>
      <c r="D164" s="1454">
        <f t="shared" si="11"/>
        <v>0</v>
      </c>
      <c r="E164" s="1454">
        <f t="shared" si="14"/>
        <v>63937.5</v>
      </c>
      <c r="I164" s="1445"/>
      <c r="J164" s="135"/>
      <c r="K164" s="1093"/>
      <c r="L164" s="1457"/>
      <c r="M164" s="1457"/>
      <c r="N164" s="742"/>
      <c r="O164" s="742"/>
      <c r="P164" s="504"/>
      <c r="R164" s="742"/>
      <c r="S164" s="742"/>
      <c r="T164" s="742"/>
    </row>
    <row r="165" spans="1:20">
      <c r="A165" s="1453">
        <f t="shared" si="12"/>
        <v>148</v>
      </c>
      <c r="B165" s="1454">
        <f t="shared" si="13"/>
        <v>306900000</v>
      </c>
      <c r="C165" s="1454">
        <f t="shared" si="10"/>
        <v>63937.5</v>
      </c>
      <c r="D165" s="1454">
        <f t="shared" si="11"/>
        <v>0</v>
      </c>
      <c r="E165" s="1454">
        <f t="shared" si="14"/>
        <v>63937.5</v>
      </c>
      <c r="I165" s="1445"/>
      <c r="J165" s="135"/>
      <c r="K165" s="1093"/>
      <c r="L165" s="1457"/>
      <c r="M165" s="1457"/>
      <c r="N165" s="742"/>
      <c r="O165" s="742"/>
      <c r="P165" s="504"/>
      <c r="R165" s="742"/>
      <c r="S165" s="742"/>
      <c r="T165" s="742"/>
    </row>
    <row r="166" spans="1:20">
      <c r="A166" s="1453">
        <f t="shared" si="12"/>
        <v>149</v>
      </c>
      <c r="B166" s="1454">
        <f t="shared" si="13"/>
        <v>306900000</v>
      </c>
      <c r="C166" s="1454">
        <f t="shared" si="10"/>
        <v>63937.5</v>
      </c>
      <c r="D166" s="1454">
        <f t="shared" si="11"/>
        <v>0</v>
      </c>
      <c r="E166" s="1454">
        <f t="shared" si="14"/>
        <v>63937.5</v>
      </c>
      <c r="I166" s="1445"/>
      <c r="J166" s="135"/>
      <c r="K166" s="1093"/>
      <c r="L166" s="1457"/>
      <c r="M166" s="1457"/>
      <c r="N166" s="742"/>
      <c r="O166" s="742"/>
      <c r="P166" s="504"/>
      <c r="R166" s="742"/>
      <c r="S166" s="742"/>
      <c r="T166" s="742"/>
    </row>
    <row r="167" spans="1:20">
      <c r="A167" s="1453">
        <f t="shared" si="12"/>
        <v>150</v>
      </c>
      <c r="B167" s="1454">
        <f t="shared" si="13"/>
        <v>306900000</v>
      </c>
      <c r="C167" s="1454">
        <f t="shared" si="10"/>
        <v>63937.5</v>
      </c>
      <c r="D167" s="1454">
        <f t="shared" si="11"/>
        <v>0</v>
      </c>
      <c r="E167" s="1454">
        <f t="shared" si="14"/>
        <v>63937.5</v>
      </c>
      <c r="I167" s="1445"/>
      <c r="J167" s="135"/>
      <c r="K167" s="1093"/>
      <c r="L167" s="1457"/>
      <c r="M167" s="1457"/>
      <c r="N167" s="742"/>
      <c r="O167" s="742"/>
      <c r="P167" s="504"/>
      <c r="R167" s="742"/>
      <c r="S167" s="742"/>
      <c r="T167" s="742"/>
    </row>
    <row r="168" spans="1:20">
      <c r="A168" s="1453">
        <f t="shared" si="12"/>
        <v>151</v>
      </c>
      <c r="B168" s="1454">
        <f t="shared" si="13"/>
        <v>306900000</v>
      </c>
      <c r="C168" s="1454">
        <f t="shared" si="10"/>
        <v>63937.5</v>
      </c>
      <c r="D168" s="1454">
        <f t="shared" si="11"/>
        <v>0</v>
      </c>
      <c r="E168" s="1454">
        <f t="shared" si="14"/>
        <v>63937.5</v>
      </c>
      <c r="I168" s="1445"/>
      <c r="J168" s="135"/>
      <c r="K168" s="1093"/>
      <c r="L168" s="1457"/>
      <c r="M168" s="1457"/>
      <c r="N168" s="742"/>
      <c r="O168" s="742"/>
      <c r="P168" s="504"/>
      <c r="R168" s="742"/>
      <c r="S168" s="742"/>
      <c r="T168" s="742"/>
    </row>
    <row r="169" spans="1:20">
      <c r="A169" s="1453">
        <f t="shared" si="12"/>
        <v>152</v>
      </c>
      <c r="B169" s="1454">
        <f t="shared" si="13"/>
        <v>306900000</v>
      </c>
      <c r="C169" s="1454">
        <f t="shared" si="10"/>
        <v>63937.5</v>
      </c>
      <c r="D169" s="1454">
        <f t="shared" si="11"/>
        <v>0</v>
      </c>
      <c r="E169" s="1454">
        <f t="shared" si="14"/>
        <v>63937.5</v>
      </c>
      <c r="I169" s="1445"/>
      <c r="J169" s="135"/>
      <c r="K169" s="1093"/>
      <c r="L169" s="1457"/>
      <c r="M169" s="1457"/>
      <c r="N169" s="742"/>
      <c r="O169" s="742"/>
      <c r="P169" s="504"/>
      <c r="R169" s="742"/>
      <c r="S169" s="742"/>
      <c r="T169" s="742"/>
    </row>
    <row r="170" spans="1:20">
      <c r="A170" s="1453">
        <f t="shared" si="12"/>
        <v>153</v>
      </c>
      <c r="B170" s="1454">
        <f t="shared" si="13"/>
        <v>306900000</v>
      </c>
      <c r="C170" s="1454">
        <f t="shared" si="10"/>
        <v>63937.5</v>
      </c>
      <c r="D170" s="1454">
        <f t="shared" si="11"/>
        <v>0</v>
      </c>
      <c r="E170" s="1454">
        <f t="shared" si="14"/>
        <v>63937.5</v>
      </c>
      <c r="I170" s="1445"/>
      <c r="J170" s="135"/>
      <c r="K170" s="1093"/>
      <c r="L170" s="1457"/>
      <c r="M170" s="1457"/>
      <c r="N170" s="742"/>
      <c r="O170" s="742"/>
      <c r="P170" s="504"/>
      <c r="R170" s="742"/>
      <c r="S170" s="742"/>
      <c r="T170" s="742"/>
    </row>
    <row r="171" spans="1:20">
      <c r="A171" s="1453">
        <f t="shared" si="12"/>
        <v>154</v>
      </c>
      <c r="B171" s="1454">
        <f t="shared" si="13"/>
        <v>306900000</v>
      </c>
      <c r="C171" s="1454">
        <f t="shared" si="10"/>
        <v>63937.5</v>
      </c>
      <c r="D171" s="1454">
        <f t="shared" si="11"/>
        <v>0</v>
      </c>
      <c r="E171" s="1454">
        <f t="shared" si="14"/>
        <v>63937.5</v>
      </c>
      <c r="I171" s="1445"/>
      <c r="J171" s="135"/>
      <c r="K171" s="1093"/>
      <c r="L171" s="1457"/>
      <c r="M171" s="1457"/>
      <c r="N171" s="742"/>
      <c r="O171" s="742"/>
      <c r="P171" s="504"/>
      <c r="R171" s="742"/>
      <c r="S171" s="742"/>
      <c r="T171" s="742"/>
    </row>
    <row r="172" spans="1:20">
      <c r="A172" s="1453">
        <f t="shared" si="12"/>
        <v>155</v>
      </c>
      <c r="B172" s="1454">
        <f t="shared" si="13"/>
        <v>306900000</v>
      </c>
      <c r="C172" s="1454">
        <f t="shared" si="10"/>
        <v>63937.5</v>
      </c>
      <c r="D172" s="1454">
        <f t="shared" si="11"/>
        <v>0</v>
      </c>
      <c r="E172" s="1454">
        <f t="shared" si="14"/>
        <v>63937.5</v>
      </c>
      <c r="I172" s="1445"/>
      <c r="J172" s="135"/>
      <c r="K172" s="1093"/>
      <c r="L172" s="1457"/>
      <c r="M172" s="1457"/>
      <c r="N172" s="742"/>
      <c r="O172" s="742"/>
      <c r="P172" s="504"/>
      <c r="R172" s="742"/>
      <c r="S172" s="742"/>
      <c r="T172" s="742"/>
    </row>
    <row r="173" spans="1:20">
      <c r="A173" s="1453">
        <f t="shared" si="12"/>
        <v>156</v>
      </c>
      <c r="B173" s="1454">
        <f t="shared" si="13"/>
        <v>306900000</v>
      </c>
      <c r="C173" s="1454">
        <f t="shared" si="10"/>
        <v>63937.5</v>
      </c>
      <c r="D173" s="1454">
        <f t="shared" si="11"/>
        <v>0</v>
      </c>
      <c r="E173" s="1454">
        <f t="shared" si="14"/>
        <v>63937.5</v>
      </c>
      <c r="I173" s="1445"/>
      <c r="J173" s="135"/>
      <c r="K173" s="1093"/>
      <c r="L173" s="1457"/>
      <c r="M173" s="1457"/>
      <c r="N173" s="742"/>
      <c r="O173" s="742"/>
      <c r="P173" s="504"/>
      <c r="R173" s="742"/>
      <c r="S173" s="742"/>
      <c r="T173" s="742"/>
    </row>
    <row r="174" spans="1:20">
      <c r="A174" s="1453">
        <f t="shared" si="12"/>
        <v>157</v>
      </c>
      <c r="B174" s="1454">
        <f t="shared" si="13"/>
        <v>306900000</v>
      </c>
      <c r="C174" s="1454">
        <f t="shared" si="10"/>
        <v>63937.5</v>
      </c>
      <c r="D174" s="1454">
        <f t="shared" si="11"/>
        <v>0</v>
      </c>
      <c r="E174" s="1454">
        <f t="shared" si="14"/>
        <v>63937.5</v>
      </c>
      <c r="I174" s="1445"/>
      <c r="J174" s="135"/>
      <c r="K174" s="1093"/>
      <c r="L174" s="1457"/>
      <c r="M174" s="1457"/>
      <c r="N174" s="742"/>
      <c r="O174" s="742"/>
      <c r="P174" s="504"/>
      <c r="R174" s="742"/>
      <c r="S174" s="742"/>
      <c r="T174" s="742"/>
    </row>
    <row r="175" spans="1:20">
      <c r="A175" s="1453">
        <f t="shared" si="12"/>
        <v>158</v>
      </c>
      <c r="B175" s="1454">
        <f t="shared" si="13"/>
        <v>306900000</v>
      </c>
      <c r="C175" s="1454">
        <f t="shared" si="10"/>
        <v>63937.5</v>
      </c>
      <c r="D175" s="1454">
        <f t="shared" si="11"/>
        <v>0</v>
      </c>
      <c r="E175" s="1454">
        <f t="shared" si="14"/>
        <v>63937.5</v>
      </c>
      <c r="I175" s="1445"/>
      <c r="J175" s="135"/>
      <c r="K175" s="1093"/>
      <c r="L175" s="1457"/>
      <c r="M175" s="1457"/>
      <c r="N175" s="742"/>
      <c r="O175" s="742"/>
      <c r="P175" s="504"/>
      <c r="R175" s="742"/>
      <c r="S175" s="742"/>
      <c r="T175" s="742"/>
    </row>
    <row r="176" spans="1:20">
      <c r="A176" s="1453">
        <f t="shared" si="12"/>
        <v>159</v>
      </c>
      <c r="B176" s="1454">
        <f t="shared" si="13"/>
        <v>306900000</v>
      </c>
      <c r="C176" s="1454">
        <f t="shared" si="10"/>
        <v>63937.5</v>
      </c>
      <c r="D176" s="1454">
        <f t="shared" si="11"/>
        <v>0</v>
      </c>
      <c r="E176" s="1454">
        <f t="shared" si="14"/>
        <v>63937.5</v>
      </c>
      <c r="I176" s="1445"/>
      <c r="J176" s="135"/>
      <c r="K176" s="1093"/>
      <c r="L176" s="1457"/>
      <c r="M176" s="1457"/>
      <c r="N176" s="742"/>
      <c r="O176" s="742"/>
      <c r="P176" s="504"/>
      <c r="R176" s="742"/>
      <c r="S176" s="742"/>
      <c r="T176" s="742"/>
    </row>
    <row r="177" spans="1:20">
      <c r="A177" s="1453">
        <f t="shared" si="12"/>
        <v>160</v>
      </c>
      <c r="B177" s="1454">
        <f t="shared" si="13"/>
        <v>306900000</v>
      </c>
      <c r="C177" s="1454">
        <f t="shared" si="10"/>
        <v>63937.5</v>
      </c>
      <c r="D177" s="1454">
        <f t="shared" si="11"/>
        <v>0</v>
      </c>
      <c r="E177" s="1454">
        <f t="shared" si="14"/>
        <v>63937.5</v>
      </c>
      <c r="I177" s="1445"/>
      <c r="J177" s="135"/>
      <c r="K177" s="1093"/>
      <c r="L177" s="1457"/>
      <c r="M177" s="1457"/>
      <c r="N177" s="742"/>
      <c r="O177" s="742"/>
      <c r="P177" s="504"/>
      <c r="R177" s="742"/>
      <c r="S177" s="742"/>
      <c r="T177" s="742"/>
    </row>
    <row r="178" spans="1:20">
      <c r="A178" s="1453">
        <f t="shared" si="12"/>
        <v>161</v>
      </c>
      <c r="B178" s="1454">
        <f t="shared" si="13"/>
        <v>306900000</v>
      </c>
      <c r="C178" s="1454">
        <f t="shared" si="10"/>
        <v>63937.5</v>
      </c>
      <c r="D178" s="1454">
        <f t="shared" si="11"/>
        <v>0</v>
      </c>
      <c r="E178" s="1454">
        <f t="shared" si="14"/>
        <v>63937.5</v>
      </c>
      <c r="I178" s="1445"/>
      <c r="J178" s="135"/>
      <c r="K178" s="1093"/>
      <c r="L178" s="1457"/>
      <c r="M178" s="1457"/>
      <c r="N178" s="742"/>
      <c r="O178" s="742"/>
      <c r="P178" s="504"/>
      <c r="R178" s="742"/>
      <c r="S178" s="742"/>
      <c r="T178" s="742"/>
    </row>
    <row r="179" spans="1:20">
      <c r="A179" s="1453">
        <f t="shared" si="12"/>
        <v>162</v>
      </c>
      <c r="B179" s="1454">
        <f t="shared" si="13"/>
        <v>306900000</v>
      </c>
      <c r="C179" s="1454">
        <f t="shared" si="10"/>
        <v>63937.5</v>
      </c>
      <c r="D179" s="1454">
        <f t="shared" si="11"/>
        <v>0</v>
      </c>
      <c r="E179" s="1454">
        <f t="shared" si="14"/>
        <v>63937.5</v>
      </c>
      <c r="I179" s="1445"/>
      <c r="J179" s="135"/>
      <c r="K179" s="1093"/>
      <c r="L179" s="1457"/>
      <c r="M179" s="1457"/>
      <c r="N179" s="742"/>
      <c r="O179" s="742"/>
      <c r="P179" s="504"/>
      <c r="R179" s="742"/>
      <c r="S179" s="742"/>
      <c r="T179" s="742"/>
    </row>
    <row r="180" spans="1:20">
      <c r="A180" s="1453">
        <f t="shared" si="12"/>
        <v>163</v>
      </c>
      <c r="B180" s="1454">
        <f t="shared" si="13"/>
        <v>306900000</v>
      </c>
      <c r="C180" s="1454">
        <f t="shared" si="10"/>
        <v>63937.5</v>
      </c>
      <c r="D180" s="1454">
        <f t="shared" si="11"/>
        <v>0</v>
      </c>
      <c r="E180" s="1454">
        <f t="shared" si="14"/>
        <v>63937.5</v>
      </c>
      <c r="I180" s="1445"/>
      <c r="J180" s="135"/>
      <c r="K180" s="1093"/>
      <c r="L180" s="1457"/>
      <c r="M180" s="1457"/>
      <c r="N180" s="742"/>
      <c r="O180" s="742"/>
      <c r="P180" s="504"/>
      <c r="R180" s="742"/>
      <c r="S180" s="742"/>
      <c r="T180" s="742"/>
    </row>
    <row r="181" spans="1:20">
      <c r="A181" s="1453">
        <f t="shared" si="12"/>
        <v>164</v>
      </c>
      <c r="B181" s="1454">
        <f t="shared" si="13"/>
        <v>306900000</v>
      </c>
      <c r="C181" s="1454">
        <f t="shared" si="10"/>
        <v>63937.5</v>
      </c>
      <c r="D181" s="1454">
        <f t="shared" si="11"/>
        <v>0</v>
      </c>
      <c r="E181" s="1454">
        <f t="shared" si="14"/>
        <v>63937.5</v>
      </c>
      <c r="I181" s="1445"/>
      <c r="J181" s="135"/>
      <c r="K181" s="1093"/>
      <c r="L181" s="1457"/>
      <c r="M181" s="1457"/>
      <c r="N181" s="742"/>
      <c r="O181" s="742"/>
      <c r="P181" s="504"/>
      <c r="R181" s="742"/>
      <c r="S181" s="742"/>
      <c r="T181" s="742"/>
    </row>
    <row r="182" spans="1:20">
      <c r="A182" s="1453">
        <f t="shared" si="12"/>
        <v>165</v>
      </c>
      <c r="B182" s="1454">
        <f t="shared" si="13"/>
        <v>306900000</v>
      </c>
      <c r="C182" s="1454">
        <f t="shared" si="10"/>
        <v>63937.5</v>
      </c>
      <c r="D182" s="1454">
        <f t="shared" si="11"/>
        <v>0</v>
      </c>
      <c r="E182" s="1454">
        <f t="shared" si="14"/>
        <v>63937.5</v>
      </c>
      <c r="I182" s="1445"/>
      <c r="J182" s="135"/>
      <c r="K182" s="1093"/>
      <c r="L182" s="1457"/>
      <c r="M182" s="1457"/>
      <c r="N182" s="742"/>
      <c r="O182" s="742"/>
      <c r="P182" s="504"/>
      <c r="R182" s="742"/>
      <c r="S182" s="742"/>
      <c r="T182" s="742"/>
    </row>
    <row r="183" spans="1:20">
      <c r="A183" s="1453">
        <f t="shared" si="12"/>
        <v>166</v>
      </c>
      <c r="B183" s="1454">
        <f t="shared" si="13"/>
        <v>306900000</v>
      </c>
      <c r="C183" s="1454">
        <f t="shared" si="10"/>
        <v>63937.5</v>
      </c>
      <c r="D183" s="1454">
        <f t="shared" si="11"/>
        <v>0</v>
      </c>
      <c r="E183" s="1454">
        <f t="shared" si="14"/>
        <v>63937.5</v>
      </c>
      <c r="I183" s="1445"/>
      <c r="J183" s="135"/>
      <c r="K183" s="1093"/>
      <c r="L183" s="1457"/>
      <c r="M183" s="1457"/>
      <c r="N183" s="742"/>
      <c r="O183" s="742"/>
      <c r="P183" s="504"/>
      <c r="R183" s="742"/>
      <c r="S183" s="742"/>
      <c r="T183" s="742"/>
    </row>
    <row r="184" spans="1:20">
      <c r="A184" s="1453">
        <f t="shared" si="12"/>
        <v>167</v>
      </c>
      <c r="B184" s="1454">
        <f t="shared" si="13"/>
        <v>306900000</v>
      </c>
      <c r="C184" s="1454">
        <f t="shared" si="10"/>
        <v>63937.5</v>
      </c>
      <c r="D184" s="1454">
        <f t="shared" si="11"/>
        <v>0</v>
      </c>
      <c r="E184" s="1454">
        <f t="shared" si="14"/>
        <v>63937.5</v>
      </c>
      <c r="I184" s="1445"/>
      <c r="J184" s="135"/>
      <c r="K184" s="1093"/>
      <c r="L184" s="1457"/>
      <c r="M184" s="1457"/>
      <c r="N184" s="742"/>
      <c r="O184" s="742"/>
      <c r="P184" s="504"/>
      <c r="R184" s="742"/>
      <c r="S184" s="742"/>
      <c r="T184" s="742"/>
    </row>
    <row r="185" spans="1:20">
      <c r="A185" s="1453">
        <f t="shared" si="12"/>
        <v>168</v>
      </c>
      <c r="B185" s="1454">
        <f t="shared" si="13"/>
        <v>306900000</v>
      </c>
      <c r="C185" s="1454">
        <f t="shared" si="10"/>
        <v>63937.5</v>
      </c>
      <c r="D185" s="1454">
        <f t="shared" si="11"/>
        <v>0</v>
      </c>
      <c r="E185" s="1454">
        <f t="shared" si="14"/>
        <v>63937.5</v>
      </c>
      <c r="I185" s="1445"/>
      <c r="J185" s="135"/>
      <c r="K185" s="1093"/>
      <c r="L185" s="1457"/>
      <c r="M185" s="1457"/>
      <c r="N185" s="742"/>
      <c r="O185" s="742"/>
      <c r="P185" s="504"/>
      <c r="R185" s="742"/>
      <c r="S185" s="742"/>
      <c r="T185" s="742"/>
    </row>
    <row r="186" spans="1:20">
      <c r="A186" s="1453">
        <f t="shared" si="12"/>
        <v>169</v>
      </c>
      <c r="B186" s="1454">
        <f t="shared" si="13"/>
        <v>306900000</v>
      </c>
      <c r="C186" s="1454">
        <f t="shared" si="10"/>
        <v>63937.5</v>
      </c>
      <c r="D186" s="1454">
        <f t="shared" si="11"/>
        <v>0</v>
      </c>
      <c r="E186" s="1454">
        <f t="shared" si="14"/>
        <v>63937.5</v>
      </c>
      <c r="I186" s="1445"/>
      <c r="J186" s="135"/>
      <c r="K186" s="1093"/>
      <c r="L186" s="1457"/>
      <c r="M186" s="1457"/>
      <c r="N186" s="742"/>
      <c r="O186" s="742"/>
      <c r="P186" s="504"/>
      <c r="R186" s="742"/>
      <c r="S186" s="742"/>
      <c r="T186" s="742"/>
    </row>
    <row r="187" spans="1:20">
      <c r="A187" s="1453">
        <f t="shared" si="12"/>
        <v>170</v>
      </c>
      <c r="B187" s="1454">
        <f t="shared" si="13"/>
        <v>306900000</v>
      </c>
      <c r="C187" s="1454">
        <f t="shared" si="10"/>
        <v>63937.5</v>
      </c>
      <c r="D187" s="1454">
        <f t="shared" si="11"/>
        <v>0</v>
      </c>
      <c r="E187" s="1454">
        <f t="shared" si="14"/>
        <v>63937.5</v>
      </c>
      <c r="I187" s="1445"/>
      <c r="J187" s="135"/>
      <c r="K187" s="1093"/>
      <c r="L187" s="1457"/>
      <c r="M187" s="1457"/>
      <c r="N187" s="742"/>
      <c r="O187" s="742"/>
      <c r="P187" s="504"/>
      <c r="R187" s="742"/>
      <c r="S187" s="742"/>
      <c r="T187" s="742"/>
    </row>
    <row r="188" spans="1:20">
      <c r="A188" s="1453">
        <f t="shared" si="12"/>
        <v>171</v>
      </c>
      <c r="B188" s="1454">
        <f t="shared" si="13"/>
        <v>306900000</v>
      </c>
      <c r="C188" s="1454">
        <f t="shared" si="10"/>
        <v>63937.5</v>
      </c>
      <c r="D188" s="1454">
        <f t="shared" si="11"/>
        <v>0</v>
      </c>
      <c r="E188" s="1454">
        <f t="shared" si="14"/>
        <v>63937.5</v>
      </c>
      <c r="I188" s="1445"/>
      <c r="J188" s="135"/>
      <c r="K188" s="1093"/>
      <c r="L188" s="1457"/>
      <c r="M188" s="1457"/>
      <c r="N188" s="742"/>
      <c r="O188" s="742"/>
      <c r="P188" s="504"/>
      <c r="R188" s="742"/>
      <c r="S188" s="742"/>
      <c r="T188" s="742"/>
    </row>
    <row r="189" spans="1:20">
      <c r="A189" s="1453">
        <f t="shared" si="12"/>
        <v>172</v>
      </c>
      <c r="B189" s="1454">
        <f t="shared" si="13"/>
        <v>306900000</v>
      </c>
      <c r="C189" s="1454">
        <f t="shared" si="10"/>
        <v>63937.5</v>
      </c>
      <c r="D189" s="1454">
        <f t="shared" si="11"/>
        <v>0</v>
      </c>
      <c r="E189" s="1454">
        <f t="shared" si="14"/>
        <v>63937.5</v>
      </c>
      <c r="I189" s="1445"/>
      <c r="J189" s="135"/>
      <c r="K189" s="1093"/>
      <c r="L189" s="1457"/>
      <c r="M189" s="1457"/>
      <c r="N189" s="742"/>
      <c r="O189" s="742"/>
      <c r="P189" s="504"/>
      <c r="R189" s="742"/>
      <c r="S189" s="742"/>
      <c r="T189" s="742"/>
    </row>
    <row r="190" spans="1:20">
      <c r="A190" s="1453">
        <f t="shared" si="12"/>
        <v>173</v>
      </c>
      <c r="B190" s="1454">
        <f t="shared" si="13"/>
        <v>306900000</v>
      </c>
      <c r="C190" s="1454">
        <f t="shared" si="10"/>
        <v>63937.5</v>
      </c>
      <c r="D190" s="1454">
        <f t="shared" si="11"/>
        <v>0</v>
      </c>
      <c r="E190" s="1454">
        <f t="shared" si="14"/>
        <v>63937.5</v>
      </c>
      <c r="I190" s="1445"/>
      <c r="J190" s="135"/>
      <c r="K190" s="1093"/>
      <c r="L190" s="1457"/>
      <c r="M190" s="1457"/>
      <c r="N190" s="742"/>
      <c r="O190" s="742"/>
      <c r="P190" s="504"/>
      <c r="R190" s="742"/>
      <c r="S190" s="742"/>
      <c r="T190" s="742"/>
    </row>
    <row r="191" spans="1:20">
      <c r="A191" s="1453">
        <f t="shared" si="12"/>
        <v>174</v>
      </c>
      <c r="B191" s="1454">
        <f t="shared" si="13"/>
        <v>306900000</v>
      </c>
      <c r="C191" s="1454">
        <f t="shared" si="10"/>
        <v>63937.5</v>
      </c>
      <c r="D191" s="1454">
        <f t="shared" si="11"/>
        <v>0</v>
      </c>
      <c r="E191" s="1454">
        <f t="shared" si="14"/>
        <v>63937.5</v>
      </c>
      <c r="I191" s="1445"/>
      <c r="J191" s="135"/>
      <c r="K191" s="1093"/>
      <c r="L191" s="1457"/>
      <c r="M191" s="1457"/>
      <c r="N191" s="742"/>
      <c r="O191" s="742"/>
      <c r="P191" s="504"/>
      <c r="R191" s="742"/>
      <c r="S191" s="742"/>
      <c r="T191" s="742"/>
    </row>
    <row r="192" spans="1:20">
      <c r="A192" s="1453">
        <f t="shared" si="12"/>
        <v>175</v>
      </c>
      <c r="B192" s="1454">
        <f t="shared" si="13"/>
        <v>306900000</v>
      </c>
      <c r="C192" s="1454">
        <f t="shared" si="10"/>
        <v>63937.5</v>
      </c>
      <c r="D192" s="1454">
        <f t="shared" si="11"/>
        <v>0</v>
      </c>
      <c r="E192" s="1454">
        <f t="shared" si="14"/>
        <v>63937.5</v>
      </c>
      <c r="I192" s="1445"/>
      <c r="J192" s="135"/>
      <c r="K192" s="1093"/>
      <c r="L192" s="1457"/>
      <c r="M192" s="1457"/>
      <c r="N192" s="742"/>
      <c r="O192" s="742"/>
      <c r="P192" s="504"/>
      <c r="R192" s="742"/>
      <c r="S192" s="742"/>
      <c r="T192" s="742"/>
    </row>
    <row r="193" spans="1:20">
      <c r="A193" s="1453">
        <f t="shared" si="12"/>
        <v>176</v>
      </c>
      <c r="B193" s="1454">
        <f t="shared" si="13"/>
        <v>306900000</v>
      </c>
      <c r="C193" s="1454">
        <f t="shared" si="10"/>
        <v>63937.5</v>
      </c>
      <c r="D193" s="1454">
        <f t="shared" si="11"/>
        <v>0</v>
      </c>
      <c r="E193" s="1454">
        <f t="shared" si="14"/>
        <v>63937.5</v>
      </c>
      <c r="I193" s="1445"/>
      <c r="J193" s="135"/>
      <c r="K193" s="1093"/>
      <c r="L193" s="1457"/>
      <c r="M193" s="1457"/>
      <c r="N193" s="742"/>
      <c r="O193" s="742"/>
      <c r="P193" s="504"/>
      <c r="R193" s="742"/>
      <c r="S193" s="742"/>
      <c r="T193" s="742"/>
    </row>
    <row r="194" spans="1:20">
      <c r="A194" s="1453">
        <f t="shared" si="12"/>
        <v>177</v>
      </c>
      <c r="B194" s="1454">
        <f t="shared" si="13"/>
        <v>306900000</v>
      </c>
      <c r="C194" s="1454">
        <f t="shared" si="10"/>
        <v>63937.5</v>
      </c>
      <c r="D194" s="1454">
        <f t="shared" si="11"/>
        <v>0</v>
      </c>
      <c r="E194" s="1454">
        <f t="shared" si="14"/>
        <v>63937.5</v>
      </c>
      <c r="I194" s="1445"/>
      <c r="J194" s="135"/>
      <c r="K194" s="1093"/>
      <c r="L194" s="1457"/>
      <c r="M194" s="1457"/>
      <c r="N194" s="742"/>
      <c r="O194" s="742"/>
      <c r="P194" s="504"/>
      <c r="R194" s="742"/>
      <c r="S194" s="742"/>
      <c r="T194" s="742"/>
    </row>
    <row r="195" spans="1:20">
      <c r="A195" s="1453">
        <f t="shared" si="12"/>
        <v>178</v>
      </c>
      <c r="B195" s="1454">
        <f t="shared" si="13"/>
        <v>306900000</v>
      </c>
      <c r="C195" s="1454">
        <f t="shared" si="10"/>
        <v>63937.5</v>
      </c>
      <c r="D195" s="1454">
        <f t="shared" si="11"/>
        <v>0</v>
      </c>
      <c r="E195" s="1454">
        <f t="shared" si="14"/>
        <v>63937.5</v>
      </c>
      <c r="I195" s="1445"/>
      <c r="J195" s="135"/>
      <c r="K195" s="1093"/>
      <c r="L195" s="1457"/>
      <c r="M195" s="1457"/>
      <c r="N195" s="742"/>
      <c r="O195" s="742"/>
      <c r="P195" s="504"/>
      <c r="R195" s="742"/>
      <c r="S195" s="742"/>
      <c r="T195" s="742"/>
    </row>
    <row r="196" spans="1:20">
      <c r="A196" s="1453">
        <f t="shared" si="12"/>
        <v>179</v>
      </c>
      <c r="B196" s="1454">
        <f t="shared" si="13"/>
        <v>306900000</v>
      </c>
      <c r="C196" s="1454">
        <f t="shared" si="10"/>
        <v>63937.5</v>
      </c>
      <c r="D196" s="1454">
        <f t="shared" si="11"/>
        <v>0</v>
      </c>
      <c r="E196" s="1454">
        <f t="shared" si="14"/>
        <v>63937.5</v>
      </c>
      <c r="I196" s="1445"/>
      <c r="J196" s="135"/>
      <c r="K196" s="1093"/>
      <c r="L196" s="1457"/>
      <c r="M196" s="1457"/>
      <c r="N196" s="742"/>
      <c r="O196" s="742"/>
      <c r="P196" s="504"/>
      <c r="R196" s="742"/>
      <c r="S196" s="742"/>
      <c r="T196" s="742"/>
    </row>
    <row r="197" spans="1:20">
      <c r="A197" s="1453">
        <f t="shared" si="12"/>
        <v>180</v>
      </c>
      <c r="B197" s="1454">
        <f t="shared" si="13"/>
        <v>306900000</v>
      </c>
      <c r="C197" s="1454">
        <f t="shared" si="10"/>
        <v>63937.5</v>
      </c>
      <c r="D197" s="1454">
        <f t="shared" si="11"/>
        <v>0</v>
      </c>
      <c r="E197" s="1454">
        <f t="shared" si="14"/>
        <v>63937.5</v>
      </c>
      <c r="I197" s="1445"/>
      <c r="J197" s="135"/>
      <c r="K197" s="1093"/>
      <c r="L197" s="1457"/>
      <c r="M197" s="1457"/>
      <c r="N197" s="742"/>
      <c r="O197" s="742"/>
      <c r="P197" s="504"/>
      <c r="R197" s="742"/>
      <c r="S197" s="742"/>
      <c r="T197" s="742"/>
    </row>
    <row r="198" spans="1:20">
      <c r="A198" s="1453">
        <f t="shared" si="12"/>
        <v>181</v>
      </c>
      <c r="B198" s="1454">
        <f t="shared" si="13"/>
        <v>306900000</v>
      </c>
      <c r="C198" s="1454">
        <f t="shared" si="10"/>
        <v>63937.5</v>
      </c>
      <c r="D198" s="1454">
        <f t="shared" si="11"/>
        <v>0</v>
      </c>
      <c r="E198" s="1454">
        <f t="shared" si="14"/>
        <v>63937.5</v>
      </c>
      <c r="I198" s="1445"/>
      <c r="J198" s="135"/>
      <c r="K198" s="1093"/>
      <c r="L198" s="1457"/>
      <c r="M198" s="1457"/>
      <c r="N198" s="742"/>
      <c r="O198" s="742"/>
      <c r="P198" s="504"/>
      <c r="R198" s="742"/>
      <c r="S198" s="742"/>
      <c r="T198" s="742"/>
    </row>
    <row r="199" spans="1:20">
      <c r="A199" s="1453">
        <f t="shared" si="12"/>
        <v>182</v>
      </c>
      <c r="B199" s="1454">
        <f t="shared" si="13"/>
        <v>306900000</v>
      </c>
      <c r="C199" s="1454">
        <f t="shared" si="10"/>
        <v>63937.5</v>
      </c>
      <c r="D199" s="1454">
        <f t="shared" si="11"/>
        <v>0</v>
      </c>
      <c r="E199" s="1454">
        <f t="shared" si="14"/>
        <v>63937.5</v>
      </c>
      <c r="I199" s="1445"/>
      <c r="J199" s="135"/>
      <c r="K199" s="1093"/>
      <c r="L199" s="1457"/>
      <c r="M199" s="1457"/>
      <c r="N199" s="742"/>
      <c r="O199" s="742"/>
      <c r="P199" s="504"/>
      <c r="R199" s="742"/>
      <c r="S199" s="742"/>
      <c r="T199" s="742"/>
    </row>
    <row r="200" spans="1:20">
      <c r="A200" s="1453">
        <f t="shared" si="12"/>
        <v>183</v>
      </c>
      <c r="B200" s="1454">
        <f t="shared" si="13"/>
        <v>306900000</v>
      </c>
      <c r="C200" s="1454">
        <f t="shared" si="10"/>
        <v>63937.5</v>
      </c>
      <c r="D200" s="1454">
        <f t="shared" si="11"/>
        <v>0</v>
      </c>
      <c r="E200" s="1454">
        <f t="shared" si="14"/>
        <v>63937.5</v>
      </c>
      <c r="I200" s="1445"/>
      <c r="J200" s="135"/>
      <c r="K200" s="1093"/>
      <c r="L200" s="1457"/>
      <c r="M200" s="1457"/>
      <c r="N200" s="742"/>
      <c r="O200" s="742"/>
      <c r="P200" s="504"/>
      <c r="R200" s="742"/>
      <c r="S200" s="742"/>
      <c r="T200" s="742"/>
    </row>
    <row r="201" spans="1:20">
      <c r="A201" s="1453">
        <f t="shared" si="12"/>
        <v>184</v>
      </c>
      <c r="B201" s="1454">
        <f t="shared" si="13"/>
        <v>306900000</v>
      </c>
      <c r="C201" s="1454">
        <f t="shared" si="10"/>
        <v>63937.5</v>
      </c>
      <c r="D201" s="1454">
        <f t="shared" si="11"/>
        <v>0</v>
      </c>
      <c r="E201" s="1454">
        <f t="shared" si="14"/>
        <v>63937.5</v>
      </c>
      <c r="I201" s="1445"/>
      <c r="J201" s="135"/>
      <c r="K201" s="1093"/>
      <c r="L201" s="1457"/>
      <c r="M201" s="1457"/>
      <c r="N201" s="742"/>
      <c r="O201" s="742"/>
      <c r="P201" s="504"/>
      <c r="R201" s="742"/>
      <c r="S201" s="742"/>
      <c r="T201" s="742"/>
    </row>
    <row r="202" spans="1:20">
      <c r="A202" s="1453">
        <f t="shared" si="12"/>
        <v>185</v>
      </c>
      <c r="B202" s="1454">
        <f t="shared" si="13"/>
        <v>306900000</v>
      </c>
      <c r="C202" s="1454">
        <f t="shared" si="10"/>
        <v>63937.5</v>
      </c>
      <c r="D202" s="1454">
        <f t="shared" si="11"/>
        <v>0</v>
      </c>
      <c r="E202" s="1454">
        <f t="shared" si="14"/>
        <v>63937.5</v>
      </c>
      <c r="I202" s="1445"/>
      <c r="J202" s="135"/>
      <c r="K202" s="1093"/>
      <c r="L202" s="1457"/>
      <c r="M202" s="1457"/>
      <c r="N202" s="742"/>
      <c r="O202" s="742"/>
      <c r="P202" s="504"/>
      <c r="R202" s="742"/>
      <c r="S202" s="742"/>
      <c r="T202" s="742"/>
    </row>
    <row r="203" spans="1:20">
      <c r="A203" s="1453">
        <f t="shared" si="12"/>
        <v>186</v>
      </c>
      <c r="B203" s="1454">
        <f t="shared" si="13"/>
        <v>306900000</v>
      </c>
      <c r="C203" s="1454">
        <f t="shared" si="10"/>
        <v>63937.5</v>
      </c>
      <c r="D203" s="1454">
        <f t="shared" si="11"/>
        <v>0</v>
      </c>
      <c r="E203" s="1454">
        <f t="shared" si="14"/>
        <v>63937.5</v>
      </c>
      <c r="I203" s="1445"/>
      <c r="J203" s="135"/>
      <c r="K203" s="1093"/>
      <c r="L203" s="1457"/>
      <c r="M203" s="1457"/>
      <c r="N203" s="742"/>
      <c r="O203" s="742"/>
      <c r="P203" s="504"/>
      <c r="R203" s="742"/>
      <c r="S203" s="742"/>
      <c r="T203" s="742"/>
    </row>
    <row r="204" spans="1:20">
      <c r="A204" s="1453">
        <f t="shared" si="12"/>
        <v>187</v>
      </c>
      <c r="B204" s="1454">
        <f t="shared" si="13"/>
        <v>306900000</v>
      </c>
      <c r="C204" s="1454">
        <f t="shared" si="10"/>
        <v>63937.5</v>
      </c>
      <c r="D204" s="1454">
        <f t="shared" si="11"/>
        <v>0</v>
      </c>
      <c r="E204" s="1454">
        <f t="shared" si="14"/>
        <v>63937.5</v>
      </c>
      <c r="I204" s="1445"/>
      <c r="J204" s="135"/>
      <c r="K204" s="1093"/>
      <c r="L204" s="1457"/>
      <c r="M204" s="1457"/>
      <c r="N204" s="742"/>
      <c r="O204" s="742"/>
      <c r="P204" s="504"/>
      <c r="R204" s="742"/>
      <c r="S204" s="742"/>
      <c r="T204" s="742"/>
    </row>
    <row r="205" spans="1:20">
      <c r="A205" s="1453">
        <f t="shared" si="12"/>
        <v>188</v>
      </c>
      <c r="B205" s="1454">
        <f t="shared" si="13"/>
        <v>306900000</v>
      </c>
      <c r="C205" s="1454">
        <f t="shared" si="10"/>
        <v>63937.5</v>
      </c>
      <c r="D205" s="1454">
        <f t="shared" si="11"/>
        <v>0</v>
      </c>
      <c r="E205" s="1454">
        <f t="shared" si="14"/>
        <v>63937.5</v>
      </c>
      <c r="I205" s="1445"/>
      <c r="J205" s="135"/>
      <c r="K205" s="1093"/>
      <c r="L205" s="1457"/>
      <c r="M205" s="1457"/>
      <c r="N205" s="742"/>
      <c r="O205" s="742"/>
      <c r="P205" s="504"/>
      <c r="R205" s="742"/>
      <c r="S205" s="742"/>
      <c r="T205" s="742"/>
    </row>
    <row r="206" spans="1:20">
      <c r="A206" s="1453">
        <f t="shared" si="12"/>
        <v>189</v>
      </c>
      <c r="B206" s="1454">
        <f t="shared" si="13"/>
        <v>306900000</v>
      </c>
      <c r="C206" s="1454">
        <f t="shared" si="10"/>
        <v>63937.5</v>
      </c>
      <c r="D206" s="1454">
        <f t="shared" si="11"/>
        <v>0</v>
      </c>
      <c r="E206" s="1454">
        <f t="shared" si="14"/>
        <v>63937.5</v>
      </c>
      <c r="I206" s="1445"/>
      <c r="J206" s="135"/>
      <c r="K206" s="1093"/>
      <c r="L206" s="1457"/>
      <c r="M206" s="1457"/>
      <c r="N206" s="742"/>
      <c r="O206" s="742"/>
      <c r="P206" s="504"/>
      <c r="R206" s="742"/>
      <c r="S206" s="742"/>
      <c r="T206" s="742"/>
    </row>
    <row r="207" spans="1:20">
      <c r="A207" s="1453">
        <f t="shared" si="12"/>
        <v>190</v>
      </c>
      <c r="B207" s="1454">
        <f t="shared" si="13"/>
        <v>306900000</v>
      </c>
      <c r="C207" s="1454">
        <f t="shared" si="10"/>
        <v>63937.5</v>
      </c>
      <c r="D207" s="1454">
        <f t="shared" si="11"/>
        <v>0</v>
      </c>
      <c r="E207" s="1454">
        <f t="shared" si="14"/>
        <v>63937.5</v>
      </c>
      <c r="I207" s="1445"/>
      <c r="J207" s="135"/>
      <c r="K207" s="1093"/>
      <c r="L207" s="1457"/>
      <c r="M207" s="1457"/>
      <c r="N207" s="742"/>
      <c r="O207" s="742"/>
      <c r="P207" s="504"/>
      <c r="R207" s="742"/>
      <c r="S207" s="742"/>
      <c r="T207" s="742"/>
    </row>
    <row r="208" spans="1:20">
      <c r="A208" s="1453">
        <f t="shared" si="12"/>
        <v>191</v>
      </c>
      <c r="B208" s="1454">
        <f t="shared" si="13"/>
        <v>306900000</v>
      </c>
      <c r="C208" s="1454">
        <f t="shared" si="10"/>
        <v>63937.5</v>
      </c>
      <c r="D208" s="1454">
        <f t="shared" si="11"/>
        <v>0</v>
      </c>
      <c r="E208" s="1454">
        <f t="shared" si="14"/>
        <v>63937.5</v>
      </c>
      <c r="I208" s="1445"/>
      <c r="J208" s="135"/>
      <c r="K208" s="1093"/>
      <c r="L208" s="1457"/>
      <c r="M208" s="1457"/>
      <c r="N208" s="742"/>
      <c r="O208" s="742"/>
      <c r="P208" s="504"/>
      <c r="R208" s="742"/>
      <c r="S208" s="742"/>
      <c r="T208" s="742"/>
    </row>
    <row r="209" spans="1:20">
      <c r="A209" s="1453">
        <f t="shared" si="12"/>
        <v>192</v>
      </c>
      <c r="B209" s="1454">
        <f t="shared" si="13"/>
        <v>306900000</v>
      </c>
      <c r="C209" s="1454">
        <f t="shared" si="10"/>
        <v>63937.5</v>
      </c>
      <c r="D209" s="1454">
        <f t="shared" si="11"/>
        <v>0</v>
      </c>
      <c r="E209" s="1454">
        <f t="shared" si="14"/>
        <v>63937.5</v>
      </c>
      <c r="I209" s="1445"/>
      <c r="J209" s="135"/>
      <c r="K209" s="1093"/>
      <c r="L209" s="1457"/>
      <c r="M209" s="1457"/>
      <c r="N209" s="742"/>
      <c r="O209" s="742"/>
      <c r="P209" s="504"/>
      <c r="R209" s="742"/>
      <c r="S209" s="742"/>
      <c r="T209" s="742"/>
    </row>
    <row r="210" spans="1:20">
      <c r="A210" s="1453">
        <f t="shared" si="12"/>
        <v>193</v>
      </c>
      <c r="B210" s="1454">
        <f t="shared" si="13"/>
        <v>306900000</v>
      </c>
      <c r="C210" s="1454">
        <f t="shared" ref="C210:C273" si="15">B209*$D$4/12</f>
        <v>63937.5</v>
      </c>
      <c r="D210" s="1454">
        <f t="shared" ref="D210:D273" si="16">IF(A210&gt;$D$6,0,$D$5-C210)</f>
        <v>0</v>
      </c>
      <c r="E210" s="1454">
        <f t="shared" si="14"/>
        <v>63937.5</v>
      </c>
      <c r="I210" s="1445"/>
      <c r="J210" s="135"/>
      <c r="K210" s="1093"/>
      <c r="L210" s="1457"/>
      <c r="M210" s="1457"/>
      <c r="N210" s="742"/>
      <c r="O210" s="742"/>
      <c r="P210" s="504"/>
      <c r="R210" s="742"/>
      <c r="S210" s="742"/>
      <c r="T210" s="742"/>
    </row>
    <row r="211" spans="1:20">
      <c r="A211" s="1453">
        <f t="shared" ref="A211:A274" si="17">A210+1</f>
        <v>194</v>
      </c>
      <c r="B211" s="1454">
        <f t="shared" ref="B211:B274" si="18">B210-D211</f>
        <v>306900000</v>
      </c>
      <c r="C211" s="1454">
        <f t="shared" si="15"/>
        <v>63937.5</v>
      </c>
      <c r="D211" s="1454">
        <f t="shared" si="16"/>
        <v>0</v>
      </c>
      <c r="E211" s="1454">
        <f t="shared" ref="E211:E274" si="19">SUM(C211:D211)</f>
        <v>63937.5</v>
      </c>
      <c r="I211" s="1445"/>
      <c r="J211" s="135"/>
      <c r="K211" s="1093"/>
      <c r="L211" s="1457"/>
      <c r="M211" s="1457"/>
      <c r="N211" s="742"/>
      <c r="O211" s="742"/>
      <c r="P211" s="504"/>
      <c r="R211" s="742"/>
      <c r="S211" s="742"/>
      <c r="T211" s="742"/>
    </row>
    <row r="212" spans="1:20">
      <c r="A212" s="1453">
        <f t="shared" si="17"/>
        <v>195</v>
      </c>
      <c r="B212" s="1454">
        <f t="shared" si="18"/>
        <v>306900000</v>
      </c>
      <c r="C212" s="1454">
        <f t="shared" si="15"/>
        <v>63937.5</v>
      </c>
      <c r="D212" s="1454">
        <f t="shared" si="16"/>
        <v>0</v>
      </c>
      <c r="E212" s="1454">
        <f t="shared" si="19"/>
        <v>63937.5</v>
      </c>
      <c r="I212" s="1445"/>
      <c r="J212" s="135"/>
      <c r="K212" s="1093"/>
      <c r="L212" s="1457"/>
      <c r="M212" s="1457"/>
      <c r="N212" s="742"/>
      <c r="O212" s="742"/>
      <c r="P212" s="504"/>
      <c r="R212" s="742"/>
      <c r="S212" s="742"/>
      <c r="T212" s="742"/>
    </row>
    <row r="213" spans="1:20">
      <c r="A213" s="1453">
        <f t="shared" si="17"/>
        <v>196</v>
      </c>
      <c r="B213" s="1454">
        <f t="shared" si="18"/>
        <v>306900000</v>
      </c>
      <c r="C213" s="1454">
        <f t="shared" si="15"/>
        <v>63937.5</v>
      </c>
      <c r="D213" s="1454">
        <f t="shared" si="16"/>
        <v>0</v>
      </c>
      <c r="E213" s="1454">
        <f t="shared" si="19"/>
        <v>63937.5</v>
      </c>
      <c r="I213" s="1445"/>
      <c r="J213" s="135"/>
      <c r="K213" s="1093"/>
      <c r="L213" s="1457"/>
      <c r="M213" s="1457"/>
      <c r="N213" s="742"/>
      <c r="O213" s="742"/>
      <c r="P213" s="504"/>
      <c r="R213" s="742"/>
      <c r="S213" s="742"/>
      <c r="T213" s="742"/>
    </row>
    <row r="214" spans="1:20">
      <c r="A214" s="1453">
        <f t="shared" si="17"/>
        <v>197</v>
      </c>
      <c r="B214" s="1454">
        <f t="shared" si="18"/>
        <v>306900000</v>
      </c>
      <c r="C214" s="1454">
        <f t="shared" si="15"/>
        <v>63937.5</v>
      </c>
      <c r="D214" s="1454">
        <f t="shared" si="16"/>
        <v>0</v>
      </c>
      <c r="E214" s="1454">
        <f t="shared" si="19"/>
        <v>63937.5</v>
      </c>
      <c r="I214" s="1445"/>
      <c r="J214" s="135"/>
      <c r="K214" s="1093"/>
      <c r="L214" s="1457"/>
      <c r="M214" s="1457"/>
      <c r="N214" s="742"/>
      <c r="O214" s="742"/>
      <c r="P214" s="504"/>
      <c r="R214" s="742"/>
      <c r="S214" s="742"/>
      <c r="T214" s="742"/>
    </row>
    <row r="215" spans="1:20">
      <c r="A215" s="1453">
        <f t="shared" si="17"/>
        <v>198</v>
      </c>
      <c r="B215" s="1454">
        <f t="shared" si="18"/>
        <v>306900000</v>
      </c>
      <c r="C215" s="1454">
        <f t="shared" si="15"/>
        <v>63937.5</v>
      </c>
      <c r="D215" s="1454">
        <f t="shared" si="16"/>
        <v>0</v>
      </c>
      <c r="E215" s="1454">
        <f t="shared" si="19"/>
        <v>63937.5</v>
      </c>
      <c r="I215" s="1445"/>
      <c r="J215" s="135"/>
      <c r="K215" s="1093"/>
      <c r="L215" s="1457"/>
      <c r="M215" s="1457"/>
      <c r="N215" s="742"/>
      <c r="O215" s="742"/>
      <c r="P215" s="504"/>
      <c r="R215" s="742"/>
      <c r="S215" s="742"/>
      <c r="T215" s="742"/>
    </row>
    <row r="216" spans="1:20">
      <c r="A216" s="1453">
        <f t="shared" si="17"/>
        <v>199</v>
      </c>
      <c r="B216" s="1454">
        <f t="shared" si="18"/>
        <v>306900000</v>
      </c>
      <c r="C216" s="1454">
        <f t="shared" si="15"/>
        <v>63937.5</v>
      </c>
      <c r="D216" s="1454">
        <f t="shared" si="16"/>
        <v>0</v>
      </c>
      <c r="E216" s="1454">
        <f t="shared" si="19"/>
        <v>63937.5</v>
      </c>
      <c r="I216" s="1445"/>
      <c r="J216" s="135"/>
      <c r="K216" s="1093"/>
      <c r="L216" s="1457"/>
      <c r="M216" s="1457"/>
      <c r="N216" s="742"/>
      <c r="O216" s="742"/>
      <c r="P216" s="504"/>
      <c r="R216" s="742"/>
      <c r="S216" s="742"/>
      <c r="T216" s="742"/>
    </row>
    <row r="217" spans="1:20">
      <c r="A217" s="1453">
        <f t="shared" si="17"/>
        <v>200</v>
      </c>
      <c r="B217" s="1454">
        <f t="shared" si="18"/>
        <v>306900000</v>
      </c>
      <c r="C217" s="1454">
        <f t="shared" si="15"/>
        <v>63937.5</v>
      </c>
      <c r="D217" s="1454">
        <f t="shared" si="16"/>
        <v>0</v>
      </c>
      <c r="E217" s="1454">
        <f t="shared" si="19"/>
        <v>63937.5</v>
      </c>
      <c r="I217" s="1445"/>
      <c r="J217" s="135"/>
      <c r="K217" s="1093"/>
      <c r="L217" s="1457"/>
      <c r="M217" s="1457"/>
      <c r="N217" s="742"/>
      <c r="O217" s="742"/>
      <c r="P217" s="504"/>
      <c r="R217" s="742"/>
      <c r="S217" s="742"/>
      <c r="T217" s="742"/>
    </row>
    <row r="218" spans="1:20">
      <c r="A218" s="1453">
        <f t="shared" si="17"/>
        <v>201</v>
      </c>
      <c r="B218" s="1454">
        <f t="shared" si="18"/>
        <v>306900000</v>
      </c>
      <c r="C218" s="1454">
        <f t="shared" si="15"/>
        <v>63937.5</v>
      </c>
      <c r="D218" s="1454">
        <f t="shared" si="16"/>
        <v>0</v>
      </c>
      <c r="E218" s="1454">
        <f t="shared" si="19"/>
        <v>63937.5</v>
      </c>
      <c r="I218" s="1445"/>
      <c r="J218" s="135"/>
      <c r="K218" s="1093"/>
      <c r="L218" s="1457"/>
      <c r="M218" s="1457"/>
      <c r="N218" s="742"/>
      <c r="O218" s="742"/>
      <c r="P218" s="504"/>
      <c r="R218" s="742"/>
      <c r="S218" s="742"/>
      <c r="T218" s="742"/>
    </row>
    <row r="219" spans="1:20">
      <c r="A219" s="1453">
        <f t="shared" si="17"/>
        <v>202</v>
      </c>
      <c r="B219" s="1454">
        <f t="shared" si="18"/>
        <v>306900000</v>
      </c>
      <c r="C219" s="1454">
        <f t="shared" si="15"/>
        <v>63937.5</v>
      </c>
      <c r="D219" s="1454">
        <f t="shared" si="16"/>
        <v>0</v>
      </c>
      <c r="E219" s="1454">
        <f t="shared" si="19"/>
        <v>63937.5</v>
      </c>
      <c r="I219" s="1445"/>
      <c r="J219" s="135"/>
      <c r="K219" s="1093"/>
      <c r="L219" s="1457"/>
      <c r="M219" s="1457"/>
      <c r="N219" s="742"/>
      <c r="O219" s="742"/>
      <c r="P219" s="504"/>
      <c r="R219" s="742"/>
      <c r="S219" s="742"/>
      <c r="T219" s="742"/>
    </row>
    <row r="220" spans="1:20">
      <c r="A220" s="1453">
        <f t="shared" si="17"/>
        <v>203</v>
      </c>
      <c r="B220" s="1454">
        <f t="shared" si="18"/>
        <v>306900000</v>
      </c>
      <c r="C220" s="1454">
        <f t="shared" si="15"/>
        <v>63937.5</v>
      </c>
      <c r="D220" s="1454">
        <f t="shared" si="16"/>
        <v>0</v>
      </c>
      <c r="E220" s="1454">
        <f t="shared" si="19"/>
        <v>63937.5</v>
      </c>
      <c r="I220" s="1445"/>
      <c r="J220" s="135"/>
      <c r="K220" s="1093"/>
      <c r="L220" s="1457"/>
      <c r="M220" s="1457"/>
      <c r="N220" s="742"/>
      <c r="O220" s="742"/>
      <c r="P220" s="504"/>
      <c r="R220" s="742"/>
      <c r="S220" s="742"/>
      <c r="T220" s="742"/>
    </row>
    <row r="221" spans="1:20">
      <c r="A221" s="1453">
        <f t="shared" si="17"/>
        <v>204</v>
      </c>
      <c r="B221" s="1454">
        <f t="shared" si="18"/>
        <v>306900000</v>
      </c>
      <c r="C221" s="1454">
        <f t="shared" si="15"/>
        <v>63937.5</v>
      </c>
      <c r="D221" s="1454">
        <f t="shared" si="16"/>
        <v>0</v>
      </c>
      <c r="E221" s="1454">
        <f t="shared" si="19"/>
        <v>63937.5</v>
      </c>
      <c r="I221" s="1445"/>
      <c r="J221" s="135"/>
      <c r="K221" s="1093"/>
      <c r="L221" s="1457"/>
      <c r="M221" s="1457"/>
      <c r="N221" s="742"/>
      <c r="O221" s="742"/>
      <c r="P221" s="504"/>
      <c r="R221" s="742"/>
      <c r="S221" s="742"/>
      <c r="T221" s="742"/>
    </row>
    <row r="222" spans="1:20">
      <c r="A222" s="1453">
        <f t="shared" si="17"/>
        <v>205</v>
      </c>
      <c r="B222" s="1454">
        <f t="shared" si="18"/>
        <v>306900000</v>
      </c>
      <c r="C222" s="1454">
        <f t="shared" si="15"/>
        <v>63937.5</v>
      </c>
      <c r="D222" s="1454">
        <f t="shared" si="16"/>
        <v>0</v>
      </c>
      <c r="E222" s="1454">
        <f t="shared" si="19"/>
        <v>63937.5</v>
      </c>
      <c r="I222" s="1445"/>
      <c r="J222" s="135"/>
      <c r="K222" s="1093"/>
      <c r="L222" s="1457"/>
      <c r="M222" s="1457"/>
      <c r="N222" s="742"/>
      <c r="O222" s="742"/>
      <c r="P222" s="504"/>
      <c r="R222" s="742"/>
      <c r="S222" s="742"/>
      <c r="T222" s="742"/>
    </row>
    <row r="223" spans="1:20">
      <c r="A223" s="1453">
        <f t="shared" si="17"/>
        <v>206</v>
      </c>
      <c r="B223" s="1454">
        <f t="shared" si="18"/>
        <v>306900000</v>
      </c>
      <c r="C223" s="1454">
        <f t="shared" si="15"/>
        <v>63937.5</v>
      </c>
      <c r="D223" s="1454">
        <f t="shared" si="16"/>
        <v>0</v>
      </c>
      <c r="E223" s="1454">
        <f t="shared" si="19"/>
        <v>63937.5</v>
      </c>
      <c r="I223" s="1445"/>
      <c r="J223" s="135"/>
      <c r="K223" s="1093"/>
      <c r="L223" s="1457"/>
      <c r="M223" s="1457"/>
      <c r="N223" s="742"/>
      <c r="O223" s="742"/>
      <c r="P223" s="504"/>
      <c r="R223" s="742"/>
      <c r="S223" s="742"/>
      <c r="T223" s="742"/>
    </row>
    <row r="224" spans="1:20">
      <c r="A224" s="1453">
        <f t="shared" si="17"/>
        <v>207</v>
      </c>
      <c r="B224" s="1454">
        <f t="shared" si="18"/>
        <v>306900000</v>
      </c>
      <c r="C224" s="1454">
        <f t="shared" si="15"/>
        <v>63937.5</v>
      </c>
      <c r="D224" s="1454">
        <f t="shared" si="16"/>
        <v>0</v>
      </c>
      <c r="E224" s="1454">
        <f t="shared" si="19"/>
        <v>63937.5</v>
      </c>
      <c r="I224" s="1445"/>
      <c r="J224" s="135"/>
      <c r="K224" s="1093"/>
      <c r="L224" s="1457"/>
      <c r="M224" s="1457"/>
      <c r="N224" s="742"/>
      <c r="O224" s="742"/>
      <c r="P224" s="504"/>
      <c r="R224" s="742"/>
      <c r="S224" s="742"/>
      <c r="T224" s="742"/>
    </row>
    <row r="225" spans="1:20">
      <c r="A225" s="1453">
        <f t="shared" si="17"/>
        <v>208</v>
      </c>
      <c r="B225" s="1454">
        <f t="shared" si="18"/>
        <v>306900000</v>
      </c>
      <c r="C225" s="1454">
        <f t="shared" si="15"/>
        <v>63937.5</v>
      </c>
      <c r="D225" s="1454">
        <f t="shared" si="16"/>
        <v>0</v>
      </c>
      <c r="E225" s="1454">
        <f t="shared" si="19"/>
        <v>63937.5</v>
      </c>
      <c r="I225" s="1445"/>
      <c r="J225" s="135"/>
      <c r="K225" s="1093"/>
      <c r="L225" s="1457"/>
      <c r="M225" s="1457"/>
      <c r="N225" s="742"/>
      <c r="O225" s="742"/>
      <c r="P225" s="504"/>
      <c r="R225" s="742"/>
      <c r="S225" s="742"/>
      <c r="T225" s="742"/>
    </row>
    <row r="226" spans="1:20">
      <c r="A226" s="1453">
        <f t="shared" si="17"/>
        <v>209</v>
      </c>
      <c r="B226" s="1454">
        <f t="shared" si="18"/>
        <v>306900000</v>
      </c>
      <c r="C226" s="1454">
        <f t="shared" si="15"/>
        <v>63937.5</v>
      </c>
      <c r="D226" s="1454">
        <f t="shared" si="16"/>
        <v>0</v>
      </c>
      <c r="E226" s="1454">
        <f t="shared" si="19"/>
        <v>63937.5</v>
      </c>
      <c r="I226" s="1445"/>
      <c r="J226" s="135"/>
      <c r="K226" s="1093"/>
      <c r="L226" s="1457"/>
      <c r="M226" s="1457"/>
      <c r="N226" s="742"/>
      <c r="O226" s="742"/>
      <c r="P226" s="504"/>
      <c r="R226" s="742"/>
      <c r="S226" s="742"/>
      <c r="T226" s="742"/>
    </row>
    <row r="227" spans="1:20">
      <c r="A227" s="1453">
        <f t="shared" si="17"/>
        <v>210</v>
      </c>
      <c r="B227" s="1454">
        <f t="shared" si="18"/>
        <v>306900000</v>
      </c>
      <c r="C227" s="1454">
        <f t="shared" si="15"/>
        <v>63937.5</v>
      </c>
      <c r="D227" s="1454">
        <f t="shared" si="16"/>
        <v>0</v>
      </c>
      <c r="E227" s="1454">
        <f t="shared" si="19"/>
        <v>63937.5</v>
      </c>
      <c r="I227" s="1445"/>
      <c r="J227" s="135"/>
      <c r="K227" s="1093"/>
      <c r="L227" s="1457"/>
      <c r="M227" s="1457"/>
      <c r="N227" s="742"/>
      <c r="O227" s="742"/>
      <c r="P227" s="504"/>
      <c r="R227" s="742"/>
      <c r="S227" s="742"/>
      <c r="T227" s="742"/>
    </row>
    <row r="228" spans="1:20">
      <c r="A228" s="1453">
        <f t="shared" si="17"/>
        <v>211</v>
      </c>
      <c r="B228" s="1454">
        <f t="shared" si="18"/>
        <v>306900000</v>
      </c>
      <c r="C228" s="1454">
        <f t="shared" si="15"/>
        <v>63937.5</v>
      </c>
      <c r="D228" s="1454">
        <f t="shared" si="16"/>
        <v>0</v>
      </c>
      <c r="E228" s="1454">
        <f t="shared" si="19"/>
        <v>63937.5</v>
      </c>
      <c r="I228" s="1445"/>
      <c r="J228" s="135"/>
      <c r="K228" s="1093"/>
      <c r="L228" s="1457"/>
      <c r="M228" s="1457"/>
      <c r="N228" s="742"/>
      <c r="O228" s="742"/>
      <c r="P228" s="504"/>
      <c r="R228" s="742"/>
      <c r="S228" s="742"/>
      <c r="T228" s="742"/>
    </row>
    <row r="229" spans="1:20">
      <c r="A229" s="1453">
        <f t="shared" si="17"/>
        <v>212</v>
      </c>
      <c r="B229" s="1454">
        <f t="shared" si="18"/>
        <v>306900000</v>
      </c>
      <c r="C229" s="1454">
        <f t="shared" si="15"/>
        <v>63937.5</v>
      </c>
      <c r="D229" s="1454">
        <f t="shared" si="16"/>
        <v>0</v>
      </c>
      <c r="E229" s="1454">
        <f t="shared" si="19"/>
        <v>63937.5</v>
      </c>
      <c r="I229" s="1445"/>
      <c r="J229" s="135"/>
      <c r="K229" s="1093"/>
      <c r="L229" s="1457"/>
      <c r="M229" s="1457"/>
      <c r="N229" s="742"/>
      <c r="O229" s="742"/>
      <c r="P229" s="504"/>
      <c r="R229" s="742"/>
      <c r="S229" s="742"/>
      <c r="T229" s="742"/>
    </row>
    <row r="230" spans="1:20">
      <c r="A230" s="1453">
        <f t="shared" si="17"/>
        <v>213</v>
      </c>
      <c r="B230" s="1454">
        <f t="shared" si="18"/>
        <v>306900000</v>
      </c>
      <c r="C230" s="1454">
        <f t="shared" si="15"/>
        <v>63937.5</v>
      </c>
      <c r="D230" s="1454">
        <f t="shared" si="16"/>
        <v>0</v>
      </c>
      <c r="E230" s="1454">
        <f t="shared" si="19"/>
        <v>63937.5</v>
      </c>
      <c r="I230" s="1445"/>
      <c r="J230" s="135"/>
      <c r="K230" s="1093"/>
      <c r="L230" s="1457"/>
      <c r="M230" s="1457"/>
      <c r="N230" s="742"/>
      <c r="O230" s="742"/>
      <c r="P230" s="504"/>
      <c r="R230" s="742"/>
      <c r="S230" s="742"/>
      <c r="T230" s="742"/>
    </row>
    <row r="231" spans="1:20">
      <c r="A231" s="1453">
        <f t="shared" si="17"/>
        <v>214</v>
      </c>
      <c r="B231" s="1454">
        <f t="shared" si="18"/>
        <v>306900000</v>
      </c>
      <c r="C231" s="1454">
        <f t="shared" si="15"/>
        <v>63937.5</v>
      </c>
      <c r="D231" s="1454">
        <f t="shared" si="16"/>
        <v>0</v>
      </c>
      <c r="E231" s="1454">
        <f t="shared" si="19"/>
        <v>63937.5</v>
      </c>
      <c r="I231" s="1445"/>
      <c r="J231" s="135"/>
      <c r="K231" s="1093"/>
      <c r="L231" s="1457"/>
      <c r="M231" s="1457"/>
      <c r="N231" s="742"/>
      <c r="O231" s="742"/>
      <c r="P231" s="504"/>
      <c r="R231" s="742"/>
      <c r="S231" s="742"/>
      <c r="T231" s="742"/>
    </row>
    <row r="232" spans="1:20">
      <c r="A232" s="1453">
        <f t="shared" si="17"/>
        <v>215</v>
      </c>
      <c r="B232" s="1454">
        <f t="shared" si="18"/>
        <v>306900000</v>
      </c>
      <c r="C232" s="1454">
        <f t="shared" si="15"/>
        <v>63937.5</v>
      </c>
      <c r="D232" s="1454">
        <f t="shared" si="16"/>
        <v>0</v>
      </c>
      <c r="E232" s="1454">
        <f t="shared" si="19"/>
        <v>63937.5</v>
      </c>
      <c r="I232" s="1445"/>
      <c r="J232" s="135"/>
      <c r="K232" s="1093"/>
      <c r="L232" s="1457"/>
      <c r="M232" s="1457"/>
      <c r="N232" s="742"/>
      <c r="O232" s="742"/>
      <c r="P232" s="504"/>
      <c r="R232" s="742"/>
      <c r="S232" s="742"/>
      <c r="T232" s="742"/>
    </row>
    <row r="233" spans="1:20">
      <c r="A233" s="1453">
        <f t="shared" si="17"/>
        <v>216</v>
      </c>
      <c r="B233" s="1454">
        <f t="shared" si="18"/>
        <v>306900000</v>
      </c>
      <c r="C233" s="1454">
        <f t="shared" si="15"/>
        <v>63937.5</v>
      </c>
      <c r="D233" s="1454">
        <f t="shared" si="16"/>
        <v>0</v>
      </c>
      <c r="E233" s="1454">
        <f t="shared" si="19"/>
        <v>63937.5</v>
      </c>
      <c r="I233" s="1445"/>
      <c r="J233" s="135"/>
      <c r="K233" s="1093"/>
      <c r="L233" s="1457"/>
      <c r="M233" s="1457"/>
      <c r="N233" s="742"/>
      <c r="O233" s="742"/>
      <c r="P233" s="504"/>
      <c r="R233" s="742"/>
      <c r="S233" s="742"/>
      <c r="T233" s="742"/>
    </row>
    <row r="234" spans="1:20">
      <c r="A234" s="1453">
        <f t="shared" si="17"/>
        <v>217</v>
      </c>
      <c r="B234" s="1454">
        <f t="shared" si="18"/>
        <v>306900000</v>
      </c>
      <c r="C234" s="1454">
        <f t="shared" si="15"/>
        <v>63937.5</v>
      </c>
      <c r="D234" s="1454">
        <f t="shared" si="16"/>
        <v>0</v>
      </c>
      <c r="E234" s="1454">
        <f t="shared" si="19"/>
        <v>63937.5</v>
      </c>
      <c r="I234" s="1445"/>
      <c r="J234" s="135"/>
      <c r="K234" s="1093"/>
      <c r="L234" s="1457"/>
      <c r="M234" s="1457"/>
      <c r="N234" s="742"/>
      <c r="O234" s="742"/>
      <c r="P234" s="504"/>
      <c r="R234" s="742"/>
      <c r="S234" s="742"/>
      <c r="T234" s="742"/>
    </row>
    <row r="235" spans="1:20">
      <c r="A235" s="1453">
        <f t="shared" si="17"/>
        <v>218</v>
      </c>
      <c r="B235" s="1454">
        <f t="shared" si="18"/>
        <v>306900000</v>
      </c>
      <c r="C235" s="1454">
        <f t="shared" si="15"/>
        <v>63937.5</v>
      </c>
      <c r="D235" s="1454">
        <f t="shared" si="16"/>
        <v>0</v>
      </c>
      <c r="E235" s="1454">
        <f t="shared" si="19"/>
        <v>63937.5</v>
      </c>
      <c r="I235" s="1445"/>
      <c r="J235" s="135"/>
      <c r="K235" s="1093"/>
      <c r="L235" s="1457"/>
      <c r="M235" s="1457"/>
      <c r="N235" s="742"/>
      <c r="O235" s="742"/>
      <c r="P235" s="504"/>
      <c r="R235" s="742"/>
      <c r="S235" s="742"/>
      <c r="T235" s="742"/>
    </row>
    <row r="236" spans="1:20">
      <c r="A236" s="1453">
        <f t="shared" si="17"/>
        <v>219</v>
      </c>
      <c r="B236" s="1454">
        <f t="shared" si="18"/>
        <v>306900000</v>
      </c>
      <c r="C236" s="1454">
        <f t="shared" si="15"/>
        <v>63937.5</v>
      </c>
      <c r="D236" s="1454">
        <f t="shared" si="16"/>
        <v>0</v>
      </c>
      <c r="E236" s="1454">
        <f t="shared" si="19"/>
        <v>63937.5</v>
      </c>
      <c r="I236" s="1445"/>
      <c r="J236" s="135"/>
      <c r="K236" s="1093"/>
      <c r="L236" s="1457"/>
      <c r="M236" s="1457"/>
      <c r="N236" s="742"/>
      <c r="O236" s="742"/>
      <c r="P236" s="504"/>
      <c r="R236" s="742"/>
      <c r="S236" s="742"/>
      <c r="T236" s="742"/>
    </row>
    <row r="237" spans="1:20">
      <c r="A237" s="1453">
        <f t="shared" si="17"/>
        <v>220</v>
      </c>
      <c r="B237" s="1454">
        <f t="shared" si="18"/>
        <v>306900000</v>
      </c>
      <c r="C237" s="1454">
        <f t="shared" si="15"/>
        <v>63937.5</v>
      </c>
      <c r="D237" s="1454">
        <f t="shared" si="16"/>
        <v>0</v>
      </c>
      <c r="E237" s="1454">
        <f t="shared" si="19"/>
        <v>63937.5</v>
      </c>
      <c r="I237" s="1445"/>
      <c r="J237" s="135"/>
      <c r="K237" s="1093"/>
      <c r="L237" s="1457"/>
      <c r="M237" s="1457"/>
      <c r="N237" s="742"/>
      <c r="O237" s="742"/>
      <c r="P237" s="504"/>
      <c r="R237" s="742"/>
      <c r="S237" s="742"/>
      <c r="T237" s="742"/>
    </row>
    <row r="238" spans="1:20">
      <c r="A238" s="1453">
        <f t="shared" si="17"/>
        <v>221</v>
      </c>
      <c r="B238" s="1454">
        <f t="shared" si="18"/>
        <v>306900000</v>
      </c>
      <c r="C238" s="1454">
        <f t="shared" si="15"/>
        <v>63937.5</v>
      </c>
      <c r="D238" s="1454">
        <f t="shared" si="16"/>
        <v>0</v>
      </c>
      <c r="E238" s="1454">
        <f t="shared" si="19"/>
        <v>63937.5</v>
      </c>
      <c r="I238" s="1445"/>
      <c r="J238" s="135"/>
      <c r="K238" s="1093"/>
      <c r="L238" s="1457"/>
      <c r="M238" s="1457"/>
      <c r="N238" s="742"/>
      <c r="O238" s="742"/>
      <c r="P238" s="504"/>
      <c r="R238" s="742"/>
      <c r="S238" s="742"/>
      <c r="T238" s="742"/>
    </row>
    <row r="239" spans="1:20">
      <c r="A239" s="1453">
        <f t="shared" si="17"/>
        <v>222</v>
      </c>
      <c r="B239" s="1454">
        <f t="shared" si="18"/>
        <v>306900000</v>
      </c>
      <c r="C239" s="1454">
        <f t="shared" si="15"/>
        <v>63937.5</v>
      </c>
      <c r="D239" s="1454">
        <f t="shared" si="16"/>
        <v>0</v>
      </c>
      <c r="E239" s="1454">
        <f t="shared" si="19"/>
        <v>63937.5</v>
      </c>
      <c r="I239" s="1445"/>
      <c r="J239" s="135"/>
      <c r="K239" s="1093"/>
      <c r="L239" s="1457"/>
      <c r="M239" s="1457"/>
      <c r="N239" s="742"/>
      <c r="O239" s="742"/>
      <c r="P239" s="504"/>
      <c r="R239" s="742"/>
      <c r="S239" s="742"/>
      <c r="T239" s="742"/>
    </row>
    <row r="240" spans="1:20">
      <c r="A240" s="1453">
        <f t="shared" si="17"/>
        <v>223</v>
      </c>
      <c r="B240" s="1454">
        <f t="shared" si="18"/>
        <v>306900000</v>
      </c>
      <c r="C240" s="1454">
        <f t="shared" si="15"/>
        <v>63937.5</v>
      </c>
      <c r="D240" s="1454">
        <f t="shared" si="16"/>
        <v>0</v>
      </c>
      <c r="E240" s="1454">
        <f t="shared" si="19"/>
        <v>63937.5</v>
      </c>
      <c r="I240" s="1445"/>
      <c r="J240" s="135"/>
      <c r="K240" s="1093"/>
      <c r="L240" s="1457"/>
      <c r="M240" s="1457"/>
      <c r="N240" s="742"/>
      <c r="O240" s="742"/>
      <c r="P240" s="504"/>
      <c r="R240" s="742"/>
      <c r="S240" s="742"/>
      <c r="T240" s="742"/>
    </row>
    <row r="241" spans="1:20">
      <c r="A241" s="1453">
        <f t="shared" si="17"/>
        <v>224</v>
      </c>
      <c r="B241" s="1454">
        <f t="shared" si="18"/>
        <v>306900000</v>
      </c>
      <c r="C241" s="1454">
        <f t="shared" si="15"/>
        <v>63937.5</v>
      </c>
      <c r="D241" s="1454">
        <f t="shared" si="16"/>
        <v>0</v>
      </c>
      <c r="E241" s="1454">
        <f t="shared" si="19"/>
        <v>63937.5</v>
      </c>
      <c r="I241" s="1445"/>
      <c r="J241" s="135"/>
      <c r="K241" s="1093"/>
      <c r="L241" s="1457"/>
      <c r="M241" s="1457"/>
      <c r="N241" s="742"/>
      <c r="O241" s="742"/>
      <c r="P241" s="504"/>
      <c r="R241" s="742"/>
      <c r="S241" s="742"/>
      <c r="T241" s="742"/>
    </row>
    <row r="242" spans="1:20">
      <c r="A242" s="1453">
        <f t="shared" si="17"/>
        <v>225</v>
      </c>
      <c r="B242" s="1454">
        <f t="shared" si="18"/>
        <v>306900000</v>
      </c>
      <c r="C242" s="1454">
        <f t="shared" si="15"/>
        <v>63937.5</v>
      </c>
      <c r="D242" s="1454">
        <f t="shared" si="16"/>
        <v>0</v>
      </c>
      <c r="E242" s="1454">
        <f t="shared" si="19"/>
        <v>63937.5</v>
      </c>
      <c r="I242" s="1445"/>
      <c r="J242" s="135"/>
      <c r="K242" s="1093"/>
      <c r="L242" s="1457"/>
      <c r="M242" s="1457"/>
      <c r="N242" s="742"/>
      <c r="O242" s="742"/>
      <c r="P242" s="504"/>
      <c r="R242" s="742"/>
      <c r="S242" s="742"/>
      <c r="T242" s="742"/>
    </row>
    <row r="243" spans="1:20">
      <c r="A243" s="1453">
        <f t="shared" si="17"/>
        <v>226</v>
      </c>
      <c r="B243" s="1454">
        <f t="shared" si="18"/>
        <v>306900000</v>
      </c>
      <c r="C243" s="1454">
        <f t="shared" si="15"/>
        <v>63937.5</v>
      </c>
      <c r="D243" s="1454">
        <f t="shared" si="16"/>
        <v>0</v>
      </c>
      <c r="E243" s="1454">
        <f t="shared" si="19"/>
        <v>63937.5</v>
      </c>
      <c r="I243" s="1445"/>
      <c r="J243" s="135"/>
      <c r="K243" s="1093"/>
      <c r="L243" s="1457"/>
      <c r="M243" s="1457"/>
      <c r="N243" s="742"/>
      <c r="O243" s="742"/>
      <c r="P243" s="504"/>
      <c r="R243" s="742"/>
      <c r="S243" s="742"/>
      <c r="T243" s="742"/>
    </row>
    <row r="244" spans="1:20">
      <c r="A244" s="1453">
        <f t="shared" si="17"/>
        <v>227</v>
      </c>
      <c r="B244" s="1454">
        <f t="shared" si="18"/>
        <v>306900000</v>
      </c>
      <c r="C244" s="1454">
        <f t="shared" si="15"/>
        <v>63937.5</v>
      </c>
      <c r="D244" s="1454">
        <f t="shared" si="16"/>
        <v>0</v>
      </c>
      <c r="E244" s="1454">
        <f t="shared" si="19"/>
        <v>63937.5</v>
      </c>
      <c r="I244" s="1445"/>
      <c r="J244" s="135"/>
      <c r="K244" s="1093"/>
      <c r="L244" s="1457"/>
      <c r="M244" s="1457"/>
      <c r="N244" s="742"/>
      <c r="O244" s="742"/>
      <c r="P244" s="504"/>
      <c r="R244" s="742"/>
      <c r="S244" s="742"/>
      <c r="T244" s="742"/>
    </row>
    <row r="245" spans="1:20">
      <c r="A245" s="1453">
        <f t="shared" si="17"/>
        <v>228</v>
      </c>
      <c r="B245" s="1454">
        <f t="shared" si="18"/>
        <v>306900000</v>
      </c>
      <c r="C245" s="1454">
        <f t="shared" si="15"/>
        <v>63937.5</v>
      </c>
      <c r="D245" s="1454">
        <f t="shared" si="16"/>
        <v>0</v>
      </c>
      <c r="E245" s="1454">
        <f t="shared" si="19"/>
        <v>63937.5</v>
      </c>
      <c r="I245" s="1445"/>
      <c r="J245" s="135"/>
      <c r="K245" s="1093"/>
      <c r="L245" s="1457"/>
      <c r="M245" s="1457"/>
      <c r="N245" s="742"/>
      <c r="O245" s="742"/>
      <c r="P245" s="504"/>
      <c r="R245" s="742"/>
      <c r="S245" s="742"/>
      <c r="T245" s="742"/>
    </row>
    <row r="246" spans="1:20">
      <c r="A246" s="1453">
        <f t="shared" si="17"/>
        <v>229</v>
      </c>
      <c r="B246" s="1454">
        <f t="shared" si="18"/>
        <v>306900000</v>
      </c>
      <c r="C246" s="1454">
        <f t="shared" si="15"/>
        <v>63937.5</v>
      </c>
      <c r="D246" s="1454">
        <f t="shared" si="16"/>
        <v>0</v>
      </c>
      <c r="E246" s="1454">
        <f t="shared" si="19"/>
        <v>63937.5</v>
      </c>
      <c r="I246" s="1445"/>
      <c r="J246" s="135"/>
      <c r="K246" s="1093"/>
      <c r="L246" s="1457"/>
      <c r="M246" s="1457"/>
      <c r="N246" s="742"/>
      <c r="O246" s="742"/>
      <c r="P246" s="504"/>
      <c r="R246" s="742"/>
      <c r="S246" s="742"/>
      <c r="T246" s="742"/>
    </row>
    <row r="247" spans="1:20">
      <c r="A247" s="1453">
        <f t="shared" si="17"/>
        <v>230</v>
      </c>
      <c r="B247" s="1454">
        <f t="shared" si="18"/>
        <v>306900000</v>
      </c>
      <c r="C247" s="1454">
        <f t="shared" si="15"/>
        <v>63937.5</v>
      </c>
      <c r="D247" s="1454">
        <f t="shared" si="16"/>
        <v>0</v>
      </c>
      <c r="E247" s="1454">
        <f t="shared" si="19"/>
        <v>63937.5</v>
      </c>
      <c r="I247" s="1445"/>
      <c r="J247" s="135"/>
      <c r="K247" s="1093"/>
      <c r="L247" s="1457"/>
      <c r="M247" s="1457"/>
      <c r="N247" s="742"/>
      <c r="O247" s="742"/>
      <c r="P247" s="504"/>
      <c r="R247" s="742"/>
      <c r="S247" s="742"/>
      <c r="T247" s="742"/>
    </row>
    <row r="248" spans="1:20">
      <c r="A248" s="1453">
        <f t="shared" si="17"/>
        <v>231</v>
      </c>
      <c r="B248" s="1454">
        <f t="shared" si="18"/>
        <v>306900000</v>
      </c>
      <c r="C248" s="1454">
        <f t="shared" si="15"/>
        <v>63937.5</v>
      </c>
      <c r="D248" s="1454">
        <f t="shared" si="16"/>
        <v>0</v>
      </c>
      <c r="E248" s="1454">
        <f t="shared" si="19"/>
        <v>63937.5</v>
      </c>
      <c r="I248" s="1445"/>
      <c r="J248" s="135"/>
      <c r="K248" s="1093"/>
      <c r="L248" s="1457"/>
      <c r="M248" s="1457"/>
      <c r="N248" s="742"/>
      <c r="O248" s="742"/>
      <c r="P248" s="504"/>
      <c r="R248" s="742"/>
      <c r="S248" s="742"/>
      <c r="T248" s="742"/>
    </row>
    <row r="249" spans="1:20">
      <c r="A249" s="1453">
        <f t="shared" si="17"/>
        <v>232</v>
      </c>
      <c r="B249" s="1454">
        <f t="shared" si="18"/>
        <v>306900000</v>
      </c>
      <c r="C249" s="1454">
        <f t="shared" si="15"/>
        <v>63937.5</v>
      </c>
      <c r="D249" s="1454">
        <f t="shared" si="16"/>
        <v>0</v>
      </c>
      <c r="E249" s="1454">
        <f t="shared" si="19"/>
        <v>63937.5</v>
      </c>
      <c r="I249" s="1445"/>
      <c r="J249" s="135"/>
      <c r="K249" s="1093"/>
      <c r="L249" s="1457"/>
      <c r="M249" s="1457"/>
      <c r="N249" s="742"/>
      <c r="O249" s="742"/>
      <c r="P249" s="504"/>
      <c r="R249" s="742"/>
      <c r="S249" s="742"/>
      <c r="T249" s="742"/>
    </row>
    <row r="250" spans="1:20">
      <c r="A250" s="1453">
        <f t="shared" si="17"/>
        <v>233</v>
      </c>
      <c r="B250" s="1454">
        <f t="shared" si="18"/>
        <v>306900000</v>
      </c>
      <c r="C250" s="1454">
        <f t="shared" si="15"/>
        <v>63937.5</v>
      </c>
      <c r="D250" s="1454">
        <f t="shared" si="16"/>
        <v>0</v>
      </c>
      <c r="E250" s="1454">
        <f t="shared" si="19"/>
        <v>63937.5</v>
      </c>
      <c r="I250" s="1445"/>
      <c r="J250" s="135"/>
      <c r="K250" s="1093"/>
      <c r="L250" s="1457"/>
      <c r="M250" s="1457"/>
      <c r="N250" s="742"/>
      <c r="O250" s="742"/>
      <c r="P250" s="504"/>
      <c r="R250" s="742"/>
      <c r="S250" s="742"/>
      <c r="T250" s="742"/>
    </row>
    <row r="251" spans="1:20">
      <c r="A251" s="1453">
        <f t="shared" si="17"/>
        <v>234</v>
      </c>
      <c r="B251" s="1454">
        <f t="shared" si="18"/>
        <v>306900000</v>
      </c>
      <c r="C251" s="1454">
        <f t="shared" si="15"/>
        <v>63937.5</v>
      </c>
      <c r="D251" s="1454">
        <f t="shared" si="16"/>
        <v>0</v>
      </c>
      <c r="E251" s="1454">
        <f t="shared" si="19"/>
        <v>63937.5</v>
      </c>
      <c r="I251" s="1445"/>
      <c r="J251" s="135"/>
      <c r="K251" s="1093"/>
      <c r="L251" s="1457"/>
      <c r="M251" s="1457"/>
      <c r="N251" s="742"/>
      <c r="O251" s="742"/>
      <c r="P251" s="504"/>
      <c r="R251" s="742"/>
      <c r="S251" s="742"/>
      <c r="T251" s="742"/>
    </row>
    <row r="252" spans="1:20">
      <c r="A252" s="1453">
        <f t="shared" si="17"/>
        <v>235</v>
      </c>
      <c r="B252" s="1454">
        <f t="shared" si="18"/>
        <v>306900000</v>
      </c>
      <c r="C252" s="1454">
        <f t="shared" si="15"/>
        <v>63937.5</v>
      </c>
      <c r="D252" s="1454">
        <f t="shared" si="16"/>
        <v>0</v>
      </c>
      <c r="E252" s="1454">
        <f t="shared" si="19"/>
        <v>63937.5</v>
      </c>
      <c r="I252" s="1445"/>
      <c r="J252" s="135"/>
      <c r="K252" s="1093"/>
      <c r="L252" s="1457"/>
      <c r="M252" s="1457"/>
      <c r="N252" s="742"/>
      <c r="O252" s="742"/>
      <c r="P252" s="504"/>
      <c r="R252" s="742"/>
      <c r="S252" s="742"/>
      <c r="T252" s="742"/>
    </row>
    <row r="253" spans="1:20">
      <c r="A253" s="1453">
        <f t="shared" si="17"/>
        <v>236</v>
      </c>
      <c r="B253" s="1454">
        <f t="shared" si="18"/>
        <v>306900000</v>
      </c>
      <c r="C253" s="1454">
        <f t="shared" si="15"/>
        <v>63937.5</v>
      </c>
      <c r="D253" s="1454">
        <f t="shared" si="16"/>
        <v>0</v>
      </c>
      <c r="E253" s="1454">
        <f t="shared" si="19"/>
        <v>63937.5</v>
      </c>
      <c r="I253" s="1445"/>
      <c r="J253" s="135"/>
      <c r="K253" s="1093"/>
      <c r="L253" s="1457"/>
      <c r="M253" s="1457"/>
      <c r="N253" s="742"/>
      <c r="O253" s="742"/>
      <c r="P253" s="504"/>
      <c r="R253" s="742"/>
      <c r="S253" s="742"/>
      <c r="T253" s="742"/>
    </row>
    <row r="254" spans="1:20">
      <c r="A254" s="1453">
        <f t="shared" si="17"/>
        <v>237</v>
      </c>
      <c r="B254" s="1454">
        <f t="shared" si="18"/>
        <v>306900000</v>
      </c>
      <c r="C254" s="1454">
        <f t="shared" si="15"/>
        <v>63937.5</v>
      </c>
      <c r="D254" s="1454">
        <f t="shared" si="16"/>
        <v>0</v>
      </c>
      <c r="E254" s="1454">
        <f t="shared" si="19"/>
        <v>63937.5</v>
      </c>
      <c r="I254" s="1445"/>
      <c r="J254" s="135"/>
      <c r="K254" s="1093"/>
      <c r="L254" s="1457"/>
      <c r="M254" s="1457"/>
      <c r="N254" s="742"/>
      <c r="O254" s="742"/>
      <c r="P254" s="504"/>
      <c r="R254" s="742"/>
      <c r="S254" s="742"/>
      <c r="T254" s="742"/>
    </row>
    <row r="255" spans="1:20">
      <c r="A255" s="1453">
        <f t="shared" si="17"/>
        <v>238</v>
      </c>
      <c r="B255" s="1454">
        <f t="shared" si="18"/>
        <v>306900000</v>
      </c>
      <c r="C255" s="1454">
        <f t="shared" si="15"/>
        <v>63937.5</v>
      </c>
      <c r="D255" s="1454">
        <f t="shared" si="16"/>
        <v>0</v>
      </c>
      <c r="E255" s="1454">
        <f t="shared" si="19"/>
        <v>63937.5</v>
      </c>
      <c r="I255" s="1445"/>
      <c r="J255" s="135"/>
      <c r="K255" s="1093"/>
      <c r="L255" s="1457"/>
      <c r="M255" s="1457"/>
      <c r="N255" s="742"/>
      <c r="O255" s="742"/>
      <c r="P255" s="504"/>
      <c r="R255" s="742"/>
      <c r="S255" s="742"/>
      <c r="T255" s="742"/>
    </row>
    <row r="256" spans="1:20">
      <c r="A256" s="1453">
        <f t="shared" si="17"/>
        <v>239</v>
      </c>
      <c r="B256" s="1454">
        <f t="shared" si="18"/>
        <v>306900000</v>
      </c>
      <c r="C256" s="1454">
        <f t="shared" si="15"/>
        <v>63937.5</v>
      </c>
      <c r="D256" s="1454">
        <f t="shared" si="16"/>
        <v>0</v>
      </c>
      <c r="E256" s="1454">
        <f t="shared" si="19"/>
        <v>63937.5</v>
      </c>
      <c r="I256" s="1445"/>
      <c r="J256" s="135"/>
      <c r="K256" s="1093"/>
      <c r="L256" s="1457"/>
      <c r="M256" s="1457"/>
      <c r="N256" s="742"/>
      <c r="O256" s="742"/>
      <c r="P256" s="504"/>
      <c r="R256" s="742"/>
      <c r="S256" s="742"/>
      <c r="T256" s="742"/>
    </row>
    <row r="257" spans="1:20">
      <c r="A257" s="1453">
        <f t="shared" si="17"/>
        <v>240</v>
      </c>
      <c r="B257" s="1454">
        <f t="shared" si="18"/>
        <v>306900000</v>
      </c>
      <c r="C257" s="1454">
        <f t="shared" si="15"/>
        <v>63937.5</v>
      </c>
      <c r="D257" s="1454">
        <f t="shared" si="16"/>
        <v>0</v>
      </c>
      <c r="E257" s="1454">
        <f t="shared" si="19"/>
        <v>63937.5</v>
      </c>
      <c r="I257" s="1445"/>
      <c r="J257" s="135"/>
      <c r="K257" s="1093"/>
      <c r="L257" s="1457"/>
      <c r="M257" s="1457"/>
      <c r="N257" s="742"/>
      <c r="O257" s="742"/>
      <c r="P257" s="504"/>
      <c r="R257" s="742"/>
      <c r="S257" s="742"/>
      <c r="T257" s="742"/>
    </row>
    <row r="258" spans="1:20">
      <c r="A258" s="1453">
        <f t="shared" si="17"/>
        <v>241</v>
      </c>
      <c r="B258" s="1454">
        <f t="shared" si="18"/>
        <v>306900000</v>
      </c>
      <c r="C258" s="1454">
        <f t="shared" si="15"/>
        <v>63937.5</v>
      </c>
      <c r="D258" s="1454">
        <f t="shared" si="16"/>
        <v>0</v>
      </c>
      <c r="E258" s="1454">
        <f t="shared" si="19"/>
        <v>63937.5</v>
      </c>
      <c r="I258" s="1445"/>
      <c r="J258" s="135"/>
      <c r="K258" s="1093"/>
      <c r="L258" s="1457"/>
      <c r="M258" s="1457"/>
      <c r="N258" s="742"/>
      <c r="O258" s="742"/>
      <c r="P258" s="504"/>
      <c r="R258" s="742"/>
      <c r="S258" s="742"/>
      <c r="T258" s="742"/>
    </row>
    <row r="259" spans="1:20">
      <c r="A259" s="1453">
        <f t="shared" si="17"/>
        <v>242</v>
      </c>
      <c r="B259" s="1454">
        <f t="shared" si="18"/>
        <v>306900000</v>
      </c>
      <c r="C259" s="1454">
        <f t="shared" si="15"/>
        <v>63937.5</v>
      </c>
      <c r="D259" s="1454">
        <f t="shared" si="16"/>
        <v>0</v>
      </c>
      <c r="E259" s="1454">
        <f t="shared" si="19"/>
        <v>63937.5</v>
      </c>
      <c r="I259" s="1445"/>
      <c r="J259" s="135"/>
      <c r="K259" s="1093"/>
      <c r="L259" s="1457"/>
      <c r="M259" s="1457"/>
      <c r="N259" s="742"/>
      <c r="O259" s="742"/>
      <c r="P259" s="504"/>
      <c r="R259" s="742"/>
      <c r="S259" s="742"/>
      <c r="T259" s="742"/>
    </row>
    <row r="260" spans="1:20">
      <c r="A260" s="1453">
        <f t="shared" si="17"/>
        <v>243</v>
      </c>
      <c r="B260" s="1454">
        <f t="shared" si="18"/>
        <v>306900000</v>
      </c>
      <c r="C260" s="1454">
        <f t="shared" si="15"/>
        <v>63937.5</v>
      </c>
      <c r="D260" s="1454">
        <f t="shared" si="16"/>
        <v>0</v>
      </c>
      <c r="E260" s="1454">
        <f t="shared" si="19"/>
        <v>63937.5</v>
      </c>
      <c r="I260" s="1445"/>
      <c r="J260" s="135"/>
      <c r="K260" s="1093"/>
      <c r="L260" s="1457"/>
      <c r="M260" s="1457"/>
      <c r="N260" s="742"/>
      <c r="O260" s="742"/>
      <c r="P260" s="504"/>
      <c r="R260" s="742"/>
      <c r="S260" s="742"/>
      <c r="T260" s="742"/>
    </row>
    <row r="261" spans="1:20">
      <c r="A261" s="1453">
        <f t="shared" si="17"/>
        <v>244</v>
      </c>
      <c r="B261" s="1454">
        <f t="shared" si="18"/>
        <v>306900000</v>
      </c>
      <c r="C261" s="1454">
        <f t="shared" si="15"/>
        <v>63937.5</v>
      </c>
      <c r="D261" s="1454">
        <f t="shared" si="16"/>
        <v>0</v>
      </c>
      <c r="E261" s="1454">
        <f t="shared" si="19"/>
        <v>63937.5</v>
      </c>
      <c r="I261" s="1445"/>
      <c r="J261" s="135"/>
      <c r="K261" s="1093"/>
      <c r="L261" s="1457"/>
      <c r="M261" s="1457"/>
      <c r="N261" s="742"/>
      <c r="O261" s="742"/>
      <c r="P261" s="504"/>
      <c r="R261" s="742"/>
      <c r="S261" s="742"/>
      <c r="T261" s="742"/>
    </row>
    <row r="262" spans="1:20">
      <c r="A262" s="1453">
        <f t="shared" si="17"/>
        <v>245</v>
      </c>
      <c r="B262" s="1454">
        <f t="shared" si="18"/>
        <v>306900000</v>
      </c>
      <c r="C262" s="1454">
        <f t="shared" si="15"/>
        <v>63937.5</v>
      </c>
      <c r="D262" s="1454">
        <f t="shared" si="16"/>
        <v>0</v>
      </c>
      <c r="E262" s="1454">
        <f t="shared" si="19"/>
        <v>63937.5</v>
      </c>
      <c r="I262" s="1445"/>
      <c r="J262" s="135"/>
      <c r="K262" s="1093"/>
      <c r="L262" s="1457"/>
      <c r="M262" s="1457"/>
      <c r="N262" s="742"/>
      <c r="O262" s="742"/>
      <c r="P262" s="504"/>
      <c r="R262" s="742"/>
      <c r="S262" s="742"/>
      <c r="T262" s="742"/>
    </row>
    <row r="263" spans="1:20">
      <c r="A263" s="1453">
        <f t="shared" si="17"/>
        <v>246</v>
      </c>
      <c r="B263" s="1454">
        <f t="shared" si="18"/>
        <v>306900000</v>
      </c>
      <c r="C263" s="1454">
        <f t="shared" si="15"/>
        <v>63937.5</v>
      </c>
      <c r="D263" s="1454">
        <f t="shared" si="16"/>
        <v>0</v>
      </c>
      <c r="E263" s="1454">
        <f t="shared" si="19"/>
        <v>63937.5</v>
      </c>
      <c r="I263" s="1445"/>
      <c r="J263" s="135"/>
      <c r="K263" s="1093"/>
      <c r="L263" s="1457"/>
      <c r="M263" s="1457"/>
      <c r="N263" s="742"/>
      <c r="O263" s="742"/>
      <c r="P263" s="504"/>
      <c r="R263" s="742"/>
      <c r="S263" s="742"/>
      <c r="T263" s="742"/>
    </row>
    <row r="264" spans="1:20">
      <c r="A264" s="1453">
        <f t="shared" si="17"/>
        <v>247</v>
      </c>
      <c r="B264" s="1454">
        <f t="shared" si="18"/>
        <v>306900000</v>
      </c>
      <c r="C264" s="1454">
        <f t="shared" si="15"/>
        <v>63937.5</v>
      </c>
      <c r="D264" s="1454">
        <f t="shared" si="16"/>
        <v>0</v>
      </c>
      <c r="E264" s="1454">
        <f t="shared" si="19"/>
        <v>63937.5</v>
      </c>
      <c r="I264" s="1445"/>
      <c r="J264" s="135"/>
      <c r="K264" s="1093"/>
      <c r="L264" s="1457"/>
      <c r="M264" s="1457"/>
      <c r="N264" s="742"/>
      <c r="O264" s="742"/>
      <c r="P264" s="504"/>
      <c r="R264" s="742"/>
      <c r="S264" s="742"/>
      <c r="T264" s="742"/>
    </row>
    <row r="265" spans="1:20">
      <c r="A265" s="1453">
        <f t="shared" si="17"/>
        <v>248</v>
      </c>
      <c r="B265" s="1454">
        <f t="shared" si="18"/>
        <v>306900000</v>
      </c>
      <c r="C265" s="1454">
        <f t="shared" si="15"/>
        <v>63937.5</v>
      </c>
      <c r="D265" s="1454">
        <f t="shared" si="16"/>
        <v>0</v>
      </c>
      <c r="E265" s="1454">
        <f t="shared" si="19"/>
        <v>63937.5</v>
      </c>
      <c r="I265" s="1445"/>
      <c r="J265" s="135"/>
      <c r="K265" s="1093"/>
      <c r="L265" s="1457"/>
      <c r="M265" s="1457"/>
      <c r="N265" s="742"/>
      <c r="O265" s="742"/>
      <c r="P265" s="504"/>
      <c r="R265" s="742"/>
      <c r="S265" s="742"/>
      <c r="T265" s="742"/>
    </row>
    <row r="266" spans="1:20">
      <c r="A266" s="1453">
        <f t="shared" si="17"/>
        <v>249</v>
      </c>
      <c r="B266" s="1454">
        <f t="shared" si="18"/>
        <v>306900000</v>
      </c>
      <c r="C266" s="1454">
        <f t="shared" si="15"/>
        <v>63937.5</v>
      </c>
      <c r="D266" s="1454">
        <f t="shared" si="16"/>
        <v>0</v>
      </c>
      <c r="E266" s="1454">
        <f t="shared" si="19"/>
        <v>63937.5</v>
      </c>
      <c r="I266" s="1445"/>
      <c r="J266" s="135"/>
      <c r="K266" s="1093"/>
      <c r="L266" s="1457"/>
      <c r="M266" s="1457"/>
      <c r="N266" s="742"/>
      <c r="O266" s="742"/>
      <c r="P266" s="504"/>
      <c r="R266" s="742"/>
      <c r="S266" s="742"/>
      <c r="T266" s="742"/>
    </row>
    <row r="267" spans="1:20">
      <c r="A267" s="1453">
        <f t="shared" si="17"/>
        <v>250</v>
      </c>
      <c r="B267" s="1454">
        <f t="shared" si="18"/>
        <v>306900000</v>
      </c>
      <c r="C267" s="1454">
        <f t="shared" si="15"/>
        <v>63937.5</v>
      </c>
      <c r="D267" s="1454">
        <f t="shared" si="16"/>
        <v>0</v>
      </c>
      <c r="E267" s="1454">
        <f t="shared" si="19"/>
        <v>63937.5</v>
      </c>
      <c r="I267" s="1445"/>
      <c r="J267" s="135"/>
      <c r="K267" s="1093"/>
      <c r="L267" s="1457"/>
      <c r="M267" s="1457"/>
      <c r="N267" s="742"/>
      <c r="O267" s="742"/>
      <c r="P267" s="504"/>
      <c r="R267" s="742"/>
      <c r="S267" s="742"/>
      <c r="T267" s="742"/>
    </row>
    <row r="268" spans="1:20">
      <c r="A268" s="1453">
        <f t="shared" si="17"/>
        <v>251</v>
      </c>
      <c r="B268" s="1454">
        <f t="shared" si="18"/>
        <v>306900000</v>
      </c>
      <c r="C268" s="1454">
        <f t="shared" si="15"/>
        <v>63937.5</v>
      </c>
      <c r="D268" s="1454">
        <f t="shared" si="16"/>
        <v>0</v>
      </c>
      <c r="E268" s="1454">
        <f t="shared" si="19"/>
        <v>63937.5</v>
      </c>
      <c r="I268" s="1445"/>
      <c r="J268" s="135"/>
      <c r="K268" s="1093"/>
      <c r="L268" s="1457"/>
      <c r="M268" s="1457"/>
      <c r="N268" s="742"/>
      <c r="O268" s="742"/>
      <c r="P268" s="504"/>
      <c r="R268" s="742"/>
      <c r="S268" s="742"/>
      <c r="T268" s="742"/>
    </row>
    <row r="269" spans="1:20">
      <c r="A269" s="1453">
        <f t="shared" si="17"/>
        <v>252</v>
      </c>
      <c r="B269" s="1454">
        <f t="shared" si="18"/>
        <v>306900000</v>
      </c>
      <c r="C269" s="1454">
        <f t="shared" si="15"/>
        <v>63937.5</v>
      </c>
      <c r="D269" s="1454">
        <f t="shared" si="16"/>
        <v>0</v>
      </c>
      <c r="E269" s="1454">
        <f t="shared" si="19"/>
        <v>63937.5</v>
      </c>
      <c r="I269" s="1445"/>
      <c r="J269" s="135"/>
      <c r="K269" s="1093"/>
      <c r="L269" s="1457"/>
      <c r="M269" s="1457"/>
      <c r="N269" s="742"/>
      <c r="O269" s="742"/>
      <c r="P269" s="504"/>
      <c r="R269" s="742"/>
      <c r="S269" s="742"/>
      <c r="T269" s="742"/>
    </row>
    <row r="270" spans="1:20">
      <c r="A270" s="1453">
        <f t="shared" si="17"/>
        <v>253</v>
      </c>
      <c r="B270" s="1454">
        <f t="shared" si="18"/>
        <v>306900000</v>
      </c>
      <c r="C270" s="1454">
        <f t="shared" si="15"/>
        <v>63937.5</v>
      </c>
      <c r="D270" s="1454">
        <f t="shared" si="16"/>
        <v>0</v>
      </c>
      <c r="E270" s="1454">
        <f t="shared" si="19"/>
        <v>63937.5</v>
      </c>
      <c r="I270" s="1445"/>
      <c r="J270" s="135"/>
      <c r="K270" s="1093"/>
      <c r="L270" s="1457"/>
      <c r="M270" s="1457"/>
      <c r="N270" s="742"/>
      <c r="O270" s="742"/>
      <c r="P270" s="504"/>
      <c r="R270" s="742"/>
      <c r="S270" s="742"/>
      <c r="T270" s="742"/>
    </row>
    <row r="271" spans="1:20">
      <c r="A271" s="1453">
        <f t="shared" si="17"/>
        <v>254</v>
      </c>
      <c r="B271" s="1454">
        <f t="shared" si="18"/>
        <v>306900000</v>
      </c>
      <c r="C271" s="1454">
        <f t="shared" si="15"/>
        <v>63937.5</v>
      </c>
      <c r="D271" s="1454">
        <f t="shared" si="16"/>
        <v>0</v>
      </c>
      <c r="E271" s="1454">
        <f t="shared" si="19"/>
        <v>63937.5</v>
      </c>
      <c r="I271" s="1445"/>
      <c r="J271" s="135"/>
      <c r="K271" s="1093"/>
      <c r="L271" s="1457"/>
      <c r="M271" s="1457"/>
      <c r="N271" s="742"/>
      <c r="O271" s="742"/>
      <c r="P271" s="504"/>
      <c r="R271" s="742"/>
      <c r="S271" s="742"/>
      <c r="T271" s="742"/>
    </row>
    <row r="272" spans="1:20">
      <c r="A272" s="1453">
        <f t="shared" si="17"/>
        <v>255</v>
      </c>
      <c r="B272" s="1454">
        <f t="shared" si="18"/>
        <v>306900000</v>
      </c>
      <c r="C272" s="1454">
        <f t="shared" si="15"/>
        <v>63937.5</v>
      </c>
      <c r="D272" s="1454">
        <f t="shared" si="16"/>
        <v>0</v>
      </c>
      <c r="E272" s="1454">
        <f t="shared" si="19"/>
        <v>63937.5</v>
      </c>
      <c r="I272" s="1445"/>
      <c r="J272" s="135"/>
      <c r="K272" s="1093"/>
      <c r="L272" s="1457"/>
      <c r="M272" s="1457"/>
      <c r="N272" s="742"/>
      <c r="O272" s="742"/>
      <c r="P272" s="504"/>
      <c r="R272" s="742"/>
      <c r="S272" s="742"/>
      <c r="T272" s="742"/>
    </row>
    <row r="273" spans="1:20">
      <c r="A273" s="1453">
        <f t="shared" si="17"/>
        <v>256</v>
      </c>
      <c r="B273" s="1454">
        <f t="shared" si="18"/>
        <v>306900000</v>
      </c>
      <c r="C273" s="1454">
        <f t="shared" si="15"/>
        <v>63937.5</v>
      </c>
      <c r="D273" s="1454">
        <f t="shared" si="16"/>
        <v>0</v>
      </c>
      <c r="E273" s="1454">
        <f t="shared" si="19"/>
        <v>63937.5</v>
      </c>
      <c r="I273" s="1445"/>
      <c r="J273" s="135"/>
      <c r="K273" s="1093"/>
      <c r="L273" s="1457"/>
      <c r="M273" s="1457"/>
      <c r="N273" s="742"/>
      <c r="O273" s="742"/>
      <c r="P273" s="504"/>
      <c r="R273" s="742"/>
      <c r="S273" s="742"/>
      <c r="T273" s="742"/>
    </row>
    <row r="274" spans="1:20">
      <c r="A274" s="1453">
        <f t="shared" si="17"/>
        <v>257</v>
      </c>
      <c r="B274" s="1454">
        <f t="shared" si="18"/>
        <v>306900000</v>
      </c>
      <c r="C274" s="1454">
        <f t="shared" ref="C274:C337" si="20">B273*$D$4/12</f>
        <v>63937.5</v>
      </c>
      <c r="D274" s="1454">
        <f t="shared" ref="D274:D337" si="21">IF(A274&gt;$D$6,0,$D$5-C274)</f>
        <v>0</v>
      </c>
      <c r="E274" s="1454">
        <f t="shared" si="19"/>
        <v>63937.5</v>
      </c>
      <c r="I274" s="1445"/>
      <c r="J274" s="135"/>
      <c r="K274" s="1093"/>
      <c r="L274" s="1457"/>
      <c r="M274" s="1457"/>
      <c r="N274" s="742"/>
      <c r="O274" s="742"/>
      <c r="P274" s="504"/>
      <c r="R274" s="742"/>
      <c r="S274" s="742"/>
      <c r="T274" s="742"/>
    </row>
    <row r="275" spans="1:20">
      <c r="A275" s="1453">
        <f t="shared" ref="A275:A338" si="22">A274+1</f>
        <v>258</v>
      </c>
      <c r="B275" s="1454">
        <f t="shared" ref="B275:B338" si="23">B274-D275</f>
        <v>306900000</v>
      </c>
      <c r="C275" s="1454">
        <f t="shared" si="20"/>
        <v>63937.5</v>
      </c>
      <c r="D275" s="1454">
        <f t="shared" si="21"/>
        <v>0</v>
      </c>
      <c r="E275" s="1454">
        <f t="shared" ref="E275:E338" si="24">SUM(C275:D275)</f>
        <v>63937.5</v>
      </c>
      <c r="I275" s="1445"/>
      <c r="J275" s="135"/>
      <c r="K275" s="1093"/>
      <c r="L275" s="1457"/>
      <c r="M275" s="1457"/>
      <c r="N275" s="742"/>
      <c r="O275" s="742"/>
      <c r="P275" s="504"/>
      <c r="R275" s="742"/>
      <c r="S275" s="742"/>
      <c r="T275" s="742"/>
    </row>
    <row r="276" spans="1:20">
      <c r="A276" s="1453">
        <f t="shared" si="22"/>
        <v>259</v>
      </c>
      <c r="B276" s="1454">
        <f t="shared" si="23"/>
        <v>306900000</v>
      </c>
      <c r="C276" s="1454">
        <f t="shared" si="20"/>
        <v>63937.5</v>
      </c>
      <c r="D276" s="1454">
        <f t="shared" si="21"/>
        <v>0</v>
      </c>
      <c r="E276" s="1454">
        <f t="shared" si="24"/>
        <v>63937.5</v>
      </c>
      <c r="I276" s="1445"/>
      <c r="J276" s="135"/>
      <c r="K276" s="1093"/>
      <c r="L276" s="1457"/>
      <c r="M276" s="1457"/>
      <c r="N276" s="742"/>
      <c r="O276" s="742"/>
      <c r="P276" s="504"/>
      <c r="R276" s="742"/>
      <c r="S276" s="742"/>
      <c r="T276" s="742"/>
    </row>
    <row r="277" spans="1:20">
      <c r="A277" s="1453">
        <f t="shared" si="22"/>
        <v>260</v>
      </c>
      <c r="B277" s="1454">
        <f t="shared" si="23"/>
        <v>306900000</v>
      </c>
      <c r="C277" s="1454">
        <f t="shared" si="20"/>
        <v>63937.5</v>
      </c>
      <c r="D277" s="1454">
        <f t="shared" si="21"/>
        <v>0</v>
      </c>
      <c r="E277" s="1454">
        <f t="shared" si="24"/>
        <v>63937.5</v>
      </c>
      <c r="I277" s="1445"/>
      <c r="J277" s="135"/>
      <c r="K277" s="1093"/>
      <c r="L277" s="1457"/>
      <c r="M277" s="1457"/>
      <c r="N277" s="742"/>
      <c r="O277" s="742"/>
      <c r="P277" s="504"/>
      <c r="R277" s="742"/>
      <c r="S277" s="742"/>
      <c r="T277" s="742"/>
    </row>
    <row r="278" spans="1:20">
      <c r="A278" s="1453">
        <f t="shared" si="22"/>
        <v>261</v>
      </c>
      <c r="B278" s="1454">
        <f t="shared" si="23"/>
        <v>306900000</v>
      </c>
      <c r="C278" s="1454">
        <f t="shared" si="20"/>
        <v>63937.5</v>
      </c>
      <c r="D278" s="1454">
        <f t="shared" si="21"/>
        <v>0</v>
      </c>
      <c r="E278" s="1454">
        <f t="shared" si="24"/>
        <v>63937.5</v>
      </c>
      <c r="I278" s="1445"/>
      <c r="J278" s="135"/>
      <c r="K278" s="1093"/>
      <c r="L278" s="1457"/>
      <c r="M278" s="1457"/>
      <c r="N278" s="742"/>
      <c r="O278" s="742"/>
      <c r="P278" s="504"/>
      <c r="R278" s="742"/>
      <c r="S278" s="742"/>
      <c r="T278" s="742"/>
    </row>
    <row r="279" spans="1:20">
      <c r="A279" s="1453">
        <f t="shared" si="22"/>
        <v>262</v>
      </c>
      <c r="B279" s="1454">
        <f t="shared" si="23"/>
        <v>306900000</v>
      </c>
      <c r="C279" s="1454">
        <f t="shared" si="20"/>
        <v>63937.5</v>
      </c>
      <c r="D279" s="1454">
        <f t="shared" si="21"/>
        <v>0</v>
      </c>
      <c r="E279" s="1454">
        <f t="shared" si="24"/>
        <v>63937.5</v>
      </c>
      <c r="I279" s="1445"/>
      <c r="J279" s="135"/>
      <c r="K279" s="1093"/>
      <c r="L279" s="1457"/>
      <c r="M279" s="1457"/>
      <c r="N279" s="742"/>
      <c r="O279" s="742"/>
      <c r="P279" s="504"/>
      <c r="R279" s="742"/>
      <c r="S279" s="742"/>
      <c r="T279" s="742"/>
    </row>
    <row r="280" spans="1:20">
      <c r="A280" s="1453">
        <f t="shared" si="22"/>
        <v>263</v>
      </c>
      <c r="B280" s="1454">
        <f t="shared" si="23"/>
        <v>306900000</v>
      </c>
      <c r="C280" s="1454">
        <f t="shared" si="20"/>
        <v>63937.5</v>
      </c>
      <c r="D280" s="1454">
        <f t="shared" si="21"/>
        <v>0</v>
      </c>
      <c r="E280" s="1454">
        <f t="shared" si="24"/>
        <v>63937.5</v>
      </c>
      <c r="I280" s="1445"/>
      <c r="J280" s="135"/>
      <c r="K280" s="1093"/>
      <c r="L280" s="1457"/>
      <c r="M280" s="1457"/>
      <c r="N280" s="742"/>
      <c r="O280" s="742"/>
      <c r="P280" s="504"/>
      <c r="R280" s="742"/>
      <c r="S280" s="742"/>
      <c r="T280" s="742"/>
    </row>
    <row r="281" spans="1:20">
      <c r="A281" s="1453">
        <f t="shared" si="22"/>
        <v>264</v>
      </c>
      <c r="B281" s="1454">
        <f t="shared" si="23"/>
        <v>306900000</v>
      </c>
      <c r="C281" s="1454">
        <f t="shared" si="20"/>
        <v>63937.5</v>
      </c>
      <c r="D281" s="1454">
        <f t="shared" si="21"/>
        <v>0</v>
      </c>
      <c r="E281" s="1454">
        <f t="shared" si="24"/>
        <v>63937.5</v>
      </c>
      <c r="I281" s="1445"/>
      <c r="J281" s="135"/>
      <c r="K281" s="1093"/>
      <c r="L281" s="1457"/>
      <c r="M281" s="1457"/>
      <c r="N281" s="742"/>
      <c r="O281" s="742"/>
      <c r="P281" s="504"/>
      <c r="R281" s="742"/>
      <c r="S281" s="742"/>
      <c r="T281" s="742"/>
    </row>
    <row r="282" spans="1:20">
      <c r="A282" s="1453">
        <f t="shared" si="22"/>
        <v>265</v>
      </c>
      <c r="B282" s="1454">
        <f t="shared" si="23"/>
        <v>306900000</v>
      </c>
      <c r="C282" s="1454">
        <f t="shared" si="20"/>
        <v>63937.5</v>
      </c>
      <c r="D282" s="1454">
        <f t="shared" si="21"/>
        <v>0</v>
      </c>
      <c r="E282" s="1454">
        <f t="shared" si="24"/>
        <v>63937.5</v>
      </c>
      <c r="I282" s="1445"/>
      <c r="J282" s="135"/>
      <c r="K282" s="1093"/>
      <c r="L282" s="1457"/>
      <c r="M282" s="1457"/>
      <c r="N282" s="742"/>
      <c r="O282" s="742"/>
      <c r="P282" s="504"/>
      <c r="R282" s="742"/>
      <c r="S282" s="742"/>
      <c r="T282" s="742"/>
    </row>
    <row r="283" spans="1:20">
      <c r="A283" s="1453">
        <f t="shared" si="22"/>
        <v>266</v>
      </c>
      <c r="B283" s="1454">
        <f t="shared" si="23"/>
        <v>306900000</v>
      </c>
      <c r="C283" s="1454">
        <f t="shared" si="20"/>
        <v>63937.5</v>
      </c>
      <c r="D283" s="1454">
        <f t="shared" si="21"/>
        <v>0</v>
      </c>
      <c r="E283" s="1454">
        <f t="shared" si="24"/>
        <v>63937.5</v>
      </c>
      <c r="I283" s="1445"/>
      <c r="J283" s="135"/>
      <c r="K283" s="1093"/>
      <c r="L283" s="1457"/>
      <c r="M283" s="1457"/>
      <c r="N283" s="742"/>
      <c r="O283" s="742"/>
      <c r="P283" s="504"/>
      <c r="R283" s="742"/>
      <c r="S283" s="742"/>
      <c r="T283" s="742"/>
    </row>
    <row r="284" spans="1:20">
      <c r="A284" s="1453">
        <f t="shared" si="22"/>
        <v>267</v>
      </c>
      <c r="B284" s="1454">
        <f t="shared" si="23"/>
        <v>306900000</v>
      </c>
      <c r="C284" s="1454">
        <f t="shared" si="20"/>
        <v>63937.5</v>
      </c>
      <c r="D284" s="1454">
        <f t="shared" si="21"/>
        <v>0</v>
      </c>
      <c r="E284" s="1454">
        <f t="shared" si="24"/>
        <v>63937.5</v>
      </c>
      <c r="I284" s="1445"/>
      <c r="J284" s="135"/>
      <c r="K284" s="1093"/>
      <c r="L284" s="1457"/>
      <c r="M284" s="1457"/>
      <c r="N284" s="742"/>
      <c r="O284" s="742"/>
      <c r="P284" s="504"/>
      <c r="R284" s="742"/>
      <c r="S284" s="742"/>
      <c r="T284" s="742"/>
    </row>
    <row r="285" spans="1:20">
      <c r="A285" s="1453">
        <f t="shared" si="22"/>
        <v>268</v>
      </c>
      <c r="B285" s="1454">
        <f t="shared" si="23"/>
        <v>306900000</v>
      </c>
      <c r="C285" s="1454">
        <f t="shared" si="20"/>
        <v>63937.5</v>
      </c>
      <c r="D285" s="1454">
        <f t="shared" si="21"/>
        <v>0</v>
      </c>
      <c r="E285" s="1454">
        <f t="shared" si="24"/>
        <v>63937.5</v>
      </c>
      <c r="I285" s="1445"/>
      <c r="J285" s="135"/>
      <c r="K285" s="1093"/>
      <c r="L285" s="1457"/>
      <c r="M285" s="1457"/>
      <c r="N285" s="742"/>
      <c r="O285" s="742"/>
      <c r="P285" s="504"/>
      <c r="R285" s="742"/>
      <c r="S285" s="742"/>
      <c r="T285" s="742"/>
    </row>
    <row r="286" spans="1:20">
      <c r="A286" s="1453">
        <f t="shared" si="22"/>
        <v>269</v>
      </c>
      <c r="B286" s="1454">
        <f t="shared" si="23"/>
        <v>306900000</v>
      </c>
      <c r="C286" s="1454">
        <f t="shared" si="20"/>
        <v>63937.5</v>
      </c>
      <c r="D286" s="1454">
        <f t="shared" si="21"/>
        <v>0</v>
      </c>
      <c r="E286" s="1454">
        <f t="shared" si="24"/>
        <v>63937.5</v>
      </c>
      <c r="I286" s="1445"/>
      <c r="J286" s="135"/>
      <c r="K286" s="1093"/>
      <c r="L286" s="1457"/>
      <c r="M286" s="1457"/>
      <c r="N286" s="742"/>
      <c r="O286" s="742"/>
      <c r="P286" s="504"/>
      <c r="R286" s="742"/>
      <c r="S286" s="742"/>
      <c r="T286" s="742"/>
    </row>
    <row r="287" spans="1:20">
      <c r="A287" s="1453">
        <f t="shared" si="22"/>
        <v>270</v>
      </c>
      <c r="B287" s="1454">
        <f t="shared" si="23"/>
        <v>306900000</v>
      </c>
      <c r="C287" s="1454">
        <f t="shared" si="20"/>
        <v>63937.5</v>
      </c>
      <c r="D287" s="1454">
        <f t="shared" si="21"/>
        <v>0</v>
      </c>
      <c r="E287" s="1454">
        <f t="shared" si="24"/>
        <v>63937.5</v>
      </c>
      <c r="I287" s="1445"/>
      <c r="J287" s="135"/>
      <c r="K287" s="1093"/>
      <c r="L287" s="1457"/>
      <c r="M287" s="1457"/>
      <c r="N287" s="742"/>
      <c r="O287" s="742"/>
      <c r="P287" s="504"/>
      <c r="R287" s="742"/>
      <c r="S287" s="742"/>
      <c r="T287" s="742"/>
    </row>
    <row r="288" spans="1:20">
      <c r="A288" s="1453">
        <f t="shared" si="22"/>
        <v>271</v>
      </c>
      <c r="B288" s="1454">
        <f t="shared" si="23"/>
        <v>306900000</v>
      </c>
      <c r="C288" s="1454">
        <f t="shared" si="20"/>
        <v>63937.5</v>
      </c>
      <c r="D288" s="1454">
        <f t="shared" si="21"/>
        <v>0</v>
      </c>
      <c r="E288" s="1454">
        <f t="shared" si="24"/>
        <v>63937.5</v>
      </c>
      <c r="I288" s="1445"/>
      <c r="J288" s="135"/>
      <c r="K288" s="1093"/>
      <c r="L288" s="1457"/>
      <c r="M288" s="1457"/>
      <c r="N288" s="742"/>
      <c r="O288" s="742"/>
      <c r="P288" s="504"/>
      <c r="R288" s="742"/>
      <c r="S288" s="742"/>
      <c r="T288" s="742"/>
    </row>
    <row r="289" spans="1:20">
      <c r="A289" s="1453">
        <f t="shared" si="22"/>
        <v>272</v>
      </c>
      <c r="B289" s="1454">
        <f t="shared" si="23"/>
        <v>306900000</v>
      </c>
      <c r="C289" s="1454">
        <f t="shared" si="20"/>
        <v>63937.5</v>
      </c>
      <c r="D289" s="1454">
        <f t="shared" si="21"/>
        <v>0</v>
      </c>
      <c r="E289" s="1454">
        <f t="shared" si="24"/>
        <v>63937.5</v>
      </c>
      <c r="I289" s="1445"/>
      <c r="J289" s="135"/>
      <c r="K289" s="1093"/>
      <c r="L289" s="1457"/>
      <c r="M289" s="1457"/>
      <c r="N289" s="742"/>
      <c r="O289" s="742"/>
      <c r="P289" s="504"/>
      <c r="R289" s="742"/>
      <c r="S289" s="742"/>
      <c r="T289" s="742"/>
    </row>
    <row r="290" spans="1:20">
      <c r="A290" s="1453">
        <f t="shared" si="22"/>
        <v>273</v>
      </c>
      <c r="B290" s="1454">
        <f t="shared" si="23"/>
        <v>306900000</v>
      </c>
      <c r="C290" s="1454">
        <f t="shared" si="20"/>
        <v>63937.5</v>
      </c>
      <c r="D290" s="1454">
        <f t="shared" si="21"/>
        <v>0</v>
      </c>
      <c r="E290" s="1454">
        <f t="shared" si="24"/>
        <v>63937.5</v>
      </c>
      <c r="I290" s="1445"/>
      <c r="J290" s="135"/>
      <c r="K290" s="1093"/>
      <c r="L290" s="1457"/>
      <c r="M290" s="1457"/>
      <c r="N290" s="742"/>
      <c r="O290" s="742"/>
      <c r="P290" s="504"/>
      <c r="R290" s="742"/>
      <c r="S290" s="742"/>
      <c r="T290" s="742"/>
    </row>
    <row r="291" spans="1:20">
      <c r="A291" s="1453">
        <f t="shared" si="22"/>
        <v>274</v>
      </c>
      <c r="B291" s="1454">
        <f t="shared" si="23"/>
        <v>306900000</v>
      </c>
      <c r="C291" s="1454">
        <f t="shared" si="20"/>
        <v>63937.5</v>
      </c>
      <c r="D291" s="1454">
        <f t="shared" si="21"/>
        <v>0</v>
      </c>
      <c r="E291" s="1454">
        <f t="shared" si="24"/>
        <v>63937.5</v>
      </c>
      <c r="I291" s="1445"/>
      <c r="J291" s="135"/>
      <c r="K291" s="1093"/>
      <c r="L291" s="1457"/>
      <c r="M291" s="1457"/>
      <c r="N291" s="742"/>
      <c r="O291" s="742"/>
      <c r="P291" s="504"/>
      <c r="R291" s="742"/>
      <c r="S291" s="742"/>
      <c r="T291" s="742"/>
    </row>
    <row r="292" spans="1:20">
      <c r="A292" s="1453">
        <f t="shared" si="22"/>
        <v>275</v>
      </c>
      <c r="B292" s="1454">
        <f t="shared" si="23"/>
        <v>306900000</v>
      </c>
      <c r="C292" s="1454">
        <f t="shared" si="20"/>
        <v>63937.5</v>
      </c>
      <c r="D292" s="1454">
        <f t="shared" si="21"/>
        <v>0</v>
      </c>
      <c r="E292" s="1454">
        <f t="shared" si="24"/>
        <v>63937.5</v>
      </c>
      <c r="I292" s="1445"/>
      <c r="J292" s="135"/>
      <c r="K292" s="1093"/>
      <c r="L292" s="1457"/>
      <c r="M292" s="1457"/>
      <c r="N292" s="742"/>
      <c r="O292" s="742"/>
      <c r="P292" s="504"/>
      <c r="R292" s="742"/>
      <c r="S292" s="742"/>
      <c r="T292" s="742"/>
    </row>
    <row r="293" spans="1:20">
      <c r="A293" s="1453">
        <f t="shared" si="22"/>
        <v>276</v>
      </c>
      <c r="B293" s="1454">
        <f t="shared" si="23"/>
        <v>306900000</v>
      </c>
      <c r="C293" s="1454">
        <f t="shared" si="20"/>
        <v>63937.5</v>
      </c>
      <c r="D293" s="1454">
        <f t="shared" si="21"/>
        <v>0</v>
      </c>
      <c r="E293" s="1454">
        <f t="shared" si="24"/>
        <v>63937.5</v>
      </c>
      <c r="I293" s="1445"/>
      <c r="J293" s="135"/>
      <c r="K293" s="1093"/>
      <c r="L293" s="1457"/>
      <c r="M293" s="1457"/>
      <c r="N293" s="742"/>
      <c r="O293" s="742"/>
      <c r="P293" s="504"/>
      <c r="R293" s="742"/>
      <c r="S293" s="742"/>
      <c r="T293" s="742"/>
    </row>
    <row r="294" spans="1:20">
      <c r="A294" s="1453">
        <f t="shared" si="22"/>
        <v>277</v>
      </c>
      <c r="B294" s="1454">
        <f t="shared" si="23"/>
        <v>306900000</v>
      </c>
      <c r="C294" s="1454">
        <f t="shared" si="20"/>
        <v>63937.5</v>
      </c>
      <c r="D294" s="1454">
        <f t="shared" si="21"/>
        <v>0</v>
      </c>
      <c r="E294" s="1454">
        <f t="shared" si="24"/>
        <v>63937.5</v>
      </c>
      <c r="I294" s="1445"/>
      <c r="J294" s="135"/>
      <c r="K294" s="1093"/>
      <c r="L294" s="1457"/>
      <c r="M294" s="1457"/>
      <c r="N294" s="742"/>
      <c r="O294" s="742"/>
      <c r="P294" s="504"/>
      <c r="R294" s="742"/>
      <c r="S294" s="742"/>
      <c r="T294" s="742"/>
    </row>
    <row r="295" spans="1:20">
      <c r="A295" s="1453">
        <f t="shared" si="22"/>
        <v>278</v>
      </c>
      <c r="B295" s="1454">
        <f t="shared" si="23"/>
        <v>306900000</v>
      </c>
      <c r="C295" s="1454">
        <f t="shared" si="20"/>
        <v>63937.5</v>
      </c>
      <c r="D295" s="1454">
        <f t="shared" si="21"/>
        <v>0</v>
      </c>
      <c r="E295" s="1454">
        <f t="shared" si="24"/>
        <v>63937.5</v>
      </c>
      <c r="I295" s="1445"/>
      <c r="J295" s="135"/>
      <c r="K295" s="1093"/>
      <c r="L295" s="1457"/>
      <c r="M295" s="1457"/>
      <c r="N295" s="742"/>
      <c r="O295" s="742"/>
      <c r="P295" s="504"/>
      <c r="R295" s="742"/>
      <c r="S295" s="742"/>
      <c r="T295" s="742"/>
    </row>
    <row r="296" spans="1:20">
      <c r="A296" s="1453">
        <f t="shared" si="22"/>
        <v>279</v>
      </c>
      <c r="B296" s="1454">
        <f t="shared" si="23"/>
        <v>306900000</v>
      </c>
      <c r="C296" s="1454">
        <f t="shared" si="20"/>
        <v>63937.5</v>
      </c>
      <c r="D296" s="1454">
        <f t="shared" si="21"/>
        <v>0</v>
      </c>
      <c r="E296" s="1454">
        <f t="shared" si="24"/>
        <v>63937.5</v>
      </c>
      <c r="I296" s="1445"/>
      <c r="J296" s="135"/>
      <c r="K296" s="1093"/>
      <c r="L296" s="1457"/>
      <c r="M296" s="1457"/>
      <c r="N296" s="742"/>
      <c r="O296" s="742"/>
      <c r="P296" s="504"/>
      <c r="R296" s="742"/>
      <c r="S296" s="742"/>
      <c r="T296" s="742"/>
    </row>
    <row r="297" spans="1:20">
      <c r="A297" s="1453">
        <f t="shared" si="22"/>
        <v>280</v>
      </c>
      <c r="B297" s="1454">
        <f t="shared" si="23"/>
        <v>306900000</v>
      </c>
      <c r="C297" s="1454">
        <f t="shared" si="20"/>
        <v>63937.5</v>
      </c>
      <c r="D297" s="1454">
        <f t="shared" si="21"/>
        <v>0</v>
      </c>
      <c r="E297" s="1454">
        <f t="shared" si="24"/>
        <v>63937.5</v>
      </c>
      <c r="I297" s="1445"/>
      <c r="J297" s="135"/>
      <c r="K297" s="1093"/>
      <c r="L297" s="1457"/>
      <c r="M297" s="1457"/>
      <c r="N297" s="742"/>
      <c r="O297" s="742"/>
      <c r="P297" s="504"/>
      <c r="R297" s="742"/>
      <c r="S297" s="742"/>
      <c r="T297" s="742"/>
    </row>
    <row r="298" spans="1:20">
      <c r="A298" s="1453">
        <f t="shared" si="22"/>
        <v>281</v>
      </c>
      <c r="B298" s="1454">
        <f t="shared" si="23"/>
        <v>306900000</v>
      </c>
      <c r="C298" s="1454">
        <f t="shared" si="20"/>
        <v>63937.5</v>
      </c>
      <c r="D298" s="1454">
        <f t="shared" si="21"/>
        <v>0</v>
      </c>
      <c r="E298" s="1454">
        <f t="shared" si="24"/>
        <v>63937.5</v>
      </c>
      <c r="I298" s="1445"/>
      <c r="J298" s="135"/>
      <c r="K298" s="1093"/>
      <c r="L298" s="1457"/>
      <c r="M298" s="1457"/>
      <c r="N298" s="742"/>
      <c r="O298" s="742"/>
      <c r="P298" s="504"/>
      <c r="R298" s="742"/>
      <c r="S298" s="742"/>
      <c r="T298" s="742"/>
    </row>
    <row r="299" spans="1:20">
      <c r="A299" s="1453">
        <f t="shared" si="22"/>
        <v>282</v>
      </c>
      <c r="B299" s="1454">
        <f t="shared" si="23"/>
        <v>306900000</v>
      </c>
      <c r="C299" s="1454">
        <f t="shared" si="20"/>
        <v>63937.5</v>
      </c>
      <c r="D299" s="1454">
        <f t="shared" si="21"/>
        <v>0</v>
      </c>
      <c r="E299" s="1454">
        <f t="shared" si="24"/>
        <v>63937.5</v>
      </c>
      <c r="I299" s="1445"/>
      <c r="J299" s="135"/>
      <c r="K299" s="1093"/>
      <c r="L299" s="1457"/>
      <c r="M299" s="1457"/>
      <c r="N299" s="742"/>
      <c r="O299" s="742"/>
      <c r="P299" s="504"/>
      <c r="R299" s="742"/>
      <c r="S299" s="742"/>
      <c r="T299" s="742"/>
    </row>
    <row r="300" spans="1:20">
      <c r="A300" s="1453">
        <f t="shared" si="22"/>
        <v>283</v>
      </c>
      <c r="B300" s="1454">
        <f t="shared" si="23"/>
        <v>306900000</v>
      </c>
      <c r="C300" s="1454">
        <f t="shared" si="20"/>
        <v>63937.5</v>
      </c>
      <c r="D300" s="1454">
        <f t="shared" si="21"/>
        <v>0</v>
      </c>
      <c r="E300" s="1454">
        <f t="shared" si="24"/>
        <v>63937.5</v>
      </c>
      <c r="I300" s="1445"/>
      <c r="J300" s="135"/>
      <c r="K300" s="1093"/>
      <c r="L300" s="1457"/>
      <c r="M300" s="1457"/>
      <c r="N300" s="742"/>
      <c r="O300" s="742"/>
      <c r="P300" s="504"/>
      <c r="R300" s="742"/>
      <c r="S300" s="742"/>
      <c r="T300" s="742"/>
    </row>
    <row r="301" spans="1:20">
      <c r="A301" s="1453">
        <f t="shared" si="22"/>
        <v>284</v>
      </c>
      <c r="B301" s="1454">
        <f t="shared" si="23"/>
        <v>306900000</v>
      </c>
      <c r="C301" s="1454">
        <f t="shared" si="20"/>
        <v>63937.5</v>
      </c>
      <c r="D301" s="1454">
        <f t="shared" si="21"/>
        <v>0</v>
      </c>
      <c r="E301" s="1454">
        <f t="shared" si="24"/>
        <v>63937.5</v>
      </c>
      <c r="I301" s="1445"/>
      <c r="J301" s="135"/>
      <c r="K301" s="1093"/>
      <c r="L301" s="1457"/>
      <c r="M301" s="1457"/>
      <c r="N301" s="742"/>
      <c r="O301" s="742"/>
      <c r="P301" s="504"/>
      <c r="R301" s="742"/>
      <c r="S301" s="742"/>
      <c r="T301" s="742"/>
    </row>
    <row r="302" spans="1:20">
      <c r="A302" s="1453">
        <f t="shared" si="22"/>
        <v>285</v>
      </c>
      <c r="B302" s="1454">
        <f t="shared" si="23"/>
        <v>306900000</v>
      </c>
      <c r="C302" s="1454">
        <f t="shared" si="20"/>
        <v>63937.5</v>
      </c>
      <c r="D302" s="1454">
        <f t="shared" si="21"/>
        <v>0</v>
      </c>
      <c r="E302" s="1454">
        <f t="shared" si="24"/>
        <v>63937.5</v>
      </c>
      <c r="I302" s="1445"/>
      <c r="J302" s="135"/>
      <c r="K302" s="1093"/>
      <c r="L302" s="1457"/>
      <c r="M302" s="1457"/>
      <c r="N302" s="742"/>
      <c r="O302" s="742"/>
      <c r="P302" s="504"/>
      <c r="R302" s="742"/>
      <c r="S302" s="742"/>
      <c r="T302" s="742"/>
    </row>
    <row r="303" spans="1:20">
      <c r="A303" s="1453">
        <f t="shared" si="22"/>
        <v>286</v>
      </c>
      <c r="B303" s="1454">
        <f t="shared" si="23"/>
        <v>306900000</v>
      </c>
      <c r="C303" s="1454">
        <f t="shared" si="20"/>
        <v>63937.5</v>
      </c>
      <c r="D303" s="1454">
        <f t="shared" si="21"/>
        <v>0</v>
      </c>
      <c r="E303" s="1454">
        <f t="shared" si="24"/>
        <v>63937.5</v>
      </c>
      <c r="I303" s="1445"/>
      <c r="J303" s="135"/>
      <c r="K303" s="1093"/>
      <c r="L303" s="1457"/>
      <c r="M303" s="1457"/>
      <c r="N303" s="742"/>
      <c r="O303" s="742"/>
      <c r="P303" s="504"/>
      <c r="R303" s="742"/>
      <c r="S303" s="742"/>
      <c r="T303" s="742"/>
    </row>
    <row r="304" spans="1:20">
      <c r="A304" s="1453">
        <f t="shared" si="22"/>
        <v>287</v>
      </c>
      <c r="B304" s="1454">
        <f t="shared" si="23"/>
        <v>306900000</v>
      </c>
      <c r="C304" s="1454">
        <f t="shared" si="20"/>
        <v>63937.5</v>
      </c>
      <c r="D304" s="1454">
        <f t="shared" si="21"/>
        <v>0</v>
      </c>
      <c r="E304" s="1454">
        <f t="shared" si="24"/>
        <v>63937.5</v>
      </c>
      <c r="I304" s="1445"/>
      <c r="J304" s="135"/>
      <c r="K304" s="1093"/>
      <c r="L304" s="1457"/>
      <c r="M304" s="1457"/>
      <c r="N304" s="742"/>
      <c r="O304" s="742"/>
      <c r="P304" s="504"/>
      <c r="R304" s="742"/>
      <c r="S304" s="742"/>
      <c r="T304" s="742"/>
    </row>
    <row r="305" spans="1:20">
      <c r="A305" s="1453">
        <f t="shared" si="22"/>
        <v>288</v>
      </c>
      <c r="B305" s="1454">
        <f t="shared" si="23"/>
        <v>306900000</v>
      </c>
      <c r="C305" s="1454">
        <f t="shared" si="20"/>
        <v>63937.5</v>
      </c>
      <c r="D305" s="1454">
        <f t="shared" si="21"/>
        <v>0</v>
      </c>
      <c r="E305" s="1454">
        <f t="shared" si="24"/>
        <v>63937.5</v>
      </c>
      <c r="I305" s="1445"/>
      <c r="J305" s="135"/>
      <c r="K305" s="1093"/>
      <c r="L305" s="1457"/>
      <c r="M305" s="1457"/>
      <c r="N305" s="742"/>
      <c r="O305" s="742"/>
      <c r="P305" s="504"/>
      <c r="R305" s="742"/>
      <c r="S305" s="742"/>
      <c r="T305" s="742"/>
    </row>
    <row r="306" spans="1:20">
      <c r="A306" s="1453">
        <f t="shared" si="22"/>
        <v>289</v>
      </c>
      <c r="B306" s="1454">
        <f t="shared" si="23"/>
        <v>306900000</v>
      </c>
      <c r="C306" s="1454">
        <f t="shared" si="20"/>
        <v>63937.5</v>
      </c>
      <c r="D306" s="1454">
        <f t="shared" si="21"/>
        <v>0</v>
      </c>
      <c r="E306" s="1454">
        <f t="shared" si="24"/>
        <v>63937.5</v>
      </c>
      <c r="I306" s="1445"/>
      <c r="J306" s="135"/>
      <c r="K306" s="1093"/>
      <c r="L306" s="1457"/>
      <c r="M306" s="1457"/>
      <c r="N306" s="742"/>
      <c r="O306" s="742"/>
      <c r="P306" s="504"/>
      <c r="R306" s="742"/>
      <c r="S306" s="742"/>
      <c r="T306" s="742"/>
    </row>
    <row r="307" spans="1:20">
      <c r="A307" s="1453">
        <f t="shared" si="22"/>
        <v>290</v>
      </c>
      <c r="B307" s="1454">
        <f t="shared" si="23"/>
        <v>306900000</v>
      </c>
      <c r="C307" s="1454">
        <f t="shared" si="20"/>
        <v>63937.5</v>
      </c>
      <c r="D307" s="1454">
        <f t="shared" si="21"/>
        <v>0</v>
      </c>
      <c r="E307" s="1454">
        <f t="shared" si="24"/>
        <v>63937.5</v>
      </c>
      <c r="I307" s="1445"/>
      <c r="J307" s="135"/>
      <c r="K307" s="1093"/>
      <c r="L307" s="1457"/>
      <c r="M307" s="1457"/>
      <c r="N307" s="742"/>
      <c r="O307" s="742"/>
      <c r="P307" s="504"/>
      <c r="R307" s="742"/>
      <c r="S307" s="742"/>
      <c r="T307" s="742"/>
    </row>
    <row r="308" spans="1:20">
      <c r="A308" s="1453">
        <f t="shared" si="22"/>
        <v>291</v>
      </c>
      <c r="B308" s="1454">
        <f t="shared" si="23"/>
        <v>306900000</v>
      </c>
      <c r="C308" s="1454">
        <f t="shared" si="20"/>
        <v>63937.5</v>
      </c>
      <c r="D308" s="1454">
        <f t="shared" si="21"/>
        <v>0</v>
      </c>
      <c r="E308" s="1454">
        <f t="shared" si="24"/>
        <v>63937.5</v>
      </c>
      <c r="I308" s="1445"/>
      <c r="J308" s="135"/>
      <c r="K308" s="1093"/>
      <c r="L308" s="1457"/>
      <c r="M308" s="1457"/>
      <c r="N308" s="742"/>
      <c r="O308" s="742"/>
      <c r="P308" s="504"/>
      <c r="R308" s="742"/>
      <c r="S308" s="742"/>
      <c r="T308" s="742"/>
    </row>
    <row r="309" spans="1:20">
      <c r="A309" s="1453">
        <f t="shared" si="22"/>
        <v>292</v>
      </c>
      <c r="B309" s="1454">
        <f t="shared" si="23"/>
        <v>306900000</v>
      </c>
      <c r="C309" s="1454">
        <f t="shared" si="20"/>
        <v>63937.5</v>
      </c>
      <c r="D309" s="1454">
        <f t="shared" si="21"/>
        <v>0</v>
      </c>
      <c r="E309" s="1454">
        <f t="shared" si="24"/>
        <v>63937.5</v>
      </c>
      <c r="I309" s="1445"/>
      <c r="J309" s="135"/>
      <c r="K309" s="1093"/>
      <c r="L309" s="1457"/>
      <c r="M309" s="1457"/>
      <c r="N309" s="742"/>
      <c r="O309" s="742"/>
      <c r="P309" s="504"/>
      <c r="R309" s="742"/>
      <c r="S309" s="742"/>
      <c r="T309" s="742"/>
    </row>
    <row r="310" spans="1:20">
      <c r="A310" s="1453">
        <f t="shared" si="22"/>
        <v>293</v>
      </c>
      <c r="B310" s="1454">
        <f t="shared" si="23"/>
        <v>306900000</v>
      </c>
      <c r="C310" s="1454">
        <f t="shared" si="20"/>
        <v>63937.5</v>
      </c>
      <c r="D310" s="1454">
        <f t="shared" si="21"/>
        <v>0</v>
      </c>
      <c r="E310" s="1454">
        <f t="shared" si="24"/>
        <v>63937.5</v>
      </c>
      <c r="I310" s="1445"/>
      <c r="J310" s="135"/>
      <c r="K310" s="1093"/>
      <c r="L310" s="1457"/>
      <c r="M310" s="1457"/>
      <c r="N310" s="742"/>
      <c r="O310" s="742"/>
      <c r="P310" s="504"/>
      <c r="R310" s="742"/>
      <c r="S310" s="742"/>
      <c r="T310" s="742"/>
    </row>
    <row r="311" spans="1:20">
      <c r="A311" s="1453">
        <f t="shared" si="22"/>
        <v>294</v>
      </c>
      <c r="B311" s="1454">
        <f t="shared" si="23"/>
        <v>306900000</v>
      </c>
      <c r="C311" s="1454">
        <f t="shared" si="20"/>
        <v>63937.5</v>
      </c>
      <c r="D311" s="1454">
        <f t="shared" si="21"/>
        <v>0</v>
      </c>
      <c r="E311" s="1454">
        <f t="shared" si="24"/>
        <v>63937.5</v>
      </c>
      <c r="I311" s="1445"/>
      <c r="J311" s="135"/>
      <c r="K311" s="1093"/>
      <c r="L311" s="1457"/>
      <c r="M311" s="1457"/>
      <c r="N311" s="742"/>
      <c r="O311" s="742"/>
      <c r="P311" s="504"/>
      <c r="R311" s="742"/>
      <c r="S311" s="742"/>
      <c r="T311" s="742"/>
    </row>
    <row r="312" spans="1:20">
      <c r="A312" s="1453">
        <f t="shared" si="22"/>
        <v>295</v>
      </c>
      <c r="B312" s="1454">
        <f t="shared" si="23"/>
        <v>306900000</v>
      </c>
      <c r="C312" s="1454">
        <f t="shared" si="20"/>
        <v>63937.5</v>
      </c>
      <c r="D312" s="1454">
        <f t="shared" si="21"/>
        <v>0</v>
      </c>
      <c r="E312" s="1454">
        <f t="shared" si="24"/>
        <v>63937.5</v>
      </c>
      <c r="I312" s="1445"/>
      <c r="J312" s="135"/>
      <c r="K312" s="1093"/>
      <c r="L312" s="1457"/>
      <c r="M312" s="1457"/>
      <c r="N312" s="742"/>
      <c r="O312" s="742"/>
      <c r="P312" s="504"/>
      <c r="R312" s="742"/>
      <c r="S312" s="742"/>
      <c r="T312" s="742"/>
    </row>
    <row r="313" spans="1:20">
      <c r="A313" s="1453">
        <f t="shared" si="22"/>
        <v>296</v>
      </c>
      <c r="B313" s="1454">
        <f t="shared" si="23"/>
        <v>306900000</v>
      </c>
      <c r="C313" s="1454">
        <f t="shared" si="20"/>
        <v>63937.5</v>
      </c>
      <c r="D313" s="1454">
        <f t="shared" si="21"/>
        <v>0</v>
      </c>
      <c r="E313" s="1454">
        <f t="shared" si="24"/>
        <v>63937.5</v>
      </c>
      <c r="I313" s="1445"/>
      <c r="J313" s="135"/>
      <c r="K313" s="1093"/>
      <c r="L313" s="1457"/>
      <c r="M313" s="1457"/>
      <c r="N313" s="742"/>
      <c r="O313" s="742"/>
      <c r="P313" s="504"/>
      <c r="R313" s="742"/>
      <c r="S313" s="742"/>
      <c r="T313" s="742"/>
    </row>
    <row r="314" spans="1:20">
      <c r="A314" s="1453">
        <f t="shared" si="22"/>
        <v>297</v>
      </c>
      <c r="B314" s="1454">
        <f t="shared" si="23"/>
        <v>306900000</v>
      </c>
      <c r="C314" s="1454">
        <f t="shared" si="20"/>
        <v>63937.5</v>
      </c>
      <c r="D314" s="1454">
        <f t="shared" si="21"/>
        <v>0</v>
      </c>
      <c r="E314" s="1454">
        <f t="shared" si="24"/>
        <v>63937.5</v>
      </c>
      <c r="I314" s="1445"/>
      <c r="J314" s="135"/>
      <c r="K314" s="1093"/>
      <c r="L314" s="1457"/>
      <c r="M314" s="1457"/>
      <c r="N314" s="742"/>
      <c r="O314" s="742"/>
      <c r="P314" s="504"/>
      <c r="R314" s="742"/>
      <c r="S314" s="742"/>
      <c r="T314" s="742"/>
    </row>
    <row r="315" spans="1:20">
      <c r="A315" s="1453">
        <f t="shared" si="22"/>
        <v>298</v>
      </c>
      <c r="B315" s="1454">
        <f t="shared" si="23"/>
        <v>306900000</v>
      </c>
      <c r="C315" s="1454">
        <f t="shared" si="20"/>
        <v>63937.5</v>
      </c>
      <c r="D315" s="1454">
        <f t="shared" si="21"/>
        <v>0</v>
      </c>
      <c r="E315" s="1454">
        <f t="shared" si="24"/>
        <v>63937.5</v>
      </c>
      <c r="I315" s="1445"/>
      <c r="J315" s="135"/>
      <c r="K315" s="1093"/>
      <c r="L315" s="1457"/>
      <c r="M315" s="1457"/>
      <c r="N315" s="742"/>
      <c r="O315" s="742"/>
      <c r="P315" s="504"/>
      <c r="R315" s="742"/>
      <c r="S315" s="742"/>
      <c r="T315" s="742"/>
    </row>
    <row r="316" spans="1:20">
      <c r="A316" s="1453">
        <f t="shared" si="22"/>
        <v>299</v>
      </c>
      <c r="B316" s="1454">
        <f t="shared" si="23"/>
        <v>306900000</v>
      </c>
      <c r="C316" s="1454">
        <f t="shared" si="20"/>
        <v>63937.5</v>
      </c>
      <c r="D316" s="1454">
        <f t="shared" si="21"/>
        <v>0</v>
      </c>
      <c r="E316" s="1454">
        <f t="shared" si="24"/>
        <v>63937.5</v>
      </c>
      <c r="I316" s="1445"/>
      <c r="J316" s="135"/>
      <c r="K316" s="1093"/>
      <c r="L316" s="1457"/>
      <c r="M316" s="1457"/>
      <c r="N316" s="742"/>
      <c r="O316" s="742"/>
      <c r="P316" s="504"/>
      <c r="R316" s="742"/>
      <c r="S316" s="742"/>
      <c r="T316" s="742"/>
    </row>
    <row r="317" spans="1:20">
      <c r="A317" s="1453">
        <f t="shared" si="22"/>
        <v>300</v>
      </c>
      <c r="B317" s="1454">
        <f t="shared" si="23"/>
        <v>306900000</v>
      </c>
      <c r="C317" s="1454">
        <f t="shared" si="20"/>
        <v>63937.5</v>
      </c>
      <c r="D317" s="1454">
        <f t="shared" si="21"/>
        <v>0</v>
      </c>
      <c r="E317" s="1454">
        <f t="shared" si="24"/>
        <v>63937.5</v>
      </c>
      <c r="I317" s="1445"/>
      <c r="J317" s="135"/>
      <c r="K317" s="1093"/>
      <c r="L317" s="1457"/>
      <c r="M317" s="1457"/>
      <c r="N317" s="742"/>
      <c r="O317" s="742"/>
      <c r="P317" s="504"/>
      <c r="R317" s="742"/>
      <c r="S317" s="742"/>
      <c r="T317" s="742"/>
    </row>
    <row r="318" spans="1:20">
      <c r="A318" s="1453">
        <f t="shared" si="22"/>
        <v>301</v>
      </c>
      <c r="B318" s="1454">
        <f t="shared" si="23"/>
        <v>306900000</v>
      </c>
      <c r="C318" s="1454">
        <f t="shared" si="20"/>
        <v>63937.5</v>
      </c>
      <c r="D318" s="1454">
        <f t="shared" si="21"/>
        <v>0</v>
      </c>
      <c r="E318" s="1454">
        <f t="shared" si="24"/>
        <v>63937.5</v>
      </c>
      <c r="I318" s="1445"/>
      <c r="J318" s="135"/>
      <c r="K318" s="1093"/>
      <c r="L318" s="1457"/>
      <c r="M318" s="1457"/>
      <c r="N318" s="742"/>
      <c r="O318" s="742"/>
      <c r="P318" s="504"/>
      <c r="R318" s="742"/>
      <c r="S318" s="742"/>
      <c r="T318" s="742"/>
    </row>
    <row r="319" spans="1:20">
      <c r="A319" s="1453">
        <f t="shared" si="22"/>
        <v>302</v>
      </c>
      <c r="B319" s="1454">
        <f t="shared" si="23"/>
        <v>306900000</v>
      </c>
      <c r="C319" s="1454">
        <f t="shared" si="20"/>
        <v>63937.5</v>
      </c>
      <c r="D319" s="1454">
        <f t="shared" si="21"/>
        <v>0</v>
      </c>
      <c r="E319" s="1454">
        <f t="shared" si="24"/>
        <v>63937.5</v>
      </c>
      <c r="I319" s="1445"/>
      <c r="J319" s="135"/>
      <c r="K319" s="1093"/>
      <c r="L319" s="1457"/>
      <c r="M319" s="1457"/>
      <c r="N319" s="742"/>
      <c r="O319" s="742"/>
      <c r="P319" s="504"/>
      <c r="R319" s="742"/>
      <c r="S319" s="742"/>
      <c r="T319" s="742"/>
    </row>
    <row r="320" spans="1:20">
      <c r="A320" s="1453">
        <f t="shared" si="22"/>
        <v>303</v>
      </c>
      <c r="B320" s="1454">
        <f t="shared" si="23"/>
        <v>306900000</v>
      </c>
      <c r="C320" s="1454">
        <f t="shared" si="20"/>
        <v>63937.5</v>
      </c>
      <c r="D320" s="1454">
        <f t="shared" si="21"/>
        <v>0</v>
      </c>
      <c r="E320" s="1454">
        <f t="shared" si="24"/>
        <v>63937.5</v>
      </c>
      <c r="I320" s="1445"/>
      <c r="J320" s="135"/>
      <c r="K320" s="1093"/>
      <c r="L320" s="1457"/>
      <c r="M320" s="1457"/>
      <c r="N320" s="742"/>
      <c r="O320" s="742"/>
      <c r="P320" s="504"/>
      <c r="R320" s="742"/>
      <c r="S320" s="742"/>
      <c r="T320" s="742"/>
    </row>
    <row r="321" spans="1:20">
      <c r="A321" s="1453">
        <f t="shared" si="22"/>
        <v>304</v>
      </c>
      <c r="B321" s="1454">
        <f t="shared" si="23"/>
        <v>306900000</v>
      </c>
      <c r="C321" s="1454">
        <f t="shared" si="20"/>
        <v>63937.5</v>
      </c>
      <c r="D321" s="1454">
        <f t="shared" si="21"/>
        <v>0</v>
      </c>
      <c r="E321" s="1454">
        <f t="shared" si="24"/>
        <v>63937.5</v>
      </c>
      <c r="I321" s="1445"/>
      <c r="J321" s="135"/>
      <c r="K321" s="1093"/>
      <c r="L321" s="1457"/>
      <c r="M321" s="1457"/>
      <c r="N321" s="742"/>
      <c r="O321" s="742"/>
      <c r="P321" s="504"/>
      <c r="R321" s="742"/>
      <c r="S321" s="742"/>
      <c r="T321" s="742"/>
    </row>
    <row r="322" spans="1:20">
      <c r="A322" s="1453">
        <f t="shared" si="22"/>
        <v>305</v>
      </c>
      <c r="B322" s="1454">
        <f t="shared" si="23"/>
        <v>306900000</v>
      </c>
      <c r="C322" s="1454">
        <f t="shared" si="20"/>
        <v>63937.5</v>
      </c>
      <c r="D322" s="1454">
        <f t="shared" si="21"/>
        <v>0</v>
      </c>
      <c r="E322" s="1454">
        <f t="shared" si="24"/>
        <v>63937.5</v>
      </c>
      <c r="I322" s="1445"/>
      <c r="J322" s="135"/>
      <c r="K322" s="1093"/>
      <c r="L322" s="1457"/>
      <c r="M322" s="1457"/>
      <c r="N322" s="742"/>
      <c r="O322" s="742"/>
      <c r="P322" s="504"/>
      <c r="R322" s="742"/>
      <c r="S322" s="742"/>
      <c r="T322" s="742"/>
    </row>
    <row r="323" spans="1:20">
      <c r="A323" s="1453">
        <f t="shared" si="22"/>
        <v>306</v>
      </c>
      <c r="B323" s="1454">
        <f t="shared" si="23"/>
        <v>306900000</v>
      </c>
      <c r="C323" s="1454">
        <f t="shared" si="20"/>
        <v>63937.5</v>
      </c>
      <c r="D323" s="1454">
        <f t="shared" si="21"/>
        <v>0</v>
      </c>
      <c r="E323" s="1454">
        <f t="shared" si="24"/>
        <v>63937.5</v>
      </c>
      <c r="I323" s="1445"/>
      <c r="J323" s="135"/>
      <c r="K323" s="1093"/>
      <c r="L323" s="1457"/>
      <c r="M323" s="1457"/>
      <c r="N323" s="742"/>
      <c r="O323" s="742"/>
      <c r="P323" s="504"/>
      <c r="R323" s="742"/>
      <c r="S323" s="742"/>
      <c r="T323" s="742"/>
    </row>
    <row r="324" spans="1:20">
      <c r="A324" s="1453">
        <f t="shared" si="22"/>
        <v>307</v>
      </c>
      <c r="B324" s="1454">
        <f t="shared" si="23"/>
        <v>306900000</v>
      </c>
      <c r="C324" s="1454">
        <f t="shared" si="20"/>
        <v>63937.5</v>
      </c>
      <c r="D324" s="1454">
        <f t="shared" si="21"/>
        <v>0</v>
      </c>
      <c r="E324" s="1454">
        <f t="shared" si="24"/>
        <v>63937.5</v>
      </c>
      <c r="I324" s="1445"/>
      <c r="J324" s="135"/>
      <c r="K324" s="1093"/>
      <c r="L324" s="1457"/>
      <c r="M324" s="1457"/>
      <c r="N324" s="742"/>
      <c r="O324" s="742"/>
      <c r="P324" s="504"/>
      <c r="R324" s="742"/>
      <c r="S324" s="742"/>
      <c r="T324" s="742"/>
    </row>
    <row r="325" spans="1:20">
      <c r="A325" s="1453">
        <f t="shared" si="22"/>
        <v>308</v>
      </c>
      <c r="B325" s="1454">
        <f t="shared" si="23"/>
        <v>306900000</v>
      </c>
      <c r="C325" s="1454">
        <f t="shared" si="20"/>
        <v>63937.5</v>
      </c>
      <c r="D325" s="1454">
        <f t="shared" si="21"/>
        <v>0</v>
      </c>
      <c r="E325" s="1454">
        <f t="shared" si="24"/>
        <v>63937.5</v>
      </c>
      <c r="I325" s="1445"/>
      <c r="J325" s="135"/>
      <c r="K325" s="1093"/>
      <c r="L325" s="1457"/>
      <c r="M325" s="1457"/>
      <c r="N325" s="742"/>
      <c r="O325" s="742"/>
      <c r="P325" s="504"/>
      <c r="R325" s="742"/>
      <c r="S325" s="742"/>
      <c r="T325" s="742"/>
    </row>
    <row r="326" spans="1:20">
      <c r="A326" s="1453">
        <f t="shared" si="22"/>
        <v>309</v>
      </c>
      <c r="B326" s="1454">
        <f t="shared" si="23"/>
        <v>306900000</v>
      </c>
      <c r="C326" s="1454">
        <f t="shared" si="20"/>
        <v>63937.5</v>
      </c>
      <c r="D326" s="1454">
        <f t="shared" si="21"/>
        <v>0</v>
      </c>
      <c r="E326" s="1454">
        <f t="shared" si="24"/>
        <v>63937.5</v>
      </c>
      <c r="I326" s="1445"/>
      <c r="J326" s="135"/>
      <c r="K326" s="1093"/>
      <c r="L326" s="1457"/>
      <c r="M326" s="1457"/>
      <c r="N326" s="742"/>
      <c r="O326" s="742"/>
      <c r="P326" s="504"/>
      <c r="R326" s="742"/>
      <c r="S326" s="742"/>
      <c r="T326" s="742"/>
    </row>
    <row r="327" spans="1:20">
      <c r="A327" s="1453">
        <f t="shared" si="22"/>
        <v>310</v>
      </c>
      <c r="B327" s="1454">
        <f t="shared" si="23"/>
        <v>306900000</v>
      </c>
      <c r="C327" s="1454">
        <f t="shared" si="20"/>
        <v>63937.5</v>
      </c>
      <c r="D327" s="1454">
        <f t="shared" si="21"/>
        <v>0</v>
      </c>
      <c r="E327" s="1454">
        <f t="shared" si="24"/>
        <v>63937.5</v>
      </c>
      <c r="I327" s="1445"/>
      <c r="J327" s="135"/>
      <c r="K327" s="1093"/>
      <c r="L327" s="1457"/>
      <c r="M327" s="1457"/>
      <c r="N327" s="742"/>
      <c r="O327" s="742"/>
      <c r="P327" s="504"/>
      <c r="R327" s="742"/>
      <c r="S327" s="742"/>
      <c r="T327" s="742"/>
    </row>
    <row r="328" spans="1:20">
      <c r="A328" s="1453">
        <f t="shared" si="22"/>
        <v>311</v>
      </c>
      <c r="B328" s="1454">
        <f t="shared" si="23"/>
        <v>306900000</v>
      </c>
      <c r="C328" s="1454">
        <f t="shared" si="20"/>
        <v>63937.5</v>
      </c>
      <c r="D328" s="1454">
        <f t="shared" si="21"/>
        <v>0</v>
      </c>
      <c r="E328" s="1454">
        <f t="shared" si="24"/>
        <v>63937.5</v>
      </c>
      <c r="I328" s="1445"/>
      <c r="J328" s="135"/>
      <c r="K328" s="1093"/>
      <c r="L328" s="1457"/>
      <c r="M328" s="1457"/>
      <c r="N328" s="742"/>
      <c r="O328" s="742"/>
      <c r="P328" s="504"/>
      <c r="R328" s="742"/>
      <c r="S328" s="742"/>
      <c r="T328" s="742"/>
    </row>
    <row r="329" spans="1:20">
      <c r="A329" s="1453">
        <f t="shared" si="22"/>
        <v>312</v>
      </c>
      <c r="B329" s="1454">
        <f t="shared" si="23"/>
        <v>306900000</v>
      </c>
      <c r="C329" s="1454">
        <f t="shared" si="20"/>
        <v>63937.5</v>
      </c>
      <c r="D329" s="1454">
        <f t="shared" si="21"/>
        <v>0</v>
      </c>
      <c r="E329" s="1454">
        <f t="shared" si="24"/>
        <v>63937.5</v>
      </c>
      <c r="I329" s="1445"/>
      <c r="J329" s="135"/>
      <c r="K329" s="1093"/>
      <c r="L329" s="1457"/>
      <c r="M329" s="1457"/>
      <c r="N329" s="742"/>
      <c r="O329" s="742"/>
      <c r="P329" s="504"/>
      <c r="R329" s="742"/>
      <c r="S329" s="742"/>
      <c r="T329" s="742"/>
    </row>
    <row r="330" spans="1:20">
      <c r="A330" s="1453">
        <f t="shared" si="22"/>
        <v>313</v>
      </c>
      <c r="B330" s="1454">
        <f t="shared" si="23"/>
        <v>306900000</v>
      </c>
      <c r="C330" s="1454">
        <f t="shared" si="20"/>
        <v>63937.5</v>
      </c>
      <c r="D330" s="1454">
        <f t="shared" si="21"/>
        <v>0</v>
      </c>
      <c r="E330" s="1454">
        <f t="shared" si="24"/>
        <v>63937.5</v>
      </c>
      <c r="I330" s="1445"/>
      <c r="J330" s="135"/>
      <c r="K330" s="1093"/>
      <c r="L330" s="1457"/>
      <c r="M330" s="1457"/>
      <c r="N330" s="742"/>
      <c r="O330" s="742"/>
      <c r="P330" s="504"/>
      <c r="R330" s="742"/>
      <c r="S330" s="742"/>
      <c r="T330" s="742"/>
    </row>
    <row r="331" spans="1:20">
      <c r="A331" s="1453">
        <f t="shared" si="22"/>
        <v>314</v>
      </c>
      <c r="B331" s="1454">
        <f t="shared" si="23"/>
        <v>306900000</v>
      </c>
      <c r="C331" s="1454">
        <f t="shared" si="20"/>
        <v>63937.5</v>
      </c>
      <c r="D331" s="1454">
        <f t="shared" si="21"/>
        <v>0</v>
      </c>
      <c r="E331" s="1454">
        <f t="shared" si="24"/>
        <v>63937.5</v>
      </c>
      <c r="I331" s="1445"/>
      <c r="J331" s="135"/>
      <c r="K331" s="1093"/>
      <c r="L331" s="1457"/>
      <c r="M331" s="1457"/>
      <c r="N331" s="742"/>
      <c r="O331" s="742"/>
      <c r="P331" s="504"/>
      <c r="R331" s="742"/>
      <c r="S331" s="742"/>
      <c r="T331" s="742"/>
    </row>
    <row r="332" spans="1:20">
      <c r="A332" s="1453">
        <f t="shared" si="22"/>
        <v>315</v>
      </c>
      <c r="B332" s="1454">
        <f t="shared" si="23"/>
        <v>306900000</v>
      </c>
      <c r="C332" s="1454">
        <f t="shared" si="20"/>
        <v>63937.5</v>
      </c>
      <c r="D332" s="1454">
        <f t="shared" si="21"/>
        <v>0</v>
      </c>
      <c r="E332" s="1454">
        <f t="shared" si="24"/>
        <v>63937.5</v>
      </c>
      <c r="I332" s="1445"/>
      <c r="J332" s="135"/>
      <c r="K332" s="1093"/>
      <c r="L332" s="1457"/>
      <c r="M332" s="1457"/>
      <c r="N332" s="742"/>
      <c r="O332" s="742"/>
      <c r="P332" s="504"/>
      <c r="R332" s="742"/>
      <c r="S332" s="742"/>
      <c r="T332" s="742"/>
    </row>
    <row r="333" spans="1:20">
      <c r="A333" s="1453">
        <f t="shared" si="22"/>
        <v>316</v>
      </c>
      <c r="B333" s="1454">
        <f t="shared" si="23"/>
        <v>306900000</v>
      </c>
      <c r="C333" s="1454">
        <f t="shared" si="20"/>
        <v>63937.5</v>
      </c>
      <c r="D333" s="1454">
        <f t="shared" si="21"/>
        <v>0</v>
      </c>
      <c r="E333" s="1454">
        <f t="shared" si="24"/>
        <v>63937.5</v>
      </c>
      <c r="I333" s="1445"/>
      <c r="J333" s="135"/>
      <c r="K333" s="1093"/>
      <c r="L333" s="1457"/>
      <c r="M333" s="1457"/>
      <c r="N333" s="742"/>
      <c r="O333" s="742"/>
      <c r="P333" s="504"/>
      <c r="R333" s="742"/>
      <c r="S333" s="742"/>
      <c r="T333" s="742"/>
    </row>
    <row r="334" spans="1:20">
      <c r="A334" s="1453">
        <f t="shared" si="22"/>
        <v>317</v>
      </c>
      <c r="B334" s="1454">
        <f t="shared" si="23"/>
        <v>306900000</v>
      </c>
      <c r="C334" s="1454">
        <f t="shared" si="20"/>
        <v>63937.5</v>
      </c>
      <c r="D334" s="1454">
        <f t="shared" si="21"/>
        <v>0</v>
      </c>
      <c r="E334" s="1454">
        <f t="shared" si="24"/>
        <v>63937.5</v>
      </c>
      <c r="I334" s="1445"/>
      <c r="J334" s="135"/>
      <c r="K334" s="1093"/>
      <c r="L334" s="1457"/>
      <c r="M334" s="1457"/>
      <c r="N334" s="742"/>
      <c r="O334" s="742"/>
      <c r="P334" s="504"/>
      <c r="R334" s="742"/>
      <c r="S334" s="742"/>
      <c r="T334" s="742"/>
    </row>
    <row r="335" spans="1:20">
      <c r="A335" s="1453">
        <f t="shared" si="22"/>
        <v>318</v>
      </c>
      <c r="B335" s="1454">
        <f t="shared" si="23"/>
        <v>306900000</v>
      </c>
      <c r="C335" s="1454">
        <f t="shared" si="20"/>
        <v>63937.5</v>
      </c>
      <c r="D335" s="1454">
        <f t="shared" si="21"/>
        <v>0</v>
      </c>
      <c r="E335" s="1454">
        <f t="shared" si="24"/>
        <v>63937.5</v>
      </c>
      <c r="I335" s="1445"/>
      <c r="J335" s="135"/>
      <c r="K335" s="1093"/>
      <c r="L335" s="1457"/>
      <c r="M335" s="1457"/>
      <c r="N335" s="742"/>
      <c r="O335" s="742"/>
      <c r="P335" s="504"/>
      <c r="R335" s="742"/>
      <c r="S335" s="742"/>
      <c r="T335" s="742"/>
    </row>
    <row r="336" spans="1:20">
      <c r="A336" s="1453">
        <f t="shared" si="22"/>
        <v>319</v>
      </c>
      <c r="B336" s="1454">
        <f t="shared" si="23"/>
        <v>306900000</v>
      </c>
      <c r="C336" s="1454">
        <f t="shared" si="20"/>
        <v>63937.5</v>
      </c>
      <c r="D336" s="1454">
        <f t="shared" si="21"/>
        <v>0</v>
      </c>
      <c r="E336" s="1454">
        <f t="shared" si="24"/>
        <v>63937.5</v>
      </c>
      <c r="I336" s="1445"/>
      <c r="J336" s="135"/>
      <c r="K336" s="1093"/>
      <c r="L336" s="1457"/>
      <c r="M336" s="1457"/>
      <c r="N336" s="742"/>
      <c r="O336" s="742"/>
      <c r="P336" s="504"/>
      <c r="R336" s="742"/>
      <c r="S336" s="742"/>
      <c r="T336" s="742"/>
    </row>
    <row r="337" spans="1:20">
      <c r="A337" s="1453">
        <f t="shared" si="22"/>
        <v>320</v>
      </c>
      <c r="B337" s="1454">
        <f t="shared" si="23"/>
        <v>306900000</v>
      </c>
      <c r="C337" s="1454">
        <f t="shared" si="20"/>
        <v>63937.5</v>
      </c>
      <c r="D337" s="1454">
        <f t="shared" si="21"/>
        <v>0</v>
      </c>
      <c r="E337" s="1454">
        <f t="shared" si="24"/>
        <v>63937.5</v>
      </c>
      <c r="I337" s="1445"/>
      <c r="J337" s="135"/>
      <c r="K337" s="1093"/>
      <c r="L337" s="1457"/>
      <c r="M337" s="1457"/>
      <c r="N337" s="742"/>
      <c r="O337" s="742"/>
      <c r="P337" s="504"/>
      <c r="R337" s="742"/>
      <c r="S337" s="742"/>
      <c r="T337" s="742"/>
    </row>
    <row r="338" spans="1:20">
      <c r="A338" s="1453">
        <f t="shared" si="22"/>
        <v>321</v>
      </c>
      <c r="B338" s="1454">
        <f t="shared" si="23"/>
        <v>306900000</v>
      </c>
      <c r="C338" s="1454">
        <f t="shared" ref="C338:C377" si="25">B337*$D$4/12</f>
        <v>63937.5</v>
      </c>
      <c r="D338" s="1454">
        <f t="shared" ref="D338:D377" si="26">IF(A338&gt;$D$6,0,$D$5-C338)</f>
        <v>0</v>
      </c>
      <c r="E338" s="1454">
        <f t="shared" si="24"/>
        <v>63937.5</v>
      </c>
      <c r="I338" s="1445"/>
      <c r="J338" s="135"/>
      <c r="K338" s="1093"/>
      <c r="L338" s="1457"/>
      <c r="M338" s="1457"/>
      <c r="N338" s="742"/>
      <c r="O338" s="742"/>
      <c r="P338" s="504"/>
      <c r="R338" s="742"/>
      <c r="S338" s="742"/>
      <c r="T338" s="742"/>
    </row>
    <row r="339" spans="1:20">
      <c r="A339" s="1453">
        <f t="shared" ref="A339:A377" si="27">A338+1</f>
        <v>322</v>
      </c>
      <c r="B339" s="1454">
        <f t="shared" ref="B339:B377" si="28">B338-D339</f>
        <v>306900000</v>
      </c>
      <c r="C339" s="1454">
        <f t="shared" si="25"/>
        <v>63937.5</v>
      </c>
      <c r="D339" s="1454">
        <f t="shared" si="26"/>
        <v>0</v>
      </c>
      <c r="E339" s="1454">
        <f t="shared" ref="E339:E377" si="29">SUM(C339:D339)</f>
        <v>63937.5</v>
      </c>
      <c r="I339" s="1445"/>
      <c r="J339" s="135"/>
      <c r="K339" s="1093"/>
      <c r="L339" s="1457"/>
      <c r="M339" s="1457"/>
      <c r="N339" s="742"/>
      <c r="O339" s="742"/>
      <c r="P339" s="504"/>
      <c r="R339" s="742"/>
      <c r="S339" s="742"/>
      <c r="T339" s="742"/>
    </row>
    <row r="340" spans="1:20">
      <c r="A340" s="1453">
        <f t="shared" si="27"/>
        <v>323</v>
      </c>
      <c r="B340" s="1454">
        <f t="shared" si="28"/>
        <v>306900000</v>
      </c>
      <c r="C340" s="1454">
        <f t="shared" si="25"/>
        <v>63937.5</v>
      </c>
      <c r="D340" s="1454">
        <f t="shared" si="26"/>
        <v>0</v>
      </c>
      <c r="E340" s="1454">
        <f t="shared" si="29"/>
        <v>63937.5</v>
      </c>
      <c r="I340" s="1445"/>
      <c r="J340" s="135"/>
      <c r="K340" s="1093"/>
      <c r="L340" s="1457"/>
      <c r="M340" s="1457"/>
      <c r="N340" s="742"/>
      <c r="O340" s="742"/>
      <c r="P340" s="504"/>
      <c r="R340" s="742"/>
      <c r="S340" s="742"/>
      <c r="T340" s="742"/>
    </row>
    <row r="341" spans="1:20">
      <c r="A341" s="1453">
        <f t="shared" si="27"/>
        <v>324</v>
      </c>
      <c r="B341" s="1454">
        <f t="shared" si="28"/>
        <v>306900000</v>
      </c>
      <c r="C341" s="1454">
        <f t="shared" si="25"/>
        <v>63937.5</v>
      </c>
      <c r="D341" s="1454">
        <f t="shared" si="26"/>
        <v>0</v>
      </c>
      <c r="E341" s="1454">
        <f t="shared" si="29"/>
        <v>63937.5</v>
      </c>
      <c r="I341" s="1445"/>
      <c r="J341" s="135"/>
      <c r="K341" s="1093"/>
      <c r="L341" s="1457"/>
      <c r="M341" s="1457"/>
      <c r="N341" s="742"/>
      <c r="O341" s="742"/>
      <c r="P341" s="504"/>
      <c r="R341" s="742"/>
      <c r="S341" s="742"/>
      <c r="T341" s="742"/>
    </row>
    <row r="342" spans="1:20">
      <c r="A342" s="1453">
        <f t="shared" si="27"/>
        <v>325</v>
      </c>
      <c r="B342" s="1454">
        <f t="shared" si="28"/>
        <v>306900000</v>
      </c>
      <c r="C342" s="1454">
        <f t="shared" si="25"/>
        <v>63937.5</v>
      </c>
      <c r="D342" s="1454">
        <f t="shared" si="26"/>
        <v>0</v>
      </c>
      <c r="E342" s="1454">
        <f t="shared" si="29"/>
        <v>63937.5</v>
      </c>
      <c r="I342" s="1445"/>
      <c r="J342" s="135"/>
      <c r="K342" s="1093"/>
      <c r="L342" s="1457"/>
      <c r="M342" s="1457"/>
      <c r="N342" s="742"/>
      <c r="O342" s="742"/>
      <c r="P342" s="504"/>
      <c r="R342" s="742"/>
      <c r="S342" s="742"/>
      <c r="T342" s="742"/>
    </row>
    <row r="343" spans="1:20">
      <c r="A343" s="1453">
        <f t="shared" si="27"/>
        <v>326</v>
      </c>
      <c r="B343" s="1454">
        <f t="shared" si="28"/>
        <v>306900000</v>
      </c>
      <c r="C343" s="1454">
        <f t="shared" si="25"/>
        <v>63937.5</v>
      </c>
      <c r="D343" s="1454">
        <f t="shared" si="26"/>
        <v>0</v>
      </c>
      <c r="E343" s="1454">
        <f t="shared" si="29"/>
        <v>63937.5</v>
      </c>
      <c r="I343" s="1445"/>
      <c r="J343" s="135"/>
      <c r="K343" s="1093"/>
      <c r="L343" s="1457"/>
      <c r="M343" s="1457"/>
      <c r="N343" s="742"/>
      <c r="O343" s="742"/>
      <c r="P343" s="504"/>
      <c r="R343" s="742"/>
      <c r="S343" s="742"/>
      <c r="T343" s="742"/>
    </row>
    <row r="344" spans="1:20">
      <c r="A344" s="1453">
        <f t="shared" si="27"/>
        <v>327</v>
      </c>
      <c r="B344" s="1454">
        <f t="shared" si="28"/>
        <v>306900000</v>
      </c>
      <c r="C344" s="1454">
        <f t="shared" si="25"/>
        <v>63937.5</v>
      </c>
      <c r="D344" s="1454">
        <f t="shared" si="26"/>
        <v>0</v>
      </c>
      <c r="E344" s="1454">
        <f t="shared" si="29"/>
        <v>63937.5</v>
      </c>
      <c r="I344" s="1445"/>
      <c r="J344" s="135"/>
      <c r="K344" s="1093"/>
      <c r="L344" s="1457"/>
      <c r="M344" s="1457"/>
      <c r="N344" s="742"/>
      <c r="O344" s="742"/>
      <c r="P344" s="504"/>
      <c r="R344" s="742"/>
      <c r="S344" s="742"/>
      <c r="T344" s="742"/>
    </row>
    <row r="345" spans="1:20">
      <c r="A345" s="1453">
        <f t="shared" si="27"/>
        <v>328</v>
      </c>
      <c r="B345" s="1454">
        <f t="shared" si="28"/>
        <v>306900000</v>
      </c>
      <c r="C345" s="1454">
        <f t="shared" si="25"/>
        <v>63937.5</v>
      </c>
      <c r="D345" s="1454">
        <f t="shared" si="26"/>
        <v>0</v>
      </c>
      <c r="E345" s="1454">
        <f t="shared" si="29"/>
        <v>63937.5</v>
      </c>
      <c r="I345" s="1445"/>
      <c r="J345" s="135"/>
      <c r="K345" s="1093"/>
      <c r="L345" s="1457"/>
      <c r="M345" s="1457"/>
      <c r="N345" s="742"/>
      <c r="O345" s="742"/>
      <c r="P345" s="504"/>
      <c r="R345" s="742"/>
      <c r="S345" s="742"/>
      <c r="T345" s="742"/>
    </row>
    <row r="346" spans="1:20">
      <c r="A346" s="1453">
        <f t="shared" si="27"/>
        <v>329</v>
      </c>
      <c r="B346" s="1454">
        <f t="shared" si="28"/>
        <v>306900000</v>
      </c>
      <c r="C346" s="1454">
        <f t="shared" si="25"/>
        <v>63937.5</v>
      </c>
      <c r="D346" s="1454">
        <f t="shared" si="26"/>
        <v>0</v>
      </c>
      <c r="E346" s="1454">
        <f t="shared" si="29"/>
        <v>63937.5</v>
      </c>
      <c r="I346" s="1445"/>
      <c r="J346" s="135"/>
      <c r="K346" s="1093"/>
      <c r="L346" s="1457"/>
      <c r="M346" s="1457"/>
      <c r="N346" s="742"/>
      <c r="O346" s="742"/>
      <c r="P346" s="504"/>
      <c r="R346" s="742"/>
      <c r="S346" s="742"/>
      <c r="T346" s="742"/>
    </row>
    <row r="347" spans="1:20">
      <c r="A347" s="1453">
        <f t="shared" si="27"/>
        <v>330</v>
      </c>
      <c r="B347" s="1454">
        <f t="shared" si="28"/>
        <v>306900000</v>
      </c>
      <c r="C347" s="1454">
        <f t="shared" si="25"/>
        <v>63937.5</v>
      </c>
      <c r="D347" s="1454">
        <f t="shared" si="26"/>
        <v>0</v>
      </c>
      <c r="E347" s="1454">
        <f t="shared" si="29"/>
        <v>63937.5</v>
      </c>
      <c r="I347" s="1445"/>
      <c r="J347" s="135"/>
      <c r="K347" s="1093"/>
      <c r="L347" s="1457"/>
      <c r="M347" s="1457"/>
      <c r="N347" s="742"/>
      <c r="O347" s="742"/>
      <c r="P347" s="504"/>
      <c r="R347" s="742"/>
      <c r="S347" s="742"/>
      <c r="T347" s="742"/>
    </row>
    <row r="348" spans="1:20">
      <c r="A348" s="1453">
        <f t="shared" si="27"/>
        <v>331</v>
      </c>
      <c r="B348" s="1454">
        <f t="shared" si="28"/>
        <v>306900000</v>
      </c>
      <c r="C348" s="1454">
        <f t="shared" si="25"/>
        <v>63937.5</v>
      </c>
      <c r="D348" s="1454">
        <f t="shared" si="26"/>
        <v>0</v>
      </c>
      <c r="E348" s="1454">
        <f t="shared" si="29"/>
        <v>63937.5</v>
      </c>
      <c r="I348" s="1445"/>
      <c r="J348" s="135"/>
      <c r="K348" s="1093"/>
      <c r="L348" s="1457"/>
      <c r="M348" s="1457"/>
      <c r="N348" s="742"/>
      <c r="O348" s="742"/>
      <c r="P348" s="504"/>
      <c r="R348" s="742"/>
      <c r="S348" s="742"/>
      <c r="T348" s="742"/>
    </row>
    <row r="349" spans="1:20">
      <c r="A349" s="1453">
        <f t="shared" si="27"/>
        <v>332</v>
      </c>
      <c r="B349" s="1454">
        <f t="shared" si="28"/>
        <v>306900000</v>
      </c>
      <c r="C349" s="1454">
        <f t="shared" si="25"/>
        <v>63937.5</v>
      </c>
      <c r="D349" s="1454">
        <f t="shared" si="26"/>
        <v>0</v>
      </c>
      <c r="E349" s="1454">
        <f t="shared" si="29"/>
        <v>63937.5</v>
      </c>
      <c r="I349" s="1445"/>
      <c r="J349" s="135"/>
      <c r="K349" s="1093"/>
      <c r="L349" s="1457"/>
      <c r="M349" s="1457"/>
      <c r="N349" s="742"/>
      <c r="O349" s="742"/>
      <c r="P349" s="504"/>
      <c r="R349" s="742"/>
      <c r="S349" s="742"/>
      <c r="T349" s="742"/>
    </row>
    <row r="350" spans="1:20">
      <c r="A350" s="1453">
        <f t="shared" si="27"/>
        <v>333</v>
      </c>
      <c r="B350" s="1454">
        <f t="shared" si="28"/>
        <v>306900000</v>
      </c>
      <c r="C350" s="1454">
        <f t="shared" si="25"/>
        <v>63937.5</v>
      </c>
      <c r="D350" s="1454">
        <f t="shared" si="26"/>
        <v>0</v>
      </c>
      <c r="E350" s="1454">
        <f t="shared" si="29"/>
        <v>63937.5</v>
      </c>
      <c r="I350" s="1445"/>
      <c r="J350" s="135"/>
      <c r="K350" s="1093"/>
      <c r="L350" s="1457"/>
      <c r="M350" s="1457"/>
      <c r="N350" s="742"/>
      <c r="O350" s="742"/>
      <c r="P350" s="504"/>
      <c r="R350" s="742"/>
      <c r="S350" s="742"/>
      <c r="T350" s="742"/>
    </row>
    <row r="351" spans="1:20">
      <c r="A351" s="1453">
        <f t="shared" si="27"/>
        <v>334</v>
      </c>
      <c r="B351" s="1454">
        <f t="shared" si="28"/>
        <v>306900000</v>
      </c>
      <c r="C351" s="1454">
        <f t="shared" si="25"/>
        <v>63937.5</v>
      </c>
      <c r="D351" s="1454">
        <f t="shared" si="26"/>
        <v>0</v>
      </c>
      <c r="E351" s="1454">
        <f t="shared" si="29"/>
        <v>63937.5</v>
      </c>
      <c r="I351" s="1445"/>
      <c r="J351" s="135"/>
      <c r="K351" s="1093"/>
      <c r="L351" s="1457"/>
      <c r="M351" s="1457"/>
      <c r="N351" s="742"/>
      <c r="O351" s="742"/>
      <c r="P351" s="504"/>
      <c r="R351" s="742"/>
      <c r="S351" s="742"/>
      <c r="T351" s="742"/>
    </row>
    <row r="352" spans="1:20">
      <c r="A352" s="1453">
        <f t="shared" si="27"/>
        <v>335</v>
      </c>
      <c r="B352" s="1454">
        <f t="shared" si="28"/>
        <v>306900000</v>
      </c>
      <c r="C352" s="1454">
        <f t="shared" si="25"/>
        <v>63937.5</v>
      </c>
      <c r="D352" s="1454">
        <f t="shared" si="26"/>
        <v>0</v>
      </c>
      <c r="E352" s="1454">
        <f t="shared" si="29"/>
        <v>63937.5</v>
      </c>
      <c r="I352" s="1445"/>
      <c r="J352" s="135"/>
      <c r="K352" s="1093"/>
      <c r="L352" s="1457"/>
      <c r="M352" s="1457"/>
      <c r="N352" s="742"/>
      <c r="O352" s="742"/>
      <c r="P352" s="504"/>
      <c r="R352" s="742"/>
      <c r="S352" s="742"/>
      <c r="T352" s="742"/>
    </row>
    <row r="353" spans="1:20">
      <c r="A353" s="1453">
        <f t="shared" si="27"/>
        <v>336</v>
      </c>
      <c r="B353" s="1454">
        <f t="shared" si="28"/>
        <v>306900000</v>
      </c>
      <c r="C353" s="1454">
        <f t="shared" si="25"/>
        <v>63937.5</v>
      </c>
      <c r="D353" s="1454">
        <f t="shared" si="26"/>
        <v>0</v>
      </c>
      <c r="E353" s="1454">
        <f t="shared" si="29"/>
        <v>63937.5</v>
      </c>
      <c r="I353" s="1445"/>
      <c r="J353" s="135"/>
      <c r="K353" s="1093"/>
      <c r="L353" s="1457"/>
      <c r="M353" s="1457"/>
      <c r="N353" s="742"/>
      <c r="O353" s="742"/>
      <c r="P353" s="504"/>
      <c r="R353" s="742"/>
      <c r="S353" s="742"/>
      <c r="T353" s="742"/>
    </row>
    <row r="354" spans="1:20">
      <c r="A354" s="1453">
        <f t="shared" si="27"/>
        <v>337</v>
      </c>
      <c r="B354" s="1454">
        <f t="shared" si="28"/>
        <v>306900000</v>
      </c>
      <c r="C354" s="1454">
        <f t="shared" si="25"/>
        <v>63937.5</v>
      </c>
      <c r="D354" s="1454">
        <f t="shared" si="26"/>
        <v>0</v>
      </c>
      <c r="E354" s="1454">
        <f t="shared" si="29"/>
        <v>63937.5</v>
      </c>
      <c r="I354" s="1445"/>
      <c r="J354" s="135"/>
      <c r="K354" s="1093"/>
      <c r="L354" s="1457"/>
      <c r="M354" s="1457"/>
      <c r="N354" s="742"/>
      <c r="O354" s="742"/>
      <c r="P354" s="504"/>
      <c r="R354" s="742"/>
      <c r="S354" s="742"/>
      <c r="T354" s="742"/>
    </row>
    <row r="355" spans="1:20">
      <c r="A355" s="1453">
        <f t="shared" si="27"/>
        <v>338</v>
      </c>
      <c r="B355" s="1454">
        <f t="shared" si="28"/>
        <v>306900000</v>
      </c>
      <c r="C355" s="1454">
        <f t="shared" si="25"/>
        <v>63937.5</v>
      </c>
      <c r="D355" s="1454">
        <f t="shared" si="26"/>
        <v>0</v>
      </c>
      <c r="E355" s="1454">
        <f t="shared" si="29"/>
        <v>63937.5</v>
      </c>
      <c r="I355" s="1445"/>
      <c r="J355" s="135"/>
      <c r="K355" s="1093"/>
      <c r="L355" s="1457"/>
      <c r="M355" s="1457"/>
      <c r="N355" s="742"/>
      <c r="O355" s="742"/>
      <c r="P355" s="504"/>
      <c r="R355" s="742"/>
      <c r="S355" s="742"/>
      <c r="T355" s="742"/>
    </row>
    <row r="356" spans="1:20">
      <c r="A356" s="1453">
        <f t="shared" si="27"/>
        <v>339</v>
      </c>
      <c r="B356" s="1454">
        <f t="shared" si="28"/>
        <v>306900000</v>
      </c>
      <c r="C356" s="1454">
        <f t="shared" si="25"/>
        <v>63937.5</v>
      </c>
      <c r="D356" s="1454">
        <f t="shared" si="26"/>
        <v>0</v>
      </c>
      <c r="E356" s="1454">
        <f t="shared" si="29"/>
        <v>63937.5</v>
      </c>
      <c r="I356" s="1445"/>
      <c r="J356" s="135"/>
      <c r="K356" s="1093"/>
      <c r="L356" s="1457"/>
      <c r="M356" s="1457"/>
      <c r="N356" s="742"/>
      <c r="O356" s="742"/>
      <c r="P356" s="504"/>
      <c r="R356" s="742"/>
      <c r="S356" s="742"/>
      <c r="T356" s="742"/>
    </row>
    <row r="357" spans="1:20">
      <c r="A357" s="1453">
        <f t="shared" si="27"/>
        <v>340</v>
      </c>
      <c r="B357" s="1454">
        <f t="shared" si="28"/>
        <v>306900000</v>
      </c>
      <c r="C357" s="1454">
        <f t="shared" si="25"/>
        <v>63937.5</v>
      </c>
      <c r="D357" s="1454">
        <f t="shared" si="26"/>
        <v>0</v>
      </c>
      <c r="E357" s="1454">
        <f t="shared" si="29"/>
        <v>63937.5</v>
      </c>
      <c r="I357" s="1445"/>
      <c r="J357" s="135"/>
      <c r="K357" s="1093"/>
      <c r="L357" s="1457"/>
      <c r="M357" s="1457"/>
      <c r="N357" s="742"/>
      <c r="O357" s="742"/>
      <c r="P357" s="504"/>
      <c r="R357" s="742"/>
      <c r="S357" s="742"/>
      <c r="T357" s="742"/>
    </row>
    <row r="358" spans="1:20">
      <c r="A358" s="1453">
        <f t="shared" si="27"/>
        <v>341</v>
      </c>
      <c r="B358" s="1454">
        <f t="shared" si="28"/>
        <v>306900000</v>
      </c>
      <c r="C358" s="1454">
        <f t="shared" si="25"/>
        <v>63937.5</v>
      </c>
      <c r="D358" s="1454">
        <f t="shared" si="26"/>
        <v>0</v>
      </c>
      <c r="E358" s="1454">
        <f t="shared" si="29"/>
        <v>63937.5</v>
      </c>
      <c r="I358" s="1445"/>
      <c r="J358" s="135"/>
      <c r="K358" s="1093"/>
      <c r="L358" s="1457"/>
      <c r="M358" s="1457"/>
      <c r="N358" s="742"/>
      <c r="O358" s="742"/>
      <c r="P358" s="504"/>
      <c r="R358" s="742"/>
      <c r="S358" s="742"/>
      <c r="T358" s="742"/>
    </row>
    <row r="359" spans="1:20">
      <c r="A359" s="1453">
        <f t="shared" si="27"/>
        <v>342</v>
      </c>
      <c r="B359" s="1454">
        <f t="shared" si="28"/>
        <v>306900000</v>
      </c>
      <c r="C359" s="1454">
        <f t="shared" si="25"/>
        <v>63937.5</v>
      </c>
      <c r="D359" s="1454">
        <f t="shared" si="26"/>
        <v>0</v>
      </c>
      <c r="E359" s="1454">
        <f t="shared" si="29"/>
        <v>63937.5</v>
      </c>
      <c r="I359" s="1445"/>
      <c r="J359" s="135"/>
      <c r="K359" s="1093"/>
      <c r="L359" s="1457"/>
      <c r="M359" s="1457"/>
      <c r="N359" s="742"/>
      <c r="O359" s="742"/>
      <c r="P359" s="504"/>
      <c r="R359" s="742"/>
      <c r="S359" s="742"/>
      <c r="T359" s="742"/>
    </row>
    <row r="360" spans="1:20">
      <c r="A360" s="1453">
        <f t="shared" si="27"/>
        <v>343</v>
      </c>
      <c r="B360" s="1454">
        <f t="shared" si="28"/>
        <v>306900000</v>
      </c>
      <c r="C360" s="1454">
        <f t="shared" si="25"/>
        <v>63937.5</v>
      </c>
      <c r="D360" s="1454">
        <f t="shared" si="26"/>
        <v>0</v>
      </c>
      <c r="E360" s="1454">
        <f t="shared" si="29"/>
        <v>63937.5</v>
      </c>
      <c r="I360" s="1445"/>
      <c r="J360" s="135"/>
      <c r="K360" s="1093"/>
      <c r="L360" s="1457"/>
      <c r="M360" s="1457"/>
      <c r="N360" s="742"/>
      <c r="O360" s="742"/>
      <c r="P360" s="504"/>
      <c r="R360" s="742"/>
      <c r="S360" s="742"/>
      <c r="T360" s="742"/>
    </row>
    <row r="361" spans="1:20">
      <c r="A361" s="1453">
        <f t="shared" si="27"/>
        <v>344</v>
      </c>
      <c r="B361" s="1454">
        <f t="shared" si="28"/>
        <v>306900000</v>
      </c>
      <c r="C361" s="1454">
        <f t="shared" si="25"/>
        <v>63937.5</v>
      </c>
      <c r="D361" s="1454">
        <f t="shared" si="26"/>
        <v>0</v>
      </c>
      <c r="E361" s="1454">
        <f t="shared" si="29"/>
        <v>63937.5</v>
      </c>
      <c r="I361" s="1445"/>
      <c r="J361" s="135"/>
      <c r="K361" s="1093"/>
      <c r="L361" s="1457"/>
      <c r="M361" s="1457"/>
      <c r="N361" s="742"/>
      <c r="O361" s="742"/>
      <c r="P361" s="504"/>
      <c r="R361" s="742"/>
      <c r="S361" s="742"/>
      <c r="T361" s="742"/>
    </row>
    <row r="362" spans="1:20">
      <c r="A362" s="1453">
        <f t="shared" si="27"/>
        <v>345</v>
      </c>
      <c r="B362" s="1454">
        <f t="shared" si="28"/>
        <v>306900000</v>
      </c>
      <c r="C362" s="1454">
        <f t="shared" si="25"/>
        <v>63937.5</v>
      </c>
      <c r="D362" s="1454">
        <f t="shared" si="26"/>
        <v>0</v>
      </c>
      <c r="E362" s="1454">
        <f t="shared" si="29"/>
        <v>63937.5</v>
      </c>
      <c r="I362" s="1445"/>
      <c r="J362" s="135"/>
      <c r="K362" s="1093"/>
      <c r="L362" s="1457"/>
      <c r="M362" s="1457"/>
      <c r="N362" s="742"/>
      <c r="O362" s="742"/>
      <c r="P362" s="504"/>
      <c r="R362" s="742"/>
      <c r="S362" s="742"/>
      <c r="T362" s="742"/>
    </row>
    <row r="363" spans="1:20">
      <c r="A363" s="1453">
        <f t="shared" si="27"/>
        <v>346</v>
      </c>
      <c r="B363" s="1454">
        <f t="shared" si="28"/>
        <v>306900000</v>
      </c>
      <c r="C363" s="1454">
        <f t="shared" si="25"/>
        <v>63937.5</v>
      </c>
      <c r="D363" s="1454">
        <f t="shared" si="26"/>
        <v>0</v>
      </c>
      <c r="E363" s="1454">
        <f t="shared" si="29"/>
        <v>63937.5</v>
      </c>
      <c r="I363" s="1445"/>
      <c r="J363" s="135"/>
      <c r="K363" s="1093"/>
      <c r="L363" s="1457"/>
      <c r="M363" s="1457"/>
      <c r="N363" s="742"/>
      <c r="O363" s="742"/>
      <c r="P363" s="504"/>
      <c r="R363" s="742"/>
      <c r="S363" s="742"/>
      <c r="T363" s="742"/>
    </row>
    <row r="364" spans="1:20">
      <c r="A364" s="1453">
        <f t="shared" si="27"/>
        <v>347</v>
      </c>
      <c r="B364" s="1454">
        <f t="shared" si="28"/>
        <v>306900000</v>
      </c>
      <c r="C364" s="1454">
        <f t="shared" si="25"/>
        <v>63937.5</v>
      </c>
      <c r="D364" s="1454">
        <f t="shared" si="26"/>
        <v>0</v>
      </c>
      <c r="E364" s="1454">
        <f t="shared" si="29"/>
        <v>63937.5</v>
      </c>
      <c r="I364" s="1445"/>
      <c r="J364" s="135"/>
      <c r="K364" s="1093"/>
      <c r="L364" s="1457"/>
      <c r="M364" s="1457"/>
      <c r="N364" s="742"/>
      <c r="O364" s="742"/>
      <c r="P364" s="504"/>
      <c r="R364" s="742"/>
      <c r="S364" s="742"/>
      <c r="T364" s="742"/>
    </row>
    <row r="365" spans="1:20">
      <c r="A365" s="1453">
        <f t="shared" si="27"/>
        <v>348</v>
      </c>
      <c r="B365" s="1454">
        <f t="shared" si="28"/>
        <v>306900000</v>
      </c>
      <c r="C365" s="1454">
        <f t="shared" si="25"/>
        <v>63937.5</v>
      </c>
      <c r="D365" s="1454">
        <f t="shared" si="26"/>
        <v>0</v>
      </c>
      <c r="E365" s="1454">
        <f t="shared" si="29"/>
        <v>63937.5</v>
      </c>
      <c r="I365" s="1445"/>
      <c r="J365" s="135"/>
      <c r="K365" s="1093"/>
      <c r="L365" s="1457"/>
      <c r="M365" s="1457"/>
      <c r="N365" s="742"/>
      <c r="O365" s="742"/>
      <c r="P365" s="504"/>
      <c r="R365" s="742"/>
      <c r="S365" s="742"/>
      <c r="T365" s="742"/>
    </row>
    <row r="366" spans="1:20">
      <c r="A366" s="1453">
        <f t="shared" si="27"/>
        <v>349</v>
      </c>
      <c r="B366" s="1454">
        <f t="shared" si="28"/>
        <v>306900000</v>
      </c>
      <c r="C366" s="1454">
        <f t="shared" si="25"/>
        <v>63937.5</v>
      </c>
      <c r="D366" s="1454">
        <f t="shared" si="26"/>
        <v>0</v>
      </c>
      <c r="E366" s="1454">
        <f t="shared" si="29"/>
        <v>63937.5</v>
      </c>
      <c r="I366" s="1445"/>
      <c r="J366" s="135"/>
      <c r="K366" s="1093"/>
      <c r="L366" s="1457"/>
      <c r="M366" s="1457"/>
      <c r="N366" s="742"/>
      <c r="O366" s="742"/>
      <c r="P366" s="504"/>
      <c r="R366" s="742"/>
      <c r="S366" s="742"/>
      <c r="T366" s="742"/>
    </row>
    <row r="367" spans="1:20">
      <c r="A367" s="1453">
        <f t="shared" si="27"/>
        <v>350</v>
      </c>
      <c r="B367" s="1454">
        <f t="shared" si="28"/>
        <v>306900000</v>
      </c>
      <c r="C367" s="1454">
        <f t="shared" si="25"/>
        <v>63937.5</v>
      </c>
      <c r="D367" s="1454">
        <f t="shared" si="26"/>
        <v>0</v>
      </c>
      <c r="E367" s="1454">
        <f t="shared" si="29"/>
        <v>63937.5</v>
      </c>
      <c r="I367" s="1445"/>
      <c r="J367" s="135"/>
      <c r="K367" s="1093"/>
      <c r="L367" s="1457"/>
      <c r="M367" s="1457"/>
      <c r="N367" s="742"/>
      <c r="O367" s="742"/>
      <c r="P367" s="504"/>
      <c r="R367" s="742"/>
      <c r="S367" s="742"/>
      <c r="T367" s="742"/>
    </row>
    <row r="368" spans="1:20">
      <c r="A368" s="1453">
        <f t="shared" si="27"/>
        <v>351</v>
      </c>
      <c r="B368" s="1454">
        <f t="shared" si="28"/>
        <v>306900000</v>
      </c>
      <c r="C368" s="1454">
        <f t="shared" si="25"/>
        <v>63937.5</v>
      </c>
      <c r="D368" s="1454">
        <f t="shared" si="26"/>
        <v>0</v>
      </c>
      <c r="E368" s="1454">
        <f t="shared" si="29"/>
        <v>63937.5</v>
      </c>
      <c r="I368" s="1445"/>
      <c r="J368" s="135"/>
      <c r="K368" s="1093"/>
      <c r="L368" s="1457"/>
      <c r="M368" s="1457"/>
      <c r="N368" s="742"/>
      <c r="O368" s="742"/>
      <c r="P368" s="504"/>
      <c r="R368" s="742"/>
      <c r="S368" s="742"/>
      <c r="T368" s="742"/>
    </row>
    <row r="369" spans="1:20">
      <c r="A369" s="1453">
        <f t="shared" si="27"/>
        <v>352</v>
      </c>
      <c r="B369" s="1454">
        <f t="shared" si="28"/>
        <v>306900000</v>
      </c>
      <c r="C369" s="1454">
        <f t="shared" si="25"/>
        <v>63937.5</v>
      </c>
      <c r="D369" s="1454">
        <f t="shared" si="26"/>
        <v>0</v>
      </c>
      <c r="E369" s="1454">
        <f t="shared" si="29"/>
        <v>63937.5</v>
      </c>
      <c r="I369" s="1445"/>
      <c r="J369" s="135"/>
      <c r="K369" s="1093"/>
      <c r="L369" s="1457"/>
      <c r="M369" s="1457"/>
      <c r="N369" s="742"/>
      <c r="O369" s="742"/>
      <c r="P369" s="504"/>
      <c r="R369" s="742"/>
      <c r="S369" s="742"/>
      <c r="T369" s="742"/>
    </row>
    <row r="370" spans="1:20">
      <c r="A370" s="1453">
        <f t="shared" si="27"/>
        <v>353</v>
      </c>
      <c r="B370" s="1454">
        <f t="shared" si="28"/>
        <v>306900000</v>
      </c>
      <c r="C370" s="1454">
        <f t="shared" si="25"/>
        <v>63937.5</v>
      </c>
      <c r="D370" s="1454">
        <f t="shared" si="26"/>
        <v>0</v>
      </c>
      <c r="E370" s="1454">
        <f t="shared" si="29"/>
        <v>63937.5</v>
      </c>
      <c r="I370" s="1445"/>
      <c r="J370" s="135"/>
      <c r="K370" s="1093"/>
      <c r="L370" s="1457"/>
      <c r="M370" s="1457"/>
      <c r="N370" s="742"/>
      <c r="O370" s="742"/>
      <c r="P370" s="504"/>
      <c r="R370" s="742"/>
      <c r="S370" s="742"/>
      <c r="T370" s="742"/>
    </row>
    <row r="371" spans="1:20">
      <c r="A371" s="1453">
        <f t="shared" si="27"/>
        <v>354</v>
      </c>
      <c r="B371" s="1454">
        <f t="shared" si="28"/>
        <v>306900000</v>
      </c>
      <c r="C371" s="1454">
        <f t="shared" si="25"/>
        <v>63937.5</v>
      </c>
      <c r="D371" s="1454">
        <f t="shared" si="26"/>
        <v>0</v>
      </c>
      <c r="E371" s="1454">
        <f t="shared" si="29"/>
        <v>63937.5</v>
      </c>
      <c r="I371" s="1445"/>
      <c r="J371" s="135"/>
      <c r="K371" s="1093"/>
      <c r="L371" s="1457"/>
      <c r="M371" s="1457"/>
      <c r="N371" s="742"/>
      <c r="O371" s="742"/>
      <c r="P371" s="504"/>
      <c r="R371" s="742"/>
      <c r="S371" s="742"/>
      <c r="T371" s="742"/>
    </row>
    <row r="372" spans="1:20">
      <c r="A372" s="1453">
        <f t="shared" si="27"/>
        <v>355</v>
      </c>
      <c r="B372" s="1454">
        <f t="shared" si="28"/>
        <v>306900000</v>
      </c>
      <c r="C372" s="1454">
        <f t="shared" si="25"/>
        <v>63937.5</v>
      </c>
      <c r="D372" s="1454">
        <f t="shared" si="26"/>
        <v>0</v>
      </c>
      <c r="E372" s="1454">
        <f t="shared" si="29"/>
        <v>63937.5</v>
      </c>
      <c r="I372" s="1445"/>
      <c r="J372" s="135"/>
      <c r="K372" s="1093"/>
      <c r="L372" s="1457"/>
      <c r="M372" s="1457"/>
      <c r="N372" s="742"/>
      <c r="O372" s="742"/>
      <c r="P372" s="504"/>
      <c r="R372" s="742"/>
      <c r="S372" s="742"/>
      <c r="T372" s="742"/>
    </row>
    <row r="373" spans="1:20">
      <c r="A373" s="1453">
        <f t="shared" si="27"/>
        <v>356</v>
      </c>
      <c r="B373" s="1454">
        <f t="shared" si="28"/>
        <v>306900000</v>
      </c>
      <c r="C373" s="1454">
        <f t="shared" si="25"/>
        <v>63937.5</v>
      </c>
      <c r="D373" s="1454">
        <f t="shared" si="26"/>
        <v>0</v>
      </c>
      <c r="E373" s="1454">
        <f t="shared" si="29"/>
        <v>63937.5</v>
      </c>
      <c r="I373" s="1445"/>
      <c r="J373" s="135"/>
      <c r="K373" s="1093"/>
      <c r="L373" s="1457"/>
      <c r="M373" s="1457"/>
      <c r="N373" s="742"/>
      <c r="O373" s="742"/>
      <c r="P373" s="504"/>
      <c r="R373" s="742"/>
      <c r="S373" s="742"/>
      <c r="T373" s="742"/>
    </row>
    <row r="374" spans="1:20">
      <c r="A374" s="1453">
        <f t="shared" si="27"/>
        <v>357</v>
      </c>
      <c r="B374" s="1454">
        <f t="shared" si="28"/>
        <v>306900000</v>
      </c>
      <c r="C374" s="1454">
        <f t="shared" si="25"/>
        <v>63937.5</v>
      </c>
      <c r="D374" s="1454">
        <f t="shared" si="26"/>
        <v>0</v>
      </c>
      <c r="E374" s="1454">
        <f t="shared" si="29"/>
        <v>63937.5</v>
      </c>
      <c r="I374" s="1445"/>
      <c r="J374" s="135"/>
      <c r="K374" s="1093"/>
      <c r="L374" s="1457"/>
      <c r="M374" s="1457"/>
      <c r="N374" s="742"/>
      <c r="O374" s="742"/>
      <c r="P374" s="504"/>
      <c r="R374" s="742"/>
      <c r="S374" s="742"/>
      <c r="T374" s="742"/>
    </row>
    <row r="375" spans="1:20">
      <c r="A375" s="1453">
        <f t="shared" si="27"/>
        <v>358</v>
      </c>
      <c r="B375" s="1454">
        <f t="shared" si="28"/>
        <v>306900000</v>
      </c>
      <c r="C375" s="1454">
        <f t="shared" si="25"/>
        <v>63937.5</v>
      </c>
      <c r="D375" s="1454">
        <f t="shared" si="26"/>
        <v>0</v>
      </c>
      <c r="E375" s="1454">
        <f t="shared" si="29"/>
        <v>63937.5</v>
      </c>
      <c r="I375" s="1445"/>
      <c r="J375" s="135"/>
      <c r="K375" s="1093"/>
      <c r="L375" s="1457"/>
      <c r="M375" s="1457"/>
      <c r="N375" s="742"/>
      <c r="O375" s="742"/>
      <c r="P375" s="504"/>
      <c r="R375" s="742"/>
      <c r="S375" s="742"/>
      <c r="T375" s="742"/>
    </row>
    <row r="376" spans="1:20">
      <c r="A376" s="1453">
        <f t="shared" si="27"/>
        <v>359</v>
      </c>
      <c r="B376" s="1454">
        <f t="shared" si="28"/>
        <v>306900000</v>
      </c>
      <c r="C376" s="1454">
        <f t="shared" si="25"/>
        <v>63937.5</v>
      </c>
      <c r="D376" s="1454">
        <f t="shared" si="26"/>
        <v>0</v>
      </c>
      <c r="E376" s="1454">
        <f t="shared" si="29"/>
        <v>63937.5</v>
      </c>
      <c r="I376" s="1445"/>
      <c r="J376" s="135"/>
      <c r="K376" s="1093"/>
      <c r="L376" s="1457"/>
      <c r="M376" s="1457"/>
      <c r="N376" s="742"/>
      <c r="O376" s="742"/>
      <c r="P376" s="504"/>
      <c r="R376" s="742"/>
      <c r="S376" s="742"/>
      <c r="T376" s="742"/>
    </row>
    <row r="377" spans="1:20">
      <c r="A377" s="1453">
        <f t="shared" si="27"/>
        <v>360</v>
      </c>
      <c r="B377" s="1454">
        <f t="shared" si="28"/>
        <v>306900000</v>
      </c>
      <c r="C377" s="1454">
        <f t="shared" si="25"/>
        <v>63937.5</v>
      </c>
      <c r="D377" s="1454">
        <f t="shared" si="26"/>
        <v>0</v>
      </c>
      <c r="E377" s="1454">
        <f t="shared" si="29"/>
        <v>63937.5</v>
      </c>
      <c r="I377" s="1445"/>
      <c r="J377" s="135"/>
      <c r="K377" s="1093"/>
      <c r="L377" s="1457"/>
      <c r="M377" s="1457"/>
      <c r="N377" s="742"/>
      <c r="O377" s="742"/>
      <c r="P377" s="504"/>
      <c r="R377" s="742"/>
      <c r="S377" s="742"/>
      <c r="T377" s="742"/>
    </row>
    <row r="378" spans="1:20">
      <c r="A378" s="1453"/>
      <c r="I378" s="1445"/>
      <c r="J378" s="135"/>
      <c r="R378" s="742"/>
      <c r="S378" s="742"/>
      <c r="T378" s="742"/>
    </row>
    <row r="379" spans="1:20">
      <c r="A379" s="1453"/>
      <c r="I379" s="1445"/>
      <c r="J379" s="135"/>
      <c r="R379" s="742"/>
      <c r="S379" s="742"/>
      <c r="T379" s="742"/>
    </row>
    <row r="380" spans="1:20">
      <c r="A380" s="141"/>
      <c r="I380" s="1445"/>
      <c r="J380" s="135"/>
      <c r="R380" s="742"/>
      <c r="S380" s="742"/>
      <c r="T380" s="742"/>
    </row>
    <row r="381" spans="1:20">
      <c r="A381" s="141"/>
      <c r="I381" s="1445"/>
      <c r="J381" s="135"/>
      <c r="R381" s="742"/>
      <c r="S381" s="742"/>
      <c r="T381" s="742"/>
    </row>
    <row r="382" spans="1:20">
      <c r="A382" s="141"/>
      <c r="I382" s="1445"/>
      <c r="J382" s="135"/>
      <c r="R382" s="742"/>
      <c r="S382" s="742"/>
      <c r="T382" s="742"/>
    </row>
    <row r="383" spans="1:20">
      <c r="A383" s="141"/>
      <c r="I383" s="1445"/>
      <c r="J383" s="135"/>
      <c r="R383" s="742"/>
      <c r="S383" s="742"/>
      <c r="T383" s="742"/>
    </row>
    <row r="384" spans="1:20">
      <c r="A384" s="141"/>
      <c r="I384" s="1445"/>
      <c r="J384" s="135"/>
      <c r="R384" s="742"/>
      <c r="S384" s="742"/>
      <c r="T384" s="742"/>
    </row>
    <row r="385" spans="1:20">
      <c r="A385" s="141"/>
      <c r="I385" s="1445"/>
      <c r="J385" s="135"/>
      <c r="R385" s="742"/>
      <c r="S385" s="742"/>
      <c r="T385" s="742"/>
    </row>
    <row r="386" spans="1:20">
      <c r="A386" s="141"/>
      <c r="I386" s="1445"/>
      <c r="J386" s="135"/>
      <c r="R386" s="742"/>
      <c r="S386" s="742"/>
      <c r="T386" s="742"/>
    </row>
    <row r="387" spans="1:20">
      <c r="A387" s="141"/>
      <c r="I387" s="1445"/>
      <c r="J387" s="135"/>
      <c r="R387" s="742"/>
      <c r="S387" s="742"/>
      <c r="T387" s="742"/>
    </row>
    <row r="388" spans="1:20">
      <c r="A388" s="141"/>
      <c r="I388" s="1445"/>
      <c r="J388" s="135"/>
      <c r="R388" s="742"/>
      <c r="S388" s="742"/>
      <c r="T388" s="742"/>
    </row>
    <row r="389" spans="1:20">
      <c r="A389" s="141"/>
      <c r="I389" s="1445"/>
      <c r="J389" s="135"/>
      <c r="R389" s="742"/>
      <c r="S389" s="742"/>
      <c r="T389" s="742"/>
    </row>
    <row r="390" spans="1:20">
      <c r="A390" s="141"/>
      <c r="I390" s="1445"/>
      <c r="J390" s="135"/>
      <c r="R390" s="742"/>
      <c r="S390" s="742"/>
      <c r="T390" s="742"/>
    </row>
    <row r="391" spans="1:20">
      <c r="A391" s="141"/>
      <c r="I391" s="1445"/>
      <c r="J391" s="135"/>
      <c r="R391" s="742"/>
      <c r="S391" s="742"/>
      <c r="T391" s="742"/>
    </row>
    <row r="392" spans="1:20">
      <c r="A392" s="141"/>
      <c r="I392" s="1445"/>
      <c r="J392" s="135"/>
      <c r="R392" s="742"/>
      <c r="S392" s="742"/>
      <c r="T392" s="742"/>
    </row>
    <row r="393" spans="1:20">
      <c r="A393" s="141"/>
      <c r="I393" s="1445"/>
      <c r="J393" s="135"/>
      <c r="R393" s="742"/>
      <c r="S393" s="742"/>
      <c r="T393" s="742"/>
    </row>
    <row r="394" spans="1:20">
      <c r="A394" s="141"/>
      <c r="I394" s="1445"/>
      <c r="J394" s="135"/>
      <c r="R394" s="742"/>
      <c r="S394" s="742"/>
      <c r="T394" s="742"/>
    </row>
    <row r="395" spans="1:20">
      <c r="A395" s="141"/>
      <c r="I395" s="1445"/>
      <c r="J395" s="135"/>
      <c r="R395" s="742"/>
      <c r="S395" s="742"/>
      <c r="T395" s="742"/>
    </row>
    <row r="396" spans="1:20">
      <c r="A396" s="141"/>
      <c r="I396" s="1445"/>
      <c r="J396" s="135"/>
      <c r="R396" s="742"/>
      <c r="S396" s="742"/>
      <c r="T396" s="742"/>
    </row>
    <row r="397" spans="1:20">
      <c r="A397" s="141"/>
      <c r="I397" s="1445"/>
      <c r="J397" s="135"/>
      <c r="R397" s="742"/>
      <c r="S397" s="742"/>
      <c r="T397" s="742"/>
    </row>
    <row r="398" spans="1:20">
      <c r="A398" s="141"/>
      <c r="I398" s="1445"/>
      <c r="J398" s="135"/>
      <c r="R398" s="742"/>
      <c r="S398" s="742"/>
      <c r="T398" s="742"/>
    </row>
    <row r="399" spans="1:20">
      <c r="A399" s="141"/>
      <c r="I399" s="1445"/>
      <c r="J399" s="135"/>
      <c r="R399" s="742"/>
      <c r="S399" s="742"/>
      <c r="T399" s="742"/>
    </row>
    <row r="400" spans="1:20">
      <c r="A400" s="141"/>
      <c r="I400" s="1445"/>
      <c r="J400" s="135"/>
      <c r="R400" s="742"/>
      <c r="S400" s="742"/>
      <c r="T400" s="742"/>
    </row>
    <row r="401" spans="1:20">
      <c r="A401" s="141"/>
      <c r="I401" s="1445"/>
      <c r="J401" s="135"/>
      <c r="R401" s="742"/>
      <c r="S401" s="742"/>
      <c r="T401" s="742"/>
    </row>
    <row r="402" spans="1:20">
      <c r="A402" s="141"/>
      <c r="I402" s="1445"/>
      <c r="J402" s="135"/>
      <c r="R402" s="742"/>
      <c r="S402" s="742"/>
      <c r="T402" s="742"/>
    </row>
    <row r="403" spans="1:20">
      <c r="A403" s="141"/>
      <c r="I403" s="1445"/>
      <c r="J403" s="135"/>
      <c r="R403" s="742"/>
      <c r="S403" s="742"/>
      <c r="T403" s="742"/>
    </row>
    <row r="404" spans="1:20">
      <c r="A404" s="141"/>
      <c r="I404" s="1445"/>
      <c r="J404" s="135"/>
      <c r="R404" s="742"/>
      <c r="S404" s="742"/>
      <c r="T404" s="742"/>
    </row>
    <row r="405" spans="1:20">
      <c r="A405" s="141"/>
      <c r="I405" s="1445"/>
      <c r="J405" s="135"/>
      <c r="R405" s="742"/>
      <c r="S405" s="742"/>
      <c r="T405" s="742"/>
    </row>
    <row r="406" spans="1:20">
      <c r="A406" s="141"/>
      <c r="I406" s="1445"/>
      <c r="J406" s="135"/>
      <c r="R406" s="742"/>
      <c r="S406" s="742"/>
      <c r="T406" s="742"/>
    </row>
    <row r="407" spans="1:20">
      <c r="A407" s="141"/>
      <c r="I407" s="1445"/>
      <c r="J407" s="135"/>
      <c r="R407" s="742"/>
      <c r="S407" s="742"/>
      <c r="T407" s="742"/>
    </row>
    <row r="408" spans="1:20">
      <c r="A408" s="141"/>
      <c r="I408" s="1445"/>
      <c r="J408" s="135"/>
      <c r="R408" s="742"/>
      <c r="S408" s="742"/>
      <c r="T408" s="742"/>
    </row>
    <row r="409" spans="1:20">
      <c r="A409" s="141"/>
      <c r="I409" s="1445"/>
      <c r="J409" s="135"/>
      <c r="R409" s="742"/>
      <c r="S409" s="742"/>
      <c r="T409" s="742"/>
    </row>
    <row r="410" spans="1:20">
      <c r="A410" s="141"/>
      <c r="I410" s="1445"/>
      <c r="J410" s="135"/>
      <c r="R410" s="742"/>
      <c r="S410" s="742"/>
      <c r="T410" s="742"/>
    </row>
    <row r="411" spans="1:20">
      <c r="A411" s="141"/>
      <c r="I411" s="1445"/>
      <c r="J411" s="135"/>
      <c r="R411" s="742"/>
      <c r="S411" s="742"/>
      <c r="T411" s="742"/>
    </row>
    <row r="412" spans="1:20">
      <c r="A412" s="141"/>
      <c r="I412" s="1445"/>
      <c r="J412" s="135"/>
      <c r="R412" s="742"/>
      <c r="S412" s="742"/>
      <c r="T412" s="742"/>
    </row>
    <row r="413" spans="1:20">
      <c r="A413" s="141"/>
      <c r="I413" s="1445"/>
      <c r="J413" s="135"/>
      <c r="R413" s="742"/>
      <c r="S413" s="742"/>
      <c r="T413" s="742"/>
    </row>
    <row r="414" spans="1:20">
      <c r="A414" s="141"/>
      <c r="I414" s="1445"/>
      <c r="J414" s="135"/>
      <c r="R414" s="742"/>
      <c r="S414" s="742"/>
      <c r="T414" s="742"/>
    </row>
    <row r="415" spans="1:20">
      <c r="A415" s="141"/>
      <c r="I415" s="1445"/>
      <c r="J415" s="135"/>
      <c r="R415" s="742"/>
      <c r="S415" s="742"/>
      <c r="T415" s="742"/>
    </row>
    <row r="416" spans="1:20">
      <c r="A416" s="141"/>
      <c r="I416" s="1445"/>
      <c r="J416" s="135"/>
      <c r="R416" s="742"/>
      <c r="S416" s="742"/>
      <c r="T416" s="742"/>
    </row>
    <row r="417" spans="1:20">
      <c r="A417" s="141"/>
      <c r="I417" s="1445"/>
      <c r="J417" s="135"/>
      <c r="R417" s="742"/>
      <c r="S417" s="742"/>
      <c r="T417" s="742"/>
    </row>
    <row r="418" spans="1:20">
      <c r="A418" s="141"/>
      <c r="I418" s="1445"/>
      <c r="J418" s="135"/>
      <c r="R418" s="742"/>
      <c r="S418" s="742"/>
      <c r="T418" s="742"/>
    </row>
    <row r="419" spans="1:20">
      <c r="A419" s="141"/>
      <c r="I419" s="1445"/>
      <c r="J419" s="135"/>
      <c r="R419" s="742"/>
      <c r="S419" s="742"/>
      <c r="T419" s="742"/>
    </row>
    <row r="420" spans="1:20">
      <c r="A420" s="141"/>
      <c r="I420" s="1445"/>
      <c r="J420" s="135"/>
      <c r="R420" s="742"/>
      <c r="S420" s="742"/>
      <c r="T420" s="742"/>
    </row>
    <row r="421" spans="1:20">
      <c r="A421" s="141"/>
      <c r="I421" s="1445"/>
      <c r="J421" s="135"/>
      <c r="R421" s="742"/>
      <c r="S421" s="742"/>
      <c r="T421" s="742"/>
    </row>
    <row r="422" spans="1:20">
      <c r="A422" s="141"/>
      <c r="I422" s="1445"/>
      <c r="J422" s="135"/>
      <c r="R422" s="742"/>
      <c r="S422" s="742"/>
      <c r="T422" s="742"/>
    </row>
    <row r="423" spans="1:20">
      <c r="A423" s="141"/>
      <c r="I423" s="1445"/>
      <c r="J423" s="135"/>
      <c r="R423" s="742"/>
      <c r="S423" s="742"/>
      <c r="T423" s="742"/>
    </row>
    <row r="424" spans="1:20">
      <c r="A424" s="141"/>
      <c r="I424" s="1445"/>
      <c r="J424" s="135"/>
      <c r="R424" s="742"/>
      <c r="S424" s="742"/>
      <c r="T424" s="742"/>
    </row>
    <row r="425" spans="1:20">
      <c r="A425" s="141"/>
      <c r="I425" s="1445"/>
      <c r="J425" s="135"/>
      <c r="R425" s="742"/>
      <c r="S425" s="742"/>
      <c r="T425" s="742"/>
    </row>
    <row r="426" spans="1:20">
      <c r="A426" s="141"/>
      <c r="I426" s="1445"/>
      <c r="J426" s="135"/>
      <c r="R426" s="742"/>
      <c r="S426" s="742"/>
      <c r="T426" s="742"/>
    </row>
    <row r="427" spans="1:20">
      <c r="A427" s="141"/>
      <c r="I427" s="1445"/>
      <c r="J427" s="135"/>
      <c r="R427" s="742"/>
      <c r="S427" s="742"/>
      <c r="T427" s="742"/>
    </row>
    <row r="428" spans="1:20">
      <c r="A428" s="141"/>
      <c r="I428" s="1445"/>
      <c r="J428" s="135"/>
      <c r="R428" s="742"/>
      <c r="S428" s="742"/>
      <c r="T428" s="742"/>
    </row>
    <row r="429" spans="1:20">
      <c r="A429" s="141"/>
      <c r="I429" s="1445"/>
      <c r="J429" s="135"/>
      <c r="R429" s="742"/>
      <c r="S429" s="742"/>
      <c r="T429" s="742"/>
    </row>
    <row r="430" spans="1:20">
      <c r="A430" s="141"/>
      <c r="I430" s="1445"/>
      <c r="J430" s="135"/>
      <c r="R430" s="742"/>
      <c r="S430" s="742"/>
      <c r="T430" s="742"/>
    </row>
    <row r="431" spans="1:20">
      <c r="A431" s="141"/>
      <c r="I431" s="1445"/>
      <c r="J431" s="135"/>
      <c r="R431" s="742"/>
      <c r="S431" s="742"/>
      <c r="T431" s="742"/>
    </row>
    <row r="432" spans="1:20">
      <c r="A432" s="141"/>
      <c r="I432" s="1445"/>
      <c r="J432" s="135"/>
      <c r="R432" s="742"/>
      <c r="S432" s="742"/>
      <c r="T432" s="742"/>
    </row>
    <row r="433" spans="1:20">
      <c r="A433" s="141"/>
      <c r="I433" s="1445"/>
      <c r="J433" s="135"/>
      <c r="R433" s="742"/>
      <c r="S433" s="742"/>
      <c r="T433" s="742"/>
    </row>
    <row r="434" spans="1:20">
      <c r="A434" s="141"/>
      <c r="I434" s="1445"/>
      <c r="J434" s="135"/>
      <c r="R434" s="742"/>
      <c r="S434" s="742"/>
      <c r="T434" s="742"/>
    </row>
    <row r="435" spans="1:20">
      <c r="A435" s="141"/>
      <c r="I435" s="1445"/>
      <c r="J435" s="135"/>
      <c r="R435" s="742"/>
      <c r="S435" s="742"/>
      <c r="T435" s="742"/>
    </row>
    <row r="436" spans="1:20">
      <c r="A436" s="141"/>
      <c r="I436" s="1445"/>
      <c r="J436" s="135"/>
      <c r="R436" s="742"/>
      <c r="S436" s="742"/>
      <c r="T436" s="742"/>
    </row>
    <row r="437" spans="1:20">
      <c r="A437" s="141"/>
      <c r="I437" s="1445"/>
      <c r="J437" s="135"/>
      <c r="R437" s="742"/>
      <c r="S437" s="742"/>
      <c r="T437" s="742"/>
    </row>
    <row r="438" spans="1:20">
      <c r="A438" s="141"/>
      <c r="I438" s="1445"/>
      <c r="J438" s="135"/>
      <c r="R438" s="742"/>
      <c r="S438" s="742"/>
      <c r="T438" s="742"/>
    </row>
    <row r="439" spans="1:20">
      <c r="A439" s="141"/>
      <c r="I439" s="1445"/>
      <c r="J439" s="135"/>
      <c r="R439" s="742"/>
      <c r="S439" s="742"/>
      <c r="T439" s="742"/>
    </row>
    <row r="440" spans="1:20">
      <c r="A440" s="141"/>
      <c r="I440" s="1445"/>
      <c r="J440" s="135"/>
      <c r="R440" s="742"/>
      <c r="S440" s="742"/>
      <c r="T440" s="742"/>
    </row>
    <row r="441" spans="1:20">
      <c r="A441" s="141"/>
      <c r="I441" s="1445"/>
      <c r="J441" s="135"/>
      <c r="R441" s="742"/>
      <c r="S441" s="742"/>
      <c r="T441" s="742"/>
    </row>
    <row r="442" spans="1:20">
      <c r="A442" s="141"/>
      <c r="I442" s="1445"/>
      <c r="J442" s="135"/>
      <c r="R442" s="742"/>
      <c r="S442" s="742"/>
      <c r="T442" s="742"/>
    </row>
    <row r="443" spans="1:20">
      <c r="A443" s="141"/>
      <c r="I443" s="1445"/>
      <c r="J443" s="135"/>
      <c r="R443" s="742"/>
      <c r="S443" s="742"/>
      <c r="T443" s="742"/>
    </row>
    <row r="444" spans="1:20">
      <c r="A444" s="141"/>
      <c r="I444" s="1445"/>
      <c r="J444" s="135"/>
      <c r="R444" s="742"/>
      <c r="S444" s="742"/>
      <c r="T444" s="742"/>
    </row>
    <row r="445" spans="1:20">
      <c r="A445" s="141"/>
      <c r="I445" s="1445"/>
      <c r="J445" s="135"/>
      <c r="R445" s="742"/>
      <c r="S445" s="742"/>
      <c r="T445" s="742"/>
    </row>
    <row r="446" spans="1:20">
      <c r="A446" s="141"/>
      <c r="I446" s="1445"/>
      <c r="J446" s="135"/>
      <c r="R446" s="742"/>
      <c r="S446" s="742"/>
      <c r="T446" s="742"/>
    </row>
    <row r="447" spans="1:20">
      <c r="A447" s="141"/>
      <c r="I447" s="1445"/>
      <c r="J447" s="135"/>
      <c r="R447" s="742"/>
      <c r="S447" s="742"/>
      <c r="T447" s="742"/>
    </row>
    <row r="448" spans="1:20">
      <c r="A448" s="141"/>
      <c r="I448" s="1445"/>
      <c r="J448" s="135"/>
      <c r="R448" s="742"/>
      <c r="S448" s="742"/>
      <c r="T448" s="742"/>
    </row>
    <row r="449" spans="1:20">
      <c r="A449" s="141"/>
      <c r="I449" s="1445"/>
      <c r="J449" s="135"/>
      <c r="R449" s="742"/>
      <c r="S449" s="742"/>
      <c r="T449" s="742"/>
    </row>
    <row r="450" spans="1:20">
      <c r="A450" s="141"/>
      <c r="I450" s="1445"/>
      <c r="J450" s="135"/>
      <c r="R450" s="742"/>
      <c r="S450" s="742"/>
      <c r="T450" s="742"/>
    </row>
    <row r="451" spans="1:20">
      <c r="A451" s="141"/>
      <c r="I451" s="1445"/>
      <c r="J451" s="135"/>
      <c r="R451" s="742"/>
      <c r="S451" s="742"/>
      <c r="T451" s="742"/>
    </row>
    <row r="452" spans="1:20">
      <c r="A452" s="141"/>
      <c r="I452" s="1445"/>
      <c r="J452" s="135"/>
      <c r="R452" s="742"/>
      <c r="S452" s="742"/>
      <c r="T452" s="742"/>
    </row>
    <row r="453" spans="1:20">
      <c r="A453" s="141"/>
      <c r="I453" s="1445"/>
      <c r="J453" s="135"/>
      <c r="R453" s="742"/>
      <c r="S453" s="742"/>
      <c r="T453" s="742"/>
    </row>
    <row r="454" spans="1:20">
      <c r="A454" s="141"/>
      <c r="I454" s="1445"/>
      <c r="J454" s="135"/>
      <c r="R454" s="742"/>
      <c r="S454" s="742"/>
      <c r="T454" s="742"/>
    </row>
    <row r="455" spans="1:20">
      <c r="A455" s="141"/>
      <c r="I455" s="1445"/>
      <c r="J455" s="135"/>
      <c r="R455" s="742"/>
      <c r="S455" s="742"/>
      <c r="T455" s="742"/>
    </row>
    <row r="456" spans="1:20">
      <c r="A456" s="141"/>
      <c r="I456" s="1445"/>
      <c r="J456" s="135"/>
      <c r="R456" s="742"/>
      <c r="S456" s="742"/>
      <c r="T456" s="742"/>
    </row>
    <row r="457" spans="1:20">
      <c r="A457" s="141"/>
      <c r="I457" s="1445"/>
      <c r="J457" s="135"/>
      <c r="R457" s="742"/>
      <c r="S457" s="742"/>
      <c r="T457" s="742"/>
    </row>
    <row r="458" spans="1:20">
      <c r="A458" s="141"/>
      <c r="I458" s="1445"/>
      <c r="J458" s="135"/>
      <c r="R458" s="742"/>
      <c r="S458" s="742"/>
      <c r="T458" s="742"/>
    </row>
    <row r="459" spans="1:20">
      <c r="A459" s="141"/>
      <c r="I459" s="1445"/>
      <c r="J459" s="135"/>
      <c r="R459" s="742"/>
      <c r="S459" s="742"/>
      <c r="T459" s="742"/>
    </row>
    <row r="460" spans="1:20">
      <c r="A460" s="141"/>
      <c r="I460" s="1445"/>
      <c r="J460" s="135"/>
      <c r="R460" s="742"/>
      <c r="S460" s="742"/>
      <c r="T460" s="742"/>
    </row>
    <row r="461" spans="1:20">
      <c r="A461" s="141"/>
      <c r="I461" s="1445"/>
      <c r="J461" s="135"/>
      <c r="R461" s="742"/>
      <c r="S461" s="742"/>
      <c r="T461" s="742"/>
    </row>
    <row r="462" spans="1:20">
      <c r="A462" s="141"/>
      <c r="I462" s="1445"/>
      <c r="J462" s="135"/>
      <c r="R462" s="742"/>
      <c r="S462" s="742"/>
      <c r="T462" s="742"/>
    </row>
    <row r="463" spans="1:20">
      <c r="A463" s="141"/>
      <c r="I463" s="1445"/>
      <c r="J463" s="135"/>
    </row>
    <row r="464" spans="1:20">
      <c r="A464" s="141"/>
      <c r="I464" s="1445"/>
      <c r="J464" s="135"/>
    </row>
    <row r="465" spans="1:10">
      <c r="A465" s="141"/>
      <c r="I465" s="1445"/>
      <c r="J465" s="135"/>
    </row>
    <row r="466" spans="1:10">
      <c r="A466" s="141"/>
      <c r="I466" s="1445"/>
      <c r="J466" s="135"/>
    </row>
    <row r="467" spans="1:10">
      <c r="A467" s="141"/>
      <c r="I467" s="1445"/>
      <c r="J467" s="135"/>
    </row>
    <row r="468" spans="1:10">
      <c r="A468" s="141"/>
      <c r="I468" s="1445"/>
      <c r="J468" s="135"/>
    </row>
    <row r="469" spans="1:10">
      <c r="A469" s="141"/>
      <c r="I469" s="1445"/>
      <c r="J469" s="135"/>
    </row>
    <row r="470" spans="1:10">
      <c r="A470" s="141"/>
      <c r="I470" s="1445"/>
      <c r="J470" s="135"/>
    </row>
    <row r="471" spans="1:10">
      <c r="A471" s="141"/>
      <c r="I471" s="1445"/>
      <c r="J471" s="135"/>
    </row>
    <row r="472" spans="1:10">
      <c r="A472" s="141"/>
      <c r="I472" s="1445"/>
      <c r="J472" s="135"/>
    </row>
    <row r="473" spans="1:10">
      <c r="A473" s="141"/>
      <c r="I473" s="1445"/>
      <c r="J473" s="135"/>
    </row>
    <row r="474" spans="1:10">
      <c r="A474" s="141"/>
      <c r="I474" s="1445"/>
      <c r="J474" s="135"/>
    </row>
    <row r="475" spans="1:10">
      <c r="A475" s="141"/>
      <c r="I475" s="1445"/>
      <c r="J475" s="135"/>
    </row>
    <row r="476" spans="1:10">
      <c r="A476" s="141"/>
      <c r="I476" s="1445"/>
      <c r="J476" s="135"/>
    </row>
    <row r="477" spans="1:10">
      <c r="A477" s="141"/>
      <c r="I477" s="1445"/>
      <c r="J477" s="135"/>
    </row>
    <row r="478" spans="1:10">
      <c r="A478" s="141"/>
      <c r="I478" s="1445"/>
      <c r="J478" s="135"/>
    </row>
    <row r="479" spans="1:10">
      <c r="A479" s="141"/>
      <c r="I479" s="1445"/>
      <c r="J479" s="135"/>
    </row>
    <row r="480" spans="1:10">
      <c r="A480" s="141"/>
      <c r="I480" s="1445"/>
      <c r="J480" s="135"/>
    </row>
    <row r="481" spans="1:10">
      <c r="A481" s="141"/>
      <c r="I481" s="1445"/>
      <c r="J481" s="135"/>
    </row>
    <row r="482" spans="1:10">
      <c r="A482" s="141"/>
      <c r="I482" s="1445"/>
      <c r="J482" s="135"/>
    </row>
    <row r="483" spans="1:10">
      <c r="A483" s="141"/>
      <c r="I483" s="1445"/>
      <c r="J483" s="135"/>
    </row>
    <row r="484" spans="1:10">
      <c r="A484" s="141"/>
      <c r="I484" s="1445"/>
      <c r="J484" s="135"/>
    </row>
    <row r="485" spans="1:10">
      <c r="A485" s="141"/>
      <c r="I485" s="1445"/>
      <c r="J485" s="135"/>
    </row>
    <row r="486" spans="1:10">
      <c r="A486" s="141"/>
      <c r="I486" s="1445"/>
      <c r="J486" s="135"/>
    </row>
    <row r="487" spans="1:10">
      <c r="A487" s="141"/>
      <c r="I487" s="1445"/>
      <c r="J487" s="135"/>
    </row>
    <row r="488" spans="1:10">
      <c r="A488" s="141"/>
      <c r="I488" s="1445"/>
      <c r="J488" s="135"/>
    </row>
    <row r="489" spans="1:10">
      <c r="A489" s="141"/>
      <c r="I489" s="1445"/>
      <c r="J489" s="135"/>
    </row>
    <row r="490" spans="1:10">
      <c r="A490" s="141"/>
      <c r="I490" s="1445"/>
      <c r="J490" s="135"/>
    </row>
    <row r="491" spans="1:10">
      <c r="A491" s="141"/>
      <c r="I491" s="1445"/>
      <c r="J491" s="135"/>
    </row>
    <row r="492" spans="1:10">
      <c r="A492" s="141"/>
      <c r="I492" s="1445"/>
      <c r="J492" s="135"/>
    </row>
    <row r="493" spans="1:10">
      <c r="A493" s="141"/>
      <c r="I493" s="1445"/>
      <c r="J493" s="135"/>
    </row>
    <row r="494" spans="1:10">
      <c r="A494" s="141"/>
      <c r="I494" s="1445"/>
      <c r="J494" s="135"/>
    </row>
    <row r="495" spans="1:10">
      <c r="A495" s="141"/>
      <c r="I495" s="1445"/>
      <c r="J495" s="135"/>
    </row>
    <row r="496" spans="1:10">
      <c r="A496" s="141"/>
      <c r="I496" s="1445"/>
      <c r="J496" s="135"/>
    </row>
    <row r="497" spans="1:10">
      <c r="A497" s="141"/>
      <c r="I497" s="1445"/>
      <c r="J497" s="135"/>
    </row>
    <row r="498" spans="1:10">
      <c r="A498" s="141"/>
      <c r="I498" s="1445"/>
      <c r="J498" s="135"/>
    </row>
    <row r="499" spans="1:10">
      <c r="A499" s="141"/>
      <c r="I499" s="1445"/>
      <c r="J499" s="135"/>
    </row>
    <row r="500" spans="1:10">
      <c r="A500" s="141"/>
      <c r="I500" s="1445"/>
      <c r="J500" s="135"/>
    </row>
    <row r="501" spans="1:10">
      <c r="A501" s="141"/>
      <c r="I501" s="1445"/>
      <c r="J501" s="135"/>
    </row>
    <row r="502" spans="1:10">
      <c r="A502" s="141"/>
      <c r="I502" s="1445"/>
      <c r="J502" s="135"/>
    </row>
    <row r="503" spans="1:10">
      <c r="A503" s="141"/>
      <c r="I503" s="1445"/>
      <c r="J503" s="135"/>
    </row>
    <row r="504" spans="1:10">
      <c r="A504" s="141"/>
      <c r="I504" s="1445"/>
      <c r="J504" s="135"/>
    </row>
    <row r="505" spans="1:10">
      <c r="A505" s="141"/>
      <c r="I505" s="1445"/>
      <c r="J505" s="135"/>
    </row>
    <row r="506" spans="1:10">
      <c r="A506" s="141"/>
      <c r="I506" s="1445"/>
      <c r="J506" s="135"/>
    </row>
    <row r="507" spans="1:10">
      <c r="A507" s="141"/>
      <c r="I507" s="1445"/>
      <c r="J507" s="135"/>
    </row>
    <row r="508" spans="1:10">
      <c r="A508" s="141"/>
      <c r="I508" s="1445"/>
      <c r="J508" s="135"/>
    </row>
    <row r="509" spans="1:10">
      <c r="A509" s="141"/>
      <c r="I509" s="1445"/>
      <c r="J509" s="135"/>
    </row>
    <row r="510" spans="1:10">
      <c r="A510" s="141"/>
      <c r="I510" s="1445"/>
      <c r="J510" s="135"/>
    </row>
    <row r="511" spans="1:10">
      <c r="A511" s="141"/>
      <c r="I511" s="1445"/>
      <c r="J511" s="135"/>
    </row>
    <row r="512" spans="1:10">
      <c r="A512" s="141"/>
      <c r="I512" s="1445"/>
      <c r="J512" s="135"/>
    </row>
    <row r="513" spans="1:10">
      <c r="A513" s="141"/>
      <c r="I513" s="1445"/>
      <c r="J513" s="135"/>
    </row>
    <row r="514" spans="1:10">
      <c r="A514" s="141"/>
      <c r="I514" s="1445"/>
      <c r="J514" s="135"/>
    </row>
    <row r="515" spans="1:10">
      <c r="A515" s="141"/>
      <c r="I515" s="1445"/>
      <c r="J515" s="135"/>
    </row>
    <row r="516" spans="1:10">
      <c r="A516" s="141"/>
      <c r="I516" s="1445"/>
      <c r="J516" s="135"/>
    </row>
    <row r="517" spans="1:10">
      <c r="A517" s="141"/>
      <c r="I517" s="1445"/>
      <c r="J517" s="135"/>
    </row>
    <row r="518" spans="1:10">
      <c r="A518" s="141"/>
      <c r="I518" s="1445"/>
      <c r="J518" s="135"/>
    </row>
    <row r="519" spans="1:10">
      <c r="A519" s="141"/>
      <c r="I519" s="1445"/>
      <c r="J519" s="135"/>
    </row>
    <row r="520" spans="1:10">
      <c r="A520" s="141"/>
      <c r="I520" s="1445"/>
      <c r="J520" s="135"/>
    </row>
    <row r="521" spans="1:10">
      <c r="A521" s="141"/>
      <c r="I521" s="1445"/>
      <c r="J521" s="135"/>
    </row>
    <row r="522" spans="1:10">
      <c r="A522" s="141"/>
      <c r="I522" s="1445"/>
      <c r="J522" s="135"/>
    </row>
    <row r="523" spans="1:10">
      <c r="A523" s="141"/>
      <c r="I523" s="1445"/>
      <c r="J523" s="135"/>
    </row>
    <row r="524" spans="1:10">
      <c r="A524" s="141"/>
      <c r="I524" s="1445"/>
      <c r="J524" s="135"/>
    </row>
    <row r="525" spans="1:10">
      <c r="A525" s="141"/>
      <c r="I525" s="1445"/>
      <c r="J525" s="135"/>
    </row>
    <row r="526" spans="1:10">
      <c r="A526" s="141"/>
      <c r="I526" s="1445"/>
      <c r="J526" s="135"/>
    </row>
    <row r="527" spans="1:10">
      <c r="A527" s="141"/>
      <c r="I527" s="1445"/>
      <c r="J527" s="135"/>
    </row>
    <row r="528" spans="1:10">
      <c r="A528" s="141"/>
      <c r="I528" s="1445"/>
      <c r="J528" s="135"/>
    </row>
    <row r="529" spans="1:10">
      <c r="A529" s="141"/>
      <c r="I529" s="1445"/>
      <c r="J529" s="135"/>
    </row>
    <row r="530" spans="1:10">
      <c r="A530" s="141"/>
      <c r="I530" s="1445"/>
      <c r="J530" s="135"/>
    </row>
    <row r="531" spans="1:10">
      <c r="A531" s="141"/>
      <c r="I531" s="1445"/>
      <c r="J531" s="135"/>
    </row>
    <row r="532" spans="1:10">
      <c r="A532" s="141"/>
      <c r="I532" s="1445"/>
      <c r="J532" s="135"/>
    </row>
    <row r="533" spans="1:10">
      <c r="A533" s="141"/>
      <c r="I533" s="1445"/>
      <c r="J533" s="135"/>
    </row>
    <row r="534" spans="1:10">
      <c r="A534" s="141"/>
      <c r="I534" s="1445"/>
    </row>
    <row r="535" spans="1:10">
      <c r="A535" s="141"/>
      <c r="I535" s="1445"/>
    </row>
    <row r="536" spans="1:10">
      <c r="A536" s="141"/>
      <c r="I536" s="1445"/>
    </row>
    <row r="537" spans="1:10">
      <c r="A537" s="141"/>
      <c r="I537" s="1445"/>
    </row>
    <row r="538" spans="1:10">
      <c r="A538" s="141"/>
      <c r="I538" s="1445"/>
    </row>
    <row r="539" spans="1:10">
      <c r="A539" s="141"/>
      <c r="I539" s="1445"/>
    </row>
    <row r="540" spans="1:10">
      <c r="A540" s="141"/>
      <c r="I540" s="1445"/>
    </row>
    <row r="541" spans="1:10">
      <c r="A541" s="141"/>
      <c r="I541" s="1445"/>
    </row>
    <row r="542" spans="1:10">
      <c r="A542" s="141"/>
      <c r="I542" s="1445"/>
    </row>
    <row r="543" spans="1:10">
      <c r="A543" s="141"/>
      <c r="I543" s="1445"/>
    </row>
    <row r="544" spans="1:10">
      <c r="A544" s="141"/>
      <c r="I544" s="1445"/>
    </row>
    <row r="545" spans="1:9">
      <c r="A545" s="141"/>
      <c r="I545" s="1445"/>
    </row>
    <row r="546" spans="1:9">
      <c r="A546" s="141"/>
      <c r="I546" s="1445"/>
    </row>
    <row r="547" spans="1:9">
      <c r="A547" s="141"/>
      <c r="I547" s="1445"/>
    </row>
    <row r="548" spans="1:9">
      <c r="A548" s="141"/>
      <c r="I548" s="1445"/>
    </row>
    <row r="549" spans="1:9">
      <c r="A549" s="141"/>
      <c r="I549" s="1445"/>
    </row>
    <row r="550" spans="1:9">
      <c r="A550" s="141"/>
      <c r="I550" s="1445"/>
    </row>
    <row r="551" spans="1:9">
      <c r="A551" s="141"/>
      <c r="I551" s="1445"/>
    </row>
    <row r="552" spans="1:9">
      <c r="A552" s="141"/>
      <c r="I552" s="1445"/>
    </row>
    <row r="553" spans="1:9">
      <c r="A553" s="141"/>
      <c r="I553" s="1445"/>
    </row>
    <row r="554" spans="1:9">
      <c r="A554" s="141"/>
      <c r="I554" s="1445"/>
    </row>
    <row r="555" spans="1:9">
      <c r="A555" s="141"/>
      <c r="I555" s="1445"/>
    </row>
    <row r="556" spans="1:9">
      <c r="A556" s="141"/>
      <c r="I556" s="1445"/>
    </row>
    <row r="557" spans="1:9">
      <c r="A557" s="141"/>
      <c r="I557" s="1445"/>
    </row>
    <row r="558" spans="1:9">
      <c r="A558" s="141"/>
      <c r="I558" s="1445"/>
    </row>
    <row r="559" spans="1:9">
      <c r="A559" s="141"/>
      <c r="I559" s="1445"/>
    </row>
    <row r="560" spans="1:9">
      <c r="A560" s="141"/>
      <c r="I560" s="1445"/>
    </row>
    <row r="561" spans="1:9">
      <c r="A561" s="141"/>
      <c r="I561" s="1445"/>
    </row>
    <row r="562" spans="1:9">
      <c r="A562" s="141"/>
      <c r="I562" s="1445"/>
    </row>
    <row r="563" spans="1:9">
      <c r="A563" s="141"/>
      <c r="I563" s="1445"/>
    </row>
    <row r="564" spans="1:9">
      <c r="A564" s="141"/>
      <c r="I564" s="1445"/>
    </row>
    <row r="565" spans="1:9">
      <c r="A565" s="141"/>
      <c r="I565" s="1445"/>
    </row>
    <row r="566" spans="1:9">
      <c r="A566" s="141"/>
      <c r="I566" s="1445"/>
    </row>
    <row r="567" spans="1:9">
      <c r="A567" s="141"/>
      <c r="I567" s="1445"/>
    </row>
    <row r="568" spans="1:9">
      <c r="A568" s="141"/>
      <c r="I568" s="1445"/>
    </row>
    <row r="569" spans="1:9">
      <c r="A569" s="141"/>
      <c r="I569" s="1445"/>
    </row>
    <row r="570" spans="1:9">
      <c r="A570" s="141"/>
      <c r="I570" s="1445"/>
    </row>
    <row r="571" spans="1:9">
      <c r="A571" s="141"/>
      <c r="I571" s="1445"/>
    </row>
    <row r="572" spans="1:9">
      <c r="A572" s="141"/>
      <c r="I572" s="1445"/>
    </row>
    <row r="573" spans="1:9">
      <c r="A573" s="141"/>
      <c r="I573" s="1445"/>
    </row>
    <row r="574" spans="1:9">
      <c r="A574" s="141"/>
      <c r="I574" s="1445"/>
    </row>
    <row r="575" spans="1:9">
      <c r="A575" s="141"/>
      <c r="I575" s="1445"/>
    </row>
    <row r="576" spans="1:9">
      <c r="A576" s="141"/>
      <c r="I576" s="1445"/>
    </row>
    <row r="577" spans="1:9">
      <c r="A577" s="141"/>
      <c r="I577" s="1445"/>
    </row>
    <row r="578" spans="1:9">
      <c r="A578" s="141"/>
      <c r="I578" s="1445"/>
    </row>
    <row r="579" spans="1:9">
      <c r="A579" s="141"/>
      <c r="I579" s="1445"/>
    </row>
    <row r="580" spans="1:9">
      <c r="A580" s="141"/>
      <c r="I580" s="1445"/>
    </row>
    <row r="581" spans="1:9">
      <c r="A581" s="141"/>
      <c r="I581" s="1445"/>
    </row>
    <row r="582" spans="1:9">
      <c r="A582" s="141"/>
      <c r="I582" s="1445"/>
    </row>
    <row r="583" spans="1:9">
      <c r="A583" s="141"/>
      <c r="I583" s="1445"/>
    </row>
    <row r="584" spans="1:9">
      <c r="A584" s="141"/>
      <c r="I584" s="1445"/>
    </row>
    <row r="585" spans="1:9">
      <c r="A585" s="141"/>
      <c r="I585" s="1445"/>
    </row>
    <row r="586" spans="1:9">
      <c r="A586" s="141"/>
      <c r="I586" s="1445"/>
    </row>
    <row r="587" spans="1:9">
      <c r="A587" s="141"/>
      <c r="I587" s="1445"/>
    </row>
    <row r="588" spans="1:9">
      <c r="A588" s="141"/>
      <c r="I588" s="1445"/>
    </row>
    <row r="589" spans="1:9">
      <c r="A589" s="141"/>
      <c r="I589" s="1445"/>
    </row>
    <row r="590" spans="1:9">
      <c r="A590" s="141"/>
      <c r="I590" s="1445"/>
    </row>
    <row r="591" spans="1:9">
      <c r="A591" s="141"/>
      <c r="I591" s="1445"/>
    </row>
    <row r="592" spans="1:9">
      <c r="A592" s="141"/>
      <c r="I592" s="1445"/>
    </row>
    <row r="593" spans="1:9">
      <c r="A593" s="141"/>
      <c r="I593" s="1445"/>
    </row>
    <row r="594" spans="1:9">
      <c r="A594" s="141"/>
      <c r="I594" s="1445"/>
    </row>
    <row r="595" spans="1:9">
      <c r="A595" s="141"/>
      <c r="I595" s="1445"/>
    </row>
    <row r="596" spans="1:9">
      <c r="A596" s="141"/>
      <c r="I596" s="1445"/>
    </row>
    <row r="597" spans="1:9">
      <c r="A597" s="141"/>
      <c r="I597" s="1445"/>
    </row>
    <row r="598" spans="1:9">
      <c r="A598" s="141"/>
      <c r="I598" s="1445"/>
    </row>
    <row r="599" spans="1:9">
      <c r="A599" s="141"/>
      <c r="I599" s="1445"/>
    </row>
    <row r="600" spans="1:9">
      <c r="A600" s="141"/>
      <c r="I600" s="1445"/>
    </row>
    <row r="601" spans="1:9">
      <c r="A601" s="141"/>
      <c r="I601" s="1445"/>
    </row>
    <row r="602" spans="1:9">
      <c r="A602" s="141"/>
      <c r="I602" s="1445"/>
    </row>
    <row r="603" spans="1:9">
      <c r="A603" s="141"/>
      <c r="I603" s="1445"/>
    </row>
    <row r="604" spans="1:9">
      <c r="A604" s="141"/>
      <c r="I604" s="1445"/>
    </row>
    <row r="605" spans="1:9">
      <c r="A605" s="141"/>
      <c r="I605" s="1445"/>
    </row>
    <row r="606" spans="1:9">
      <c r="A606" s="141"/>
      <c r="I606" s="1445"/>
    </row>
    <row r="607" spans="1:9">
      <c r="A607" s="141"/>
      <c r="I607" s="1445"/>
    </row>
    <row r="608" spans="1:9">
      <c r="A608" s="141"/>
      <c r="I608" s="1445"/>
    </row>
    <row r="609" spans="1:9">
      <c r="A609" s="141"/>
      <c r="I609" s="1445"/>
    </row>
    <row r="610" spans="1:9">
      <c r="A610" s="141"/>
      <c r="I610" s="1445"/>
    </row>
    <row r="611" spans="1:9">
      <c r="A611" s="141"/>
      <c r="I611" s="1445"/>
    </row>
    <row r="612" spans="1:9">
      <c r="A612" s="141"/>
      <c r="I612" s="1445"/>
    </row>
    <row r="613" spans="1:9">
      <c r="A613" s="141"/>
      <c r="I613" s="1445"/>
    </row>
    <row r="614" spans="1:9">
      <c r="A614" s="141"/>
      <c r="I614" s="1445"/>
    </row>
    <row r="615" spans="1:9">
      <c r="A615" s="141"/>
      <c r="I615" s="1445"/>
    </row>
    <row r="616" spans="1:9">
      <c r="A616" s="141"/>
      <c r="I616" s="1445"/>
    </row>
    <row r="617" spans="1:9">
      <c r="A617" s="141"/>
      <c r="I617" s="1445"/>
    </row>
    <row r="618" spans="1:9">
      <c r="A618" s="141"/>
      <c r="I618" s="1445"/>
    </row>
    <row r="619" spans="1:9">
      <c r="A619" s="141"/>
      <c r="I619" s="1445"/>
    </row>
    <row r="620" spans="1:9">
      <c r="A620" s="141"/>
      <c r="I620" s="1445"/>
    </row>
    <row r="621" spans="1:9">
      <c r="A621" s="141"/>
      <c r="I621" s="1445"/>
    </row>
    <row r="622" spans="1:9">
      <c r="A622" s="141"/>
      <c r="I622" s="1445"/>
    </row>
    <row r="623" spans="1:9">
      <c r="A623" s="141"/>
      <c r="I623" s="1445"/>
    </row>
    <row r="624" spans="1:9">
      <c r="A624" s="141"/>
      <c r="I624" s="1445"/>
    </row>
    <row r="625" spans="1:9">
      <c r="A625" s="141"/>
      <c r="I625" s="1445"/>
    </row>
    <row r="626" spans="1:9">
      <c r="A626" s="141"/>
      <c r="I626" s="1445"/>
    </row>
    <row r="627" spans="1:9">
      <c r="A627" s="141"/>
      <c r="I627" s="1445"/>
    </row>
    <row r="628" spans="1:9">
      <c r="A628" s="141"/>
      <c r="I628" s="1445"/>
    </row>
    <row r="629" spans="1:9">
      <c r="A629" s="141"/>
      <c r="I629" s="1445"/>
    </row>
    <row r="630" spans="1:9">
      <c r="A630" s="141"/>
      <c r="I630" s="1445"/>
    </row>
    <row r="631" spans="1:9">
      <c r="A631" s="141"/>
      <c r="I631" s="1445"/>
    </row>
    <row r="632" spans="1:9">
      <c r="A632" s="141"/>
      <c r="I632" s="1445"/>
    </row>
    <row r="633" spans="1:9">
      <c r="A633" s="141"/>
      <c r="I633" s="1445"/>
    </row>
    <row r="634" spans="1:9">
      <c r="A634" s="141"/>
      <c r="I634" s="1445"/>
    </row>
    <row r="635" spans="1:9">
      <c r="A635" s="141"/>
      <c r="I635" s="1445"/>
    </row>
    <row r="636" spans="1:9">
      <c r="A636" s="141"/>
      <c r="I636" s="1445"/>
    </row>
    <row r="637" spans="1:9">
      <c r="A637" s="141"/>
      <c r="I637" s="1445"/>
    </row>
    <row r="638" spans="1:9">
      <c r="A638" s="141"/>
      <c r="I638" s="1445"/>
    </row>
    <row r="639" spans="1:9">
      <c r="A639" s="141"/>
      <c r="I639" s="1445"/>
    </row>
    <row r="640" spans="1:9">
      <c r="A640" s="141"/>
      <c r="I640" s="1445"/>
    </row>
    <row r="641" spans="1:9">
      <c r="A641" s="141"/>
      <c r="I641" s="1445"/>
    </row>
    <row r="642" spans="1:9">
      <c r="A642" s="141"/>
      <c r="I642" s="1445"/>
    </row>
    <row r="643" spans="1:9">
      <c r="A643" s="141"/>
      <c r="I643" s="1445"/>
    </row>
    <row r="644" spans="1:9">
      <c r="A644" s="141"/>
      <c r="I644" s="1445"/>
    </row>
    <row r="645" spans="1:9">
      <c r="A645" s="141"/>
      <c r="I645" s="1445"/>
    </row>
    <row r="646" spans="1:9">
      <c r="A646" s="141"/>
      <c r="I646" s="1445"/>
    </row>
    <row r="647" spans="1:9">
      <c r="A647" s="141"/>
      <c r="I647" s="1445"/>
    </row>
    <row r="648" spans="1:9">
      <c r="A648" s="141"/>
      <c r="I648" s="1445"/>
    </row>
    <row r="649" spans="1:9">
      <c r="A649" s="141"/>
      <c r="I649" s="1445"/>
    </row>
    <row r="650" spans="1:9">
      <c r="A650" s="141"/>
      <c r="I650" s="1445"/>
    </row>
    <row r="651" spans="1:9">
      <c r="A651" s="141"/>
      <c r="I651" s="1445"/>
    </row>
    <row r="652" spans="1:9">
      <c r="A652" s="141"/>
      <c r="I652" s="1445"/>
    </row>
    <row r="653" spans="1:9">
      <c r="A653" s="141"/>
      <c r="I653" s="1445"/>
    </row>
    <row r="654" spans="1:9">
      <c r="A654" s="141"/>
      <c r="I654" s="1445"/>
    </row>
    <row r="655" spans="1:9">
      <c r="A655" s="141"/>
      <c r="I655" s="1445"/>
    </row>
    <row r="656" spans="1:9">
      <c r="A656" s="141"/>
      <c r="I656" s="1445"/>
    </row>
    <row r="657" spans="1:9">
      <c r="A657" s="141"/>
      <c r="I657" s="1445"/>
    </row>
    <row r="658" spans="1:9">
      <c r="A658" s="141"/>
      <c r="I658" s="1445"/>
    </row>
    <row r="659" spans="1:9">
      <c r="A659" s="141"/>
      <c r="I659" s="1445"/>
    </row>
    <row r="660" spans="1:9">
      <c r="A660" s="141"/>
      <c r="I660" s="1445"/>
    </row>
    <row r="661" spans="1:9">
      <c r="A661" s="141"/>
      <c r="I661" s="1445"/>
    </row>
    <row r="662" spans="1:9">
      <c r="A662" s="141"/>
      <c r="I662" s="1445"/>
    </row>
    <row r="663" spans="1:9">
      <c r="A663" s="141"/>
      <c r="I663" s="1445"/>
    </row>
    <row r="664" spans="1:9">
      <c r="A664" s="141"/>
      <c r="I664" s="1445"/>
    </row>
    <row r="665" spans="1:9">
      <c r="A665" s="141"/>
      <c r="I665" s="1445"/>
    </row>
    <row r="666" spans="1:9">
      <c r="A666" s="141"/>
      <c r="I666" s="1445"/>
    </row>
    <row r="667" spans="1:9">
      <c r="A667" s="141"/>
      <c r="I667" s="1445"/>
    </row>
    <row r="668" spans="1:9">
      <c r="A668" s="141"/>
      <c r="I668" s="1445"/>
    </row>
    <row r="669" spans="1:9">
      <c r="A669" s="141"/>
      <c r="I669" s="1445"/>
    </row>
    <row r="670" spans="1:9">
      <c r="A670" s="141"/>
      <c r="I670" s="1445"/>
    </row>
    <row r="671" spans="1:9">
      <c r="A671" s="141"/>
      <c r="I671" s="1445"/>
    </row>
    <row r="672" spans="1:9">
      <c r="A672" s="141"/>
      <c r="I672" s="1445"/>
    </row>
    <row r="673" spans="1:9">
      <c r="A673" s="141"/>
      <c r="I673" s="1445"/>
    </row>
    <row r="674" spans="1:9">
      <c r="A674" s="141"/>
      <c r="I674" s="1445"/>
    </row>
    <row r="675" spans="1:9">
      <c r="A675" s="141"/>
      <c r="I675" s="1445"/>
    </row>
    <row r="676" spans="1:9">
      <c r="A676" s="141"/>
      <c r="I676" s="1445"/>
    </row>
    <row r="677" spans="1:9">
      <c r="A677" s="141"/>
      <c r="I677" s="1445"/>
    </row>
    <row r="678" spans="1:9">
      <c r="A678" s="141"/>
      <c r="I678" s="1445"/>
    </row>
    <row r="679" spans="1:9">
      <c r="A679" s="141"/>
      <c r="I679" s="1445"/>
    </row>
    <row r="680" spans="1:9">
      <c r="A680" s="141"/>
      <c r="I680" s="1445"/>
    </row>
    <row r="681" spans="1:9">
      <c r="A681" s="141"/>
      <c r="I681" s="1445"/>
    </row>
    <row r="682" spans="1:9">
      <c r="A682" s="141"/>
      <c r="I682" s="1445"/>
    </row>
    <row r="683" spans="1:9">
      <c r="A683" s="141"/>
      <c r="I683" s="1445"/>
    </row>
    <row r="684" spans="1:9">
      <c r="A684" s="141"/>
      <c r="I684" s="1445"/>
    </row>
    <row r="685" spans="1:9">
      <c r="A685" s="141"/>
      <c r="I685" s="1445"/>
    </row>
    <row r="686" spans="1:9">
      <c r="A686" s="141"/>
      <c r="I686" s="1445"/>
    </row>
    <row r="687" spans="1:9">
      <c r="A687" s="141"/>
      <c r="I687" s="1445"/>
    </row>
    <row r="688" spans="1:9">
      <c r="A688" s="141"/>
      <c r="I688" s="1445"/>
    </row>
    <row r="689" spans="1:9">
      <c r="A689" s="141"/>
      <c r="I689" s="1445"/>
    </row>
    <row r="690" spans="1:9">
      <c r="A690" s="141"/>
      <c r="I690" s="1445"/>
    </row>
    <row r="691" spans="1:9">
      <c r="A691" s="141"/>
      <c r="I691" s="1445"/>
    </row>
    <row r="692" spans="1:9">
      <c r="A692" s="141"/>
      <c r="I692" s="1445"/>
    </row>
    <row r="693" spans="1:9">
      <c r="A693" s="141"/>
      <c r="I693" s="1445"/>
    </row>
    <row r="694" spans="1:9">
      <c r="A694" s="141"/>
      <c r="I694" s="1445"/>
    </row>
    <row r="695" spans="1:9">
      <c r="A695" s="141"/>
      <c r="I695" s="1445"/>
    </row>
    <row r="696" spans="1:9" ht="15.75" thickBot="1">
      <c r="A696" s="1455"/>
      <c r="B696" s="2417"/>
      <c r="C696" s="2417"/>
      <c r="D696" s="2417"/>
      <c r="E696" s="2417"/>
      <c r="F696" s="2417"/>
      <c r="G696" s="2417"/>
      <c r="H696" s="2417"/>
      <c r="I696" s="1456"/>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9DF25-DA00-4E75-8B32-8649A5FF1404}">
  <sheetPr codeName="Sheet24"/>
  <dimension ref="A2:P19"/>
  <sheetViews>
    <sheetView workbookViewId="0">
      <selection activeCell="H6" sqref="H6"/>
    </sheetView>
  </sheetViews>
  <sheetFormatPr defaultRowHeight="15"/>
  <cols>
    <col min="1" max="1" width="28.5703125" customWidth="1"/>
    <col min="2" max="2" width="20" customWidth="1"/>
    <col min="3" max="3" width="12.42578125" customWidth="1"/>
    <col min="4" max="4" width="22.42578125" customWidth="1"/>
    <col min="5" max="5" width="17.5703125" customWidth="1"/>
    <col min="6" max="6" width="19.5703125" customWidth="1"/>
    <col min="7" max="13" width="12.42578125" customWidth="1"/>
  </cols>
  <sheetData>
    <row r="2" spans="1:16" s="3" customFormat="1" ht="12.75">
      <c r="A2" s="57" t="s">
        <v>39</v>
      </c>
      <c r="B2" s="2016" t="str">
        <f>+INPUT!E16</f>
        <v>LSS Test 1</v>
      </c>
      <c r="C2" s="29"/>
      <c r="D2" s="29"/>
      <c r="E2" s="29"/>
      <c r="F2" s="29"/>
      <c r="G2" s="29"/>
      <c r="H2" s="29"/>
      <c r="I2" s="29"/>
      <c r="J2" s="29"/>
      <c r="K2" s="29"/>
      <c r="L2" s="1979"/>
      <c r="M2" s="28"/>
      <c r="N2" s="28"/>
    </row>
    <row r="3" spans="1:16" s="3" customFormat="1" ht="13.5" thickBot="1">
      <c r="A3" s="661" t="s">
        <v>2255</v>
      </c>
      <c r="B3" s="2017" t="str">
        <f>+INPUT!E17</f>
        <v>6363 &amp; 6399 &amp; 6501 S Fiddler's Green Circle, Englewood, CO</v>
      </c>
      <c r="C3" s="1980"/>
      <c r="D3" s="1980"/>
      <c r="E3" s="1980"/>
      <c r="F3" s="1980"/>
      <c r="G3" s="1980"/>
      <c r="H3" s="1980"/>
      <c r="I3" s="1980"/>
      <c r="J3" s="1980"/>
      <c r="K3" s="1979"/>
      <c r="L3" s="1979"/>
      <c r="M3" s="28"/>
      <c r="N3" s="28"/>
      <c r="P3" s="1037"/>
    </row>
    <row r="4" spans="1:16" s="317" customFormat="1" ht="39" thickBot="1">
      <c r="A4" s="1981" t="s">
        <v>2256</v>
      </c>
      <c r="B4" s="1988">
        <f>+INPUT!E159</f>
        <v>0</v>
      </c>
      <c r="C4" s="1982"/>
      <c r="D4" s="1983" t="s">
        <v>2257</v>
      </c>
      <c r="E4" s="1984"/>
      <c r="F4" s="1985">
        <f>+INPUT!E158</f>
        <v>0</v>
      </c>
      <c r="G4" s="1982"/>
      <c r="H4" s="1982"/>
      <c r="I4" s="1982"/>
      <c r="J4" s="1986" t="s">
        <v>2258</v>
      </c>
      <c r="K4" s="1987">
        <f>ROUND((PMT(F5/12,F7,-B14,0,0)),2)</f>
        <v>221823.18</v>
      </c>
      <c r="L4" s="1982"/>
      <c r="M4" s="90"/>
      <c r="N4" s="90"/>
    </row>
    <row r="5" spans="1:16" s="317" customFormat="1" ht="12.75">
      <c r="A5" s="90" t="s">
        <v>215</v>
      </c>
      <c r="B5" s="1988">
        <f>+INPUT!E160</f>
        <v>0</v>
      </c>
      <c r="C5" s="1982"/>
      <c r="D5" s="1982" t="s">
        <v>2259</v>
      </c>
      <c r="E5" s="1984"/>
      <c r="F5" s="1988">
        <f>MAX(B5,B4+F4)</f>
        <v>0</v>
      </c>
      <c r="G5" s="1989" t="s">
        <v>2260</v>
      </c>
      <c r="H5" s="1982"/>
      <c r="I5" s="1982"/>
      <c r="J5" s="1982"/>
      <c r="K5" s="1984"/>
      <c r="L5" s="1982"/>
      <c r="M5" s="90"/>
      <c r="N5" s="90"/>
    </row>
    <row r="6" spans="1:16" s="317" customFormat="1" ht="25.5">
      <c r="A6" s="1981" t="s">
        <v>2261</v>
      </c>
      <c r="B6" s="1988">
        <f>+INPUT!E163</f>
        <v>0</v>
      </c>
      <c r="C6" s="1982"/>
      <c r="D6" s="1982"/>
      <c r="E6" s="1982"/>
      <c r="F6" s="1982"/>
      <c r="G6" s="1982"/>
      <c r="H6" s="1982"/>
      <c r="I6" s="1982"/>
      <c r="J6" s="1982"/>
      <c r="K6" s="1984"/>
      <c r="L6" s="1982"/>
      <c r="M6" s="90"/>
      <c r="N6" s="90"/>
    </row>
    <row r="7" spans="1:16" s="317" customFormat="1" ht="12.75">
      <c r="A7" s="90" t="s">
        <v>2262</v>
      </c>
      <c r="B7" s="2015">
        <f>+INPUT!E135</f>
        <v>36</v>
      </c>
      <c r="C7" s="1982"/>
      <c r="D7" s="1982" t="s">
        <v>2263</v>
      </c>
      <c r="E7" s="1984"/>
      <c r="F7" s="2015">
        <f>+INPUT!E174</f>
        <v>360</v>
      </c>
      <c r="G7" s="1982"/>
      <c r="H7" s="1982"/>
      <c r="J7" s="1982"/>
      <c r="K7" s="1982"/>
      <c r="L7" s="1982"/>
      <c r="M7" s="90"/>
      <c r="N7" s="90"/>
    </row>
    <row r="8" spans="1:16" s="317" customFormat="1" ht="13.5" thickBot="1">
      <c r="A8" s="1990" t="s">
        <v>2264</v>
      </c>
      <c r="B8" s="1991">
        <v>0</v>
      </c>
      <c r="C8" s="1992"/>
      <c r="D8" s="1993" t="s">
        <v>2265</v>
      </c>
      <c r="E8" s="1993"/>
      <c r="F8" s="1994">
        <v>0</v>
      </c>
      <c r="G8" s="1993"/>
      <c r="H8" s="1992" t="s">
        <v>2266</v>
      </c>
      <c r="I8" s="1992"/>
      <c r="J8" s="1995"/>
      <c r="K8" s="1996" t="s">
        <v>9</v>
      </c>
      <c r="L8" s="1982"/>
      <c r="M8" s="90"/>
      <c r="N8" s="90"/>
    </row>
    <row r="9" spans="1:16" s="317" customFormat="1" ht="12.75">
      <c r="A9" s="90"/>
      <c r="B9" s="306"/>
      <c r="C9" s="306"/>
      <c r="D9" s="306"/>
      <c r="E9" s="306"/>
      <c r="F9" s="306"/>
      <c r="G9" s="306"/>
      <c r="H9" s="306"/>
      <c r="I9" s="306"/>
      <c r="J9" s="306"/>
      <c r="K9" s="306"/>
      <c r="L9" s="1982"/>
      <c r="M9" s="90"/>
      <c r="N9" s="90"/>
      <c r="P9" s="1997"/>
    </row>
    <row r="10" spans="1:16" s="3" customFormat="1" ht="12.75">
      <c r="A10" s="67" t="s">
        <v>2267</v>
      </c>
      <c r="B10" s="29"/>
      <c r="C10" s="29"/>
      <c r="D10" s="29"/>
      <c r="E10" s="29"/>
      <c r="F10" s="29"/>
      <c r="G10" s="29"/>
      <c r="H10" s="29"/>
      <c r="I10" s="29"/>
      <c r="J10" s="29"/>
      <c r="K10" s="29"/>
      <c r="L10" s="1979"/>
      <c r="M10" s="28"/>
      <c r="N10" s="28"/>
      <c r="P10" s="1037"/>
    </row>
    <row r="11" spans="1:16" s="3" customFormat="1" ht="25.5">
      <c r="A11" s="661" t="s">
        <v>1671</v>
      </c>
      <c r="B11" s="1998" t="s">
        <v>729</v>
      </c>
      <c r="C11" s="1998" t="s">
        <v>322</v>
      </c>
      <c r="D11" s="1999" t="s">
        <v>1449</v>
      </c>
      <c r="E11" s="1998" t="s">
        <v>322</v>
      </c>
      <c r="F11" s="1998" t="s">
        <v>22</v>
      </c>
      <c r="G11" s="1998" t="s">
        <v>322</v>
      </c>
      <c r="H11" s="2000" t="s">
        <v>2268</v>
      </c>
      <c r="I11" s="1998" t="s">
        <v>306</v>
      </c>
      <c r="J11" s="1998" t="s">
        <v>196</v>
      </c>
      <c r="K11" s="1999" t="s">
        <v>1610</v>
      </c>
      <c r="L11" s="1979"/>
      <c r="M11" s="28"/>
      <c r="N11" s="28"/>
    </row>
    <row r="12" spans="1:16" s="3" customFormat="1" ht="12.75">
      <c r="A12" s="28" t="s">
        <v>2269</v>
      </c>
      <c r="B12" s="2018">
        <f>+INPUT!F186</f>
        <v>64037354</v>
      </c>
      <c r="C12" s="2001">
        <f>B12/B14</f>
        <v>0.80190690923691677</v>
      </c>
      <c r="D12" s="29">
        <f>F12-B12</f>
        <v>21910146</v>
      </c>
      <c r="E12" s="2001">
        <f>IF(D12=0,0,D12/$D$14)</f>
        <v>0.77500000353717402</v>
      </c>
      <c r="F12" s="2018">
        <f>+INPUT!J186</f>
        <v>85947500</v>
      </c>
      <c r="G12" s="2001">
        <f>F12/F14</f>
        <v>0.79487179487179482</v>
      </c>
      <c r="H12" s="2002">
        <f>((F14*H14)-(F13*H13))/F12</f>
        <v>0</v>
      </c>
      <c r="I12" s="2003">
        <f>ROUND(((((F14*I14)-(F13*I13))/F12)),8)</f>
        <v>0</v>
      </c>
      <c r="J12" s="2003">
        <f>F4</f>
        <v>0</v>
      </c>
      <c r="K12" s="2003">
        <f>MAX(H12,I12+J12)</f>
        <v>0</v>
      </c>
      <c r="L12" s="1979"/>
      <c r="M12" s="28"/>
      <c r="N12" s="28"/>
    </row>
    <row r="13" spans="1:16" s="3" customFormat="1" ht="12.75">
      <c r="A13" s="2004" t="s">
        <v>1676</v>
      </c>
      <c r="B13" s="2019">
        <f>+INPUT!F187</f>
        <v>15818990</v>
      </c>
      <c r="C13" s="2005">
        <f>B13/B14</f>
        <v>0.19809309076308326</v>
      </c>
      <c r="D13" s="1980">
        <f>F13-B13</f>
        <v>6361010</v>
      </c>
      <c r="E13" s="2005">
        <f>IF(D13=0,0,D13/$D$14)</f>
        <v>0.22499999646282592</v>
      </c>
      <c r="F13" s="2019">
        <f>+INPUT!J187</f>
        <v>22180000</v>
      </c>
      <c r="G13" s="2005">
        <f>F13/F14</f>
        <v>0.20512820512820512</v>
      </c>
      <c r="H13" s="2006">
        <f>B6</f>
        <v>0</v>
      </c>
      <c r="I13" s="2007">
        <f>H13-J13</f>
        <v>0</v>
      </c>
      <c r="J13" s="2007">
        <f>F4</f>
        <v>0</v>
      </c>
      <c r="K13" s="2007">
        <f>MAX(H13,I13+J13)</f>
        <v>0</v>
      </c>
      <c r="L13" s="1979"/>
      <c r="M13" s="28"/>
      <c r="N13" s="28"/>
    </row>
    <row r="14" spans="1:16" s="3" customFormat="1" ht="12.75">
      <c r="A14" s="57" t="s">
        <v>22</v>
      </c>
      <c r="B14" s="755">
        <f>SUM(B12:B13)</f>
        <v>79856344</v>
      </c>
      <c r="C14" s="2008">
        <f>B14/B14</f>
        <v>1</v>
      </c>
      <c r="D14" s="755">
        <f>SUM(D12:D13)</f>
        <v>28271156</v>
      </c>
      <c r="E14" s="2008">
        <f>IF(D14=0,0,D14/$D$14)</f>
        <v>1</v>
      </c>
      <c r="F14" s="755">
        <f>SUM(F12:F13)</f>
        <v>108127500</v>
      </c>
      <c r="G14" s="2008">
        <f>F14/F14</f>
        <v>1</v>
      </c>
      <c r="H14" s="2009">
        <f>B5</f>
        <v>0</v>
      </c>
      <c r="I14" s="2010">
        <f>B4</f>
        <v>0</v>
      </c>
      <c r="J14" s="2010">
        <f>SUMPRODUCT(J12:J13,F12:F13)/F14</f>
        <v>0</v>
      </c>
      <c r="K14" s="2010">
        <f>SUMPRODUCT(K12:K13,F12:F13)/F14</f>
        <v>0</v>
      </c>
      <c r="L14" s="2011"/>
      <c r="M14" s="28"/>
      <c r="N14" s="28"/>
    </row>
    <row r="15" spans="1:16" s="3" customFormat="1" ht="12.75">
      <c r="A15" s="28"/>
      <c r="B15" s="29"/>
      <c r="C15" s="29"/>
      <c r="D15" s="29"/>
      <c r="E15" s="2012"/>
      <c r="F15" s="29"/>
      <c r="G15" s="29"/>
      <c r="H15" s="29"/>
      <c r="I15" s="29"/>
      <c r="J15" s="29"/>
      <c r="K15" s="29"/>
      <c r="L15" s="1979"/>
      <c r="M15" s="28"/>
      <c r="N15" s="28"/>
    </row>
    <row r="16" spans="1:16" s="3" customFormat="1" ht="12.75">
      <c r="A16" s="28" t="s">
        <v>168</v>
      </c>
      <c r="B16" s="2020">
        <v>43860</v>
      </c>
      <c r="C16" s="28"/>
      <c r="D16" s="28"/>
      <c r="E16" s="30"/>
      <c r="F16" s="29"/>
      <c r="G16" s="29"/>
      <c r="H16" s="29"/>
      <c r="I16" s="29"/>
      <c r="J16" s="29"/>
      <c r="K16" s="29"/>
      <c r="L16" s="1979"/>
      <c r="M16" s="28"/>
      <c r="N16" s="28"/>
    </row>
    <row r="17" spans="1:14">
      <c r="A17" s="1979" t="s">
        <v>2270</v>
      </c>
      <c r="B17" s="2021">
        <f>+INPUT!E131</f>
        <v>10</v>
      </c>
      <c r="C17" s="20"/>
      <c r="D17" s="20"/>
      <c r="E17" s="100"/>
      <c r="F17" s="20"/>
      <c r="G17" s="20"/>
      <c r="H17" s="20"/>
      <c r="I17" s="20"/>
      <c r="J17" s="20"/>
      <c r="K17" s="20"/>
      <c r="M17" s="20"/>
      <c r="N17" s="20"/>
    </row>
    <row r="18" spans="1:14" s="3" customFormat="1" ht="26.25">
      <c r="A18" s="2443" t="s">
        <v>2271</v>
      </c>
      <c r="B18" s="2013">
        <f>IF(DAY(B16)=B17,DATE(YEAR(B16),MONTH(B16),DAY(B16)-1),IF(DAY(B16)&lt;B17,DATE(YEAR(B16),MONTH(B16),DAY(B17-1)),IF(DAY(B16)&gt;B17,DATE(YEAR(B16),MONTH(B16)+1,DAY(B17-1)))))</f>
        <v>43870</v>
      </c>
      <c r="C18" s="28"/>
      <c r="D18" s="28"/>
      <c r="E18" s="100"/>
      <c r="F18" s="20"/>
      <c r="G18" s="20"/>
      <c r="H18" s="20"/>
      <c r="I18" s="20"/>
      <c r="J18" s="20"/>
      <c r="K18" s="20"/>
      <c r="L18" s="1979"/>
      <c r="M18" s="28"/>
      <c r="N18" s="28"/>
    </row>
    <row r="19" spans="1:14">
      <c r="A19" s="1980" t="s">
        <v>2272</v>
      </c>
      <c r="B19" s="2014">
        <f>DATE(YEAR(B18),MONTH(B18)+1,DAY(B17))</f>
        <v>43900</v>
      </c>
      <c r="C19" s="20"/>
      <c r="D19" s="20"/>
      <c r="E19" s="100"/>
      <c r="F19" s="20"/>
      <c r="G19" s="20"/>
      <c r="H19" s="20"/>
      <c r="I19" s="20"/>
      <c r="J19" s="20"/>
      <c r="K19" s="20"/>
      <c r="L19" s="20"/>
      <c r="M19" s="20"/>
      <c r="N19" s="20"/>
    </row>
  </sheetData>
  <dataValidations count="1">
    <dataValidation type="whole" allowBlank="1" showInputMessage="1" showErrorMessage="1" sqref="B19 B17" xr:uid="{CD9202CD-E6E3-44EB-B471-8272A0547983}">
      <formula1>1</formula1>
      <formula2>31</formula2>
    </dataValidation>
  </dataValidation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50C22-057B-49C7-B6E0-4E9C48C29750}">
  <sheetPr codeName="Sheet25"/>
  <dimension ref="A1:BV193"/>
  <sheetViews>
    <sheetView workbookViewId="0">
      <selection activeCell="G26" sqref="G26"/>
    </sheetView>
  </sheetViews>
  <sheetFormatPr defaultColWidth="8.5703125" defaultRowHeight="12.75" outlineLevelRow="1" outlineLevelCol="1"/>
  <cols>
    <col min="1" max="1" width="19.5703125" style="30" customWidth="1"/>
    <col min="2" max="2" width="16.5703125" style="28" customWidth="1"/>
    <col min="3" max="3" width="15" style="30" customWidth="1"/>
    <col min="4" max="4" width="2.5703125" style="30" customWidth="1"/>
    <col min="5" max="5" width="3" style="30" customWidth="1"/>
    <col min="6" max="6" width="3" style="30" customWidth="1" outlineLevel="1"/>
    <col min="7" max="7" width="14.42578125" style="29" customWidth="1" outlineLevel="1"/>
    <col min="8" max="8" width="15.5703125" style="29" customWidth="1" outlineLevel="1"/>
    <col min="9" max="9" width="36" style="29" customWidth="1" outlineLevel="1"/>
    <col min="10" max="10" width="17.5703125" style="29" customWidth="1" outlineLevel="1"/>
    <col min="11" max="11" width="3.42578125" style="29" customWidth="1" outlineLevel="1"/>
    <col min="12" max="12" width="4" style="29" customWidth="1"/>
    <col min="13" max="13" width="3.42578125" style="29" customWidth="1" outlineLevel="1"/>
    <col min="14" max="14" width="22" style="29" customWidth="1" outlineLevel="1"/>
    <col min="15" max="15" width="18.5703125" style="29" customWidth="1" outlineLevel="1"/>
    <col min="16" max="16" width="30.5703125" style="29" customWidth="1" outlineLevel="1"/>
    <col min="17" max="17" width="19.42578125" style="29" customWidth="1" outlineLevel="1"/>
    <col min="18" max="18" width="3" style="29" customWidth="1" outlineLevel="1"/>
    <col min="19" max="19" width="21.5703125" style="29" customWidth="1"/>
    <col min="20" max="20" width="3.42578125" style="1979" customWidth="1" outlineLevel="1"/>
    <col min="21" max="21" width="15.42578125" style="29" customWidth="1" outlineLevel="1"/>
    <col min="22" max="22" width="13.42578125" style="29" customWidth="1" outlineLevel="1"/>
    <col min="23" max="23" width="15.5703125" style="29" customWidth="1" outlineLevel="1"/>
    <col min="24" max="24" width="3" style="28" customWidth="1" outlineLevel="1"/>
    <col min="25" max="25" width="54.5703125" style="3" customWidth="1"/>
    <col min="26" max="16384" width="8.5703125" style="3"/>
  </cols>
  <sheetData>
    <row r="1" spans="1:25" ht="15.75">
      <c r="A1" s="2682" t="s">
        <v>2273</v>
      </c>
      <c r="B1" s="2603"/>
      <c r="C1" s="2603"/>
      <c r="D1" s="2603"/>
      <c r="E1" s="2603"/>
      <c r="F1" s="2603"/>
      <c r="G1" s="2603"/>
      <c r="H1" s="2603"/>
      <c r="I1" s="2603"/>
      <c r="J1" s="2603"/>
      <c r="K1" s="2603"/>
      <c r="L1" s="2603"/>
      <c r="M1" s="2603"/>
      <c r="N1" s="2603"/>
      <c r="O1" s="2603"/>
      <c r="P1" s="2603"/>
      <c r="Q1" s="2603"/>
      <c r="R1" s="2427"/>
      <c r="S1" s="2427"/>
      <c r="T1" s="2022"/>
      <c r="U1" s="2683" t="s">
        <v>2274</v>
      </c>
      <c r="V1" s="2684"/>
      <c r="W1" s="2684"/>
      <c r="Y1" s="28"/>
    </row>
    <row r="2" spans="1:25" ht="15.75">
      <c r="A2" s="2686" t="s">
        <v>2275</v>
      </c>
      <c r="B2" s="2686"/>
      <c r="C2" s="2686"/>
      <c r="D2" s="2686"/>
      <c r="E2" s="2686"/>
      <c r="F2" s="2686"/>
      <c r="G2" s="2686"/>
      <c r="H2" s="2686"/>
      <c r="I2" s="2686"/>
      <c r="J2" s="2686"/>
      <c r="K2" s="2686"/>
      <c r="L2" s="2686"/>
      <c r="M2" s="2686"/>
      <c r="N2" s="2686"/>
      <c r="O2" s="2686"/>
      <c r="P2" s="2686"/>
      <c r="Q2" s="2686"/>
      <c r="R2" s="2427"/>
      <c r="S2" s="2427"/>
      <c r="T2" s="2022"/>
      <c r="U2" s="2685"/>
      <c r="V2" s="2685"/>
      <c r="W2" s="2685"/>
      <c r="Y2" s="28"/>
    </row>
    <row r="3" spans="1:25" ht="15.75">
      <c r="A3" s="2023"/>
      <c r="B3" s="2023"/>
      <c r="C3" s="2023"/>
      <c r="D3" s="2023"/>
      <c r="E3" s="2023"/>
      <c r="F3" s="2023"/>
      <c r="G3"/>
      <c r="H3" s="2024"/>
      <c r="I3" s="2024"/>
      <c r="J3" s="2024"/>
      <c r="K3" s="2024"/>
      <c r="L3" s="2024"/>
      <c r="M3" s="2024"/>
      <c r="N3"/>
      <c r="O3" s="2024"/>
      <c r="P3" s="2024"/>
      <c r="Q3" s="2024"/>
      <c r="R3" s="2024"/>
      <c r="S3" s="2024"/>
      <c r="T3" s="2022"/>
      <c r="U3" s="2025"/>
      <c r="V3" s="2025"/>
      <c r="Y3" s="28"/>
    </row>
    <row r="4" spans="1:25" customFormat="1" ht="15">
      <c r="A4" s="2026" t="s">
        <v>552</v>
      </c>
      <c r="B4" s="2027"/>
      <c r="C4" s="2028"/>
      <c r="D4" s="2028"/>
      <c r="E4" s="2028"/>
      <c r="F4" s="2028"/>
      <c r="H4" s="2029"/>
      <c r="I4" s="2109" t="str">
        <f>+'Input Amortization-Fixed Rate '!B2</f>
        <v>LSS Test 1</v>
      </c>
      <c r="J4" s="2029"/>
      <c r="K4" s="2029"/>
      <c r="L4" s="2029"/>
      <c r="M4" s="2029"/>
      <c r="O4" s="2029"/>
      <c r="P4" s="2109" t="str">
        <f>+'Input Amortization-Fixed Rate '!B2</f>
        <v>LSS Test 1</v>
      </c>
      <c r="Q4" s="2029"/>
      <c r="R4" s="2029"/>
      <c r="S4" s="2029"/>
      <c r="T4" s="2029"/>
      <c r="U4" s="2029"/>
      <c r="V4" s="2029"/>
      <c r="W4" s="2030"/>
      <c r="X4" s="20"/>
      <c r="Y4" s="20"/>
    </row>
    <row r="5" spans="1:25" customFormat="1" ht="15">
      <c r="A5" s="2026" t="s">
        <v>2276</v>
      </c>
      <c r="B5" s="2027"/>
      <c r="C5" s="2028"/>
      <c r="D5" s="2028"/>
      <c r="E5" s="2028"/>
      <c r="F5" s="2028"/>
      <c r="H5" s="2029"/>
      <c r="I5" s="2109" t="str">
        <f>+'Input Amortization-Fixed Rate '!B3</f>
        <v>6363 &amp; 6399 &amp; 6501 S Fiddler's Green Circle, Englewood, CO</v>
      </c>
      <c r="J5" s="2029"/>
      <c r="K5" s="2029"/>
      <c r="L5" s="2029"/>
      <c r="M5" s="2029"/>
      <c r="O5" s="2029"/>
      <c r="P5" s="2109" t="str">
        <f>+'Input Amortization-Fixed Rate '!B3</f>
        <v>6363 &amp; 6399 &amp; 6501 S Fiddler's Green Circle, Englewood, CO</v>
      </c>
      <c r="Q5" s="2029"/>
      <c r="R5" s="2029"/>
      <c r="S5" s="2029"/>
      <c r="T5" s="2029"/>
      <c r="U5" s="2029"/>
      <c r="V5" s="2029"/>
      <c r="W5" s="2030"/>
      <c r="X5" s="20"/>
      <c r="Y5" s="20"/>
    </row>
    <row r="6" spans="1:25" customFormat="1" ht="15">
      <c r="A6" s="2026" t="s">
        <v>2277</v>
      </c>
      <c r="B6" s="2027"/>
      <c r="C6" s="2026"/>
      <c r="D6" s="2026"/>
      <c r="E6" s="2026"/>
      <c r="F6" s="2026"/>
      <c r="H6" s="2029"/>
      <c r="I6" s="2031">
        <f>+'Input Amortization-Fixed Rate '!B16</f>
        <v>43860</v>
      </c>
      <c r="J6" s="2029"/>
      <c r="K6" s="2029"/>
      <c r="L6" s="2029"/>
      <c r="M6" s="2029"/>
      <c r="O6" s="2029"/>
      <c r="P6" s="2031">
        <f>+'Input Amortization-Fixed Rate '!B16</f>
        <v>43860</v>
      </c>
      <c r="Q6" s="2029"/>
      <c r="R6" s="2029"/>
      <c r="S6" s="2029"/>
      <c r="T6" s="2029"/>
      <c r="U6" s="2029"/>
      <c r="V6" s="2029"/>
      <c r="W6" s="2030"/>
      <c r="X6" s="20"/>
      <c r="Y6" s="20"/>
    </row>
    <row r="7" spans="1:25" customFormat="1" ht="15">
      <c r="A7" s="2026" t="s">
        <v>2270</v>
      </c>
      <c r="B7" s="2027"/>
      <c r="C7" s="2029"/>
      <c r="D7" s="2029"/>
      <c r="E7" s="2029"/>
      <c r="F7" s="2029"/>
      <c r="H7" s="2028"/>
      <c r="I7" s="2032">
        <f>+'Input Amortization-Fixed Rate '!B17</f>
        <v>10</v>
      </c>
      <c r="J7" s="2028"/>
      <c r="K7" s="2028"/>
      <c r="L7" s="2028"/>
      <c r="M7" s="2028"/>
      <c r="O7" s="2029"/>
      <c r="P7" s="2032">
        <f>+'Input Amortization-Fixed Rate '!B17</f>
        <v>10</v>
      </c>
      <c r="Q7" s="2029"/>
      <c r="R7" s="2029"/>
      <c r="S7" s="2029"/>
      <c r="T7" s="2029"/>
      <c r="U7" s="2029"/>
      <c r="V7" s="2029"/>
      <c r="W7" s="2030"/>
      <c r="X7" s="20"/>
      <c r="Y7" s="20"/>
    </row>
    <row r="8" spans="1:25" customFormat="1" ht="15">
      <c r="A8" s="2026"/>
      <c r="B8" s="2027"/>
      <c r="C8" s="2029"/>
      <c r="D8" s="2029"/>
      <c r="E8" s="2029"/>
      <c r="F8" s="2029"/>
      <c r="H8" s="2028"/>
      <c r="I8" s="2029"/>
      <c r="J8" s="2028"/>
      <c r="K8" s="2028"/>
      <c r="L8" s="2028"/>
      <c r="M8" s="2028"/>
      <c r="O8" s="2029"/>
      <c r="P8" s="2029"/>
      <c r="Q8" s="2029"/>
      <c r="R8" s="2029"/>
      <c r="S8" s="2029"/>
      <c r="T8" s="2029"/>
      <c r="U8" s="2029"/>
      <c r="V8" s="2029"/>
      <c r="W8" s="2030"/>
      <c r="X8" s="20"/>
      <c r="Y8" s="20"/>
    </row>
    <row r="9" spans="1:25" customFormat="1" ht="15">
      <c r="A9" s="2026" t="s">
        <v>2278</v>
      </c>
      <c r="B9" s="2027"/>
      <c r="C9" s="2029"/>
      <c r="D9" s="2029"/>
      <c r="E9" s="2029"/>
      <c r="F9" s="2029"/>
      <c r="H9" s="2028"/>
      <c r="I9" s="2033" t="s">
        <v>2279</v>
      </c>
      <c r="J9" s="2028"/>
      <c r="K9" s="2028"/>
      <c r="L9" s="2028"/>
      <c r="M9" s="2028"/>
      <c r="O9" s="2029"/>
      <c r="P9" s="2029" t="s">
        <v>2280</v>
      </c>
      <c r="Q9" s="2029"/>
      <c r="R9" s="2029"/>
      <c r="S9" s="2029"/>
      <c r="T9" s="2029"/>
      <c r="U9" s="2029"/>
      <c r="V9" s="2029"/>
      <c r="W9" s="2030"/>
      <c r="X9" s="20"/>
      <c r="Y9" s="20"/>
    </row>
    <row r="10" spans="1:25" customFormat="1" ht="15">
      <c r="A10" s="2026" t="s">
        <v>1723</v>
      </c>
      <c r="B10" s="2028"/>
      <c r="C10" s="2029"/>
      <c r="D10" s="2029"/>
      <c r="E10" s="2029"/>
      <c r="F10" s="2029"/>
      <c r="H10" s="2034"/>
      <c r="I10" s="2029">
        <f>+'Input Amortization-Fixed Rate '!B12</f>
        <v>64037354</v>
      </c>
      <c r="J10" s="2034"/>
      <c r="K10" s="2034"/>
      <c r="L10" s="2034"/>
      <c r="M10" s="2034"/>
      <c r="O10" s="2035"/>
      <c r="P10" s="2029">
        <f>+'Input Amortization-Fixed Rate '!B13</f>
        <v>15818990</v>
      </c>
      <c r="Q10" s="2035"/>
      <c r="R10" s="2035"/>
      <c r="S10" s="2035"/>
      <c r="T10" s="2035"/>
      <c r="U10" s="2035"/>
      <c r="V10" s="2035"/>
      <c r="W10" s="2030"/>
      <c r="X10" s="20"/>
      <c r="Y10" s="20"/>
    </row>
    <row r="11" spans="1:25" customFormat="1" ht="15">
      <c r="A11" s="2026" t="s">
        <v>2281</v>
      </c>
      <c r="B11" s="2029"/>
      <c r="C11" s="2029"/>
      <c r="D11" s="2029"/>
      <c r="E11" s="2029"/>
      <c r="F11" s="2029"/>
      <c r="H11" s="2035"/>
      <c r="I11" s="2029">
        <f>+'Input Amortization-Fixed Rate '!D12</f>
        <v>21910146</v>
      </c>
      <c r="J11" s="2035"/>
      <c r="K11" s="2035"/>
      <c r="L11" s="2035"/>
      <c r="M11" s="2035"/>
      <c r="O11" s="2035"/>
      <c r="P11" s="2029">
        <f>+'Input Amortization-Fixed Rate '!D13</f>
        <v>6361010</v>
      </c>
      <c r="Q11" s="2035"/>
      <c r="R11" s="2035"/>
      <c r="S11" s="2035"/>
      <c r="T11" s="2035"/>
      <c r="U11" s="2035"/>
      <c r="V11" s="2035"/>
      <c r="W11" s="2030"/>
      <c r="X11" s="20"/>
      <c r="Y11" s="20"/>
    </row>
    <row r="12" spans="1:25" customFormat="1" ht="15">
      <c r="A12" s="2026" t="s">
        <v>1683</v>
      </c>
      <c r="B12" s="2026"/>
      <c r="C12" s="2026"/>
      <c r="D12" s="2026"/>
      <c r="E12" s="2026"/>
      <c r="F12" s="2026"/>
      <c r="H12" s="2035"/>
      <c r="I12" s="2029">
        <f>+'Input Amortization-Fixed Rate '!F12</f>
        <v>85947500</v>
      </c>
      <c r="J12" s="2035"/>
      <c r="K12" s="2035"/>
      <c r="L12" s="2035"/>
      <c r="M12" s="2035"/>
      <c r="O12" s="2035"/>
      <c r="P12" s="2029">
        <f>+'Input Amortization-Fixed Rate '!F13</f>
        <v>22180000</v>
      </c>
      <c r="Q12" s="2035"/>
      <c r="R12" s="2035"/>
      <c r="S12" s="2035"/>
      <c r="T12" s="2035"/>
      <c r="U12" s="2035"/>
      <c r="V12" s="2035"/>
      <c r="W12" s="2030"/>
      <c r="X12" s="20"/>
      <c r="Y12" s="20"/>
    </row>
    <row r="13" spans="1:25" customFormat="1" ht="17.25" customHeight="1">
      <c r="A13" s="2026" t="s">
        <v>2282</v>
      </c>
      <c r="B13" s="2026"/>
      <c r="C13" s="2026"/>
      <c r="D13" s="2026"/>
      <c r="E13" s="2026"/>
      <c r="F13" s="2026"/>
      <c r="H13" s="2035"/>
      <c r="I13" s="2036">
        <f>+'Input Amortization-Fixed Rate '!K12</f>
        <v>0</v>
      </c>
      <c r="J13" s="2035"/>
      <c r="K13" s="2035"/>
      <c r="L13" s="2035"/>
      <c r="M13" s="2035"/>
      <c r="O13" s="2035"/>
      <c r="P13" s="2036">
        <f>+'Input Amortization-Fixed Rate '!K13</f>
        <v>0</v>
      </c>
      <c r="Q13" s="2035"/>
      <c r="R13" s="2035"/>
      <c r="S13" s="2035"/>
      <c r="T13" s="2035"/>
      <c r="U13" s="2036">
        <f>[11]Input!K14</f>
        <v>4.2499999500000003E-2</v>
      </c>
      <c r="V13" s="2035"/>
      <c r="W13" s="2030"/>
      <c r="X13" s="20"/>
      <c r="Y13" s="20"/>
    </row>
    <row r="14" spans="1:25" customFormat="1" ht="15">
      <c r="A14" s="2026" t="s">
        <v>2283</v>
      </c>
      <c r="B14" s="2026"/>
      <c r="C14" s="2026"/>
      <c r="D14" s="2026"/>
      <c r="E14" s="2026"/>
      <c r="F14" s="2026"/>
      <c r="H14" s="2035"/>
      <c r="I14" s="2037">
        <f>+'Input Amortization-Fixed Rate '!B7</f>
        <v>36</v>
      </c>
      <c r="J14" s="2035"/>
      <c r="K14" s="2035"/>
      <c r="L14" s="2035"/>
      <c r="M14" s="2035"/>
      <c r="O14" s="2035"/>
      <c r="P14" s="2037">
        <f>+'Input Amortization-Fixed Rate '!B7</f>
        <v>36</v>
      </c>
      <c r="Q14" s="2035"/>
      <c r="R14" s="2035"/>
      <c r="S14" s="2035"/>
      <c r="T14" s="2035"/>
      <c r="U14" s="2037">
        <f>[11]Input!B7</f>
        <v>120</v>
      </c>
      <c r="V14" s="2035"/>
      <c r="W14" s="2030"/>
      <c r="X14" s="20"/>
      <c r="Y14" s="20"/>
    </row>
    <row r="15" spans="1:25" customFormat="1" ht="15">
      <c r="A15" s="2026" t="s">
        <v>2284</v>
      </c>
      <c r="B15" s="2026"/>
      <c r="C15" s="2026"/>
      <c r="D15" s="2026"/>
      <c r="E15" s="2026"/>
      <c r="F15" s="2026"/>
      <c r="H15" s="2035"/>
      <c r="I15" s="2037">
        <f>IF('Input Amortization-Fixed Rate '!B8="",0,1+'Input Amortization-Fixed Rate '!B8)</f>
        <v>1</v>
      </c>
      <c r="J15" s="2035"/>
      <c r="K15" s="2035"/>
      <c r="L15" s="2035"/>
      <c r="M15" s="2035"/>
      <c r="O15" s="2035"/>
      <c r="P15" s="2037">
        <f>+I15</f>
        <v>1</v>
      </c>
      <c r="Q15" s="2035"/>
      <c r="R15" s="2035"/>
      <c r="S15" s="2035"/>
      <c r="T15" s="2035"/>
      <c r="U15" s="2037">
        <f>P15</f>
        <v>1</v>
      </c>
      <c r="V15" s="2035"/>
      <c r="W15" s="2030"/>
      <c r="X15" s="20"/>
      <c r="Y15" s="20"/>
    </row>
    <row r="16" spans="1:25" customFormat="1" ht="15">
      <c r="A16" s="2026" t="s">
        <v>2285</v>
      </c>
      <c r="B16" s="2026"/>
      <c r="C16" s="2026"/>
      <c r="D16" s="2026"/>
      <c r="E16" s="2026"/>
      <c r="F16" s="2026"/>
      <c r="H16" s="2038"/>
      <c r="I16" s="2039" t="str">
        <f>IFERROR(VLOOKUP('Input Amortization-Fixed Rate '!B8,'[12]Fixed Amortization Mor and Mez'!A27:B153,2,FALSE),"")</f>
        <v/>
      </c>
      <c r="J16" s="2038"/>
      <c r="K16" s="2038"/>
      <c r="L16" s="2038"/>
      <c r="M16" s="2038"/>
      <c r="O16" s="2038"/>
      <c r="P16" s="2039" t="str">
        <f>I16</f>
        <v/>
      </c>
      <c r="Q16" s="2038"/>
      <c r="R16" s="2038"/>
      <c r="S16" s="2038"/>
      <c r="T16" s="2038"/>
      <c r="U16" s="2039" t="str">
        <f>P16</f>
        <v/>
      </c>
      <c r="V16" s="2035"/>
      <c r="W16" s="2030"/>
      <c r="X16" s="20"/>
      <c r="Y16" s="20"/>
    </row>
    <row r="17" spans="1:25" customFormat="1" ht="15">
      <c r="A17" s="2040" t="s">
        <v>2286</v>
      </c>
      <c r="B17" s="2040"/>
      <c r="C17" s="2040"/>
      <c r="D17" s="2040"/>
      <c r="E17" s="2040"/>
      <c r="F17" s="2040"/>
      <c r="G17" s="1672"/>
      <c r="H17" s="2041"/>
      <c r="I17" s="2042">
        <f>+'Input Amortization-Fixed Rate '!F7</f>
        <v>360</v>
      </c>
      <c r="J17" s="2041"/>
      <c r="K17" s="2041"/>
      <c r="L17" s="2041"/>
      <c r="M17" s="2041"/>
      <c r="N17" s="1672"/>
      <c r="O17" s="2041"/>
      <c r="P17" s="2042">
        <f>I17</f>
        <v>360</v>
      </c>
      <c r="Q17" s="2041"/>
      <c r="R17" s="2041"/>
      <c r="S17" s="2041"/>
      <c r="T17" s="2041"/>
      <c r="U17" s="2042">
        <f>I17</f>
        <v>360</v>
      </c>
      <c r="V17" s="2043"/>
      <c r="W17" s="2044"/>
      <c r="X17" s="20"/>
      <c r="Y17" s="20"/>
    </row>
    <row r="18" spans="1:25" customFormat="1" ht="15">
      <c r="A18" s="410"/>
      <c r="B18" s="410"/>
      <c r="C18" s="410"/>
      <c r="D18" s="410"/>
      <c r="E18" s="410"/>
      <c r="F18" s="410"/>
      <c r="G18" s="2045"/>
      <c r="H18" s="2045"/>
      <c r="I18" s="2045"/>
      <c r="J18" s="2045"/>
      <c r="K18" s="2045"/>
      <c r="L18" s="2045"/>
      <c r="M18" s="2045"/>
      <c r="N18" s="2045"/>
      <c r="O18" s="2045"/>
      <c r="P18" s="2045"/>
      <c r="Q18" s="2045"/>
      <c r="R18" s="2045"/>
      <c r="S18" s="2045"/>
      <c r="T18" s="2046"/>
      <c r="U18" s="2045"/>
      <c r="V18" s="2045"/>
      <c r="W18" s="1218"/>
      <c r="X18" s="20"/>
      <c r="Y18" s="20"/>
    </row>
    <row r="19" spans="1:25" customFormat="1" ht="15">
      <c r="A19" s="2047" t="s">
        <v>2287</v>
      </c>
      <c r="B19" s="410"/>
      <c r="C19" s="410"/>
      <c r="D19" s="410"/>
      <c r="E19" s="410"/>
      <c r="F19" s="410"/>
      <c r="G19" s="2045"/>
      <c r="H19" s="2045"/>
      <c r="I19" s="2045"/>
      <c r="J19" s="2045"/>
      <c r="K19" s="2045"/>
      <c r="L19" s="2045"/>
      <c r="M19" s="2045"/>
      <c r="N19" s="2045"/>
      <c r="O19" s="2045"/>
      <c r="P19" s="2045"/>
      <c r="Q19" s="2045"/>
      <c r="R19" s="2045"/>
      <c r="S19" s="2045"/>
      <c r="T19" s="2048"/>
      <c r="U19" s="2049"/>
      <c r="V19" s="2049"/>
      <c r="W19" s="29"/>
      <c r="X19" s="28"/>
      <c r="Y19" s="28"/>
    </row>
    <row r="20" spans="1:25" customFormat="1" ht="15">
      <c r="A20" s="2047" t="s">
        <v>2288</v>
      </c>
      <c r="B20" s="410"/>
      <c r="C20" s="410"/>
      <c r="D20" s="410"/>
      <c r="E20" s="410"/>
      <c r="F20" s="410"/>
      <c r="G20" s="2045"/>
      <c r="H20" s="2045"/>
      <c r="I20" s="2045"/>
      <c r="J20" s="2045"/>
      <c r="K20" s="2045"/>
      <c r="L20" s="2045"/>
      <c r="M20" s="2045"/>
      <c r="N20" s="2045"/>
      <c r="O20" s="2045"/>
      <c r="P20" s="2045"/>
      <c r="Q20" s="2045"/>
      <c r="R20" s="2045"/>
      <c r="S20" s="2045"/>
      <c r="T20" s="2048"/>
      <c r="U20" s="2049"/>
      <c r="V20" s="2049"/>
      <c r="W20" s="29"/>
      <c r="X20" s="28"/>
      <c r="Y20" s="28"/>
    </row>
    <row r="21" spans="1:25" customFormat="1" ht="15">
      <c r="A21" s="2047" t="s">
        <v>2289</v>
      </c>
      <c r="B21" s="410"/>
      <c r="C21" s="410"/>
      <c r="D21" s="410"/>
      <c r="E21" s="410"/>
      <c r="F21" s="410"/>
      <c r="G21" s="2046"/>
      <c r="H21" s="2046"/>
      <c r="I21" s="2046"/>
      <c r="J21" s="2046"/>
      <c r="K21" s="2046"/>
      <c r="L21" s="2046"/>
      <c r="M21" s="2046"/>
      <c r="N21" s="2046"/>
      <c r="O21" s="2046"/>
      <c r="P21" s="2046"/>
      <c r="Q21" s="2046"/>
      <c r="R21" s="2046"/>
      <c r="S21" s="2046"/>
      <c r="T21" s="2048"/>
      <c r="U21" s="2048"/>
      <c r="V21" s="2048"/>
      <c r="W21" s="1979"/>
      <c r="X21" s="28"/>
      <c r="Y21" s="28"/>
    </row>
    <row r="22" spans="1:25" customFormat="1" ht="15">
      <c r="A22" s="2050" t="str">
        <f>IF([11]Input!K8="","",IF([11]Input!K8="Yes","-This schedule does not reflect any interest-only payments that are conditional.  If/When the loan qualifies for the interest-only period, the payment schedule and principal balance due at loan maturity will change.",""))</f>
        <v/>
      </c>
      <c r="B22" s="608"/>
      <c r="C22" s="1358"/>
      <c r="D22" s="1358"/>
      <c r="E22" s="1358"/>
      <c r="F22" s="1358"/>
      <c r="G22" s="2051"/>
      <c r="H22" s="2051"/>
      <c r="I22" s="2051"/>
      <c r="J22" s="2051"/>
      <c r="K22" s="2051"/>
      <c r="L22" s="2051"/>
      <c r="M22" s="2051"/>
      <c r="N22" s="2051"/>
      <c r="O22" s="2051"/>
      <c r="P22" s="2051"/>
      <c r="Q22" s="2051"/>
      <c r="R22" s="2051"/>
      <c r="S22" s="2051"/>
      <c r="T22" s="2052"/>
      <c r="U22" s="2052"/>
      <c r="V22" s="2052"/>
      <c r="W22" s="2053"/>
      <c r="X22" s="28"/>
      <c r="Y22" s="28"/>
    </row>
    <row r="23" spans="1:25" customFormat="1" ht="15">
      <c r="A23" s="100"/>
      <c r="B23" s="20"/>
      <c r="C23" s="100"/>
      <c r="D23" s="100"/>
      <c r="E23" s="100"/>
      <c r="F23" s="100"/>
      <c r="G23" s="1218"/>
      <c r="H23" s="1218"/>
      <c r="I23" s="1218"/>
      <c r="J23" s="1218"/>
      <c r="K23" s="1218"/>
      <c r="L23" s="1218"/>
      <c r="M23" s="1218"/>
      <c r="N23" s="1218"/>
      <c r="O23" s="1218"/>
      <c r="P23" s="1218"/>
      <c r="Q23" s="1218"/>
      <c r="R23" s="1218"/>
      <c r="S23" s="1218"/>
      <c r="T23" s="2054"/>
      <c r="U23" s="1218"/>
      <c r="V23" s="1218"/>
      <c r="W23" s="1218"/>
      <c r="X23" s="20"/>
      <c r="Y23" s="20"/>
    </row>
    <row r="24" spans="1:25" s="2060" customFormat="1" ht="27.6" customHeight="1">
      <c r="A24" s="2055"/>
      <c r="B24" s="2056"/>
      <c r="C24" s="2055"/>
      <c r="D24" s="2055"/>
      <c r="E24" s="2055"/>
      <c r="F24" s="2055"/>
      <c r="G24" s="2687" t="s">
        <v>2290</v>
      </c>
      <c r="H24" s="2618"/>
      <c r="I24" s="2618"/>
      <c r="J24" s="2618"/>
      <c r="K24" s="2057"/>
      <c r="L24" s="2057"/>
      <c r="M24" s="2057"/>
      <c r="N24" s="2687" t="s">
        <v>2291</v>
      </c>
      <c r="O24" s="2618"/>
      <c r="P24" s="2618"/>
      <c r="Q24" s="2618"/>
      <c r="R24" s="2058"/>
      <c r="S24" s="2058"/>
      <c r="T24" s="2059"/>
      <c r="U24" s="2059" t="s">
        <v>2292</v>
      </c>
      <c r="V24" s="2059"/>
      <c r="W24" s="2059"/>
      <c r="X24" s="2056"/>
      <c r="Y24" s="2056"/>
    </row>
    <row r="25" spans="1:25" s="2064" customFormat="1" ht="20.25" customHeight="1">
      <c r="A25" s="2061"/>
      <c r="B25" s="2061" t="s">
        <v>2293</v>
      </c>
      <c r="C25" s="2061" t="s">
        <v>2294</v>
      </c>
      <c r="D25" s="2061"/>
      <c r="E25" s="2061"/>
      <c r="F25" s="2061"/>
      <c r="G25" s="2062" t="s">
        <v>961</v>
      </c>
      <c r="H25" s="2062" t="s">
        <v>2232</v>
      </c>
      <c r="I25" s="2063" t="s">
        <v>2295</v>
      </c>
      <c r="J25" s="2062" t="s">
        <v>2296</v>
      </c>
      <c r="K25" s="2062"/>
      <c r="L25" s="2062"/>
      <c r="M25" s="2062"/>
      <c r="N25" s="2062" t="s">
        <v>961</v>
      </c>
      <c r="O25" s="2062" t="s">
        <v>2232</v>
      </c>
      <c r="P25" s="2063" t="s">
        <v>2295</v>
      </c>
      <c r="Q25" s="2062" t="s">
        <v>2296</v>
      </c>
      <c r="R25" s="2062"/>
      <c r="S25" s="2062"/>
      <c r="T25" s="2062"/>
      <c r="U25" s="2062" t="s">
        <v>2297</v>
      </c>
      <c r="V25" s="2062" t="s">
        <v>804</v>
      </c>
      <c r="W25" s="2062" t="s">
        <v>22</v>
      </c>
      <c r="X25" s="94"/>
      <c r="Y25" s="94"/>
    </row>
    <row r="26" spans="1:25" customFormat="1" ht="15">
      <c r="A26" s="2065" t="s">
        <v>584</v>
      </c>
      <c r="B26" s="2066" t="s">
        <v>2298</v>
      </c>
      <c r="C26" s="2067">
        <f>'Input Amortization-Fixed Rate '!B18-'Input Amortization-Fixed Rate '!B16+1</f>
        <v>11</v>
      </c>
      <c r="D26" s="2067"/>
      <c r="E26" s="2067"/>
      <c r="F26" s="2067"/>
      <c r="G26" s="2068">
        <f>ROUND(((('Input Amortization-Fixed Rate '!B12*'Input Amortization-Fixed Rate '!K12)/360)*C26),2)</f>
        <v>0</v>
      </c>
      <c r="H26" s="2068">
        <v>0</v>
      </c>
      <c r="I26" s="2068">
        <f>G26+H26</f>
        <v>0</v>
      </c>
      <c r="J26" s="2068">
        <f>'Input Amortization-Fixed Rate '!B12-H26</f>
        <v>64037354</v>
      </c>
      <c r="K26" s="2068"/>
      <c r="L26" s="2068"/>
      <c r="M26" s="2068"/>
      <c r="N26" s="2070">
        <f>(('Input Amortization-Fixed Rate '!B13*'Input Amortization-Fixed Rate '!K13)/360)*C26</f>
        <v>0</v>
      </c>
      <c r="O26" s="2070">
        <v>0</v>
      </c>
      <c r="P26" s="2071">
        <f>+N26+O26</f>
        <v>0</v>
      </c>
      <c r="Q26" s="2070">
        <f>'Input Amortization-Fixed Rate '!B13-O26</f>
        <v>15818990</v>
      </c>
      <c r="R26" s="2054"/>
      <c r="S26" s="2054"/>
      <c r="T26" s="2054"/>
      <c r="U26" s="2054">
        <f>G26+H26</f>
        <v>0</v>
      </c>
      <c r="V26" s="2054">
        <f>N26+O26</f>
        <v>0</v>
      </c>
      <c r="W26" s="2054">
        <f t="shared" ref="W26:W89" si="0">IF(B26="","",U26+V26)</f>
        <v>0</v>
      </c>
      <c r="X26" s="20"/>
      <c r="Y26" s="20"/>
    </row>
    <row r="27" spans="1:25" customFormat="1" ht="15">
      <c r="A27" s="100">
        <v>1</v>
      </c>
      <c r="B27" s="2072">
        <f>'Input Amortization-Fixed Rate '!B19</f>
        <v>43900</v>
      </c>
      <c r="C27" s="2073">
        <f>B27-(DATE(YEAR('Input Amortization-Fixed Rate '!B18),MONTH('Input Amortization-Fixed Rate '!B18),DAY('Input Amortization-Fixed Rate '!B18)+1))</f>
        <v>29</v>
      </c>
      <c r="D27" s="2073"/>
      <c r="E27" s="2073"/>
      <c r="F27" s="2073"/>
      <c r="G27" s="2074">
        <f>ROUND((IFERROR((((J26*'Input Amortization-Fixed Rate '!$K$12)/360)*C27),0)),2)</f>
        <v>0</v>
      </c>
      <c r="H27" s="2074">
        <f>ROUND((IF(A27='Input Amortization-Fixed Rate '!$B$7,J26,(IF(A27&gt;'Input Amortization-Fixed Rate '!$B$7,0,IF(AND(A27&gt;='Input Amortization-Fixed Rate '!$B$8,A27&lt;='Input Amortization-Fixed Rate '!$F$8,'Input Amortization-Fixed Rate '!$K$8="No"),0,(('Input Amortization-Fixed Rate '!$C$12*('Input Amortization-Fixed Rate '!$K$4-G27-N27)))))))),2)</f>
        <v>177881.54</v>
      </c>
      <c r="I27" s="2075">
        <f t="shared" ref="I27:I90" si="1">G27+H27</f>
        <v>177881.54</v>
      </c>
      <c r="J27" s="2074">
        <f>IF(B27="","",J26-H27)</f>
        <v>63859472.460000001</v>
      </c>
      <c r="K27" s="2074"/>
      <c r="L27" s="2074"/>
      <c r="M27" s="2074"/>
      <c r="N27" s="2054">
        <f>IFERROR((((Q26*'Input Amortization-Fixed Rate '!$K$13)/360)*C27),0)</f>
        <v>0</v>
      </c>
      <c r="O27" s="2076">
        <f>IF(A27&gt;'Input Amortization-Fixed Rate '!$B$7,0,IF(A27='Input Amortization-Fixed Rate '!$B$7,Q26,IF(AND(A27&gt;='Input Amortization-Fixed Rate '!$B$8,A27&lt;='Input Amortization-Fixed Rate '!$F$8,'Input Amortization-Fixed Rate '!$K$8="No"),0,'Input Amortization-Fixed Rate '!$K$4-I27-N27)))</f>
        <v>43941.639999999985</v>
      </c>
      <c r="P27" s="2077">
        <f>N27+O27</f>
        <v>43941.639999999985</v>
      </c>
      <c r="Q27" s="2054">
        <f t="shared" ref="Q27:Q90" si="2">IF(B27="","",Q26-O27)</f>
        <v>15775048.359999999</v>
      </c>
      <c r="R27" s="2054"/>
      <c r="S27" s="2054"/>
      <c r="T27" s="2054"/>
      <c r="U27" s="2054">
        <f t="shared" ref="U27:U90" si="3">IF(B27="","",I27)</f>
        <v>177881.54</v>
      </c>
      <c r="V27" s="2054">
        <f t="shared" ref="V27:V90" si="4">IF(B27="","",P27)</f>
        <v>43941.639999999985</v>
      </c>
      <c r="W27" s="2054">
        <f t="shared" si="0"/>
        <v>221823.18</v>
      </c>
      <c r="X27" s="20"/>
      <c r="Y27" s="20"/>
    </row>
    <row r="28" spans="1:25" customFormat="1" ht="15">
      <c r="A28" s="2065">
        <f>A27+1</f>
        <v>2</v>
      </c>
      <c r="B28" s="2066">
        <f>IF(A28&gt;[11]Input!$B$7,"",DATE(YEAR(B27),MONTH(B27)+1,DAY([11]Input!$B$17)))</f>
        <v>43931</v>
      </c>
      <c r="C28" s="2067">
        <f t="shared" ref="C28:C91" si="5">IF(B28="","",B28-B27)</f>
        <v>31</v>
      </c>
      <c r="D28" s="2067"/>
      <c r="E28" s="2067"/>
      <c r="F28" s="2067"/>
      <c r="G28" s="2068">
        <f>ROUND((IFERROR((((J27*'Input Amortization-Fixed Rate '!$K$12)/360)*C28),0)),2)</f>
        <v>0</v>
      </c>
      <c r="H28" s="2068">
        <f>ROUND((IF(A28='Input Amortization-Fixed Rate '!$B$7,J27,(IF(A28&gt;'Input Amortization-Fixed Rate '!$B$7,0,IF(AND(A28&gt;='Input Amortization-Fixed Rate '!$B$8,A28&lt;='Input Amortization-Fixed Rate '!$F$8,'Input Amortization-Fixed Rate '!$K$8="No"),0,(('Input Amortization-Fixed Rate '!$C$12*('Input Amortization-Fixed Rate '!$K$4-G28-N28)))))))),2)</f>
        <v>177881.54</v>
      </c>
      <c r="I28" s="2069">
        <f t="shared" si="1"/>
        <v>177881.54</v>
      </c>
      <c r="J28" s="2068">
        <f t="shared" ref="J28:J91" si="6">IF(B28="","",J27-H28)</f>
        <v>63681590.920000002</v>
      </c>
      <c r="K28" s="2068"/>
      <c r="L28" s="2068"/>
      <c r="M28" s="2068"/>
      <c r="N28" s="2070">
        <f>IFERROR((((Q27*'Input Amortization-Fixed Rate '!$K$13)/360)*C28),0)</f>
        <v>0</v>
      </c>
      <c r="O28" s="2070">
        <f>IF(A28&gt;'Input Amortization-Fixed Rate '!$B$7,0,IF(A28='Input Amortization-Fixed Rate '!$B$7,Q27,IF(AND(A28&gt;='Input Amortization-Fixed Rate '!$B$8,A28&lt;='Input Amortization-Fixed Rate '!$F$8,'Input Amortization-Fixed Rate '!$K$8="No"),0,'Input Amortization-Fixed Rate '!$K$4-I28-N28)))</f>
        <v>43941.639999999985</v>
      </c>
      <c r="P28" s="2071">
        <f t="shared" ref="P28:P91" si="7">N28+O28</f>
        <v>43941.639999999985</v>
      </c>
      <c r="Q28" s="2070">
        <f t="shared" si="2"/>
        <v>15731106.719999999</v>
      </c>
      <c r="R28" s="2054"/>
      <c r="S28" s="2054"/>
      <c r="T28" s="2054"/>
      <c r="U28" s="2054">
        <f t="shared" si="3"/>
        <v>177881.54</v>
      </c>
      <c r="V28" s="2054">
        <f t="shared" si="4"/>
        <v>43941.639999999985</v>
      </c>
      <c r="W28" s="2054">
        <f t="shared" si="0"/>
        <v>221823.18</v>
      </c>
      <c r="X28" s="20"/>
      <c r="Y28" s="20"/>
    </row>
    <row r="29" spans="1:25" customFormat="1" ht="15">
      <c r="A29" s="100">
        <f t="shared" ref="A29:A92" si="8">A28+1</f>
        <v>3</v>
      </c>
      <c r="B29" s="2072">
        <f>IF(A29&gt;[11]Input!$B$7,"",DATE(YEAR(B28),MONTH(B28)+1,DAY([11]Input!$B$17)))</f>
        <v>43961</v>
      </c>
      <c r="C29" s="2073">
        <f t="shared" si="5"/>
        <v>30</v>
      </c>
      <c r="D29" s="2073"/>
      <c r="E29" s="2073"/>
      <c r="F29" s="2073"/>
      <c r="G29" s="2074">
        <f>ROUND((IFERROR((((J28*'Input Amortization-Fixed Rate '!$K$12)/360)*C29),0)),2)</f>
        <v>0</v>
      </c>
      <c r="H29" s="2074">
        <f>ROUND((IF(A29='Input Amortization-Fixed Rate '!$B$7,J28,(IF(A29&gt;'Input Amortization-Fixed Rate '!$B$7,0,IF(AND(A29&gt;='Input Amortization-Fixed Rate '!$B$8,A29&lt;='Input Amortization-Fixed Rate '!$F$8,'Input Amortization-Fixed Rate '!$K$8="No"),0,(('Input Amortization-Fixed Rate '!$C$12*('Input Amortization-Fixed Rate '!$K$4-G29-N29)))))))),2)</f>
        <v>177881.54</v>
      </c>
      <c r="I29" s="2075">
        <f t="shared" si="1"/>
        <v>177881.54</v>
      </c>
      <c r="J29" s="2074">
        <f t="shared" si="6"/>
        <v>63503709.380000003</v>
      </c>
      <c r="K29" s="2074"/>
      <c r="L29" s="2074"/>
      <c r="M29" s="2074"/>
      <c r="N29" s="2054">
        <f>IFERROR((((Q28*'Input Amortization-Fixed Rate '!$K$13)/360)*C29),0)</f>
        <v>0</v>
      </c>
      <c r="O29" s="2076">
        <f>IF(A29&gt;'Input Amortization-Fixed Rate '!$B$7,0,IF(A29='Input Amortization-Fixed Rate '!$B$7,Q28,IF(AND(A29&gt;='Input Amortization-Fixed Rate '!$B$8,A29&lt;='Input Amortization-Fixed Rate '!$F$8,'Input Amortization-Fixed Rate '!$K$8="No"),0,'Input Amortization-Fixed Rate '!$K$4-I29-N29)))</f>
        <v>43941.639999999985</v>
      </c>
      <c r="P29" s="2077">
        <f t="shared" si="7"/>
        <v>43941.639999999985</v>
      </c>
      <c r="Q29" s="2054">
        <f t="shared" si="2"/>
        <v>15687165.079999998</v>
      </c>
      <c r="R29" s="2054"/>
      <c r="S29" s="2054"/>
      <c r="T29" s="2054"/>
      <c r="U29" s="2054">
        <f t="shared" si="3"/>
        <v>177881.54</v>
      </c>
      <c r="V29" s="2054">
        <f t="shared" si="4"/>
        <v>43941.639999999985</v>
      </c>
      <c r="W29" s="2054">
        <f t="shared" si="0"/>
        <v>221823.18</v>
      </c>
      <c r="X29" s="20"/>
      <c r="Y29" s="20"/>
    </row>
    <row r="30" spans="1:25" customFormat="1" ht="15">
      <c r="A30" s="2065">
        <f t="shared" si="8"/>
        <v>4</v>
      </c>
      <c r="B30" s="2066">
        <f>IF(A30&gt;[11]Input!$B$7,"",DATE(YEAR(B29),MONTH(B29)+1,DAY([11]Input!$B$17)))</f>
        <v>43992</v>
      </c>
      <c r="C30" s="2067">
        <f t="shared" si="5"/>
        <v>31</v>
      </c>
      <c r="D30" s="2067"/>
      <c r="E30" s="2067"/>
      <c r="F30" s="2067"/>
      <c r="G30" s="2068">
        <f>ROUND((IFERROR((((J29*'Input Amortization-Fixed Rate '!$K$12)/360)*C30),0)),2)</f>
        <v>0</v>
      </c>
      <c r="H30" s="2068">
        <f>ROUND((IF(A30='Input Amortization-Fixed Rate '!$B$7,J29,(IF(A30&gt;'Input Amortization-Fixed Rate '!$B$7,0,IF(AND(A30&gt;='Input Amortization-Fixed Rate '!$B$8,A30&lt;='Input Amortization-Fixed Rate '!$F$8,'Input Amortization-Fixed Rate '!$K$8="No"),0,(('Input Amortization-Fixed Rate '!$C$12*('Input Amortization-Fixed Rate '!$K$4-G30-N30)))))))),2)</f>
        <v>177881.54</v>
      </c>
      <c r="I30" s="2069">
        <f t="shared" si="1"/>
        <v>177881.54</v>
      </c>
      <c r="J30" s="2068">
        <f t="shared" si="6"/>
        <v>63325827.840000004</v>
      </c>
      <c r="K30" s="2068"/>
      <c r="L30" s="2068"/>
      <c r="M30" s="2068"/>
      <c r="N30" s="2070">
        <f>IFERROR((((Q29*'Input Amortization-Fixed Rate '!$K$13)/360)*C30),0)</f>
        <v>0</v>
      </c>
      <c r="O30" s="2070">
        <f>IF(A30&gt;'Input Amortization-Fixed Rate '!$B$7,0,IF(A30='Input Amortization-Fixed Rate '!$B$7,Q29,IF(AND(A30&gt;='Input Amortization-Fixed Rate '!$B$8,A30&lt;='Input Amortization-Fixed Rate '!$F$8,'Input Amortization-Fixed Rate '!$K$8="No"),0,'Input Amortization-Fixed Rate '!$K$4-I30-N30)))</f>
        <v>43941.639999999985</v>
      </c>
      <c r="P30" s="2071">
        <f t="shared" si="7"/>
        <v>43941.639999999985</v>
      </c>
      <c r="Q30" s="2070">
        <f t="shared" si="2"/>
        <v>15643223.439999998</v>
      </c>
      <c r="R30" s="2054"/>
      <c r="S30" s="2054"/>
      <c r="T30" s="2054"/>
      <c r="U30" s="2054">
        <f t="shared" si="3"/>
        <v>177881.54</v>
      </c>
      <c r="V30" s="2054">
        <f t="shared" si="4"/>
        <v>43941.639999999985</v>
      </c>
      <c r="W30" s="2054">
        <f t="shared" si="0"/>
        <v>221823.18</v>
      </c>
      <c r="X30" s="20"/>
      <c r="Y30" s="20"/>
    </row>
    <row r="31" spans="1:25" customFormat="1" ht="15">
      <c r="A31" s="100">
        <f t="shared" si="8"/>
        <v>5</v>
      </c>
      <c r="B31" s="2072">
        <f>IF(A31&gt;[11]Input!$B$7,"",DATE(YEAR(B30),MONTH(B30)+1,DAY([11]Input!$B$17)))</f>
        <v>44022</v>
      </c>
      <c r="C31" s="2073">
        <f t="shared" si="5"/>
        <v>30</v>
      </c>
      <c r="D31" s="2073"/>
      <c r="E31" s="2073"/>
      <c r="F31" s="2073"/>
      <c r="G31" s="2074">
        <f>ROUND((IFERROR((((J30*'Input Amortization-Fixed Rate '!$K$12)/360)*C31),0)),2)</f>
        <v>0</v>
      </c>
      <c r="H31" s="2074">
        <f>ROUND((IF(A31='Input Amortization-Fixed Rate '!$B$7,J30,(IF(A31&gt;'Input Amortization-Fixed Rate '!$B$7,0,IF(AND(A31&gt;='Input Amortization-Fixed Rate '!$B$8,A31&lt;='Input Amortization-Fixed Rate '!$F$8,'Input Amortization-Fixed Rate '!$K$8="No"),0,(('Input Amortization-Fixed Rate '!$C$12*('Input Amortization-Fixed Rate '!$K$4-G31-N31)))))))),2)</f>
        <v>177881.54</v>
      </c>
      <c r="I31" s="2075">
        <f t="shared" si="1"/>
        <v>177881.54</v>
      </c>
      <c r="J31" s="2074">
        <f t="shared" si="6"/>
        <v>63147946.300000004</v>
      </c>
      <c r="K31" s="2074"/>
      <c r="L31" s="2074"/>
      <c r="M31" s="2074"/>
      <c r="N31" s="2054">
        <f>IFERROR((((Q30*'Input Amortization-Fixed Rate '!$K$13)/360)*C31),0)</f>
        <v>0</v>
      </c>
      <c r="O31" s="2076">
        <f>IF(A31&gt;'Input Amortization-Fixed Rate '!$B$7,0,IF(A31='Input Amortization-Fixed Rate '!$B$7,Q30,IF(AND(A31&gt;='Input Amortization-Fixed Rate '!$B$8,A31&lt;='Input Amortization-Fixed Rate '!$F$8,'Input Amortization-Fixed Rate '!$K$8="No"),0,'Input Amortization-Fixed Rate '!$K$4-I31-N31)))</f>
        <v>43941.639999999985</v>
      </c>
      <c r="P31" s="2077">
        <f t="shared" si="7"/>
        <v>43941.639999999985</v>
      </c>
      <c r="Q31" s="2054">
        <f t="shared" si="2"/>
        <v>15599281.799999997</v>
      </c>
      <c r="R31" s="2054"/>
      <c r="S31" s="2054"/>
      <c r="T31" s="2054"/>
      <c r="U31" s="2054">
        <f t="shared" si="3"/>
        <v>177881.54</v>
      </c>
      <c r="V31" s="2054">
        <f t="shared" si="4"/>
        <v>43941.639999999985</v>
      </c>
      <c r="W31" s="2054">
        <f t="shared" si="0"/>
        <v>221823.18</v>
      </c>
      <c r="X31" s="20"/>
      <c r="Y31" s="20"/>
    </row>
    <row r="32" spans="1:25" customFormat="1" ht="15">
      <c r="A32" s="2065">
        <f t="shared" si="8"/>
        <v>6</v>
      </c>
      <c r="B32" s="2066">
        <f>IF(A32&gt;[11]Input!$B$7,"",DATE(YEAR(B31),MONTH(B31)+1,DAY([11]Input!$B$17)))</f>
        <v>44053</v>
      </c>
      <c r="C32" s="2067">
        <f t="shared" si="5"/>
        <v>31</v>
      </c>
      <c r="D32" s="2067"/>
      <c r="E32" s="2067"/>
      <c r="F32" s="2067"/>
      <c r="G32" s="2068">
        <f>ROUND((IFERROR((((J31*'Input Amortization-Fixed Rate '!$K$12)/360)*C32),0)),2)</f>
        <v>0</v>
      </c>
      <c r="H32" s="2068">
        <f>ROUND((IF(A32='Input Amortization-Fixed Rate '!$B$7,J31,(IF(A32&gt;'Input Amortization-Fixed Rate '!$B$7,0,IF(AND(A32&gt;='Input Amortization-Fixed Rate '!$B$8,A32&lt;='Input Amortization-Fixed Rate '!$F$8,'Input Amortization-Fixed Rate '!$K$8="No"),0,(('Input Amortization-Fixed Rate '!$C$12*('Input Amortization-Fixed Rate '!$K$4-G32-N32)))))))),2)</f>
        <v>177881.54</v>
      </c>
      <c r="I32" s="2069">
        <f t="shared" si="1"/>
        <v>177881.54</v>
      </c>
      <c r="J32" s="2068">
        <f t="shared" si="6"/>
        <v>62970064.760000005</v>
      </c>
      <c r="K32" s="2068"/>
      <c r="L32" s="2068"/>
      <c r="M32" s="2068"/>
      <c r="N32" s="2070">
        <f>IFERROR((((Q31*'Input Amortization-Fixed Rate '!$K$13)/360)*C32),0)</f>
        <v>0</v>
      </c>
      <c r="O32" s="2070">
        <f>IF(A32&gt;'Input Amortization-Fixed Rate '!$B$7,0,IF(A32='Input Amortization-Fixed Rate '!$B$7,Q31,IF(AND(A32&gt;='Input Amortization-Fixed Rate '!$B$8,A32&lt;='Input Amortization-Fixed Rate '!$F$8,'Input Amortization-Fixed Rate '!$K$8="No"),0,'Input Amortization-Fixed Rate '!$K$4-I32-N32)))</f>
        <v>43941.639999999985</v>
      </c>
      <c r="P32" s="2071">
        <f t="shared" si="7"/>
        <v>43941.639999999985</v>
      </c>
      <c r="Q32" s="2070">
        <f t="shared" si="2"/>
        <v>15555340.159999996</v>
      </c>
      <c r="R32" s="2054"/>
      <c r="S32" s="2054"/>
      <c r="T32" s="2054"/>
      <c r="U32" s="2054">
        <f t="shared" si="3"/>
        <v>177881.54</v>
      </c>
      <c r="V32" s="2054">
        <f t="shared" si="4"/>
        <v>43941.639999999985</v>
      </c>
      <c r="W32" s="2054">
        <f t="shared" si="0"/>
        <v>221823.18</v>
      </c>
      <c r="X32" s="20"/>
      <c r="Y32" s="20"/>
    </row>
    <row r="33" spans="1:25" customFormat="1" ht="15">
      <c r="A33" s="100">
        <f t="shared" si="8"/>
        <v>7</v>
      </c>
      <c r="B33" s="2072">
        <f>IF(A33&gt;[11]Input!$B$7,"",DATE(YEAR(B32),MONTH(B32)+1,DAY([11]Input!$B$17)))</f>
        <v>44084</v>
      </c>
      <c r="C33" s="2073">
        <f t="shared" si="5"/>
        <v>31</v>
      </c>
      <c r="D33" s="2073"/>
      <c r="E33" s="2073"/>
      <c r="F33" s="2073"/>
      <c r="G33" s="2074">
        <f>ROUND((IFERROR((((J32*'Input Amortization-Fixed Rate '!$K$12)/360)*C33),0)),2)</f>
        <v>0</v>
      </c>
      <c r="H33" s="2074">
        <f>ROUND((IF(A33='Input Amortization-Fixed Rate '!$B$7,J32,(IF(A33&gt;'Input Amortization-Fixed Rate '!$B$7,0,IF(AND(A33&gt;='Input Amortization-Fixed Rate '!$B$8,A33&lt;='Input Amortization-Fixed Rate '!$F$8,'Input Amortization-Fixed Rate '!$K$8="No"),0,(('Input Amortization-Fixed Rate '!$C$12*('Input Amortization-Fixed Rate '!$K$4-G33-N33)))))))),2)</f>
        <v>177881.54</v>
      </c>
      <c r="I33" s="2075">
        <f t="shared" si="1"/>
        <v>177881.54</v>
      </c>
      <c r="J33" s="2074">
        <f t="shared" si="6"/>
        <v>62792183.220000006</v>
      </c>
      <c r="K33" s="2074"/>
      <c r="L33" s="2074"/>
      <c r="M33" s="2074"/>
      <c r="N33" s="2054">
        <f>IFERROR((((Q32*'Input Amortization-Fixed Rate '!$K$13)/360)*C33),0)</f>
        <v>0</v>
      </c>
      <c r="O33" s="2076">
        <f>IF(A33&gt;'Input Amortization-Fixed Rate '!$B$7,0,IF(A33='Input Amortization-Fixed Rate '!$B$7,Q32,IF(AND(A33&gt;='Input Amortization-Fixed Rate '!$B$8,A33&lt;='Input Amortization-Fixed Rate '!$F$8,'Input Amortization-Fixed Rate '!$K$8="No"),0,'Input Amortization-Fixed Rate '!$K$4-I33-N33)))</f>
        <v>43941.639999999985</v>
      </c>
      <c r="P33" s="2077">
        <f t="shared" si="7"/>
        <v>43941.639999999985</v>
      </c>
      <c r="Q33" s="2054">
        <f t="shared" si="2"/>
        <v>15511398.519999996</v>
      </c>
      <c r="R33" s="2054"/>
      <c r="S33" s="2054"/>
      <c r="T33" s="2054"/>
      <c r="U33" s="2054">
        <f t="shared" si="3"/>
        <v>177881.54</v>
      </c>
      <c r="V33" s="2054">
        <f t="shared" si="4"/>
        <v>43941.639999999985</v>
      </c>
      <c r="W33" s="2054">
        <f t="shared" si="0"/>
        <v>221823.18</v>
      </c>
      <c r="X33" s="20"/>
      <c r="Y33" s="20"/>
    </row>
    <row r="34" spans="1:25" customFormat="1" ht="15">
      <c r="A34" s="2065">
        <f t="shared" si="8"/>
        <v>8</v>
      </c>
      <c r="B34" s="2066">
        <f>IF(A34&gt;[11]Input!$B$7,"",DATE(YEAR(B33),MONTH(B33)+1,DAY([11]Input!$B$17)))</f>
        <v>44114</v>
      </c>
      <c r="C34" s="2067">
        <f t="shared" si="5"/>
        <v>30</v>
      </c>
      <c r="D34" s="2067"/>
      <c r="E34" s="2067"/>
      <c r="F34" s="2067"/>
      <c r="G34" s="2068">
        <f>ROUND((IFERROR((((J33*'Input Amortization-Fixed Rate '!$K$12)/360)*C34),0)),2)</f>
        <v>0</v>
      </c>
      <c r="H34" s="2068">
        <f>ROUND((IF(A34='Input Amortization-Fixed Rate '!$B$7,J33,(IF(A34&gt;'Input Amortization-Fixed Rate '!$B$7,0,IF(AND(A34&gt;='Input Amortization-Fixed Rate '!$B$8,A34&lt;='Input Amortization-Fixed Rate '!$F$8,'Input Amortization-Fixed Rate '!$K$8="No"),0,(('Input Amortization-Fixed Rate '!$C$12*('Input Amortization-Fixed Rate '!$K$4-G34-N34)))))))),2)</f>
        <v>177881.54</v>
      </c>
      <c r="I34" s="2069">
        <f t="shared" si="1"/>
        <v>177881.54</v>
      </c>
      <c r="J34" s="2068">
        <f t="shared" si="6"/>
        <v>62614301.680000007</v>
      </c>
      <c r="K34" s="2068"/>
      <c r="L34" s="2068"/>
      <c r="M34" s="2068"/>
      <c r="N34" s="2070">
        <f>IFERROR((((Q33*'Input Amortization-Fixed Rate '!$K$13)/360)*C34),0)</f>
        <v>0</v>
      </c>
      <c r="O34" s="2070">
        <f>IF(A34&gt;'Input Amortization-Fixed Rate '!$B$7,0,IF(A34='Input Amortization-Fixed Rate '!$B$7,Q33,IF(AND(A34&gt;='Input Amortization-Fixed Rate '!$B$8,A34&lt;='Input Amortization-Fixed Rate '!$F$8,'Input Amortization-Fixed Rate '!$K$8="No"),0,'Input Amortization-Fixed Rate '!$K$4-I34-N34)))</f>
        <v>43941.639999999985</v>
      </c>
      <c r="P34" s="2071">
        <f t="shared" si="7"/>
        <v>43941.639999999985</v>
      </c>
      <c r="Q34" s="2070">
        <f t="shared" si="2"/>
        <v>15467456.879999995</v>
      </c>
      <c r="R34" s="2054"/>
      <c r="S34" s="2054"/>
      <c r="T34" s="2054"/>
      <c r="U34" s="2054">
        <f t="shared" si="3"/>
        <v>177881.54</v>
      </c>
      <c r="V34" s="2054">
        <f t="shared" si="4"/>
        <v>43941.639999999985</v>
      </c>
      <c r="W34" s="2054">
        <f t="shared" si="0"/>
        <v>221823.18</v>
      </c>
      <c r="X34" s="20"/>
      <c r="Y34" s="20"/>
    </row>
    <row r="35" spans="1:25" customFormat="1" ht="15">
      <c r="A35" s="100">
        <f t="shared" si="8"/>
        <v>9</v>
      </c>
      <c r="B35" s="2072">
        <f>IF(A35&gt;[11]Input!$B$7,"",DATE(YEAR(B34),MONTH(B34)+1,DAY([11]Input!$B$17)))</f>
        <v>44145</v>
      </c>
      <c r="C35" s="2073">
        <f t="shared" si="5"/>
        <v>31</v>
      </c>
      <c r="D35" s="2073"/>
      <c r="E35" s="2073"/>
      <c r="F35" s="2073"/>
      <c r="G35" s="2074">
        <f>ROUND((IFERROR((((J34*'Input Amortization-Fixed Rate '!$K$12)/360)*C35),0)),2)</f>
        <v>0</v>
      </c>
      <c r="H35" s="2074">
        <f>ROUND((IF(A35='Input Amortization-Fixed Rate '!$B$7,J34,(IF(A35&gt;'Input Amortization-Fixed Rate '!$B$7,0,IF(AND(A35&gt;='Input Amortization-Fixed Rate '!$B$8,A35&lt;='Input Amortization-Fixed Rate '!$F$8,'Input Amortization-Fixed Rate '!$K$8="No"),0,(('Input Amortization-Fixed Rate '!$C$12*('Input Amortization-Fixed Rate '!$K$4-G35-N35)))))))),2)</f>
        <v>177881.54</v>
      </c>
      <c r="I35" s="2075">
        <f t="shared" si="1"/>
        <v>177881.54</v>
      </c>
      <c r="J35" s="2074">
        <f t="shared" si="6"/>
        <v>62436420.140000008</v>
      </c>
      <c r="K35" s="2074"/>
      <c r="L35" s="2074"/>
      <c r="M35" s="2074"/>
      <c r="N35" s="2054">
        <f>IFERROR((((Q34*'Input Amortization-Fixed Rate '!$K$13)/360)*C35),0)</f>
        <v>0</v>
      </c>
      <c r="O35" s="2076">
        <f>IF(A35&gt;'Input Amortization-Fixed Rate '!$B$7,0,IF(A35='Input Amortization-Fixed Rate '!$B$7,Q34,IF(AND(A35&gt;='Input Amortization-Fixed Rate '!$B$8,A35&lt;='Input Amortization-Fixed Rate '!$F$8,'Input Amortization-Fixed Rate '!$K$8="No"),0,'Input Amortization-Fixed Rate '!$K$4-I35-N35)))</f>
        <v>43941.639999999985</v>
      </c>
      <c r="P35" s="2077">
        <f t="shared" si="7"/>
        <v>43941.639999999985</v>
      </c>
      <c r="Q35" s="2054">
        <f t="shared" si="2"/>
        <v>15423515.239999995</v>
      </c>
      <c r="R35" s="2054"/>
      <c r="S35" s="2054"/>
      <c r="T35" s="2054"/>
      <c r="U35" s="2054">
        <f t="shared" si="3"/>
        <v>177881.54</v>
      </c>
      <c r="V35" s="2054">
        <f t="shared" si="4"/>
        <v>43941.639999999985</v>
      </c>
      <c r="W35" s="2054">
        <f t="shared" si="0"/>
        <v>221823.18</v>
      </c>
      <c r="X35" s="20"/>
      <c r="Y35" s="20"/>
    </row>
    <row r="36" spans="1:25" customFormat="1" ht="15">
      <c r="A36" s="2065">
        <f t="shared" si="8"/>
        <v>10</v>
      </c>
      <c r="B36" s="2066">
        <f>IF(A36&gt;[11]Input!$B$7,"",DATE(YEAR(B35),MONTH(B35)+1,DAY([11]Input!$B$17)))</f>
        <v>44175</v>
      </c>
      <c r="C36" s="2067">
        <f t="shared" si="5"/>
        <v>30</v>
      </c>
      <c r="D36" s="2067"/>
      <c r="E36" s="2067"/>
      <c r="F36" s="2067"/>
      <c r="G36" s="2068">
        <f>ROUND((IFERROR((((J35*'Input Amortization-Fixed Rate '!$K$12)/360)*C36),0)),2)</f>
        <v>0</v>
      </c>
      <c r="H36" s="2068">
        <f>ROUND((IF(A36='Input Amortization-Fixed Rate '!$B$7,J35,(IF(A36&gt;'Input Amortization-Fixed Rate '!$B$7,0,IF(AND(A36&gt;='Input Amortization-Fixed Rate '!$B$8,A36&lt;='Input Amortization-Fixed Rate '!$F$8,'Input Amortization-Fixed Rate '!$K$8="No"),0,(('Input Amortization-Fixed Rate '!$C$12*('Input Amortization-Fixed Rate '!$K$4-G36-N36)))))))),2)</f>
        <v>177881.54</v>
      </c>
      <c r="I36" s="2069">
        <f t="shared" si="1"/>
        <v>177881.54</v>
      </c>
      <c r="J36" s="2068">
        <f t="shared" si="6"/>
        <v>62258538.600000009</v>
      </c>
      <c r="K36" s="2068"/>
      <c r="L36" s="2068"/>
      <c r="M36" s="2068"/>
      <c r="N36" s="2070">
        <f>IFERROR((((Q35*'Input Amortization-Fixed Rate '!$K$13)/360)*C36),0)</f>
        <v>0</v>
      </c>
      <c r="O36" s="2070">
        <f>IF(A36&gt;'Input Amortization-Fixed Rate '!$B$7,0,IF(A36='Input Amortization-Fixed Rate '!$B$7,Q35,IF(AND(A36&gt;='Input Amortization-Fixed Rate '!$B$8,A36&lt;='Input Amortization-Fixed Rate '!$F$8,'Input Amortization-Fixed Rate '!$K$8="No"),0,'Input Amortization-Fixed Rate '!$K$4-I36-N36)))</f>
        <v>43941.639999999985</v>
      </c>
      <c r="P36" s="2071">
        <f t="shared" si="7"/>
        <v>43941.639999999985</v>
      </c>
      <c r="Q36" s="2070">
        <f t="shared" si="2"/>
        <v>15379573.599999994</v>
      </c>
      <c r="R36" s="2054"/>
      <c r="S36" s="2054"/>
      <c r="T36" s="2054"/>
      <c r="U36" s="2054">
        <f t="shared" si="3"/>
        <v>177881.54</v>
      </c>
      <c r="V36" s="2054">
        <f t="shared" si="4"/>
        <v>43941.639999999985</v>
      </c>
      <c r="W36" s="2054">
        <f t="shared" si="0"/>
        <v>221823.18</v>
      </c>
      <c r="X36" s="20"/>
      <c r="Y36" s="20"/>
    </row>
    <row r="37" spans="1:25" customFormat="1" ht="15">
      <c r="A37" s="100">
        <f t="shared" si="8"/>
        <v>11</v>
      </c>
      <c r="B37" s="2072">
        <f>IF(A37&gt;[11]Input!$B$7,"",DATE(YEAR(B36),MONTH(B36)+1,DAY([11]Input!$B$17)))</f>
        <v>44206</v>
      </c>
      <c r="C37" s="2073">
        <f t="shared" si="5"/>
        <v>31</v>
      </c>
      <c r="D37" s="2073"/>
      <c r="E37" s="2073"/>
      <c r="F37" s="2073"/>
      <c r="G37" s="2074">
        <f>ROUND((IFERROR((((J36*'Input Amortization-Fixed Rate '!$K$12)/360)*C37),0)),2)</f>
        <v>0</v>
      </c>
      <c r="H37" s="2074">
        <f>ROUND((IF(A37='Input Amortization-Fixed Rate '!$B$7,J36,(IF(A37&gt;'Input Amortization-Fixed Rate '!$B$7,0,IF(AND(A37&gt;='Input Amortization-Fixed Rate '!$B$8,A37&lt;='Input Amortization-Fixed Rate '!$F$8,'Input Amortization-Fixed Rate '!$K$8="No"),0,(('Input Amortization-Fixed Rate '!$C$12*('Input Amortization-Fixed Rate '!$K$4-G37-N37)))))))),2)</f>
        <v>177881.54</v>
      </c>
      <c r="I37" s="2075">
        <f t="shared" si="1"/>
        <v>177881.54</v>
      </c>
      <c r="J37" s="2074">
        <f t="shared" si="6"/>
        <v>62080657.06000001</v>
      </c>
      <c r="K37" s="2074"/>
      <c r="L37" s="2074"/>
      <c r="M37" s="2074"/>
      <c r="N37" s="2054">
        <f>IFERROR((((Q36*'Input Amortization-Fixed Rate '!$K$13)/360)*C37),0)</f>
        <v>0</v>
      </c>
      <c r="O37" s="2076">
        <f>IF(A37&gt;'Input Amortization-Fixed Rate '!$B$7,0,IF(A37='Input Amortization-Fixed Rate '!$B$7,Q36,IF(AND(A37&gt;='Input Amortization-Fixed Rate '!$B$8,A37&lt;='Input Amortization-Fixed Rate '!$F$8,'Input Amortization-Fixed Rate '!$K$8="No"),0,'Input Amortization-Fixed Rate '!$K$4-I37-N37)))</f>
        <v>43941.639999999985</v>
      </c>
      <c r="P37" s="2077">
        <f t="shared" si="7"/>
        <v>43941.639999999985</v>
      </c>
      <c r="Q37" s="2054">
        <f t="shared" si="2"/>
        <v>15335631.959999993</v>
      </c>
      <c r="R37" s="2054"/>
      <c r="S37" s="2054"/>
      <c r="T37" s="2054"/>
      <c r="U37" s="2054">
        <f t="shared" si="3"/>
        <v>177881.54</v>
      </c>
      <c r="V37" s="2054">
        <f t="shared" si="4"/>
        <v>43941.639999999985</v>
      </c>
      <c r="W37" s="2054">
        <f t="shared" si="0"/>
        <v>221823.18</v>
      </c>
      <c r="X37" s="20"/>
      <c r="Y37" s="20"/>
    </row>
    <row r="38" spans="1:25" customFormat="1" ht="15">
      <c r="A38" s="2065">
        <f t="shared" si="8"/>
        <v>12</v>
      </c>
      <c r="B38" s="2066">
        <f>IF(A38&gt;[11]Input!$B$7,"",DATE(YEAR(B37),MONTH(B37)+1,DAY([11]Input!$B$17)))</f>
        <v>44237</v>
      </c>
      <c r="C38" s="2067">
        <f t="shared" si="5"/>
        <v>31</v>
      </c>
      <c r="D38" s="2067"/>
      <c r="E38" s="2067"/>
      <c r="F38" s="2067"/>
      <c r="G38" s="2068">
        <f>ROUND((IFERROR((((J37*'Input Amortization-Fixed Rate '!$K$12)/360)*C38),0)),2)</f>
        <v>0</v>
      </c>
      <c r="H38" s="2068">
        <f>ROUND((IF(A38='Input Amortization-Fixed Rate '!$B$7,J37,(IF(A38&gt;'Input Amortization-Fixed Rate '!$B$7,0,IF(AND(A38&gt;='Input Amortization-Fixed Rate '!$B$8,A38&lt;='Input Amortization-Fixed Rate '!$F$8,'Input Amortization-Fixed Rate '!$K$8="No"),0,(('Input Amortization-Fixed Rate '!$C$12*('Input Amortization-Fixed Rate '!$K$4-G38-N38)))))))),2)</f>
        <v>177881.54</v>
      </c>
      <c r="I38" s="2069">
        <f t="shared" si="1"/>
        <v>177881.54</v>
      </c>
      <c r="J38" s="2068">
        <f t="shared" si="6"/>
        <v>61902775.520000011</v>
      </c>
      <c r="K38" s="2068"/>
      <c r="L38" s="2068"/>
      <c r="M38" s="2068"/>
      <c r="N38" s="2070">
        <f>IFERROR((((Q37*'Input Amortization-Fixed Rate '!$K$13)/360)*C38),0)</f>
        <v>0</v>
      </c>
      <c r="O38" s="2070">
        <f>IF(A38&gt;'Input Amortization-Fixed Rate '!$B$7,0,IF(A38='Input Amortization-Fixed Rate '!$B$7,Q37,IF(AND(A38&gt;='Input Amortization-Fixed Rate '!$B$8,A38&lt;='Input Amortization-Fixed Rate '!$F$8,'Input Amortization-Fixed Rate '!$K$8="No"),0,'Input Amortization-Fixed Rate '!$K$4-I38-N38)))</f>
        <v>43941.639999999985</v>
      </c>
      <c r="P38" s="2071">
        <f t="shared" si="7"/>
        <v>43941.639999999985</v>
      </c>
      <c r="Q38" s="2070">
        <f t="shared" si="2"/>
        <v>15291690.319999993</v>
      </c>
      <c r="R38" s="2054"/>
      <c r="S38" s="2054"/>
      <c r="T38" s="2054"/>
      <c r="U38" s="2054">
        <f t="shared" si="3"/>
        <v>177881.54</v>
      </c>
      <c r="V38" s="2054">
        <f t="shared" si="4"/>
        <v>43941.639999999985</v>
      </c>
      <c r="W38" s="2054">
        <f t="shared" si="0"/>
        <v>221823.18</v>
      </c>
      <c r="X38" s="20"/>
      <c r="Y38" s="20"/>
    </row>
    <row r="39" spans="1:25" customFormat="1" ht="15">
      <c r="A39" s="100">
        <f t="shared" si="8"/>
        <v>13</v>
      </c>
      <c r="B39" s="2072">
        <f>IF(A39&gt;[11]Input!$B$7,"",DATE(YEAR(B38),MONTH(B38)+1,DAY([11]Input!$B$17)))</f>
        <v>44265</v>
      </c>
      <c r="C39" s="2073">
        <f t="shared" si="5"/>
        <v>28</v>
      </c>
      <c r="D39" s="2073"/>
      <c r="E39" s="2073"/>
      <c r="F39" s="2073"/>
      <c r="G39" s="2074">
        <f>ROUND((IFERROR((((J38*'Input Amortization-Fixed Rate '!$K$12)/360)*C39),0)),2)</f>
        <v>0</v>
      </c>
      <c r="H39" s="2074">
        <f>ROUND((IF(A39='Input Amortization-Fixed Rate '!$B$7,J38,(IF(A39&gt;'Input Amortization-Fixed Rate '!$B$7,0,IF(AND(A39&gt;='Input Amortization-Fixed Rate '!$B$8,A39&lt;='Input Amortization-Fixed Rate '!$F$8,'Input Amortization-Fixed Rate '!$K$8="No"),0,(('Input Amortization-Fixed Rate '!$C$12*('Input Amortization-Fixed Rate '!$K$4-G39-N39)))))))),2)</f>
        <v>177881.54</v>
      </c>
      <c r="I39" s="2075">
        <f t="shared" si="1"/>
        <v>177881.54</v>
      </c>
      <c r="J39" s="2074">
        <f t="shared" si="6"/>
        <v>61724893.980000012</v>
      </c>
      <c r="K39" s="2074"/>
      <c r="L39" s="2074"/>
      <c r="M39" s="2074"/>
      <c r="N39" s="2054">
        <f>IFERROR((((Q38*'Input Amortization-Fixed Rate '!$K$13)/360)*C39),0)</f>
        <v>0</v>
      </c>
      <c r="O39" s="2076">
        <f>IF(A39&gt;'Input Amortization-Fixed Rate '!$B$7,0,IF(A39='Input Amortization-Fixed Rate '!$B$7,Q38,IF(AND(A39&gt;='Input Amortization-Fixed Rate '!$B$8,A39&lt;='Input Amortization-Fixed Rate '!$F$8,'Input Amortization-Fixed Rate '!$K$8="No"),0,'Input Amortization-Fixed Rate '!$K$4-I39-N39)))</f>
        <v>43941.639999999985</v>
      </c>
      <c r="P39" s="2077">
        <f t="shared" si="7"/>
        <v>43941.639999999985</v>
      </c>
      <c r="Q39" s="2054">
        <f t="shared" si="2"/>
        <v>15247748.679999992</v>
      </c>
      <c r="R39" s="2054"/>
      <c r="S39" s="2054"/>
      <c r="T39" s="2054"/>
      <c r="U39" s="2054">
        <f t="shared" si="3"/>
        <v>177881.54</v>
      </c>
      <c r="V39" s="2054">
        <f t="shared" si="4"/>
        <v>43941.639999999985</v>
      </c>
      <c r="W39" s="2054">
        <f t="shared" si="0"/>
        <v>221823.18</v>
      </c>
      <c r="X39" s="20"/>
      <c r="Y39" s="20"/>
    </row>
    <row r="40" spans="1:25" customFormat="1" ht="15">
      <c r="A40" s="2065">
        <f t="shared" si="8"/>
        <v>14</v>
      </c>
      <c r="B40" s="2066">
        <f>IF(A40&gt;[11]Input!$B$7,"",DATE(YEAR(B39),MONTH(B39)+1,DAY([11]Input!$B$17)))</f>
        <v>44296</v>
      </c>
      <c r="C40" s="2067">
        <f t="shared" si="5"/>
        <v>31</v>
      </c>
      <c r="D40" s="2067"/>
      <c r="E40" s="2067"/>
      <c r="F40" s="2067"/>
      <c r="G40" s="2068">
        <f>ROUND((IFERROR((((J39*'Input Amortization-Fixed Rate '!$K$12)/360)*C40),0)),2)</f>
        <v>0</v>
      </c>
      <c r="H40" s="2068">
        <f>ROUND((IF(A40='Input Amortization-Fixed Rate '!$B$7,J39,(IF(A40&gt;'Input Amortization-Fixed Rate '!$B$7,0,IF(AND(A40&gt;='Input Amortization-Fixed Rate '!$B$8,A40&lt;='Input Amortization-Fixed Rate '!$F$8,'Input Amortization-Fixed Rate '!$K$8="No"),0,(('Input Amortization-Fixed Rate '!$C$12*('Input Amortization-Fixed Rate '!$K$4-G40-N40)))))))),2)</f>
        <v>177881.54</v>
      </c>
      <c r="I40" s="2069">
        <f t="shared" si="1"/>
        <v>177881.54</v>
      </c>
      <c r="J40" s="2068">
        <f t="shared" si="6"/>
        <v>61547012.440000013</v>
      </c>
      <c r="K40" s="2068"/>
      <c r="L40" s="2068"/>
      <c r="M40" s="2068"/>
      <c r="N40" s="2070">
        <f>IFERROR((((Q39*'Input Amortization-Fixed Rate '!$K$13)/360)*C40),0)</f>
        <v>0</v>
      </c>
      <c r="O40" s="2070">
        <f>IF(A40&gt;'Input Amortization-Fixed Rate '!$B$7,0,IF(A40='Input Amortization-Fixed Rate '!$B$7,Q39,IF(AND(A40&gt;='Input Amortization-Fixed Rate '!$B$8,A40&lt;='Input Amortization-Fixed Rate '!$F$8,'Input Amortization-Fixed Rate '!$K$8="No"),0,'Input Amortization-Fixed Rate '!$K$4-I40-N40)))</f>
        <v>43941.639999999985</v>
      </c>
      <c r="P40" s="2071">
        <f t="shared" si="7"/>
        <v>43941.639999999985</v>
      </c>
      <c r="Q40" s="2070">
        <f t="shared" si="2"/>
        <v>15203807.039999992</v>
      </c>
      <c r="R40" s="2054"/>
      <c r="S40" s="2054"/>
      <c r="T40" s="2054"/>
      <c r="U40" s="2054">
        <f t="shared" si="3"/>
        <v>177881.54</v>
      </c>
      <c r="V40" s="2054">
        <f t="shared" si="4"/>
        <v>43941.639999999985</v>
      </c>
      <c r="W40" s="2054">
        <f t="shared" si="0"/>
        <v>221823.18</v>
      </c>
      <c r="X40" s="20"/>
      <c r="Y40" s="20"/>
    </row>
    <row r="41" spans="1:25" customFormat="1" ht="15">
      <c r="A41" s="100">
        <f t="shared" si="8"/>
        <v>15</v>
      </c>
      <c r="B41" s="2072">
        <f>IF(A41&gt;[11]Input!$B$7,"",DATE(YEAR(B40),MONTH(B40)+1,DAY([11]Input!$B$17)))</f>
        <v>44326</v>
      </c>
      <c r="C41" s="2073">
        <f t="shared" si="5"/>
        <v>30</v>
      </c>
      <c r="D41" s="2073"/>
      <c r="E41" s="2073"/>
      <c r="F41" s="2073"/>
      <c r="G41" s="2074">
        <f>ROUND((IFERROR((((J40*'Input Amortization-Fixed Rate '!$K$12)/360)*C41),0)),2)</f>
        <v>0</v>
      </c>
      <c r="H41" s="2074">
        <f>ROUND((IF(A41='Input Amortization-Fixed Rate '!$B$7,J40,(IF(A41&gt;'Input Amortization-Fixed Rate '!$B$7,0,IF(AND(A41&gt;='Input Amortization-Fixed Rate '!$B$8,A41&lt;='Input Amortization-Fixed Rate '!$F$8,'Input Amortization-Fixed Rate '!$K$8="No"),0,(('Input Amortization-Fixed Rate '!$C$12*('Input Amortization-Fixed Rate '!$K$4-G41-N41)))))))),2)</f>
        <v>177881.54</v>
      </c>
      <c r="I41" s="2075">
        <f t="shared" si="1"/>
        <v>177881.54</v>
      </c>
      <c r="J41" s="2074">
        <f t="shared" si="6"/>
        <v>61369130.900000013</v>
      </c>
      <c r="K41" s="2074"/>
      <c r="L41" s="2074"/>
      <c r="M41" s="2074"/>
      <c r="N41" s="2054">
        <f>IFERROR((((Q40*'Input Amortization-Fixed Rate '!$K$13)/360)*C41),0)</f>
        <v>0</v>
      </c>
      <c r="O41" s="2076">
        <f>IF(A41&gt;'Input Amortization-Fixed Rate '!$B$7,0,IF(A41='Input Amortization-Fixed Rate '!$B$7,Q40,IF(AND(A41&gt;='Input Amortization-Fixed Rate '!$B$8,A41&lt;='Input Amortization-Fixed Rate '!$F$8,'Input Amortization-Fixed Rate '!$K$8="No"),0,'Input Amortization-Fixed Rate '!$K$4-I41-N41)))</f>
        <v>43941.639999999985</v>
      </c>
      <c r="P41" s="2077">
        <f t="shared" si="7"/>
        <v>43941.639999999985</v>
      </c>
      <c r="Q41" s="2054">
        <f t="shared" si="2"/>
        <v>15159865.399999991</v>
      </c>
      <c r="R41" s="2054"/>
      <c r="S41" s="2054"/>
      <c r="T41" s="2054"/>
      <c r="U41" s="2054">
        <f t="shared" si="3"/>
        <v>177881.54</v>
      </c>
      <c r="V41" s="2054">
        <f t="shared" si="4"/>
        <v>43941.639999999985</v>
      </c>
      <c r="W41" s="2054">
        <f t="shared" si="0"/>
        <v>221823.18</v>
      </c>
      <c r="X41" s="20"/>
      <c r="Y41" s="20"/>
    </row>
    <row r="42" spans="1:25" customFormat="1" ht="15">
      <c r="A42" s="2065">
        <f t="shared" si="8"/>
        <v>16</v>
      </c>
      <c r="B42" s="2066">
        <f>IF(A42&gt;[11]Input!$B$7,"",DATE(YEAR(B41),MONTH(B41)+1,DAY([11]Input!$B$17)))</f>
        <v>44357</v>
      </c>
      <c r="C42" s="2067">
        <f t="shared" si="5"/>
        <v>31</v>
      </c>
      <c r="D42" s="2067"/>
      <c r="E42" s="2067"/>
      <c r="F42" s="2067"/>
      <c r="G42" s="2068">
        <f>ROUND((IFERROR((((J41*'Input Amortization-Fixed Rate '!$K$12)/360)*C42),0)),2)</f>
        <v>0</v>
      </c>
      <c r="H42" s="2068">
        <f>ROUND((IF(A42='Input Amortization-Fixed Rate '!$B$7,J41,(IF(A42&gt;'Input Amortization-Fixed Rate '!$B$7,0,IF(AND(A42&gt;='Input Amortization-Fixed Rate '!$B$8,A42&lt;='Input Amortization-Fixed Rate '!$F$8,'Input Amortization-Fixed Rate '!$K$8="No"),0,(('Input Amortization-Fixed Rate '!$C$12*('Input Amortization-Fixed Rate '!$K$4-G42-N42)))))))),2)</f>
        <v>177881.54</v>
      </c>
      <c r="I42" s="2069">
        <f t="shared" si="1"/>
        <v>177881.54</v>
      </c>
      <c r="J42" s="2068">
        <f t="shared" si="6"/>
        <v>61191249.360000014</v>
      </c>
      <c r="K42" s="2068"/>
      <c r="L42" s="2068"/>
      <c r="M42" s="2068"/>
      <c r="N42" s="2070">
        <f>IFERROR((((Q41*'Input Amortization-Fixed Rate '!$K$13)/360)*C42),0)</f>
        <v>0</v>
      </c>
      <c r="O42" s="2070">
        <f>IF(A42&gt;'Input Amortization-Fixed Rate '!$B$7,0,IF(A42='Input Amortization-Fixed Rate '!$B$7,Q41,IF(AND(A42&gt;='Input Amortization-Fixed Rate '!$B$8,A42&lt;='Input Amortization-Fixed Rate '!$F$8,'Input Amortization-Fixed Rate '!$K$8="No"),0,'Input Amortization-Fixed Rate '!$K$4-I42-N42)))</f>
        <v>43941.639999999985</v>
      </c>
      <c r="P42" s="2071">
        <f t="shared" si="7"/>
        <v>43941.639999999985</v>
      </c>
      <c r="Q42" s="2070">
        <f t="shared" si="2"/>
        <v>15115923.75999999</v>
      </c>
      <c r="R42" s="2054"/>
      <c r="S42" s="2054"/>
      <c r="T42" s="2054"/>
      <c r="U42" s="2054">
        <f t="shared" si="3"/>
        <v>177881.54</v>
      </c>
      <c r="V42" s="2054">
        <f t="shared" si="4"/>
        <v>43941.639999999985</v>
      </c>
      <c r="W42" s="2054">
        <f t="shared" si="0"/>
        <v>221823.18</v>
      </c>
      <c r="X42" s="20"/>
      <c r="Y42" s="20"/>
    </row>
    <row r="43" spans="1:25" customFormat="1" ht="15">
      <c r="A43" s="100">
        <f t="shared" si="8"/>
        <v>17</v>
      </c>
      <c r="B43" s="2072">
        <f>IF(A43&gt;[11]Input!$B$7,"",DATE(YEAR(B42),MONTH(B42)+1,DAY([11]Input!$B$17)))</f>
        <v>44387</v>
      </c>
      <c r="C43" s="2073">
        <f t="shared" si="5"/>
        <v>30</v>
      </c>
      <c r="D43" s="2073"/>
      <c r="E43" s="2073"/>
      <c r="F43" s="2073"/>
      <c r="G43" s="2074">
        <f>ROUND((IFERROR((((J42*'Input Amortization-Fixed Rate '!$K$12)/360)*C43),0)),2)</f>
        <v>0</v>
      </c>
      <c r="H43" s="2074">
        <f>ROUND((IF(A43='Input Amortization-Fixed Rate '!$B$7,J42,(IF(A43&gt;'Input Amortization-Fixed Rate '!$B$7,0,IF(AND(A43&gt;='Input Amortization-Fixed Rate '!$B$8,A43&lt;='Input Amortization-Fixed Rate '!$F$8,'Input Amortization-Fixed Rate '!$K$8="No"),0,(('Input Amortization-Fixed Rate '!$C$12*('Input Amortization-Fixed Rate '!$K$4-G43-N43)))))))),2)</f>
        <v>177881.54</v>
      </c>
      <c r="I43" s="2075">
        <f t="shared" si="1"/>
        <v>177881.54</v>
      </c>
      <c r="J43" s="2074">
        <f t="shared" si="6"/>
        <v>61013367.820000015</v>
      </c>
      <c r="K43" s="2074"/>
      <c r="L43" s="2074"/>
      <c r="M43" s="2074"/>
      <c r="N43" s="2054">
        <f>IFERROR((((Q42*'Input Amortization-Fixed Rate '!$K$13)/360)*C43),0)</f>
        <v>0</v>
      </c>
      <c r="O43" s="2076">
        <f>IF(A43&gt;'Input Amortization-Fixed Rate '!$B$7,0,IF(A43='Input Amortization-Fixed Rate '!$B$7,Q42,IF(AND(A43&gt;='Input Amortization-Fixed Rate '!$B$8,A43&lt;='Input Amortization-Fixed Rate '!$F$8,'Input Amortization-Fixed Rate '!$K$8="No"),0,'Input Amortization-Fixed Rate '!$K$4-I43-N43)))</f>
        <v>43941.639999999985</v>
      </c>
      <c r="P43" s="2077">
        <f t="shared" si="7"/>
        <v>43941.639999999985</v>
      </c>
      <c r="Q43" s="2054">
        <f t="shared" si="2"/>
        <v>15071982.11999999</v>
      </c>
      <c r="R43" s="2054"/>
      <c r="S43" s="2054"/>
      <c r="T43" s="2054"/>
      <c r="U43" s="2054">
        <f t="shared" si="3"/>
        <v>177881.54</v>
      </c>
      <c r="V43" s="2054">
        <f t="shared" si="4"/>
        <v>43941.639999999985</v>
      </c>
      <c r="W43" s="2054">
        <f t="shared" si="0"/>
        <v>221823.18</v>
      </c>
      <c r="X43" s="20"/>
      <c r="Y43" s="20"/>
    </row>
    <row r="44" spans="1:25" customFormat="1" ht="15">
      <c r="A44" s="2065">
        <f t="shared" si="8"/>
        <v>18</v>
      </c>
      <c r="B44" s="2066">
        <f>IF(A44&gt;[11]Input!$B$7,"",DATE(YEAR(B43),MONTH(B43)+1,DAY([11]Input!$B$17)))</f>
        <v>44418</v>
      </c>
      <c r="C44" s="2067">
        <f t="shared" si="5"/>
        <v>31</v>
      </c>
      <c r="D44" s="2067"/>
      <c r="E44" s="2067"/>
      <c r="F44" s="2067"/>
      <c r="G44" s="2068">
        <f>ROUND((IFERROR((((J43*'Input Amortization-Fixed Rate '!$K$12)/360)*C44),0)),2)</f>
        <v>0</v>
      </c>
      <c r="H44" s="2068">
        <f>ROUND((IF(A44='Input Amortization-Fixed Rate '!$B$7,J43,(IF(A44&gt;'Input Amortization-Fixed Rate '!$B$7,0,IF(AND(A44&gt;='Input Amortization-Fixed Rate '!$B$8,A44&lt;='Input Amortization-Fixed Rate '!$F$8,'Input Amortization-Fixed Rate '!$K$8="No"),0,(('Input Amortization-Fixed Rate '!$C$12*('Input Amortization-Fixed Rate '!$K$4-G44-N44)))))))),2)</f>
        <v>177881.54</v>
      </c>
      <c r="I44" s="2069">
        <f t="shared" si="1"/>
        <v>177881.54</v>
      </c>
      <c r="J44" s="2068">
        <f t="shared" si="6"/>
        <v>60835486.280000016</v>
      </c>
      <c r="K44" s="2068"/>
      <c r="L44" s="2068"/>
      <c r="M44" s="2068"/>
      <c r="N44" s="2070">
        <f>IFERROR((((Q43*'Input Amortization-Fixed Rate '!$K$13)/360)*C44),0)</f>
        <v>0</v>
      </c>
      <c r="O44" s="2070">
        <f>IF(A44&gt;'Input Amortization-Fixed Rate '!$B$7,0,IF(A44='Input Amortization-Fixed Rate '!$B$7,Q43,IF(AND(A44&gt;='Input Amortization-Fixed Rate '!$B$8,A44&lt;='Input Amortization-Fixed Rate '!$F$8,'Input Amortization-Fixed Rate '!$K$8="No"),0,'Input Amortization-Fixed Rate '!$K$4-I44-N44)))</f>
        <v>43941.639999999985</v>
      </c>
      <c r="P44" s="2071">
        <f t="shared" si="7"/>
        <v>43941.639999999985</v>
      </c>
      <c r="Q44" s="2070">
        <f t="shared" si="2"/>
        <v>15028040.479999989</v>
      </c>
      <c r="R44" s="2054"/>
      <c r="S44" s="2054"/>
      <c r="T44" s="2054"/>
      <c r="U44" s="2054">
        <f t="shared" si="3"/>
        <v>177881.54</v>
      </c>
      <c r="V44" s="2054">
        <f t="shared" si="4"/>
        <v>43941.639999999985</v>
      </c>
      <c r="W44" s="2054">
        <f t="shared" si="0"/>
        <v>221823.18</v>
      </c>
      <c r="X44" s="20"/>
      <c r="Y44" s="20"/>
    </row>
    <row r="45" spans="1:25" customFormat="1" ht="15">
      <c r="A45" s="100">
        <f t="shared" si="8"/>
        <v>19</v>
      </c>
      <c r="B45" s="2072">
        <f>IF(A45&gt;[11]Input!$B$7,"",DATE(YEAR(B44),MONTH(B44)+1,DAY([11]Input!$B$17)))</f>
        <v>44449</v>
      </c>
      <c r="C45" s="2073">
        <f t="shared" si="5"/>
        <v>31</v>
      </c>
      <c r="D45" s="2073"/>
      <c r="E45" s="2073"/>
      <c r="F45" s="2073"/>
      <c r="G45" s="2074">
        <f>ROUND((IFERROR((((J44*'Input Amortization-Fixed Rate '!$K$12)/360)*C45),0)),2)</f>
        <v>0</v>
      </c>
      <c r="H45" s="2074">
        <f>ROUND((IF(A45='Input Amortization-Fixed Rate '!$B$7,J44,(IF(A45&gt;'Input Amortization-Fixed Rate '!$B$7,0,IF(AND(A45&gt;='Input Amortization-Fixed Rate '!$B$8,A45&lt;='Input Amortization-Fixed Rate '!$F$8,'Input Amortization-Fixed Rate '!$K$8="No"),0,(('Input Amortization-Fixed Rate '!$C$12*('Input Amortization-Fixed Rate '!$K$4-G45-N45)))))))),2)</f>
        <v>177881.54</v>
      </c>
      <c r="I45" s="2075">
        <f t="shared" si="1"/>
        <v>177881.54</v>
      </c>
      <c r="J45" s="2074">
        <f t="shared" si="6"/>
        <v>60657604.740000017</v>
      </c>
      <c r="K45" s="2074"/>
      <c r="L45" s="2074"/>
      <c r="M45" s="2074"/>
      <c r="N45" s="2054">
        <f>IFERROR((((Q44*'Input Amortization-Fixed Rate '!$K$13)/360)*C45),0)</f>
        <v>0</v>
      </c>
      <c r="O45" s="2076">
        <f>IF(A45&gt;'Input Amortization-Fixed Rate '!$B$7,0,IF(A45='Input Amortization-Fixed Rate '!$B$7,Q44,IF(AND(A45&gt;='Input Amortization-Fixed Rate '!$B$8,A45&lt;='Input Amortization-Fixed Rate '!$F$8,'Input Amortization-Fixed Rate '!$K$8="No"),0,'Input Amortization-Fixed Rate '!$K$4-I45-N45)))</f>
        <v>43941.639999999985</v>
      </c>
      <c r="P45" s="2077">
        <f t="shared" si="7"/>
        <v>43941.639999999985</v>
      </c>
      <c r="Q45" s="2054">
        <f t="shared" si="2"/>
        <v>14984098.839999989</v>
      </c>
      <c r="R45" s="2054"/>
      <c r="S45" s="2054"/>
      <c r="T45" s="2054"/>
      <c r="U45" s="2054">
        <f t="shared" si="3"/>
        <v>177881.54</v>
      </c>
      <c r="V45" s="2054">
        <f t="shared" si="4"/>
        <v>43941.639999999985</v>
      </c>
      <c r="W45" s="2054">
        <f t="shared" si="0"/>
        <v>221823.18</v>
      </c>
      <c r="X45" s="20"/>
      <c r="Y45" s="20"/>
    </row>
    <row r="46" spans="1:25" customFormat="1" ht="15">
      <c r="A46" s="2065">
        <f t="shared" si="8"/>
        <v>20</v>
      </c>
      <c r="B46" s="2066">
        <f>IF(A46&gt;[11]Input!$B$7,"",DATE(YEAR(B45),MONTH(B45)+1,DAY([11]Input!$B$17)))</f>
        <v>44479</v>
      </c>
      <c r="C46" s="2067">
        <f t="shared" si="5"/>
        <v>30</v>
      </c>
      <c r="D46" s="2067"/>
      <c r="E46" s="2067"/>
      <c r="F46" s="2067"/>
      <c r="G46" s="2068">
        <f>ROUND((IFERROR((((J45*'Input Amortization-Fixed Rate '!$K$12)/360)*C46),0)),2)</f>
        <v>0</v>
      </c>
      <c r="H46" s="2068">
        <f>ROUND((IF(A46='Input Amortization-Fixed Rate '!$B$7,J45,(IF(A46&gt;'Input Amortization-Fixed Rate '!$B$7,0,IF(AND(A46&gt;='Input Amortization-Fixed Rate '!$B$8,A46&lt;='Input Amortization-Fixed Rate '!$F$8,'Input Amortization-Fixed Rate '!$K$8="No"),0,(('Input Amortization-Fixed Rate '!$C$12*('Input Amortization-Fixed Rate '!$K$4-G46-N46)))))))),2)</f>
        <v>177881.54</v>
      </c>
      <c r="I46" s="2069">
        <f t="shared" si="1"/>
        <v>177881.54</v>
      </c>
      <c r="J46" s="2068">
        <f t="shared" si="6"/>
        <v>60479723.200000018</v>
      </c>
      <c r="K46" s="2068"/>
      <c r="L46" s="2068"/>
      <c r="M46" s="2068"/>
      <c r="N46" s="2070">
        <f>IFERROR((((Q45*'Input Amortization-Fixed Rate '!$K$13)/360)*C46),0)</f>
        <v>0</v>
      </c>
      <c r="O46" s="2070">
        <f>IF(A46&gt;'Input Amortization-Fixed Rate '!$B$7,0,IF(A46='Input Amortization-Fixed Rate '!$B$7,Q45,IF(AND(A46&gt;='Input Amortization-Fixed Rate '!$B$8,A46&lt;='Input Amortization-Fixed Rate '!$F$8,'Input Amortization-Fixed Rate '!$K$8="No"),0,'Input Amortization-Fixed Rate '!$K$4-I46-N46)))</f>
        <v>43941.639999999985</v>
      </c>
      <c r="P46" s="2071">
        <f t="shared" si="7"/>
        <v>43941.639999999985</v>
      </c>
      <c r="Q46" s="2070">
        <f t="shared" si="2"/>
        <v>14940157.199999988</v>
      </c>
      <c r="R46" s="2054"/>
      <c r="S46" s="2054"/>
      <c r="T46" s="2054"/>
      <c r="U46" s="2054">
        <f t="shared" si="3"/>
        <v>177881.54</v>
      </c>
      <c r="V46" s="2054">
        <f t="shared" si="4"/>
        <v>43941.639999999985</v>
      </c>
      <c r="W46" s="2054">
        <f t="shared" si="0"/>
        <v>221823.18</v>
      </c>
      <c r="X46" s="20"/>
      <c r="Y46" s="20"/>
    </row>
    <row r="47" spans="1:25" customFormat="1" ht="15">
      <c r="A47" s="100">
        <f t="shared" si="8"/>
        <v>21</v>
      </c>
      <c r="B47" s="2072">
        <f>IF(A47&gt;[11]Input!$B$7,"",DATE(YEAR(B46),MONTH(B46)+1,DAY([11]Input!$B$17)))</f>
        <v>44510</v>
      </c>
      <c r="C47" s="2073">
        <f t="shared" si="5"/>
        <v>31</v>
      </c>
      <c r="D47" s="2073"/>
      <c r="E47" s="2073"/>
      <c r="F47" s="2073"/>
      <c r="G47" s="2074">
        <f>ROUND((IFERROR((((J46*'Input Amortization-Fixed Rate '!$K$12)/360)*C47),0)),2)</f>
        <v>0</v>
      </c>
      <c r="H47" s="2074">
        <f>ROUND((IF(A47='Input Amortization-Fixed Rate '!$B$7,J46,(IF(A47&gt;'Input Amortization-Fixed Rate '!$B$7,0,IF(AND(A47&gt;='Input Amortization-Fixed Rate '!$B$8,A47&lt;='Input Amortization-Fixed Rate '!$F$8,'Input Amortization-Fixed Rate '!$K$8="No"),0,(('Input Amortization-Fixed Rate '!$C$12*('Input Amortization-Fixed Rate '!$K$4-G47-N47)))))))),2)</f>
        <v>177881.54</v>
      </c>
      <c r="I47" s="2075">
        <f t="shared" si="1"/>
        <v>177881.54</v>
      </c>
      <c r="J47" s="2074">
        <f t="shared" si="6"/>
        <v>60301841.660000019</v>
      </c>
      <c r="K47" s="2074"/>
      <c r="L47" s="2074"/>
      <c r="M47" s="2074"/>
      <c r="N47" s="2054">
        <f>IFERROR((((Q46*'Input Amortization-Fixed Rate '!$K$13)/360)*C47),0)</f>
        <v>0</v>
      </c>
      <c r="O47" s="2076">
        <f>IF(A47&gt;'Input Amortization-Fixed Rate '!$B$7,0,IF(A47='Input Amortization-Fixed Rate '!$B$7,Q46,IF(AND(A47&gt;='Input Amortization-Fixed Rate '!$B$8,A47&lt;='Input Amortization-Fixed Rate '!$F$8,'Input Amortization-Fixed Rate '!$K$8="No"),0,'Input Amortization-Fixed Rate '!$K$4-I47-N47)))</f>
        <v>43941.639999999985</v>
      </c>
      <c r="P47" s="2077">
        <f t="shared" si="7"/>
        <v>43941.639999999985</v>
      </c>
      <c r="Q47" s="2054">
        <f t="shared" si="2"/>
        <v>14896215.559999987</v>
      </c>
      <c r="R47" s="2054"/>
      <c r="S47" s="2054"/>
      <c r="T47" s="2054"/>
      <c r="U47" s="2054">
        <f t="shared" si="3"/>
        <v>177881.54</v>
      </c>
      <c r="V47" s="2054">
        <f t="shared" si="4"/>
        <v>43941.639999999985</v>
      </c>
      <c r="W47" s="2054">
        <f t="shared" si="0"/>
        <v>221823.18</v>
      </c>
      <c r="X47" s="20"/>
      <c r="Y47" s="20"/>
    </row>
    <row r="48" spans="1:25" customFormat="1" ht="15">
      <c r="A48" s="2065">
        <f t="shared" si="8"/>
        <v>22</v>
      </c>
      <c r="B48" s="2066">
        <f>IF(A48&gt;[11]Input!$B$7,"",DATE(YEAR(B47),MONTH(B47)+1,DAY([11]Input!$B$17)))</f>
        <v>44540</v>
      </c>
      <c r="C48" s="2067">
        <f t="shared" si="5"/>
        <v>30</v>
      </c>
      <c r="D48" s="2067"/>
      <c r="E48" s="2067"/>
      <c r="F48" s="2067"/>
      <c r="G48" s="2068">
        <f>ROUND((IFERROR((((J47*'Input Amortization-Fixed Rate '!$K$12)/360)*C48),0)),2)</f>
        <v>0</v>
      </c>
      <c r="H48" s="2068">
        <f>ROUND((IF(A48='Input Amortization-Fixed Rate '!$B$7,J47,(IF(A48&gt;'Input Amortization-Fixed Rate '!$B$7,0,IF(AND(A48&gt;='Input Amortization-Fixed Rate '!$B$8,A48&lt;='Input Amortization-Fixed Rate '!$F$8,'Input Amortization-Fixed Rate '!$K$8="No"),0,(('Input Amortization-Fixed Rate '!$C$12*('Input Amortization-Fixed Rate '!$K$4-G48-N48)))))))),2)</f>
        <v>177881.54</v>
      </c>
      <c r="I48" s="2069">
        <f t="shared" si="1"/>
        <v>177881.54</v>
      </c>
      <c r="J48" s="2068">
        <f t="shared" si="6"/>
        <v>60123960.12000002</v>
      </c>
      <c r="K48" s="2068"/>
      <c r="L48" s="2068"/>
      <c r="M48" s="2068"/>
      <c r="N48" s="2070">
        <f>IFERROR((((Q47*'Input Amortization-Fixed Rate '!$K$13)/360)*C48),0)</f>
        <v>0</v>
      </c>
      <c r="O48" s="2070">
        <f>IF(A48&gt;'Input Amortization-Fixed Rate '!$B$7,0,IF(A48='Input Amortization-Fixed Rate '!$B$7,Q47,IF(AND(A48&gt;='Input Amortization-Fixed Rate '!$B$8,A48&lt;='Input Amortization-Fixed Rate '!$F$8,'Input Amortization-Fixed Rate '!$K$8="No"),0,'Input Amortization-Fixed Rate '!$K$4-I48-N48)))</f>
        <v>43941.639999999985</v>
      </c>
      <c r="P48" s="2071">
        <f t="shared" si="7"/>
        <v>43941.639999999985</v>
      </c>
      <c r="Q48" s="2070">
        <f t="shared" si="2"/>
        <v>14852273.919999987</v>
      </c>
      <c r="R48" s="2054"/>
      <c r="S48" s="2054"/>
      <c r="T48" s="2054"/>
      <c r="U48" s="2054">
        <f t="shared" si="3"/>
        <v>177881.54</v>
      </c>
      <c r="V48" s="2054">
        <f t="shared" si="4"/>
        <v>43941.639999999985</v>
      </c>
      <c r="W48" s="2054">
        <f t="shared" si="0"/>
        <v>221823.18</v>
      </c>
      <c r="X48" s="20"/>
      <c r="Y48" s="20"/>
    </row>
    <row r="49" spans="1:25" customFormat="1" ht="15">
      <c r="A49" s="100">
        <f t="shared" si="8"/>
        <v>23</v>
      </c>
      <c r="B49" s="2072">
        <f>IF(A49&gt;[11]Input!$B$7,"",DATE(YEAR(B48),MONTH(B48)+1,DAY([11]Input!$B$17)))</f>
        <v>44571</v>
      </c>
      <c r="C49" s="2073">
        <f t="shared" si="5"/>
        <v>31</v>
      </c>
      <c r="D49" s="2073"/>
      <c r="E49" s="2073"/>
      <c r="F49" s="2073"/>
      <c r="G49" s="2074">
        <f>ROUND((IFERROR((((J48*'Input Amortization-Fixed Rate '!$K$12)/360)*C49),0)),2)</f>
        <v>0</v>
      </c>
      <c r="H49" s="2074">
        <f>ROUND((IF(A49='Input Amortization-Fixed Rate '!$B$7,J48,(IF(A49&gt;'Input Amortization-Fixed Rate '!$B$7,0,IF(AND(A49&gt;='Input Amortization-Fixed Rate '!$B$8,A49&lt;='Input Amortization-Fixed Rate '!$F$8,'Input Amortization-Fixed Rate '!$K$8="No"),0,(('Input Amortization-Fixed Rate '!$C$12*('Input Amortization-Fixed Rate '!$K$4-G49-N49)))))))),2)</f>
        <v>177881.54</v>
      </c>
      <c r="I49" s="2075">
        <f t="shared" si="1"/>
        <v>177881.54</v>
      </c>
      <c r="J49" s="2074">
        <f t="shared" si="6"/>
        <v>59946078.580000021</v>
      </c>
      <c r="K49" s="2074"/>
      <c r="L49" s="2074"/>
      <c r="M49" s="2074"/>
      <c r="N49" s="2054">
        <f>IFERROR((((Q48*'Input Amortization-Fixed Rate '!$K$13)/360)*C49),0)</f>
        <v>0</v>
      </c>
      <c r="O49" s="2076">
        <f>IF(A49&gt;'Input Amortization-Fixed Rate '!$B$7,0,IF(A49='Input Amortization-Fixed Rate '!$B$7,Q48,IF(AND(A49&gt;='Input Amortization-Fixed Rate '!$B$8,A49&lt;='Input Amortization-Fixed Rate '!$F$8,'Input Amortization-Fixed Rate '!$K$8="No"),0,'Input Amortization-Fixed Rate '!$K$4-I49-N49)))</f>
        <v>43941.639999999985</v>
      </c>
      <c r="P49" s="2077">
        <f t="shared" si="7"/>
        <v>43941.639999999985</v>
      </c>
      <c r="Q49" s="2054">
        <f t="shared" si="2"/>
        <v>14808332.279999986</v>
      </c>
      <c r="R49" s="2054"/>
      <c r="S49" s="2054"/>
      <c r="T49" s="2054"/>
      <c r="U49" s="2054">
        <f t="shared" si="3"/>
        <v>177881.54</v>
      </c>
      <c r="V49" s="2054">
        <f t="shared" si="4"/>
        <v>43941.639999999985</v>
      </c>
      <c r="W49" s="2054">
        <f t="shared" si="0"/>
        <v>221823.18</v>
      </c>
      <c r="X49" s="20"/>
      <c r="Y49" s="20"/>
    </row>
    <row r="50" spans="1:25" customFormat="1" ht="15">
      <c r="A50" s="2065">
        <f t="shared" si="8"/>
        <v>24</v>
      </c>
      <c r="B50" s="2066">
        <f>IF(A50&gt;[11]Input!$B$7,"",DATE(YEAR(B49),MONTH(B49)+1,DAY([11]Input!$B$17)))</f>
        <v>44602</v>
      </c>
      <c r="C50" s="2067">
        <f t="shared" si="5"/>
        <v>31</v>
      </c>
      <c r="D50" s="2067"/>
      <c r="E50" s="2067"/>
      <c r="F50" s="2067"/>
      <c r="G50" s="2068">
        <f>ROUND((IFERROR((((J49*'Input Amortization-Fixed Rate '!$K$12)/360)*C50),0)),2)</f>
        <v>0</v>
      </c>
      <c r="H50" s="2068">
        <f>ROUND((IF(A50='Input Amortization-Fixed Rate '!$B$7,J49,(IF(A50&gt;'Input Amortization-Fixed Rate '!$B$7,0,IF(AND(A50&gt;='Input Amortization-Fixed Rate '!$B$8,A50&lt;='Input Amortization-Fixed Rate '!$F$8,'Input Amortization-Fixed Rate '!$K$8="No"),0,(('Input Amortization-Fixed Rate '!$C$12*('Input Amortization-Fixed Rate '!$K$4-G50-N50)))))))),2)</f>
        <v>177881.54</v>
      </c>
      <c r="I50" s="2069">
        <f t="shared" si="1"/>
        <v>177881.54</v>
      </c>
      <c r="J50" s="2068">
        <f t="shared" si="6"/>
        <v>59768197.040000021</v>
      </c>
      <c r="K50" s="2068"/>
      <c r="L50" s="2068"/>
      <c r="M50" s="2068"/>
      <c r="N50" s="2070">
        <f>IFERROR((((Q49*'Input Amortization-Fixed Rate '!$K$13)/360)*C50),0)</f>
        <v>0</v>
      </c>
      <c r="O50" s="2070">
        <f>IF(A50&gt;'Input Amortization-Fixed Rate '!$B$7,0,IF(A50='Input Amortization-Fixed Rate '!$B$7,Q49,IF(AND(A50&gt;='Input Amortization-Fixed Rate '!$B$8,A50&lt;='Input Amortization-Fixed Rate '!$F$8,'Input Amortization-Fixed Rate '!$K$8="No"),0,'Input Amortization-Fixed Rate '!$K$4-I50-N50)))</f>
        <v>43941.639999999985</v>
      </c>
      <c r="P50" s="2071">
        <f t="shared" si="7"/>
        <v>43941.639999999985</v>
      </c>
      <c r="Q50" s="2070">
        <f t="shared" si="2"/>
        <v>14764390.639999986</v>
      </c>
      <c r="R50" s="2054"/>
      <c r="S50" s="2054"/>
      <c r="T50" s="2054"/>
      <c r="U50" s="2054">
        <f t="shared" si="3"/>
        <v>177881.54</v>
      </c>
      <c r="V50" s="2054">
        <f t="shared" si="4"/>
        <v>43941.639999999985</v>
      </c>
      <c r="W50" s="2054">
        <f t="shared" si="0"/>
        <v>221823.18</v>
      </c>
      <c r="X50" s="20"/>
      <c r="Y50" s="20"/>
    </row>
    <row r="51" spans="1:25" customFormat="1" ht="15">
      <c r="A51" s="100">
        <f t="shared" si="8"/>
        <v>25</v>
      </c>
      <c r="B51" s="2072">
        <f>IF(A51&gt;[11]Input!$B$7,"",DATE(YEAR(B50),MONTH(B50)+1,DAY([11]Input!$B$17)))</f>
        <v>44630</v>
      </c>
      <c r="C51" s="2073">
        <f t="shared" si="5"/>
        <v>28</v>
      </c>
      <c r="D51" s="2073"/>
      <c r="E51" s="2073"/>
      <c r="F51" s="2073"/>
      <c r="G51" s="2074">
        <f>ROUND((IFERROR((((J50*'Input Amortization-Fixed Rate '!$K$12)/360)*C51),0)),2)</f>
        <v>0</v>
      </c>
      <c r="H51" s="2074">
        <f>ROUND((IF(A51='Input Amortization-Fixed Rate '!$B$7,J50,(IF(A51&gt;'Input Amortization-Fixed Rate '!$B$7,0,IF(AND(A51&gt;='Input Amortization-Fixed Rate '!$B$8,A51&lt;='Input Amortization-Fixed Rate '!$F$8,'Input Amortization-Fixed Rate '!$K$8="No"),0,(('Input Amortization-Fixed Rate '!$C$12*('Input Amortization-Fixed Rate '!$K$4-G51-N51)))))))),2)</f>
        <v>177881.54</v>
      </c>
      <c r="I51" s="2075">
        <f t="shared" si="1"/>
        <v>177881.54</v>
      </c>
      <c r="J51" s="2074">
        <f t="shared" si="6"/>
        <v>59590315.500000022</v>
      </c>
      <c r="K51" s="2074"/>
      <c r="L51" s="2074"/>
      <c r="M51" s="2074"/>
      <c r="N51" s="2054">
        <f>IFERROR((((Q50*'Input Amortization-Fixed Rate '!$K$13)/360)*C51),0)</f>
        <v>0</v>
      </c>
      <c r="O51" s="2076">
        <f>IF(A51&gt;'Input Amortization-Fixed Rate '!$B$7,0,IF(A51='Input Amortization-Fixed Rate '!$B$7,Q50,IF(AND(A51&gt;='Input Amortization-Fixed Rate '!$B$8,A51&lt;='Input Amortization-Fixed Rate '!$F$8,'Input Amortization-Fixed Rate '!$K$8="No"),0,'Input Amortization-Fixed Rate '!$K$4-I51-N51)))</f>
        <v>43941.639999999985</v>
      </c>
      <c r="P51" s="2077">
        <f t="shared" si="7"/>
        <v>43941.639999999985</v>
      </c>
      <c r="Q51" s="2054">
        <f t="shared" si="2"/>
        <v>14720448.999999985</v>
      </c>
      <c r="R51" s="2054"/>
      <c r="S51" s="2054"/>
      <c r="T51" s="2054"/>
      <c r="U51" s="2054">
        <f t="shared" si="3"/>
        <v>177881.54</v>
      </c>
      <c r="V51" s="2054">
        <f t="shared" si="4"/>
        <v>43941.639999999985</v>
      </c>
      <c r="W51" s="2054">
        <f t="shared" si="0"/>
        <v>221823.18</v>
      </c>
      <c r="X51" s="20"/>
      <c r="Y51" s="20"/>
    </row>
    <row r="52" spans="1:25" customFormat="1" ht="15">
      <c r="A52" s="2065">
        <f t="shared" si="8"/>
        <v>26</v>
      </c>
      <c r="B52" s="2066">
        <f>IF(A52&gt;[11]Input!$B$7,"",DATE(YEAR(B51),MONTH(B51)+1,DAY([11]Input!$B$17)))</f>
        <v>44661</v>
      </c>
      <c r="C52" s="2067">
        <f t="shared" si="5"/>
        <v>31</v>
      </c>
      <c r="D52" s="2067"/>
      <c r="E52" s="2067"/>
      <c r="F52" s="2067"/>
      <c r="G52" s="2068">
        <f>ROUND((IFERROR((((J51*'Input Amortization-Fixed Rate '!$K$12)/360)*C52),0)),2)</f>
        <v>0</v>
      </c>
      <c r="H52" s="2068">
        <f>ROUND((IF(A52='Input Amortization-Fixed Rate '!$B$7,J51,(IF(A52&gt;'Input Amortization-Fixed Rate '!$B$7,0,IF(AND(A52&gt;='Input Amortization-Fixed Rate '!$B$8,A52&lt;='Input Amortization-Fixed Rate '!$F$8,'Input Amortization-Fixed Rate '!$K$8="No"),0,(('Input Amortization-Fixed Rate '!$C$12*('Input Amortization-Fixed Rate '!$K$4-G52-N52)))))))),2)</f>
        <v>177881.54</v>
      </c>
      <c r="I52" s="2069">
        <f t="shared" si="1"/>
        <v>177881.54</v>
      </c>
      <c r="J52" s="2068">
        <f t="shared" si="6"/>
        <v>59412433.960000023</v>
      </c>
      <c r="K52" s="2068"/>
      <c r="L52" s="2068"/>
      <c r="M52" s="2068"/>
      <c r="N52" s="2070">
        <f>IFERROR((((Q51*'Input Amortization-Fixed Rate '!$K$13)/360)*C52),0)</f>
        <v>0</v>
      </c>
      <c r="O52" s="2070">
        <f>IF(A52&gt;'Input Amortization-Fixed Rate '!$B$7,0,IF(A52='Input Amortization-Fixed Rate '!$B$7,Q51,IF(AND(A52&gt;='Input Amortization-Fixed Rate '!$B$8,A52&lt;='Input Amortization-Fixed Rate '!$F$8,'Input Amortization-Fixed Rate '!$K$8="No"),0,'Input Amortization-Fixed Rate '!$K$4-I52-N52)))</f>
        <v>43941.639999999985</v>
      </c>
      <c r="P52" s="2071">
        <f t="shared" si="7"/>
        <v>43941.639999999985</v>
      </c>
      <c r="Q52" s="2070">
        <f t="shared" si="2"/>
        <v>14676507.359999985</v>
      </c>
      <c r="R52" s="2054"/>
      <c r="S52" s="2054"/>
      <c r="T52" s="2054"/>
      <c r="U52" s="2054">
        <f t="shared" si="3"/>
        <v>177881.54</v>
      </c>
      <c r="V52" s="2054">
        <f t="shared" si="4"/>
        <v>43941.639999999985</v>
      </c>
      <c r="W52" s="2054">
        <f t="shared" si="0"/>
        <v>221823.18</v>
      </c>
      <c r="X52" s="20"/>
      <c r="Y52" s="20"/>
    </row>
    <row r="53" spans="1:25" customFormat="1" ht="15">
      <c r="A53" s="100">
        <f t="shared" si="8"/>
        <v>27</v>
      </c>
      <c r="B53" s="2072">
        <f>IF(A53&gt;[11]Input!$B$7,"",DATE(YEAR(B52),MONTH(B52)+1,DAY([11]Input!$B$17)))</f>
        <v>44691</v>
      </c>
      <c r="C53" s="2073">
        <f t="shared" si="5"/>
        <v>30</v>
      </c>
      <c r="D53" s="2073"/>
      <c r="E53" s="2073"/>
      <c r="F53" s="2073"/>
      <c r="G53" s="2074">
        <f>ROUND((IFERROR((((J52*'Input Amortization-Fixed Rate '!$K$12)/360)*C53),0)),2)</f>
        <v>0</v>
      </c>
      <c r="H53" s="2074">
        <f>ROUND((IF(A53='Input Amortization-Fixed Rate '!$B$7,J52,(IF(A53&gt;'Input Amortization-Fixed Rate '!$B$7,0,IF(AND(A53&gt;='Input Amortization-Fixed Rate '!$B$8,A53&lt;='Input Amortization-Fixed Rate '!$F$8,'Input Amortization-Fixed Rate '!$K$8="No"),0,(('Input Amortization-Fixed Rate '!$C$12*('Input Amortization-Fixed Rate '!$K$4-G53-N53)))))))),2)</f>
        <v>177881.54</v>
      </c>
      <c r="I53" s="2075">
        <f t="shared" si="1"/>
        <v>177881.54</v>
      </c>
      <c r="J53" s="2074">
        <f t="shared" si="6"/>
        <v>59234552.420000024</v>
      </c>
      <c r="K53" s="2074"/>
      <c r="L53" s="2074"/>
      <c r="M53" s="2074"/>
      <c r="N53" s="2054">
        <f>IFERROR((((Q52*'Input Amortization-Fixed Rate '!$K$13)/360)*C53),0)</f>
        <v>0</v>
      </c>
      <c r="O53" s="2076">
        <f>IF(A53&gt;'Input Amortization-Fixed Rate '!$B$7,0,IF(A53='Input Amortization-Fixed Rate '!$B$7,Q52,IF(AND(A53&gt;='Input Amortization-Fixed Rate '!$B$8,A53&lt;='Input Amortization-Fixed Rate '!$F$8,'Input Amortization-Fixed Rate '!$K$8="No"),0,'Input Amortization-Fixed Rate '!$K$4-I53-N53)))</f>
        <v>43941.639999999985</v>
      </c>
      <c r="P53" s="2077">
        <f t="shared" si="7"/>
        <v>43941.639999999985</v>
      </c>
      <c r="Q53" s="2054">
        <f t="shared" si="2"/>
        <v>14632565.719999984</v>
      </c>
      <c r="R53" s="2054"/>
      <c r="S53" s="2054"/>
      <c r="T53" s="2054"/>
      <c r="U53" s="2054">
        <f t="shared" si="3"/>
        <v>177881.54</v>
      </c>
      <c r="V53" s="2054">
        <f t="shared" si="4"/>
        <v>43941.639999999985</v>
      </c>
      <c r="W53" s="2054">
        <f t="shared" si="0"/>
        <v>221823.18</v>
      </c>
      <c r="X53" s="20"/>
      <c r="Y53" s="20"/>
    </row>
    <row r="54" spans="1:25" customFormat="1" ht="15">
      <c r="A54" s="2065">
        <f t="shared" si="8"/>
        <v>28</v>
      </c>
      <c r="B54" s="2066">
        <f>IF(A54&gt;[11]Input!$B$7,"",DATE(YEAR(B53),MONTH(B53)+1,DAY([11]Input!$B$17)))</f>
        <v>44722</v>
      </c>
      <c r="C54" s="2067">
        <f t="shared" si="5"/>
        <v>31</v>
      </c>
      <c r="D54" s="2067"/>
      <c r="E54" s="2067"/>
      <c r="F54" s="2067"/>
      <c r="G54" s="2068">
        <f>ROUND((IFERROR((((J53*'Input Amortization-Fixed Rate '!$K$12)/360)*C54),0)),2)</f>
        <v>0</v>
      </c>
      <c r="H54" s="2068">
        <f>ROUND((IF(A54='Input Amortization-Fixed Rate '!$B$7,J53,(IF(A54&gt;'Input Amortization-Fixed Rate '!$B$7,0,IF(AND(A54&gt;='Input Amortization-Fixed Rate '!$B$8,A54&lt;='Input Amortization-Fixed Rate '!$F$8,'Input Amortization-Fixed Rate '!$K$8="No"),0,(('Input Amortization-Fixed Rate '!$C$12*('Input Amortization-Fixed Rate '!$K$4-G54-N54)))))))),2)</f>
        <v>177881.54</v>
      </c>
      <c r="I54" s="2069">
        <f t="shared" si="1"/>
        <v>177881.54</v>
      </c>
      <c r="J54" s="2068">
        <f t="shared" si="6"/>
        <v>59056670.880000025</v>
      </c>
      <c r="K54" s="2068"/>
      <c r="L54" s="2068"/>
      <c r="M54" s="2068"/>
      <c r="N54" s="2070">
        <f>IFERROR((((Q53*'Input Amortization-Fixed Rate '!$K$13)/360)*C54),0)</f>
        <v>0</v>
      </c>
      <c r="O54" s="2070">
        <f>IF(A54&gt;'Input Amortization-Fixed Rate '!$B$7,0,IF(A54='Input Amortization-Fixed Rate '!$B$7,Q53,IF(AND(A54&gt;='Input Amortization-Fixed Rate '!$B$8,A54&lt;='Input Amortization-Fixed Rate '!$F$8,'Input Amortization-Fixed Rate '!$K$8="No"),0,'Input Amortization-Fixed Rate '!$K$4-I54-N54)))</f>
        <v>43941.639999999985</v>
      </c>
      <c r="P54" s="2071">
        <f t="shared" si="7"/>
        <v>43941.639999999985</v>
      </c>
      <c r="Q54" s="2070">
        <f t="shared" si="2"/>
        <v>14588624.079999983</v>
      </c>
      <c r="R54" s="2054"/>
      <c r="S54" s="2054"/>
      <c r="T54" s="2054"/>
      <c r="U54" s="2054">
        <f t="shared" si="3"/>
        <v>177881.54</v>
      </c>
      <c r="V54" s="2054">
        <f t="shared" si="4"/>
        <v>43941.639999999985</v>
      </c>
      <c r="W54" s="2054">
        <f t="shared" si="0"/>
        <v>221823.18</v>
      </c>
      <c r="X54" s="20"/>
      <c r="Y54" s="20"/>
    </row>
    <row r="55" spans="1:25" customFormat="1" ht="15">
      <c r="A55" s="100">
        <f t="shared" si="8"/>
        <v>29</v>
      </c>
      <c r="B55" s="2072">
        <f>IF(A55&gt;[11]Input!$B$7,"",DATE(YEAR(B54),MONTH(B54)+1,DAY([11]Input!$B$17)))</f>
        <v>44752</v>
      </c>
      <c r="C55" s="2073">
        <f t="shared" si="5"/>
        <v>30</v>
      </c>
      <c r="D55" s="2073"/>
      <c r="E55" s="2073"/>
      <c r="F55" s="2073"/>
      <c r="G55" s="2074">
        <f>ROUND((IFERROR((((J54*'Input Amortization-Fixed Rate '!$K$12)/360)*C55),0)),2)</f>
        <v>0</v>
      </c>
      <c r="H55" s="2074">
        <f>ROUND((IF(A55='Input Amortization-Fixed Rate '!$B$7,J54,(IF(A55&gt;'Input Amortization-Fixed Rate '!$B$7,0,IF(AND(A55&gt;='Input Amortization-Fixed Rate '!$B$8,A55&lt;='Input Amortization-Fixed Rate '!$F$8,'Input Amortization-Fixed Rate '!$K$8="No"),0,(('Input Amortization-Fixed Rate '!$C$12*('Input Amortization-Fixed Rate '!$K$4-G55-N55)))))))),2)</f>
        <v>177881.54</v>
      </c>
      <c r="I55" s="2075">
        <f t="shared" si="1"/>
        <v>177881.54</v>
      </c>
      <c r="J55" s="2074">
        <f t="shared" si="6"/>
        <v>58878789.340000026</v>
      </c>
      <c r="K55" s="2074"/>
      <c r="L55" s="2074"/>
      <c r="M55" s="2074"/>
      <c r="N55" s="2054">
        <f>IFERROR((((Q54*'Input Amortization-Fixed Rate '!$K$13)/360)*C55),0)</f>
        <v>0</v>
      </c>
      <c r="O55" s="2076">
        <f>IF(A55&gt;'Input Amortization-Fixed Rate '!$B$7,0,IF(A55='Input Amortization-Fixed Rate '!$B$7,Q54,IF(AND(A55&gt;='Input Amortization-Fixed Rate '!$B$8,A55&lt;='Input Amortization-Fixed Rate '!$F$8,'Input Amortization-Fixed Rate '!$K$8="No"),0,'Input Amortization-Fixed Rate '!$K$4-I55-N55)))</f>
        <v>43941.639999999985</v>
      </c>
      <c r="P55" s="2077">
        <f t="shared" si="7"/>
        <v>43941.639999999985</v>
      </c>
      <c r="Q55" s="2054">
        <f t="shared" si="2"/>
        <v>14544682.439999983</v>
      </c>
      <c r="R55" s="2054"/>
      <c r="S55" s="2054"/>
      <c r="T55" s="2054"/>
      <c r="U55" s="2054">
        <f t="shared" si="3"/>
        <v>177881.54</v>
      </c>
      <c r="V55" s="2054">
        <f t="shared" si="4"/>
        <v>43941.639999999985</v>
      </c>
      <c r="W55" s="2054">
        <f t="shared" si="0"/>
        <v>221823.18</v>
      </c>
      <c r="X55" s="20"/>
      <c r="Y55" s="20"/>
    </row>
    <row r="56" spans="1:25" customFormat="1" ht="15">
      <c r="A56" s="2065">
        <f t="shared" si="8"/>
        <v>30</v>
      </c>
      <c r="B56" s="2066">
        <f>IF(A56&gt;[11]Input!$B$7,"",DATE(YEAR(B55),MONTH(B55)+1,DAY([11]Input!$B$17)))</f>
        <v>44783</v>
      </c>
      <c r="C56" s="2067">
        <f t="shared" si="5"/>
        <v>31</v>
      </c>
      <c r="D56" s="2067"/>
      <c r="E56" s="2067"/>
      <c r="F56" s="2067"/>
      <c r="G56" s="2068">
        <f>ROUND((IFERROR((((J55*'Input Amortization-Fixed Rate '!$K$12)/360)*C56),0)),2)</f>
        <v>0</v>
      </c>
      <c r="H56" s="2068">
        <f>ROUND((IF(A56='Input Amortization-Fixed Rate '!$B$7,J55,(IF(A56&gt;'Input Amortization-Fixed Rate '!$B$7,0,IF(AND(A56&gt;='Input Amortization-Fixed Rate '!$B$8,A56&lt;='Input Amortization-Fixed Rate '!$F$8,'Input Amortization-Fixed Rate '!$K$8="No"),0,(('Input Amortization-Fixed Rate '!$C$12*('Input Amortization-Fixed Rate '!$K$4-G56-N56)))))))),2)</f>
        <v>177881.54</v>
      </c>
      <c r="I56" s="2069">
        <f t="shared" si="1"/>
        <v>177881.54</v>
      </c>
      <c r="J56" s="2068">
        <f t="shared" si="6"/>
        <v>58700907.800000027</v>
      </c>
      <c r="K56" s="2068"/>
      <c r="L56" s="2068"/>
      <c r="M56" s="2068"/>
      <c r="N56" s="2070">
        <f>IFERROR((((Q55*'Input Amortization-Fixed Rate '!$K$13)/360)*C56),0)</f>
        <v>0</v>
      </c>
      <c r="O56" s="2070">
        <f>IF(A56&gt;'Input Amortization-Fixed Rate '!$B$7,0,IF(A56='Input Amortization-Fixed Rate '!$B$7,Q55,IF(AND(A56&gt;='Input Amortization-Fixed Rate '!$B$8,A56&lt;='Input Amortization-Fixed Rate '!$F$8,'Input Amortization-Fixed Rate '!$K$8="No"),0,'Input Amortization-Fixed Rate '!$K$4-I56-N56)))</f>
        <v>43941.639999999985</v>
      </c>
      <c r="P56" s="2071">
        <f t="shared" si="7"/>
        <v>43941.639999999985</v>
      </c>
      <c r="Q56" s="2070">
        <f t="shared" si="2"/>
        <v>14500740.799999982</v>
      </c>
      <c r="R56" s="2054"/>
      <c r="S56" s="2054"/>
      <c r="T56" s="2054"/>
      <c r="U56" s="2054">
        <f t="shared" si="3"/>
        <v>177881.54</v>
      </c>
      <c r="V56" s="2054">
        <f t="shared" si="4"/>
        <v>43941.639999999985</v>
      </c>
      <c r="W56" s="2054">
        <f t="shared" si="0"/>
        <v>221823.18</v>
      </c>
      <c r="X56" s="20"/>
      <c r="Y56" s="20"/>
    </row>
    <row r="57" spans="1:25" customFormat="1" ht="15">
      <c r="A57" s="100">
        <f t="shared" si="8"/>
        <v>31</v>
      </c>
      <c r="B57" s="2072">
        <f>IF(A57&gt;[11]Input!$B$7,"",DATE(YEAR(B56),MONTH(B56)+1,DAY([11]Input!$B$17)))</f>
        <v>44814</v>
      </c>
      <c r="C57" s="2073">
        <f t="shared" si="5"/>
        <v>31</v>
      </c>
      <c r="D57" s="2073"/>
      <c r="E57" s="2073"/>
      <c r="F57" s="2073"/>
      <c r="G57" s="2074">
        <f>ROUND((IFERROR((((J56*'Input Amortization-Fixed Rate '!$K$12)/360)*C57),0)),2)</f>
        <v>0</v>
      </c>
      <c r="H57" s="2074">
        <f>ROUND((IF(A57='Input Amortization-Fixed Rate '!$B$7,J56,(IF(A57&gt;'Input Amortization-Fixed Rate '!$B$7,0,IF(AND(A57&gt;='Input Amortization-Fixed Rate '!$B$8,A57&lt;='Input Amortization-Fixed Rate '!$F$8,'Input Amortization-Fixed Rate '!$K$8="No"),0,(('Input Amortization-Fixed Rate '!$C$12*('Input Amortization-Fixed Rate '!$K$4-G57-N57)))))))),2)</f>
        <v>177881.54</v>
      </c>
      <c r="I57" s="2075">
        <f t="shared" si="1"/>
        <v>177881.54</v>
      </c>
      <c r="J57" s="2074">
        <f t="shared" si="6"/>
        <v>58523026.260000028</v>
      </c>
      <c r="K57" s="2074"/>
      <c r="L57" s="2074"/>
      <c r="M57" s="2074"/>
      <c r="N57" s="2054">
        <f>IFERROR((((Q56*'Input Amortization-Fixed Rate '!$K$13)/360)*C57),0)</f>
        <v>0</v>
      </c>
      <c r="O57" s="2076">
        <f>IF(A57&gt;'Input Amortization-Fixed Rate '!$B$7,0,IF(A57='Input Amortization-Fixed Rate '!$B$7,Q56,IF(AND(A57&gt;='Input Amortization-Fixed Rate '!$B$8,A57&lt;='Input Amortization-Fixed Rate '!$F$8,'Input Amortization-Fixed Rate '!$K$8="No"),0,'Input Amortization-Fixed Rate '!$K$4-I57-N57)))</f>
        <v>43941.639999999985</v>
      </c>
      <c r="P57" s="2077">
        <f t="shared" si="7"/>
        <v>43941.639999999985</v>
      </c>
      <c r="Q57" s="2054">
        <f t="shared" si="2"/>
        <v>14456799.159999982</v>
      </c>
      <c r="R57" s="2054"/>
      <c r="S57" s="2054"/>
      <c r="T57" s="2054"/>
      <c r="U57" s="2054">
        <f t="shared" si="3"/>
        <v>177881.54</v>
      </c>
      <c r="V57" s="2054">
        <f t="shared" si="4"/>
        <v>43941.639999999985</v>
      </c>
      <c r="W57" s="2054">
        <f t="shared" si="0"/>
        <v>221823.18</v>
      </c>
      <c r="X57" s="20"/>
      <c r="Y57" s="20"/>
    </row>
    <row r="58" spans="1:25" customFormat="1" ht="15">
      <c r="A58" s="2065">
        <f t="shared" si="8"/>
        <v>32</v>
      </c>
      <c r="B58" s="2066">
        <f>IF(A58&gt;[11]Input!$B$7,"",DATE(YEAR(B57),MONTH(B57)+1,DAY([11]Input!$B$17)))</f>
        <v>44844</v>
      </c>
      <c r="C58" s="2067">
        <f t="shared" si="5"/>
        <v>30</v>
      </c>
      <c r="D58" s="2067"/>
      <c r="E58" s="2067"/>
      <c r="F58" s="2067"/>
      <c r="G58" s="2068">
        <f>ROUND((IFERROR((((J57*'Input Amortization-Fixed Rate '!$K$12)/360)*C58),0)),2)</f>
        <v>0</v>
      </c>
      <c r="H58" s="2068">
        <f>ROUND((IF(A58='Input Amortization-Fixed Rate '!$B$7,J57,(IF(A58&gt;'Input Amortization-Fixed Rate '!$B$7,0,IF(AND(A58&gt;='Input Amortization-Fixed Rate '!$B$8,A58&lt;='Input Amortization-Fixed Rate '!$F$8,'Input Amortization-Fixed Rate '!$K$8="No"),0,(('Input Amortization-Fixed Rate '!$C$12*('Input Amortization-Fixed Rate '!$K$4-G58-N58)))))))),2)</f>
        <v>177881.54</v>
      </c>
      <c r="I58" s="2069">
        <f t="shared" si="1"/>
        <v>177881.54</v>
      </c>
      <c r="J58" s="2068">
        <f t="shared" si="6"/>
        <v>58345144.720000029</v>
      </c>
      <c r="K58" s="2068"/>
      <c r="L58" s="2068"/>
      <c r="M58" s="2068"/>
      <c r="N58" s="2070">
        <f>IFERROR((((Q57*'Input Amortization-Fixed Rate '!$K$13)/360)*C58),0)</f>
        <v>0</v>
      </c>
      <c r="O58" s="2070">
        <f>IF(A58&gt;'Input Amortization-Fixed Rate '!$B$7,0,IF(A58='Input Amortization-Fixed Rate '!$B$7,Q57,IF(AND(A58&gt;='Input Amortization-Fixed Rate '!$B$8,A58&lt;='Input Amortization-Fixed Rate '!$F$8,'Input Amortization-Fixed Rate '!$K$8="No"),0,'Input Amortization-Fixed Rate '!$K$4-I58-N58)))</f>
        <v>43941.639999999985</v>
      </c>
      <c r="P58" s="2071">
        <f t="shared" si="7"/>
        <v>43941.639999999985</v>
      </c>
      <c r="Q58" s="2070">
        <f t="shared" si="2"/>
        <v>14412857.519999981</v>
      </c>
      <c r="R58" s="2054"/>
      <c r="S58" s="2054"/>
      <c r="T58" s="2054"/>
      <c r="U58" s="2054">
        <f t="shared" si="3"/>
        <v>177881.54</v>
      </c>
      <c r="V58" s="2054">
        <f t="shared" si="4"/>
        <v>43941.639999999985</v>
      </c>
      <c r="W58" s="2054">
        <f t="shared" si="0"/>
        <v>221823.18</v>
      </c>
      <c r="X58" s="20"/>
      <c r="Y58" s="20"/>
    </row>
    <row r="59" spans="1:25" customFormat="1" ht="15">
      <c r="A59" s="100">
        <f t="shared" si="8"/>
        <v>33</v>
      </c>
      <c r="B59" s="2072">
        <f>IF(A59&gt;[11]Input!$B$7,"",DATE(YEAR(B58),MONTH(B58)+1,DAY([11]Input!$B$17)))</f>
        <v>44875</v>
      </c>
      <c r="C59" s="2073">
        <f t="shared" si="5"/>
        <v>31</v>
      </c>
      <c r="D59" s="2073"/>
      <c r="E59" s="2073"/>
      <c r="F59" s="2073"/>
      <c r="G59" s="2074">
        <f>ROUND((IFERROR((((J58*'Input Amortization-Fixed Rate '!$K$12)/360)*C59),0)),2)</f>
        <v>0</v>
      </c>
      <c r="H59" s="2074">
        <f>ROUND((IF(A59='Input Amortization-Fixed Rate '!$B$7,J58,(IF(A59&gt;'Input Amortization-Fixed Rate '!$B$7,0,IF(AND(A59&gt;='Input Amortization-Fixed Rate '!$B$8,A59&lt;='Input Amortization-Fixed Rate '!$F$8,'Input Amortization-Fixed Rate '!$K$8="No"),0,(('Input Amortization-Fixed Rate '!$C$12*('Input Amortization-Fixed Rate '!$K$4-G59-N59)))))))),2)</f>
        <v>177881.54</v>
      </c>
      <c r="I59" s="2075">
        <f t="shared" si="1"/>
        <v>177881.54</v>
      </c>
      <c r="J59" s="2074">
        <f t="shared" si="6"/>
        <v>58167263.18000003</v>
      </c>
      <c r="K59" s="2074"/>
      <c r="L59" s="2074"/>
      <c r="M59" s="2074"/>
      <c r="N59" s="2054">
        <f>IFERROR((((Q58*'Input Amortization-Fixed Rate '!$K$13)/360)*C59),0)</f>
        <v>0</v>
      </c>
      <c r="O59" s="2076">
        <f>IF(A59&gt;'Input Amortization-Fixed Rate '!$B$7,0,IF(A59='Input Amortization-Fixed Rate '!$B$7,Q58,IF(AND(A59&gt;='Input Amortization-Fixed Rate '!$B$8,A59&lt;='Input Amortization-Fixed Rate '!$F$8,'Input Amortization-Fixed Rate '!$K$8="No"),0,'Input Amortization-Fixed Rate '!$K$4-I59-N59)))</f>
        <v>43941.639999999985</v>
      </c>
      <c r="P59" s="2077">
        <f t="shared" si="7"/>
        <v>43941.639999999985</v>
      </c>
      <c r="Q59" s="2054">
        <f t="shared" si="2"/>
        <v>14368915.87999998</v>
      </c>
      <c r="R59" s="2054"/>
      <c r="S59" s="2054"/>
      <c r="T59" s="2054"/>
      <c r="U59" s="2054">
        <f t="shared" si="3"/>
        <v>177881.54</v>
      </c>
      <c r="V59" s="2054">
        <f t="shared" si="4"/>
        <v>43941.639999999985</v>
      </c>
      <c r="W59" s="2054">
        <f t="shared" si="0"/>
        <v>221823.18</v>
      </c>
      <c r="X59" s="20"/>
      <c r="Y59" s="20"/>
    </row>
    <row r="60" spans="1:25" customFormat="1" ht="15">
      <c r="A60" s="2065">
        <f t="shared" si="8"/>
        <v>34</v>
      </c>
      <c r="B60" s="2066">
        <f>IF(A60&gt;[11]Input!$B$7,"",DATE(YEAR(B59),MONTH(B59)+1,DAY([11]Input!$B$17)))</f>
        <v>44905</v>
      </c>
      <c r="C60" s="2067">
        <f t="shared" si="5"/>
        <v>30</v>
      </c>
      <c r="D60" s="2067"/>
      <c r="E60" s="2067"/>
      <c r="F60" s="2067"/>
      <c r="G60" s="2068">
        <f>ROUND((IFERROR((((J59*'Input Amortization-Fixed Rate '!$K$12)/360)*C60),0)),2)</f>
        <v>0</v>
      </c>
      <c r="H60" s="2068">
        <f>ROUND((IF(A60='Input Amortization-Fixed Rate '!$B$7,J59,(IF(A60&gt;'Input Amortization-Fixed Rate '!$B$7,0,IF(AND(A60&gt;='Input Amortization-Fixed Rate '!$B$8,A60&lt;='Input Amortization-Fixed Rate '!$F$8,'Input Amortization-Fixed Rate '!$K$8="No"),0,(('Input Amortization-Fixed Rate '!$C$12*('Input Amortization-Fixed Rate '!$K$4-G60-N60)))))))),2)</f>
        <v>177881.54</v>
      </c>
      <c r="I60" s="2069">
        <f t="shared" si="1"/>
        <v>177881.54</v>
      </c>
      <c r="J60" s="2068">
        <f t="shared" si="6"/>
        <v>57989381.64000003</v>
      </c>
      <c r="K60" s="2068"/>
      <c r="L60" s="2068"/>
      <c r="M60" s="2068"/>
      <c r="N60" s="2070">
        <f>IFERROR((((Q59*'Input Amortization-Fixed Rate '!$K$13)/360)*C60),0)</f>
        <v>0</v>
      </c>
      <c r="O60" s="2070">
        <f>IF(A60&gt;'Input Amortization-Fixed Rate '!$B$7,0,IF(A60='Input Amortization-Fixed Rate '!$B$7,Q59,IF(AND(A60&gt;='Input Amortization-Fixed Rate '!$B$8,A60&lt;='Input Amortization-Fixed Rate '!$F$8,'Input Amortization-Fixed Rate '!$K$8="No"),0,'Input Amortization-Fixed Rate '!$K$4-I60-N60)))</f>
        <v>43941.639999999985</v>
      </c>
      <c r="P60" s="2071">
        <f t="shared" si="7"/>
        <v>43941.639999999985</v>
      </c>
      <c r="Q60" s="2070">
        <f t="shared" si="2"/>
        <v>14324974.23999998</v>
      </c>
      <c r="R60" s="2054"/>
      <c r="S60" s="2054"/>
      <c r="T60" s="2054"/>
      <c r="U60" s="2054">
        <f t="shared" si="3"/>
        <v>177881.54</v>
      </c>
      <c r="V60" s="2054">
        <f t="shared" si="4"/>
        <v>43941.639999999985</v>
      </c>
      <c r="W60" s="2054">
        <f t="shared" si="0"/>
        <v>221823.18</v>
      </c>
      <c r="X60" s="20"/>
      <c r="Y60" s="20"/>
    </row>
    <row r="61" spans="1:25" customFormat="1" ht="15">
      <c r="A61" s="100">
        <f t="shared" si="8"/>
        <v>35</v>
      </c>
      <c r="B61" s="2072">
        <f>IF(A61&gt;[11]Input!$B$7,"",DATE(YEAR(B60),MONTH(B60)+1,DAY([11]Input!$B$17)))</f>
        <v>44936</v>
      </c>
      <c r="C61" s="2073">
        <f t="shared" si="5"/>
        <v>31</v>
      </c>
      <c r="D61" s="2073"/>
      <c r="E61" s="2073"/>
      <c r="F61" s="2073"/>
      <c r="G61" s="2074">
        <f>ROUND((IFERROR((((J60*'Input Amortization-Fixed Rate '!$K$12)/360)*C61),0)),2)</f>
        <v>0</v>
      </c>
      <c r="H61" s="2074">
        <f>ROUND((IF(A61='Input Amortization-Fixed Rate '!$B$7,J60,(IF(A61&gt;'Input Amortization-Fixed Rate '!$B$7,0,IF(AND(A61&gt;='Input Amortization-Fixed Rate '!$B$8,A61&lt;='Input Amortization-Fixed Rate '!$F$8,'Input Amortization-Fixed Rate '!$K$8="No"),0,(('Input Amortization-Fixed Rate '!$C$12*('Input Amortization-Fixed Rate '!$K$4-G61-N61)))))))),2)</f>
        <v>177881.54</v>
      </c>
      <c r="I61" s="2075">
        <f t="shared" si="1"/>
        <v>177881.54</v>
      </c>
      <c r="J61" s="2074">
        <f t="shared" si="6"/>
        <v>57811500.100000031</v>
      </c>
      <c r="K61" s="2074"/>
      <c r="L61" s="2074"/>
      <c r="M61" s="2074"/>
      <c r="N61" s="2054">
        <f>IFERROR((((Q60*'Input Amortization-Fixed Rate '!$K$13)/360)*C61),0)</f>
        <v>0</v>
      </c>
      <c r="O61" s="2076">
        <f>IF(A61&gt;'Input Amortization-Fixed Rate '!$B$7,0,IF(A61='Input Amortization-Fixed Rate '!$B$7,Q60,IF(AND(A61&gt;='Input Amortization-Fixed Rate '!$B$8,A61&lt;='Input Amortization-Fixed Rate '!$F$8,'Input Amortization-Fixed Rate '!$K$8="No"),0,'Input Amortization-Fixed Rate '!$K$4-I61-N61)))</f>
        <v>43941.639999999985</v>
      </c>
      <c r="P61" s="2077">
        <f t="shared" si="7"/>
        <v>43941.639999999985</v>
      </c>
      <c r="Q61" s="2054">
        <f t="shared" si="2"/>
        <v>14281032.599999979</v>
      </c>
      <c r="R61" s="2054"/>
      <c r="S61" s="2054"/>
      <c r="T61" s="2054"/>
      <c r="U61" s="2054">
        <f t="shared" si="3"/>
        <v>177881.54</v>
      </c>
      <c r="V61" s="2054">
        <f t="shared" si="4"/>
        <v>43941.639999999985</v>
      </c>
      <c r="W61" s="2054">
        <f t="shared" si="0"/>
        <v>221823.18</v>
      </c>
      <c r="X61" s="20"/>
      <c r="Y61" s="20"/>
    </row>
    <row r="62" spans="1:25" customFormat="1" ht="15">
      <c r="A62" s="2065">
        <f t="shared" si="8"/>
        <v>36</v>
      </c>
      <c r="B62" s="2066">
        <f>IF(A62&gt;[11]Input!$B$7,"",DATE(YEAR(B61),MONTH(B61)+1,DAY([11]Input!$B$17)))</f>
        <v>44967</v>
      </c>
      <c r="C62" s="2067">
        <f t="shared" si="5"/>
        <v>31</v>
      </c>
      <c r="D62" s="2067"/>
      <c r="E62" s="2067"/>
      <c r="F62" s="2067"/>
      <c r="G62" s="2068">
        <f>ROUND((IFERROR((((J61*'Input Amortization-Fixed Rate '!$K$12)/360)*C62),0)),2)</f>
        <v>0</v>
      </c>
      <c r="H62" s="2068">
        <f>ROUND((IF(A62='Input Amortization-Fixed Rate '!$B$7,J61,(IF(A62&gt;'Input Amortization-Fixed Rate '!$B$7,0,IF(AND(A62&gt;='Input Amortization-Fixed Rate '!$B$8,A62&lt;='Input Amortization-Fixed Rate '!$F$8,'Input Amortization-Fixed Rate '!$K$8="No"),0,(('Input Amortization-Fixed Rate '!$C$12*('Input Amortization-Fixed Rate '!$K$4-G62-N62)))))))),2)</f>
        <v>57811500.100000001</v>
      </c>
      <c r="I62" s="2069">
        <f t="shared" si="1"/>
        <v>57811500.100000001</v>
      </c>
      <c r="J62" s="2068">
        <f t="shared" si="6"/>
        <v>2.9802322387695313E-8</v>
      </c>
      <c r="K62" s="2068"/>
      <c r="L62" s="2068"/>
      <c r="M62" s="2068"/>
      <c r="N62" s="2070">
        <f>IFERROR((((Q61*'Input Amortization-Fixed Rate '!$K$13)/360)*C62),0)</f>
        <v>0</v>
      </c>
      <c r="O62" s="2070">
        <f>IF(A62&gt;'Input Amortization-Fixed Rate '!$B$7,0,IF(A62='Input Amortization-Fixed Rate '!$B$7,Q61,IF(AND(A62&gt;='Input Amortization-Fixed Rate '!$B$8,A62&lt;='Input Amortization-Fixed Rate '!$F$8,'Input Amortization-Fixed Rate '!$K$8="No"),0,'Input Amortization-Fixed Rate '!$K$4-I62-N62)))</f>
        <v>14281032.599999979</v>
      </c>
      <c r="P62" s="2071">
        <f t="shared" si="7"/>
        <v>14281032.599999979</v>
      </c>
      <c r="Q62" s="2070">
        <f t="shared" si="2"/>
        <v>0</v>
      </c>
      <c r="R62" s="2054"/>
      <c r="S62" s="2054"/>
      <c r="T62" s="2054"/>
      <c r="U62" s="2054">
        <f t="shared" si="3"/>
        <v>57811500.100000001</v>
      </c>
      <c r="V62" s="2054">
        <f t="shared" si="4"/>
        <v>14281032.599999979</v>
      </c>
      <c r="W62" s="2054">
        <f t="shared" si="0"/>
        <v>72092532.699999988</v>
      </c>
      <c r="X62" s="20"/>
      <c r="Y62" s="20"/>
    </row>
    <row r="63" spans="1:25" customFormat="1" ht="15">
      <c r="A63" s="100">
        <f t="shared" si="8"/>
        <v>37</v>
      </c>
      <c r="B63" s="2072">
        <f>IF(A63&gt;[11]Input!$B$7,"",DATE(YEAR(B62),MONTH(B62)+1,DAY([11]Input!$B$17)))</f>
        <v>44995</v>
      </c>
      <c r="C63" s="2073">
        <f t="shared" si="5"/>
        <v>28</v>
      </c>
      <c r="D63" s="2073"/>
      <c r="E63" s="2073"/>
      <c r="F63" s="2073"/>
      <c r="G63" s="2074">
        <f>ROUND((IFERROR((((J62*'Input Amortization-Fixed Rate '!$K$12)/360)*C63),0)),2)</f>
        <v>0</v>
      </c>
      <c r="H63" s="2074">
        <f>ROUND((IF(A63='Input Amortization-Fixed Rate '!$B$7,J62,(IF(A63&gt;'Input Amortization-Fixed Rate '!$B$7,0,IF(AND(A63&gt;='Input Amortization-Fixed Rate '!$B$8,A63&lt;='Input Amortization-Fixed Rate '!$F$8,'Input Amortization-Fixed Rate '!$K$8="No"),0,(('Input Amortization-Fixed Rate '!$C$12*('Input Amortization-Fixed Rate '!$K$4-G63-N63)))))))),2)</f>
        <v>0</v>
      </c>
      <c r="I63" s="2075">
        <f t="shared" si="1"/>
        <v>0</v>
      </c>
      <c r="J63" s="2074">
        <f t="shared" si="6"/>
        <v>2.9802322387695313E-8</v>
      </c>
      <c r="K63" s="2074"/>
      <c r="L63" s="2074"/>
      <c r="M63" s="2074"/>
      <c r="N63" s="2054">
        <f>IFERROR((((Q62*'Input Amortization-Fixed Rate '!$K$13)/360)*C63),0)</f>
        <v>0</v>
      </c>
      <c r="O63" s="2076">
        <f>IF(A63&gt;'Input Amortization-Fixed Rate '!$B$7,0,IF(A63='Input Amortization-Fixed Rate '!$B$7,Q62,IF(AND(A63&gt;='Input Amortization-Fixed Rate '!$B$8,A63&lt;='Input Amortization-Fixed Rate '!$F$8,'Input Amortization-Fixed Rate '!$K$8="No"),0,'Input Amortization-Fixed Rate '!$K$4-I63-N63)))</f>
        <v>0</v>
      </c>
      <c r="P63" s="2077">
        <f t="shared" si="7"/>
        <v>0</v>
      </c>
      <c r="Q63" s="2054">
        <f t="shared" si="2"/>
        <v>0</v>
      </c>
      <c r="R63" s="2054"/>
      <c r="S63" s="2054"/>
      <c r="T63" s="2054"/>
      <c r="U63" s="2054">
        <f t="shared" si="3"/>
        <v>0</v>
      </c>
      <c r="V63" s="2054">
        <f t="shared" si="4"/>
        <v>0</v>
      </c>
      <c r="W63" s="2054">
        <f t="shared" si="0"/>
        <v>0</v>
      </c>
      <c r="X63" s="20"/>
      <c r="Y63" s="20"/>
    </row>
    <row r="64" spans="1:25" customFormat="1" ht="15">
      <c r="A64" s="2065">
        <f t="shared" si="8"/>
        <v>38</v>
      </c>
      <c r="B64" s="2066">
        <f>IF(A64&gt;[11]Input!$B$7,"",DATE(YEAR(B63),MONTH(B63)+1,DAY([11]Input!$B$17)))</f>
        <v>45026</v>
      </c>
      <c r="C64" s="2067">
        <f t="shared" si="5"/>
        <v>31</v>
      </c>
      <c r="D64" s="2067"/>
      <c r="E64" s="2067"/>
      <c r="F64" s="2067"/>
      <c r="G64" s="2068">
        <f>ROUND((IFERROR((((J63*'Input Amortization-Fixed Rate '!$K$12)/360)*C64),0)),2)</f>
        <v>0</v>
      </c>
      <c r="H64" s="2068">
        <f>ROUND((IF(A64='Input Amortization-Fixed Rate '!$B$7,J63,(IF(A64&gt;'Input Amortization-Fixed Rate '!$B$7,0,IF(AND(A64&gt;='Input Amortization-Fixed Rate '!$B$8,A64&lt;='Input Amortization-Fixed Rate '!$F$8,'Input Amortization-Fixed Rate '!$K$8="No"),0,(('Input Amortization-Fixed Rate '!$C$12*('Input Amortization-Fixed Rate '!$K$4-G64-N64)))))))),2)</f>
        <v>0</v>
      </c>
      <c r="I64" s="2069">
        <f t="shared" si="1"/>
        <v>0</v>
      </c>
      <c r="J64" s="2068">
        <f t="shared" si="6"/>
        <v>2.9802322387695313E-8</v>
      </c>
      <c r="K64" s="2068"/>
      <c r="L64" s="2068"/>
      <c r="M64" s="2068"/>
      <c r="N64" s="2070">
        <f>IFERROR((((Q63*'Input Amortization-Fixed Rate '!$K$13)/360)*C64),0)</f>
        <v>0</v>
      </c>
      <c r="O64" s="2070">
        <f>IF(A64&gt;'Input Amortization-Fixed Rate '!$B$7,0,IF(A64='Input Amortization-Fixed Rate '!$B$7,Q63,IF(AND(A64&gt;='Input Amortization-Fixed Rate '!$B$8,A64&lt;='Input Amortization-Fixed Rate '!$F$8,'Input Amortization-Fixed Rate '!$K$8="No"),0,'Input Amortization-Fixed Rate '!$K$4-I64-N64)))</f>
        <v>0</v>
      </c>
      <c r="P64" s="2071">
        <f t="shared" si="7"/>
        <v>0</v>
      </c>
      <c r="Q64" s="2070">
        <f t="shared" si="2"/>
        <v>0</v>
      </c>
      <c r="R64" s="2054"/>
      <c r="S64" s="2054"/>
      <c r="T64" s="2054"/>
      <c r="U64" s="2054">
        <f t="shared" si="3"/>
        <v>0</v>
      </c>
      <c r="V64" s="2054">
        <f t="shared" si="4"/>
        <v>0</v>
      </c>
      <c r="W64" s="2054">
        <f t="shared" si="0"/>
        <v>0</v>
      </c>
      <c r="X64" s="20"/>
      <c r="Y64" s="20"/>
    </row>
    <row r="65" spans="1:25" customFormat="1" ht="15">
      <c r="A65" s="100">
        <f t="shared" si="8"/>
        <v>39</v>
      </c>
      <c r="B65" s="2072">
        <f>IF(A65&gt;[11]Input!$B$7,"",DATE(YEAR(B64),MONTH(B64)+1,DAY([11]Input!$B$17)))</f>
        <v>45056</v>
      </c>
      <c r="C65" s="2073">
        <f t="shared" si="5"/>
        <v>30</v>
      </c>
      <c r="D65" s="2073"/>
      <c r="E65" s="2073"/>
      <c r="F65" s="2073"/>
      <c r="G65" s="2074">
        <f>ROUND((IFERROR((((J64*'Input Amortization-Fixed Rate '!$K$12)/360)*C65),0)),2)</f>
        <v>0</v>
      </c>
      <c r="H65" s="2074">
        <f>ROUND((IF(A65='Input Amortization-Fixed Rate '!$B$7,J64,(IF(A65&gt;'Input Amortization-Fixed Rate '!$B$7,0,IF(AND(A65&gt;='Input Amortization-Fixed Rate '!$B$8,A65&lt;='Input Amortization-Fixed Rate '!$F$8,'Input Amortization-Fixed Rate '!$K$8="No"),0,(('Input Amortization-Fixed Rate '!$C$12*('Input Amortization-Fixed Rate '!$K$4-G65-N65)))))))),2)</f>
        <v>0</v>
      </c>
      <c r="I65" s="2075">
        <f t="shared" si="1"/>
        <v>0</v>
      </c>
      <c r="J65" s="2074">
        <f t="shared" si="6"/>
        <v>2.9802322387695313E-8</v>
      </c>
      <c r="K65" s="2074"/>
      <c r="L65" s="2074"/>
      <c r="M65" s="2074"/>
      <c r="N65" s="2054">
        <f>IFERROR((((Q64*'Input Amortization-Fixed Rate '!$K$13)/360)*C65),0)</f>
        <v>0</v>
      </c>
      <c r="O65" s="2076">
        <f>IF(A65&gt;'Input Amortization-Fixed Rate '!$B$7,0,IF(A65='Input Amortization-Fixed Rate '!$B$7,Q64,IF(AND(A65&gt;='Input Amortization-Fixed Rate '!$B$8,A65&lt;='Input Amortization-Fixed Rate '!$F$8,'Input Amortization-Fixed Rate '!$K$8="No"),0,'Input Amortization-Fixed Rate '!$K$4-I65-N65)))</f>
        <v>0</v>
      </c>
      <c r="P65" s="2077">
        <f t="shared" si="7"/>
        <v>0</v>
      </c>
      <c r="Q65" s="2054">
        <f t="shared" si="2"/>
        <v>0</v>
      </c>
      <c r="R65" s="2054"/>
      <c r="S65" s="2054"/>
      <c r="T65" s="2054"/>
      <c r="U65" s="2054">
        <f t="shared" si="3"/>
        <v>0</v>
      </c>
      <c r="V65" s="2054">
        <f t="shared" si="4"/>
        <v>0</v>
      </c>
      <c r="W65" s="2054">
        <f t="shared" si="0"/>
        <v>0</v>
      </c>
      <c r="X65" s="20"/>
      <c r="Y65" s="20"/>
    </row>
    <row r="66" spans="1:25" customFormat="1" ht="15">
      <c r="A66" s="2065">
        <f t="shared" si="8"/>
        <v>40</v>
      </c>
      <c r="B66" s="2066">
        <f>IF(A66&gt;[11]Input!$B$7,"",DATE(YEAR(B65),MONTH(B65)+1,DAY([11]Input!$B$17)))</f>
        <v>45087</v>
      </c>
      <c r="C66" s="2067">
        <f t="shared" si="5"/>
        <v>31</v>
      </c>
      <c r="D66" s="2067"/>
      <c r="E66" s="2067"/>
      <c r="F66" s="2067"/>
      <c r="G66" s="2068">
        <f>ROUND((IFERROR((((J65*'Input Amortization-Fixed Rate '!$K$12)/360)*C66),0)),2)</f>
        <v>0</v>
      </c>
      <c r="H66" s="2068">
        <f>ROUND((IF(A66='Input Amortization-Fixed Rate '!$B$7,J65,(IF(A66&gt;'Input Amortization-Fixed Rate '!$B$7,0,IF(AND(A66&gt;='Input Amortization-Fixed Rate '!$B$8,A66&lt;='Input Amortization-Fixed Rate '!$F$8,'Input Amortization-Fixed Rate '!$K$8="No"),0,(('Input Amortization-Fixed Rate '!$C$12*('Input Amortization-Fixed Rate '!$K$4-G66-N66)))))))),2)</f>
        <v>0</v>
      </c>
      <c r="I66" s="2069">
        <f t="shared" si="1"/>
        <v>0</v>
      </c>
      <c r="J66" s="2068">
        <f t="shared" si="6"/>
        <v>2.9802322387695313E-8</v>
      </c>
      <c r="K66" s="2068"/>
      <c r="L66" s="2068"/>
      <c r="M66" s="2068"/>
      <c r="N66" s="2070">
        <f>IFERROR((((Q65*'Input Amortization-Fixed Rate '!$K$13)/360)*C66),0)</f>
        <v>0</v>
      </c>
      <c r="O66" s="2070">
        <f>IF(A66&gt;'Input Amortization-Fixed Rate '!$B$7,0,IF(A66='Input Amortization-Fixed Rate '!$B$7,Q65,IF(AND(A66&gt;='Input Amortization-Fixed Rate '!$B$8,A66&lt;='Input Amortization-Fixed Rate '!$F$8,'Input Amortization-Fixed Rate '!$K$8="No"),0,'Input Amortization-Fixed Rate '!$K$4-I66-N66)))</f>
        <v>0</v>
      </c>
      <c r="P66" s="2071">
        <f t="shared" si="7"/>
        <v>0</v>
      </c>
      <c r="Q66" s="2070">
        <f t="shared" si="2"/>
        <v>0</v>
      </c>
      <c r="R66" s="2054"/>
      <c r="S66" s="2054"/>
      <c r="T66" s="2054"/>
      <c r="U66" s="2054">
        <f t="shared" si="3"/>
        <v>0</v>
      </c>
      <c r="V66" s="2054">
        <f t="shared" si="4"/>
        <v>0</v>
      </c>
      <c r="W66" s="2054">
        <f t="shared" si="0"/>
        <v>0</v>
      </c>
      <c r="X66" s="20"/>
      <c r="Y66" s="20"/>
    </row>
    <row r="67" spans="1:25" customFormat="1" ht="15">
      <c r="A67" s="100">
        <f t="shared" si="8"/>
        <v>41</v>
      </c>
      <c r="B67" s="2072">
        <f>IF(A67&gt;[11]Input!$B$7,"",DATE(YEAR(B66),MONTH(B66)+1,DAY([11]Input!$B$17)))</f>
        <v>45117</v>
      </c>
      <c r="C67" s="2073">
        <f t="shared" si="5"/>
        <v>30</v>
      </c>
      <c r="D67" s="2073"/>
      <c r="E67" s="2073"/>
      <c r="F67" s="2073"/>
      <c r="G67" s="2074">
        <f>ROUND((IFERROR((((J66*'Input Amortization-Fixed Rate '!$K$12)/360)*C67),0)),2)</f>
        <v>0</v>
      </c>
      <c r="H67" s="2074">
        <f>ROUND((IF(A67='Input Amortization-Fixed Rate '!$B$7,J66,(IF(A67&gt;'Input Amortization-Fixed Rate '!$B$7,0,IF(AND(A67&gt;='Input Amortization-Fixed Rate '!$B$8,A67&lt;='Input Amortization-Fixed Rate '!$F$8,'Input Amortization-Fixed Rate '!$K$8="No"),0,(('Input Amortization-Fixed Rate '!$C$12*('Input Amortization-Fixed Rate '!$K$4-G67-N67)))))))),2)</f>
        <v>0</v>
      </c>
      <c r="I67" s="2075">
        <f t="shared" si="1"/>
        <v>0</v>
      </c>
      <c r="J67" s="2074">
        <f t="shared" si="6"/>
        <v>2.9802322387695313E-8</v>
      </c>
      <c r="K67" s="2074"/>
      <c r="L67" s="2074"/>
      <c r="M67" s="2074"/>
      <c r="N67" s="2054">
        <f>IFERROR((((Q66*'Input Amortization-Fixed Rate '!$K$13)/360)*C67),0)</f>
        <v>0</v>
      </c>
      <c r="O67" s="2076">
        <f>IF(A67&gt;'Input Amortization-Fixed Rate '!$B$7,0,IF(A67='Input Amortization-Fixed Rate '!$B$7,Q66,IF(AND(A67&gt;='Input Amortization-Fixed Rate '!$B$8,A67&lt;='Input Amortization-Fixed Rate '!$F$8,'Input Amortization-Fixed Rate '!$K$8="No"),0,'Input Amortization-Fixed Rate '!$K$4-I67-N67)))</f>
        <v>0</v>
      </c>
      <c r="P67" s="2077">
        <f t="shared" si="7"/>
        <v>0</v>
      </c>
      <c r="Q67" s="2054">
        <f t="shared" si="2"/>
        <v>0</v>
      </c>
      <c r="R67" s="2054"/>
      <c r="S67" s="2054"/>
      <c r="T67" s="2054"/>
      <c r="U67" s="2054">
        <f t="shared" si="3"/>
        <v>0</v>
      </c>
      <c r="V67" s="2054">
        <f t="shared" si="4"/>
        <v>0</v>
      </c>
      <c r="W67" s="2054">
        <f t="shared" si="0"/>
        <v>0</v>
      </c>
      <c r="X67" s="20"/>
      <c r="Y67" s="20"/>
    </row>
    <row r="68" spans="1:25" customFormat="1" ht="15">
      <c r="A68" s="2065">
        <f t="shared" si="8"/>
        <v>42</v>
      </c>
      <c r="B68" s="2066">
        <f>IF(A68&gt;[11]Input!$B$7,"",DATE(YEAR(B67),MONTH(B67)+1,DAY([11]Input!$B$17)))</f>
        <v>45148</v>
      </c>
      <c r="C68" s="2067">
        <f t="shared" si="5"/>
        <v>31</v>
      </c>
      <c r="D68" s="2067"/>
      <c r="E68" s="2067"/>
      <c r="F68" s="2067"/>
      <c r="G68" s="2068">
        <f>ROUND((IFERROR((((J67*'Input Amortization-Fixed Rate '!$K$12)/360)*C68),0)),2)</f>
        <v>0</v>
      </c>
      <c r="H68" s="2068">
        <f>ROUND((IF(A68='Input Amortization-Fixed Rate '!$B$7,J67,(IF(A68&gt;'Input Amortization-Fixed Rate '!$B$7,0,IF(AND(A68&gt;='Input Amortization-Fixed Rate '!$B$8,A68&lt;='Input Amortization-Fixed Rate '!$F$8,'Input Amortization-Fixed Rate '!$K$8="No"),0,(('Input Amortization-Fixed Rate '!$C$12*('Input Amortization-Fixed Rate '!$K$4-G68-N68)))))))),2)</f>
        <v>0</v>
      </c>
      <c r="I68" s="2069">
        <f t="shared" si="1"/>
        <v>0</v>
      </c>
      <c r="J68" s="2068">
        <f t="shared" si="6"/>
        <v>2.9802322387695313E-8</v>
      </c>
      <c r="K68" s="2068"/>
      <c r="L68" s="2068"/>
      <c r="M68" s="2068"/>
      <c r="N68" s="2070">
        <f>IFERROR((((Q67*'Input Amortization-Fixed Rate '!$K$13)/360)*C68),0)</f>
        <v>0</v>
      </c>
      <c r="O68" s="2070">
        <f>IF(A68&gt;'Input Amortization-Fixed Rate '!$B$7,0,IF(A68='Input Amortization-Fixed Rate '!$B$7,Q67,IF(AND(A68&gt;='Input Amortization-Fixed Rate '!$B$8,A68&lt;='Input Amortization-Fixed Rate '!$F$8,'Input Amortization-Fixed Rate '!$K$8="No"),0,'Input Amortization-Fixed Rate '!$K$4-I68-N68)))</f>
        <v>0</v>
      </c>
      <c r="P68" s="2071">
        <f t="shared" si="7"/>
        <v>0</v>
      </c>
      <c r="Q68" s="2070">
        <f t="shared" si="2"/>
        <v>0</v>
      </c>
      <c r="R68" s="2054"/>
      <c r="S68" s="2054"/>
      <c r="T68" s="2054"/>
      <c r="U68" s="2054">
        <f t="shared" si="3"/>
        <v>0</v>
      </c>
      <c r="V68" s="2054">
        <f t="shared" si="4"/>
        <v>0</v>
      </c>
      <c r="W68" s="2054">
        <f t="shared" si="0"/>
        <v>0</v>
      </c>
      <c r="X68" s="20"/>
      <c r="Y68" s="20"/>
    </row>
    <row r="69" spans="1:25" customFormat="1" ht="15">
      <c r="A69" s="100">
        <f t="shared" si="8"/>
        <v>43</v>
      </c>
      <c r="B69" s="2072">
        <f>IF(A69&gt;[11]Input!$B$7,"",DATE(YEAR(B68),MONTH(B68)+1,DAY([11]Input!$B$17)))</f>
        <v>45179</v>
      </c>
      <c r="C69" s="2073">
        <f t="shared" si="5"/>
        <v>31</v>
      </c>
      <c r="D69" s="2073"/>
      <c r="E69" s="2073"/>
      <c r="F69" s="2073"/>
      <c r="G69" s="2074">
        <f>ROUND((IFERROR((((J68*'Input Amortization-Fixed Rate '!$K$12)/360)*C69),0)),2)</f>
        <v>0</v>
      </c>
      <c r="H69" s="2074">
        <f>ROUND((IF(A69='Input Amortization-Fixed Rate '!$B$7,J68,(IF(A69&gt;'Input Amortization-Fixed Rate '!$B$7,0,IF(AND(A69&gt;='Input Amortization-Fixed Rate '!$B$8,A69&lt;='Input Amortization-Fixed Rate '!$F$8,'Input Amortization-Fixed Rate '!$K$8="No"),0,(('Input Amortization-Fixed Rate '!$C$12*('Input Amortization-Fixed Rate '!$K$4-G69-N69)))))))),2)</f>
        <v>0</v>
      </c>
      <c r="I69" s="2075">
        <f t="shared" si="1"/>
        <v>0</v>
      </c>
      <c r="J69" s="2074">
        <f t="shared" si="6"/>
        <v>2.9802322387695313E-8</v>
      </c>
      <c r="K69" s="2074"/>
      <c r="L69" s="2074"/>
      <c r="M69" s="2074"/>
      <c r="N69" s="2054">
        <f>IFERROR((((Q68*'Input Amortization-Fixed Rate '!$K$13)/360)*C69),0)</f>
        <v>0</v>
      </c>
      <c r="O69" s="2076">
        <f>IF(A69&gt;'Input Amortization-Fixed Rate '!$B$7,0,IF(A69='Input Amortization-Fixed Rate '!$B$7,Q68,IF(AND(A69&gt;='Input Amortization-Fixed Rate '!$B$8,A69&lt;='Input Amortization-Fixed Rate '!$F$8,'Input Amortization-Fixed Rate '!$K$8="No"),0,'Input Amortization-Fixed Rate '!$K$4-I69-N69)))</f>
        <v>0</v>
      </c>
      <c r="P69" s="2077">
        <f t="shared" si="7"/>
        <v>0</v>
      </c>
      <c r="Q69" s="2054">
        <f t="shared" si="2"/>
        <v>0</v>
      </c>
      <c r="R69" s="2054"/>
      <c r="S69" s="2054"/>
      <c r="T69" s="2054"/>
      <c r="U69" s="2054">
        <f t="shared" si="3"/>
        <v>0</v>
      </c>
      <c r="V69" s="2054">
        <f t="shared" si="4"/>
        <v>0</v>
      </c>
      <c r="W69" s="2054">
        <f t="shared" si="0"/>
        <v>0</v>
      </c>
      <c r="X69" s="20"/>
      <c r="Y69" s="20"/>
    </row>
    <row r="70" spans="1:25" customFormat="1" ht="15">
      <c r="A70" s="2065">
        <f t="shared" si="8"/>
        <v>44</v>
      </c>
      <c r="B70" s="2066">
        <f>IF(A70&gt;[11]Input!$B$7,"",DATE(YEAR(B69),MONTH(B69)+1,DAY([11]Input!$B$17)))</f>
        <v>45209</v>
      </c>
      <c r="C70" s="2067">
        <f t="shared" si="5"/>
        <v>30</v>
      </c>
      <c r="D70" s="2067"/>
      <c r="E70" s="2067"/>
      <c r="F70" s="2067"/>
      <c r="G70" s="2068">
        <f>ROUND((IFERROR((((J69*'Input Amortization-Fixed Rate '!$K$12)/360)*C70),0)),2)</f>
        <v>0</v>
      </c>
      <c r="H70" s="2068">
        <f>ROUND((IF(A70='Input Amortization-Fixed Rate '!$B$7,J69,(IF(A70&gt;'Input Amortization-Fixed Rate '!$B$7,0,IF(AND(A70&gt;='Input Amortization-Fixed Rate '!$B$8,A70&lt;='Input Amortization-Fixed Rate '!$F$8,'Input Amortization-Fixed Rate '!$K$8="No"),0,(('Input Amortization-Fixed Rate '!$C$12*('Input Amortization-Fixed Rate '!$K$4-G70-N70)))))))),2)</f>
        <v>0</v>
      </c>
      <c r="I70" s="2069">
        <f t="shared" si="1"/>
        <v>0</v>
      </c>
      <c r="J70" s="2068">
        <f t="shared" si="6"/>
        <v>2.9802322387695313E-8</v>
      </c>
      <c r="K70" s="2068"/>
      <c r="L70" s="2068"/>
      <c r="M70" s="2068"/>
      <c r="N70" s="2070">
        <f>IFERROR((((Q69*'Input Amortization-Fixed Rate '!$K$13)/360)*C70),0)</f>
        <v>0</v>
      </c>
      <c r="O70" s="2070">
        <f>IF(A70&gt;'Input Amortization-Fixed Rate '!$B$7,0,IF(A70='Input Amortization-Fixed Rate '!$B$7,Q69,IF(AND(A70&gt;='Input Amortization-Fixed Rate '!$B$8,A70&lt;='Input Amortization-Fixed Rate '!$F$8,'Input Amortization-Fixed Rate '!$K$8="No"),0,'Input Amortization-Fixed Rate '!$K$4-I70-N70)))</f>
        <v>0</v>
      </c>
      <c r="P70" s="2071">
        <f t="shared" si="7"/>
        <v>0</v>
      </c>
      <c r="Q70" s="2070">
        <f t="shared" si="2"/>
        <v>0</v>
      </c>
      <c r="R70" s="2054"/>
      <c r="S70" s="2054"/>
      <c r="T70" s="2054"/>
      <c r="U70" s="2054">
        <f t="shared" si="3"/>
        <v>0</v>
      </c>
      <c r="V70" s="2054">
        <f t="shared" si="4"/>
        <v>0</v>
      </c>
      <c r="W70" s="2054">
        <f t="shared" si="0"/>
        <v>0</v>
      </c>
      <c r="X70" s="20"/>
      <c r="Y70" s="20"/>
    </row>
    <row r="71" spans="1:25" customFormat="1" ht="15">
      <c r="A71" s="100">
        <f t="shared" si="8"/>
        <v>45</v>
      </c>
      <c r="B71" s="2072">
        <f>IF(A71&gt;[11]Input!$B$7,"",DATE(YEAR(B70),MONTH(B70)+1,DAY([11]Input!$B$17)))</f>
        <v>45240</v>
      </c>
      <c r="C71" s="2073">
        <f t="shared" si="5"/>
        <v>31</v>
      </c>
      <c r="D71" s="2073"/>
      <c r="E71" s="2073"/>
      <c r="F71" s="2073"/>
      <c r="G71" s="2074">
        <f>ROUND((IFERROR((((J70*'Input Amortization-Fixed Rate '!$K$12)/360)*C71),0)),2)</f>
        <v>0</v>
      </c>
      <c r="H71" s="2074">
        <f>ROUND((IF(A71='Input Amortization-Fixed Rate '!$B$7,J70,(IF(A71&gt;'Input Amortization-Fixed Rate '!$B$7,0,IF(AND(A71&gt;='Input Amortization-Fixed Rate '!$B$8,A71&lt;='Input Amortization-Fixed Rate '!$F$8,'Input Amortization-Fixed Rate '!$K$8="No"),0,(('Input Amortization-Fixed Rate '!$C$12*('Input Amortization-Fixed Rate '!$K$4-G71-N71)))))))),2)</f>
        <v>0</v>
      </c>
      <c r="I71" s="2075">
        <f t="shared" si="1"/>
        <v>0</v>
      </c>
      <c r="J71" s="2074">
        <f t="shared" si="6"/>
        <v>2.9802322387695313E-8</v>
      </c>
      <c r="K71" s="2074"/>
      <c r="L71" s="2074"/>
      <c r="M71" s="2074"/>
      <c r="N71" s="2054">
        <f>IFERROR((((Q70*'Input Amortization-Fixed Rate '!$K$13)/360)*C71),0)</f>
        <v>0</v>
      </c>
      <c r="O71" s="2076">
        <f>IF(A71&gt;'Input Amortization-Fixed Rate '!$B$7,0,IF(A71='Input Amortization-Fixed Rate '!$B$7,Q70,IF(AND(A71&gt;='Input Amortization-Fixed Rate '!$B$8,A71&lt;='Input Amortization-Fixed Rate '!$F$8,'Input Amortization-Fixed Rate '!$K$8="No"),0,'Input Amortization-Fixed Rate '!$K$4-I71-N71)))</f>
        <v>0</v>
      </c>
      <c r="P71" s="2077">
        <f t="shared" si="7"/>
        <v>0</v>
      </c>
      <c r="Q71" s="2054">
        <f t="shared" si="2"/>
        <v>0</v>
      </c>
      <c r="R71" s="2054"/>
      <c r="S71" s="2054"/>
      <c r="T71" s="2054"/>
      <c r="U71" s="2054">
        <f t="shared" si="3"/>
        <v>0</v>
      </c>
      <c r="V71" s="2054">
        <f t="shared" si="4"/>
        <v>0</v>
      </c>
      <c r="W71" s="2054">
        <f t="shared" si="0"/>
        <v>0</v>
      </c>
      <c r="X71" s="20"/>
      <c r="Y71" s="20"/>
    </row>
    <row r="72" spans="1:25" customFormat="1" ht="15">
      <c r="A72" s="2065">
        <f t="shared" si="8"/>
        <v>46</v>
      </c>
      <c r="B72" s="2066">
        <f>IF(A72&gt;[11]Input!$B$7,"",DATE(YEAR(B71),MONTH(B71)+1,DAY([11]Input!$B$17)))</f>
        <v>45270</v>
      </c>
      <c r="C72" s="2067">
        <f t="shared" si="5"/>
        <v>30</v>
      </c>
      <c r="D72" s="2067"/>
      <c r="E72" s="2067"/>
      <c r="F72" s="2067"/>
      <c r="G72" s="2068">
        <f>ROUND((IFERROR((((J71*'Input Amortization-Fixed Rate '!$K$12)/360)*C72),0)),2)</f>
        <v>0</v>
      </c>
      <c r="H72" s="2068">
        <f>ROUND((IF(A72='Input Amortization-Fixed Rate '!$B$7,J71,(IF(A72&gt;'Input Amortization-Fixed Rate '!$B$7,0,IF(AND(A72&gt;='Input Amortization-Fixed Rate '!$B$8,A72&lt;='Input Amortization-Fixed Rate '!$F$8,'Input Amortization-Fixed Rate '!$K$8="No"),0,(('Input Amortization-Fixed Rate '!$C$12*('Input Amortization-Fixed Rate '!$K$4-G72-N72)))))))),2)</f>
        <v>0</v>
      </c>
      <c r="I72" s="2069">
        <f t="shared" si="1"/>
        <v>0</v>
      </c>
      <c r="J72" s="2068">
        <f t="shared" si="6"/>
        <v>2.9802322387695313E-8</v>
      </c>
      <c r="K72" s="2068"/>
      <c r="L72" s="2068"/>
      <c r="M72" s="2068"/>
      <c r="N72" s="2070">
        <f>IFERROR((((Q71*'Input Amortization-Fixed Rate '!$K$13)/360)*C72),0)</f>
        <v>0</v>
      </c>
      <c r="O72" s="2070">
        <f>IF(A72&gt;'Input Amortization-Fixed Rate '!$B$7,0,IF(A72='Input Amortization-Fixed Rate '!$B$7,Q71,IF(AND(A72&gt;='Input Amortization-Fixed Rate '!$B$8,A72&lt;='Input Amortization-Fixed Rate '!$F$8,'Input Amortization-Fixed Rate '!$K$8="No"),0,'Input Amortization-Fixed Rate '!$K$4-I72-N72)))</f>
        <v>0</v>
      </c>
      <c r="P72" s="2071">
        <f t="shared" si="7"/>
        <v>0</v>
      </c>
      <c r="Q72" s="2070">
        <f t="shared" si="2"/>
        <v>0</v>
      </c>
      <c r="R72" s="2054"/>
      <c r="S72" s="2054"/>
      <c r="T72" s="2054"/>
      <c r="U72" s="2054">
        <f t="shared" si="3"/>
        <v>0</v>
      </c>
      <c r="V72" s="2054">
        <f t="shared" si="4"/>
        <v>0</v>
      </c>
      <c r="W72" s="2054">
        <f t="shared" si="0"/>
        <v>0</v>
      </c>
      <c r="X72" s="20"/>
      <c r="Y72" s="20"/>
    </row>
    <row r="73" spans="1:25" customFormat="1" ht="15">
      <c r="A73" s="100">
        <f t="shared" si="8"/>
        <v>47</v>
      </c>
      <c r="B73" s="2072">
        <f>IF(A73&gt;[11]Input!$B$7,"",DATE(YEAR(B72),MONTH(B72)+1,DAY([11]Input!$B$17)))</f>
        <v>45301</v>
      </c>
      <c r="C73" s="2073">
        <f t="shared" si="5"/>
        <v>31</v>
      </c>
      <c r="D73" s="2073"/>
      <c r="E73" s="2073"/>
      <c r="F73" s="2073"/>
      <c r="G73" s="2074">
        <f>ROUND((IFERROR((((J72*'Input Amortization-Fixed Rate '!$K$12)/360)*C73),0)),2)</f>
        <v>0</v>
      </c>
      <c r="H73" s="2074">
        <f>ROUND((IF(A73='Input Amortization-Fixed Rate '!$B$7,J72,(IF(A73&gt;'Input Amortization-Fixed Rate '!$B$7,0,IF(AND(A73&gt;='Input Amortization-Fixed Rate '!$B$8,A73&lt;='Input Amortization-Fixed Rate '!$F$8,'Input Amortization-Fixed Rate '!$K$8="No"),0,(('Input Amortization-Fixed Rate '!$C$12*('Input Amortization-Fixed Rate '!$K$4-G73-N73)))))))),2)</f>
        <v>0</v>
      </c>
      <c r="I73" s="2075">
        <f t="shared" si="1"/>
        <v>0</v>
      </c>
      <c r="J73" s="2074">
        <f t="shared" si="6"/>
        <v>2.9802322387695313E-8</v>
      </c>
      <c r="K73" s="2074"/>
      <c r="L73" s="2074"/>
      <c r="M73" s="2074"/>
      <c r="N73" s="2054">
        <f>IFERROR((((Q72*'Input Amortization-Fixed Rate '!$K$13)/360)*C73),0)</f>
        <v>0</v>
      </c>
      <c r="O73" s="2076">
        <f>IF(A73&gt;'Input Amortization-Fixed Rate '!$B$7,0,IF(A73='Input Amortization-Fixed Rate '!$B$7,Q72,IF(AND(A73&gt;='Input Amortization-Fixed Rate '!$B$8,A73&lt;='Input Amortization-Fixed Rate '!$F$8,'Input Amortization-Fixed Rate '!$K$8="No"),0,'Input Amortization-Fixed Rate '!$K$4-I73-N73)))</f>
        <v>0</v>
      </c>
      <c r="P73" s="2077">
        <f t="shared" si="7"/>
        <v>0</v>
      </c>
      <c r="Q73" s="2054">
        <f t="shared" si="2"/>
        <v>0</v>
      </c>
      <c r="R73" s="2054"/>
      <c r="S73" s="2054"/>
      <c r="T73" s="2054"/>
      <c r="U73" s="2054">
        <f t="shared" si="3"/>
        <v>0</v>
      </c>
      <c r="V73" s="2054">
        <f t="shared" si="4"/>
        <v>0</v>
      </c>
      <c r="W73" s="2054">
        <f t="shared" si="0"/>
        <v>0</v>
      </c>
      <c r="X73" s="20"/>
      <c r="Y73" s="20"/>
    </row>
    <row r="74" spans="1:25" customFormat="1" ht="15">
      <c r="A74" s="2065">
        <f t="shared" si="8"/>
        <v>48</v>
      </c>
      <c r="B74" s="2066">
        <f>IF(A74&gt;[11]Input!$B$7,"",DATE(YEAR(B73),MONTH(B73)+1,DAY([11]Input!$B$17)))</f>
        <v>45332</v>
      </c>
      <c r="C74" s="2067">
        <f t="shared" si="5"/>
        <v>31</v>
      </c>
      <c r="D74" s="2067"/>
      <c r="E74" s="2067"/>
      <c r="F74" s="2067"/>
      <c r="G74" s="2068">
        <f>ROUND((IFERROR((((J73*'Input Amortization-Fixed Rate '!$K$12)/360)*C74),0)),2)</f>
        <v>0</v>
      </c>
      <c r="H74" s="2068">
        <f>ROUND((IF(A74='Input Amortization-Fixed Rate '!$B$7,J73,(IF(A74&gt;'Input Amortization-Fixed Rate '!$B$7,0,IF(AND(A74&gt;='Input Amortization-Fixed Rate '!$B$8,A74&lt;='Input Amortization-Fixed Rate '!$F$8,'Input Amortization-Fixed Rate '!$K$8="No"),0,(('Input Amortization-Fixed Rate '!$C$12*('Input Amortization-Fixed Rate '!$K$4-G74-N74)))))))),2)</f>
        <v>0</v>
      </c>
      <c r="I74" s="2069">
        <f t="shared" si="1"/>
        <v>0</v>
      </c>
      <c r="J74" s="2068">
        <f t="shared" si="6"/>
        <v>2.9802322387695313E-8</v>
      </c>
      <c r="K74" s="2068"/>
      <c r="L74" s="2068"/>
      <c r="M74" s="2068"/>
      <c r="N74" s="2070">
        <f>IFERROR((((Q73*'Input Amortization-Fixed Rate '!$K$13)/360)*C74),0)</f>
        <v>0</v>
      </c>
      <c r="O74" s="2070">
        <f>IF(A74&gt;'Input Amortization-Fixed Rate '!$B$7,0,IF(A74='Input Amortization-Fixed Rate '!$B$7,Q73,IF(AND(A74&gt;='Input Amortization-Fixed Rate '!$B$8,A74&lt;='Input Amortization-Fixed Rate '!$F$8,'Input Amortization-Fixed Rate '!$K$8="No"),0,'Input Amortization-Fixed Rate '!$K$4-I74-N74)))</f>
        <v>0</v>
      </c>
      <c r="P74" s="2071">
        <f t="shared" si="7"/>
        <v>0</v>
      </c>
      <c r="Q74" s="2070">
        <f t="shared" si="2"/>
        <v>0</v>
      </c>
      <c r="R74" s="2054"/>
      <c r="S74" s="2054"/>
      <c r="T74" s="2054"/>
      <c r="U74" s="2054">
        <f t="shared" si="3"/>
        <v>0</v>
      </c>
      <c r="V74" s="2054">
        <f t="shared" si="4"/>
        <v>0</v>
      </c>
      <c r="W74" s="2054">
        <f t="shared" si="0"/>
        <v>0</v>
      </c>
      <c r="X74" s="20"/>
      <c r="Y74" s="20"/>
    </row>
    <row r="75" spans="1:25" customFormat="1" ht="15">
      <c r="A75" s="100">
        <f t="shared" si="8"/>
        <v>49</v>
      </c>
      <c r="B75" s="2072">
        <f>IF(A75&gt;[11]Input!$B$7,"",DATE(YEAR(B74),MONTH(B74)+1,DAY([11]Input!$B$17)))</f>
        <v>45361</v>
      </c>
      <c r="C75" s="2073">
        <f t="shared" si="5"/>
        <v>29</v>
      </c>
      <c r="D75" s="2073"/>
      <c r="E75" s="2073"/>
      <c r="F75" s="2073"/>
      <c r="G75" s="2074">
        <f>ROUND((IFERROR((((J74*'Input Amortization-Fixed Rate '!$K$12)/360)*C75),0)),2)</f>
        <v>0</v>
      </c>
      <c r="H75" s="2074">
        <f>ROUND((IF(A75='Input Amortization-Fixed Rate '!$B$7,J74,(IF(A75&gt;'Input Amortization-Fixed Rate '!$B$7,0,IF(AND(A75&gt;='Input Amortization-Fixed Rate '!$B$8,A75&lt;='Input Amortization-Fixed Rate '!$F$8,'Input Amortization-Fixed Rate '!$K$8="No"),0,(('Input Amortization-Fixed Rate '!$C$12*('Input Amortization-Fixed Rate '!$K$4-G75-N75)))))))),2)</f>
        <v>0</v>
      </c>
      <c r="I75" s="2075">
        <f t="shared" si="1"/>
        <v>0</v>
      </c>
      <c r="J75" s="2074">
        <f t="shared" si="6"/>
        <v>2.9802322387695313E-8</v>
      </c>
      <c r="K75" s="2074"/>
      <c r="L75" s="2074"/>
      <c r="M75" s="2074"/>
      <c r="N75" s="2054">
        <f>IFERROR((((Q74*'Input Amortization-Fixed Rate '!$K$13)/360)*C75),0)</f>
        <v>0</v>
      </c>
      <c r="O75" s="2076">
        <f>IF(A75&gt;'Input Amortization-Fixed Rate '!$B$7,0,IF(A75='Input Amortization-Fixed Rate '!$B$7,Q74,IF(AND(A75&gt;='Input Amortization-Fixed Rate '!$B$8,A75&lt;='Input Amortization-Fixed Rate '!$F$8,'Input Amortization-Fixed Rate '!$K$8="No"),0,'Input Amortization-Fixed Rate '!$K$4-I75-N75)))</f>
        <v>0</v>
      </c>
      <c r="P75" s="2077">
        <f t="shared" si="7"/>
        <v>0</v>
      </c>
      <c r="Q75" s="2054">
        <f t="shared" si="2"/>
        <v>0</v>
      </c>
      <c r="R75" s="2054"/>
      <c r="S75" s="2054"/>
      <c r="T75" s="2054"/>
      <c r="U75" s="2054">
        <f t="shared" si="3"/>
        <v>0</v>
      </c>
      <c r="V75" s="2054">
        <f t="shared" si="4"/>
        <v>0</v>
      </c>
      <c r="W75" s="2054">
        <f t="shared" si="0"/>
        <v>0</v>
      </c>
      <c r="X75" s="20"/>
      <c r="Y75" s="20"/>
    </row>
    <row r="76" spans="1:25" customFormat="1" ht="15">
      <c r="A76" s="2065">
        <f t="shared" si="8"/>
        <v>50</v>
      </c>
      <c r="B76" s="2066">
        <f>IF(A76&gt;[11]Input!$B$7,"",DATE(YEAR(B75),MONTH(B75)+1,DAY([11]Input!$B$17)))</f>
        <v>45392</v>
      </c>
      <c r="C76" s="2067">
        <f t="shared" si="5"/>
        <v>31</v>
      </c>
      <c r="D76" s="2067"/>
      <c r="E76" s="2067"/>
      <c r="F76" s="2067"/>
      <c r="G76" s="2068">
        <f>ROUND((IFERROR((((J75*'Input Amortization-Fixed Rate '!$K$12)/360)*C76),0)),2)</f>
        <v>0</v>
      </c>
      <c r="H76" s="2068">
        <f>ROUND((IF(A76='Input Amortization-Fixed Rate '!$B$7,J75,(IF(A76&gt;'Input Amortization-Fixed Rate '!$B$7,0,IF(AND(A76&gt;='Input Amortization-Fixed Rate '!$B$8,A76&lt;='Input Amortization-Fixed Rate '!$F$8,'Input Amortization-Fixed Rate '!$K$8="No"),0,(('Input Amortization-Fixed Rate '!$C$12*('Input Amortization-Fixed Rate '!$K$4-G76-N76)))))))),2)</f>
        <v>0</v>
      </c>
      <c r="I76" s="2069">
        <f t="shared" si="1"/>
        <v>0</v>
      </c>
      <c r="J76" s="2068">
        <f t="shared" si="6"/>
        <v>2.9802322387695313E-8</v>
      </c>
      <c r="K76" s="2068"/>
      <c r="L76" s="2068"/>
      <c r="M76" s="2068"/>
      <c r="N76" s="2070">
        <f>IFERROR((((Q75*'Input Amortization-Fixed Rate '!$K$13)/360)*C76),0)</f>
        <v>0</v>
      </c>
      <c r="O76" s="2070">
        <f>IF(A76&gt;'Input Amortization-Fixed Rate '!$B$7,0,IF(A76='Input Amortization-Fixed Rate '!$B$7,Q75,IF(AND(A76&gt;='Input Amortization-Fixed Rate '!$B$8,A76&lt;='Input Amortization-Fixed Rate '!$F$8,'Input Amortization-Fixed Rate '!$K$8="No"),0,'Input Amortization-Fixed Rate '!$K$4-I76-N76)))</f>
        <v>0</v>
      </c>
      <c r="P76" s="2071">
        <f t="shared" si="7"/>
        <v>0</v>
      </c>
      <c r="Q76" s="2070">
        <f t="shared" si="2"/>
        <v>0</v>
      </c>
      <c r="R76" s="2054"/>
      <c r="S76" s="2054"/>
      <c r="T76" s="2054"/>
      <c r="U76" s="2054">
        <f t="shared" si="3"/>
        <v>0</v>
      </c>
      <c r="V76" s="2054">
        <f t="shared" si="4"/>
        <v>0</v>
      </c>
      <c r="W76" s="2054">
        <f t="shared" si="0"/>
        <v>0</v>
      </c>
      <c r="X76" s="20"/>
      <c r="Y76" s="20"/>
    </row>
    <row r="77" spans="1:25" customFormat="1" ht="15">
      <c r="A77" s="100">
        <f t="shared" si="8"/>
        <v>51</v>
      </c>
      <c r="B77" s="2072">
        <f>IF(A77&gt;[11]Input!$B$7,"",DATE(YEAR(B76),MONTH(B76)+1,DAY([11]Input!$B$17)))</f>
        <v>45422</v>
      </c>
      <c r="C77" s="2073">
        <f t="shared" si="5"/>
        <v>30</v>
      </c>
      <c r="D77" s="2073"/>
      <c r="E77" s="2073"/>
      <c r="F77" s="2073"/>
      <c r="G77" s="2074">
        <f>ROUND((IFERROR((((J76*'Input Amortization-Fixed Rate '!$K$12)/360)*C77),0)),2)</f>
        <v>0</v>
      </c>
      <c r="H77" s="2074">
        <f>ROUND((IF(A77='Input Amortization-Fixed Rate '!$B$7,J76,(IF(A77&gt;'Input Amortization-Fixed Rate '!$B$7,0,IF(AND(A77&gt;='Input Amortization-Fixed Rate '!$B$8,A77&lt;='Input Amortization-Fixed Rate '!$F$8,'Input Amortization-Fixed Rate '!$K$8="No"),0,(('Input Amortization-Fixed Rate '!$C$12*('Input Amortization-Fixed Rate '!$K$4-G77-N77)))))))),2)</f>
        <v>0</v>
      </c>
      <c r="I77" s="2075">
        <f t="shared" si="1"/>
        <v>0</v>
      </c>
      <c r="J77" s="2074">
        <f t="shared" si="6"/>
        <v>2.9802322387695313E-8</v>
      </c>
      <c r="K77" s="2074"/>
      <c r="L77" s="2074"/>
      <c r="M77" s="2074"/>
      <c r="N77" s="2054">
        <f>IFERROR((((Q76*'Input Amortization-Fixed Rate '!$K$13)/360)*C77),0)</f>
        <v>0</v>
      </c>
      <c r="O77" s="2076">
        <f>IF(A77&gt;'Input Amortization-Fixed Rate '!$B$7,0,IF(A77='Input Amortization-Fixed Rate '!$B$7,Q76,IF(AND(A77&gt;='Input Amortization-Fixed Rate '!$B$8,A77&lt;='Input Amortization-Fixed Rate '!$F$8,'Input Amortization-Fixed Rate '!$K$8="No"),0,'Input Amortization-Fixed Rate '!$K$4-I77-N77)))</f>
        <v>0</v>
      </c>
      <c r="P77" s="2077">
        <f t="shared" si="7"/>
        <v>0</v>
      </c>
      <c r="Q77" s="2054">
        <f t="shared" si="2"/>
        <v>0</v>
      </c>
      <c r="R77" s="2054"/>
      <c r="S77" s="2054"/>
      <c r="T77" s="2054"/>
      <c r="U77" s="2054">
        <f t="shared" si="3"/>
        <v>0</v>
      </c>
      <c r="V77" s="2054">
        <f t="shared" si="4"/>
        <v>0</v>
      </c>
      <c r="W77" s="2054">
        <f t="shared" si="0"/>
        <v>0</v>
      </c>
      <c r="X77" s="20"/>
      <c r="Y77" s="20"/>
    </row>
    <row r="78" spans="1:25" customFormat="1" ht="15">
      <c r="A78" s="2065">
        <f t="shared" si="8"/>
        <v>52</v>
      </c>
      <c r="B78" s="2066">
        <f>IF(A78&gt;[11]Input!$B$7,"",DATE(YEAR(B77),MONTH(B77)+1,DAY([11]Input!$B$17)))</f>
        <v>45453</v>
      </c>
      <c r="C78" s="2067">
        <f t="shared" si="5"/>
        <v>31</v>
      </c>
      <c r="D78" s="2067"/>
      <c r="E78" s="2067"/>
      <c r="F78" s="2067"/>
      <c r="G78" s="2068">
        <f>ROUND((IFERROR((((J77*'Input Amortization-Fixed Rate '!$K$12)/360)*C78),0)),2)</f>
        <v>0</v>
      </c>
      <c r="H78" s="2068">
        <f>ROUND((IF(A78='Input Amortization-Fixed Rate '!$B$7,J77,(IF(A78&gt;'Input Amortization-Fixed Rate '!$B$7,0,IF(AND(A78&gt;='Input Amortization-Fixed Rate '!$B$8,A78&lt;='Input Amortization-Fixed Rate '!$F$8,'Input Amortization-Fixed Rate '!$K$8="No"),0,(('Input Amortization-Fixed Rate '!$C$12*('Input Amortization-Fixed Rate '!$K$4-G78-N78)))))))),2)</f>
        <v>0</v>
      </c>
      <c r="I78" s="2069">
        <f t="shared" si="1"/>
        <v>0</v>
      </c>
      <c r="J78" s="2068">
        <f t="shared" si="6"/>
        <v>2.9802322387695313E-8</v>
      </c>
      <c r="K78" s="2068"/>
      <c r="L78" s="2068"/>
      <c r="M78" s="2068"/>
      <c r="N78" s="2070">
        <f>IFERROR((((Q77*'Input Amortization-Fixed Rate '!$K$13)/360)*C78),0)</f>
        <v>0</v>
      </c>
      <c r="O78" s="2070">
        <f>IF(A78&gt;'Input Amortization-Fixed Rate '!$B$7,0,IF(A78='Input Amortization-Fixed Rate '!$B$7,Q77,IF(AND(A78&gt;='Input Amortization-Fixed Rate '!$B$8,A78&lt;='Input Amortization-Fixed Rate '!$F$8,'Input Amortization-Fixed Rate '!$K$8="No"),0,'Input Amortization-Fixed Rate '!$K$4-I78-N78)))</f>
        <v>0</v>
      </c>
      <c r="P78" s="2071">
        <f t="shared" si="7"/>
        <v>0</v>
      </c>
      <c r="Q78" s="2070">
        <f t="shared" si="2"/>
        <v>0</v>
      </c>
      <c r="R78" s="2054"/>
      <c r="S78" s="2054"/>
      <c r="T78" s="2054"/>
      <c r="U78" s="2054">
        <f t="shared" si="3"/>
        <v>0</v>
      </c>
      <c r="V78" s="2054">
        <f t="shared" si="4"/>
        <v>0</v>
      </c>
      <c r="W78" s="2054">
        <f t="shared" si="0"/>
        <v>0</v>
      </c>
      <c r="X78" s="20"/>
      <c r="Y78" s="20"/>
    </row>
    <row r="79" spans="1:25" customFormat="1" ht="15">
      <c r="A79" s="100">
        <f t="shared" si="8"/>
        <v>53</v>
      </c>
      <c r="B79" s="2072">
        <f>IF(A79&gt;[11]Input!$B$7,"",DATE(YEAR(B78),MONTH(B78)+1,DAY([11]Input!$B$17)))</f>
        <v>45483</v>
      </c>
      <c r="C79" s="2073">
        <f t="shared" si="5"/>
        <v>30</v>
      </c>
      <c r="D79" s="2073"/>
      <c r="E79" s="2073"/>
      <c r="F79" s="2073"/>
      <c r="G79" s="2074">
        <f>ROUND((IFERROR((((J78*'Input Amortization-Fixed Rate '!$K$12)/360)*C79),0)),2)</f>
        <v>0</v>
      </c>
      <c r="H79" s="2074">
        <f>ROUND((IF(A79='Input Amortization-Fixed Rate '!$B$7,J78,(IF(A79&gt;'Input Amortization-Fixed Rate '!$B$7,0,IF(AND(A79&gt;='Input Amortization-Fixed Rate '!$B$8,A79&lt;='Input Amortization-Fixed Rate '!$F$8,'Input Amortization-Fixed Rate '!$K$8="No"),0,(('Input Amortization-Fixed Rate '!$C$12*('Input Amortization-Fixed Rate '!$K$4-G79-N79)))))))),2)</f>
        <v>0</v>
      </c>
      <c r="I79" s="2075">
        <f t="shared" si="1"/>
        <v>0</v>
      </c>
      <c r="J79" s="2074">
        <f t="shared" si="6"/>
        <v>2.9802322387695313E-8</v>
      </c>
      <c r="K79" s="2074"/>
      <c r="L79" s="2074"/>
      <c r="M79" s="2074"/>
      <c r="N79" s="2054">
        <f>IFERROR((((Q78*'Input Amortization-Fixed Rate '!$K$13)/360)*C79),0)</f>
        <v>0</v>
      </c>
      <c r="O79" s="2076">
        <f>IF(A79&gt;'Input Amortization-Fixed Rate '!$B$7,0,IF(A79='Input Amortization-Fixed Rate '!$B$7,Q78,IF(AND(A79&gt;='Input Amortization-Fixed Rate '!$B$8,A79&lt;='Input Amortization-Fixed Rate '!$F$8,'Input Amortization-Fixed Rate '!$K$8="No"),0,'Input Amortization-Fixed Rate '!$K$4-I79-N79)))</f>
        <v>0</v>
      </c>
      <c r="P79" s="2077">
        <f t="shared" si="7"/>
        <v>0</v>
      </c>
      <c r="Q79" s="2054">
        <f t="shared" si="2"/>
        <v>0</v>
      </c>
      <c r="R79" s="2054"/>
      <c r="S79" s="2054"/>
      <c r="T79" s="2054"/>
      <c r="U79" s="2054">
        <f t="shared" si="3"/>
        <v>0</v>
      </c>
      <c r="V79" s="2054">
        <f t="shared" si="4"/>
        <v>0</v>
      </c>
      <c r="W79" s="2054">
        <f t="shared" si="0"/>
        <v>0</v>
      </c>
      <c r="X79" s="20"/>
      <c r="Y79" s="20"/>
    </row>
    <row r="80" spans="1:25" customFormat="1" ht="15">
      <c r="A80" s="2065">
        <f t="shared" si="8"/>
        <v>54</v>
      </c>
      <c r="B80" s="2066">
        <f>IF(A80&gt;[11]Input!$B$7,"",DATE(YEAR(B79),MONTH(B79)+1,DAY([11]Input!$B$17)))</f>
        <v>45514</v>
      </c>
      <c r="C80" s="2067">
        <f t="shared" si="5"/>
        <v>31</v>
      </c>
      <c r="D80" s="2067"/>
      <c r="E80" s="2067"/>
      <c r="F80" s="2067"/>
      <c r="G80" s="2068">
        <f>ROUND((IFERROR((((J79*'Input Amortization-Fixed Rate '!$K$12)/360)*C80),0)),2)</f>
        <v>0</v>
      </c>
      <c r="H80" s="2068">
        <f>ROUND((IF(A80='Input Amortization-Fixed Rate '!$B$7,J79,(IF(A80&gt;'Input Amortization-Fixed Rate '!$B$7,0,IF(AND(A80&gt;='Input Amortization-Fixed Rate '!$B$8,A80&lt;='Input Amortization-Fixed Rate '!$F$8,'Input Amortization-Fixed Rate '!$K$8="No"),0,(('Input Amortization-Fixed Rate '!$C$12*('Input Amortization-Fixed Rate '!$K$4-G80-N80)))))))),2)</f>
        <v>0</v>
      </c>
      <c r="I80" s="2069">
        <f t="shared" si="1"/>
        <v>0</v>
      </c>
      <c r="J80" s="2068">
        <f t="shared" si="6"/>
        <v>2.9802322387695313E-8</v>
      </c>
      <c r="K80" s="2068"/>
      <c r="L80" s="2068"/>
      <c r="M80" s="2068"/>
      <c r="N80" s="2070">
        <f>IFERROR((((Q79*'Input Amortization-Fixed Rate '!$K$13)/360)*C80),0)</f>
        <v>0</v>
      </c>
      <c r="O80" s="2070">
        <f>IF(A80&gt;'Input Amortization-Fixed Rate '!$B$7,0,IF(A80='Input Amortization-Fixed Rate '!$B$7,Q79,IF(AND(A80&gt;='Input Amortization-Fixed Rate '!$B$8,A80&lt;='Input Amortization-Fixed Rate '!$F$8,'Input Amortization-Fixed Rate '!$K$8="No"),0,'Input Amortization-Fixed Rate '!$K$4-I80-N80)))</f>
        <v>0</v>
      </c>
      <c r="P80" s="2071">
        <f t="shared" si="7"/>
        <v>0</v>
      </c>
      <c r="Q80" s="2070">
        <f t="shared" si="2"/>
        <v>0</v>
      </c>
      <c r="R80" s="2054"/>
      <c r="S80" s="2054"/>
      <c r="T80" s="2054"/>
      <c r="U80" s="2054">
        <f t="shared" si="3"/>
        <v>0</v>
      </c>
      <c r="V80" s="2054">
        <f t="shared" si="4"/>
        <v>0</v>
      </c>
      <c r="W80" s="2054">
        <f t="shared" si="0"/>
        <v>0</v>
      </c>
      <c r="X80" s="20"/>
      <c r="Y80" s="20"/>
    </row>
    <row r="81" spans="1:25" customFormat="1" ht="15">
      <c r="A81" s="100">
        <f t="shared" si="8"/>
        <v>55</v>
      </c>
      <c r="B81" s="2072">
        <f>IF(A81&gt;[11]Input!$B$7,"",DATE(YEAR(B80),MONTH(B80)+1,DAY([11]Input!$B$17)))</f>
        <v>45545</v>
      </c>
      <c r="C81" s="2073">
        <f t="shared" si="5"/>
        <v>31</v>
      </c>
      <c r="D81" s="2073"/>
      <c r="E81" s="2073"/>
      <c r="F81" s="2073"/>
      <c r="G81" s="2074">
        <f>ROUND((IFERROR((((J80*'Input Amortization-Fixed Rate '!$K$12)/360)*C81),0)),2)</f>
        <v>0</v>
      </c>
      <c r="H81" s="2074">
        <f>ROUND((IF(A81='Input Amortization-Fixed Rate '!$B$7,J80,(IF(A81&gt;'Input Amortization-Fixed Rate '!$B$7,0,IF(AND(A81&gt;='Input Amortization-Fixed Rate '!$B$8,A81&lt;='Input Amortization-Fixed Rate '!$F$8,'Input Amortization-Fixed Rate '!$K$8="No"),0,(('Input Amortization-Fixed Rate '!$C$12*('Input Amortization-Fixed Rate '!$K$4-G81-N81)))))))),2)</f>
        <v>0</v>
      </c>
      <c r="I81" s="2075">
        <f t="shared" si="1"/>
        <v>0</v>
      </c>
      <c r="J81" s="2074">
        <f t="shared" si="6"/>
        <v>2.9802322387695313E-8</v>
      </c>
      <c r="K81" s="2074"/>
      <c r="L81" s="2074"/>
      <c r="M81" s="2074"/>
      <c r="N81" s="2054">
        <f>IFERROR((((Q80*'Input Amortization-Fixed Rate '!$K$13)/360)*C81),0)</f>
        <v>0</v>
      </c>
      <c r="O81" s="2076">
        <f>IF(A81&gt;'Input Amortization-Fixed Rate '!$B$7,0,IF(A81='Input Amortization-Fixed Rate '!$B$7,Q80,IF(AND(A81&gt;='Input Amortization-Fixed Rate '!$B$8,A81&lt;='Input Amortization-Fixed Rate '!$F$8,'Input Amortization-Fixed Rate '!$K$8="No"),0,'Input Amortization-Fixed Rate '!$K$4-I81-N81)))</f>
        <v>0</v>
      </c>
      <c r="P81" s="2077">
        <f t="shared" si="7"/>
        <v>0</v>
      </c>
      <c r="Q81" s="2054">
        <f t="shared" si="2"/>
        <v>0</v>
      </c>
      <c r="R81" s="2054"/>
      <c r="S81" s="2054"/>
      <c r="T81" s="2054"/>
      <c r="U81" s="2054">
        <f t="shared" si="3"/>
        <v>0</v>
      </c>
      <c r="V81" s="2054">
        <f t="shared" si="4"/>
        <v>0</v>
      </c>
      <c r="W81" s="2054">
        <f t="shared" si="0"/>
        <v>0</v>
      </c>
      <c r="X81" s="20"/>
      <c r="Y81" s="20"/>
    </row>
    <row r="82" spans="1:25" customFormat="1" ht="15">
      <c r="A82" s="2065">
        <f t="shared" si="8"/>
        <v>56</v>
      </c>
      <c r="B82" s="2066">
        <f>IF(A82&gt;[11]Input!$B$7,"",DATE(YEAR(B81),MONTH(B81)+1,DAY([11]Input!$B$17)))</f>
        <v>45575</v>
      </c>
      <c r="C82" s="2067">
        <f t="shared" si="5"/>
        <v>30</v>
      </c>
      <c r="D82" s="2067"/>
      <c r="E82" s="2067"/>
      <c r="F82" s="2067"/>
      <c r="G82" s="2068">
        <f>ROUND((IFERROR((((J81*'Input Amortization-Fixed Rate '!$K$12)/360)*C82),0)),2)</f>
        <v>0</v>
      </c>
      <c r="H82" s="2068">
        <f>ROUND((IF(A82='Input Amortization-Fixed Rate '!$B$7,J81,(IF(A82&gt;'Input Amortization-Fixed Rate '!$B$7,0,IF(AND(A82&gt;='Input Amortization-Fixed Rate '!$B$8,A82&lt;='Input Amortization-Fixed Rate '!$F$8,'Input Amortization-Fixed Rate '!$K$8="No"),0,(('Input Amortization-Fixed Rate '!$C$12*('Input Amortization-Fixed Rate '!$K$4-G82-N82)))))))),2)</f>
        <v>0</v>
      </c>
      <c r="I82" s="2069">
        <f t="shared" si="1"/>
        <v>0</v>
      </c>
      <c r="J82" s="2068">
        <f t="shared" si="6"/>
        <v>2.9802322387695313E-8</v>
      </c>
      <c r="K82" s="2068"/>
      <c r="L82" s="2068"/>
      <c r="M82" s="2068"/>
      <c r="N82" s="2070">
        <f>IFERROR((((Q81*'Input Amortization-Fixed Rate '!$K$13)/360)*C82),0)</f>
        <v>0</v>
      </c>
      <c r="O82" s="2070">
        <f>IF(A82&gt;'Input Amortization-Fixed Rate '!$B$7,0,IF(A82='Input Amortization-Fixed Rate '!$B$7,Q81,IF(AND(A82&gt;='Input Amortization-Fixed Rate '!$B$8,A82&lt;='Input Amortization-Fixed Rate '!$F$8,'Input Amortization-Fixed Rate '!$K$8="No"),0,'Input Amortization-Fixed Rate '!$K$4-I82-N82)))</f>
        <v>0</v>
      </c>
      <c r="P82" s="2071">
        <f t="shared" si="7"/>
        <v>0</v>
      </c>
      <c r="Q82" s="2070">
        <f t="shared" si="2"/>
        <v>0</v>
      </c>
      <c r="R82" s="2054"/>
      <c r="S82" s="2054"/>
      <c r="T82" s="2054"/>
      <c r="U82" s="2054">
        <f t="shared" si="3"/>
        <v>0</v>
      </c>
      <c r="V82" s="2054">
        <f t="shared" si="4"/>
        <v>0</v>
      </c>
      <c r="W82" s="2054">
        <f t="shared" si="0"/>
        <v>0</v>
      </c>
      <c r="X82" s="20"/>
      <c r="Y82" s="20"/>
    </row>
    <row r="83" spans="1:25" customFormat="1" ht="15">
      <c r="A83" s="100">
        <f t="shared" si="8"/>
        <v>57</v>
      </c>
      <c r="B83" s="2072">
        <f>IF(A83&gt;[11]Input!$B$7,"",DATE(YEAR(B82),MONTH(B82)+1,DAY([11]Input!$B$17)))</f>
        <v>45606</v>
      </c>
      <c r="C83" s="2073">
        <f t="shared" si="5"/>
        <v>31</v>
      </c>
      <c r="D83" s="2073"/>
      <c r="E83" s="2073"/>
      <c r="F83" s="2073"/>
      <c r="G83" s="2074">
        <f>ROUND((IFERROR((((J82*'Input Amortization-Fixed Rate '!$K$12)/360)*C83),0)),2)</f>
        <v>0</v>
      </c>
      <c r="H83" s="2074">
        <f>ROUND((IF(A83='Input Amortization-Fixed Rate '!$B$7,J82,(IF(A83&gt;'Input Amortization-Fixed Rate '!$B$7,0,IF(AND(A83&gt;='Input Amortization-Fixed Rate '!$B$8,A83&lt;='Input Amortization-Fixed Rate '!$F$8,'Input Amortization-Fixed Rate '!$K$8="No"),0,(('Input Amortization-Fixed Rate '!$C$12*('Input Amortization-Fixed Rate '!$K$4-G83-N83)))))))),2)</f>
        <v>0</v>
      </c>
      <c r="I83" s="2075">
        <f t="shared" si="1"/>
        <v>0</v>
      </c>
      <c r="J83" s="2074">
        <f t="shared" si="6"/>
        <v>2.9802322387695313E-8</v>
      </c>
      <c r="K83" s="2074"/>
      <c r="L83" s="2074"/>
      <c r="M83" s="2074"/>
      <c r="N83" s="2054">
        <f>IFERROR((((Q82*'Input Amortization-Fixed Rate '!$K$13)/360)*C83),0)</f>
        <v>0</v>
      </c>
      <c r="O83" s="2076">
        <f>IF(A83&gt;'Input Amortization-Fixed Rate '!$B$7,0,IF(A83='Input Amortization-Fixed Rate '!$B$7,Q82,IF(AND(A83&gt;='Input Amortization-Fixed Rate '!$B$8,A83&lt;='Input Amortization-Fixed Rate '!$F$8,'Input Amortization-Fixed Rate '!$K$8="No"),0,'Input Amortization-Fixed Rate '!$K$4-I83-N83)))</f>
        <v>0</v>
      </c>
      <c r="P83" s="2077">
        <f t="shared" si="7"/>
        <v>0</v>
      </c>
      <c r="Q83" s="2054">
        <f t="shared" si="2"/>
        <v>0</v>
      </c>
      <c r="R83" s="2054"/>
      <c r="S83" s="2054"/>
      <c r="T83" s="2054"/>
      <c r="U83" s="2054">
        <f t="shared" si="3"/>
        <v>0</v>
      </c>
      <c r="V83" s="2054">
        <f t="shared" si="4"/>
        <v>0</v>
      </c>
      <c r="W83" s="2054">
        <f t="shared" si="0"/>
        <v>0</v>
      </c>
      <c r="X83" s="20"/>
      <c r="Y83" s="20"/>
    </row>
    <row r="84" spans="1:25" customFormat="1" ht="15">
      <c r="A84" s="2065">
        <f t="shared" si="8"/>
        <v>58</v>
      </c>
      <c r="B84" s="2066">
        <f>IF(A84&gt;[11]Input!$B$7,"",DATE(YEAR(B83),MONTH(B83)+1,DAY([11]Input!$B$17)))</f>
        <v>45636</v>
      </c>
      <c r="C84" s="2067">
        <f t="shared" si="5"/>
        <v>30</v>
      </c>
      <c r="D84" s="2067"/>
      <c r="E84" s="2067"/>
      <c r="F84" s="2067"/>
      <c r="G84" s="2068">
        <f>ROUND((IFERROR((((J83*'Input Amortization-Fixed Rate '!$K$12)/360)*C84),0)),2)</f>
        <v>0</v>
      </c>
      <c r="H84" s="2068">
        <f>ROUND((IF(A84='Input Amortization-Fixed Rate '!$B$7,J83,(IF(A84&gt;'Input Amortization-Fixed Rate '!$B$7,0,IF(AND(A84&gt;='Input Amortization-Fixed Rate '!$B$8,A84&lt;='Input Amortization-Fixed Rate '!$F$8,'Input Amortization-Fixed Rate '!$K$8="No"),0,(('Input Amortization-Fixed Rate '!$C$12*('Input Amortization-Fixed Rate '!$K$4-G84-N84)))))))),2)</f>
        <v>0</v>
      </c>
      <c r="I84" s="2069">
        <f t="shared" si="1"/>
        <v>0</v>
      </c>
      <c r="J84" s="2068">
        <f t="shared" si="6"/>
        <v>2.9802322387695313E-8</v>
      </c>
      <c r="K84" s="2068"/>
      <c r="L84" s="2068"/>
      <c r="M84" s="2068"/>
      <c r="N84" s="2070">
        <f>IFERROR((((Q83*'Input Amortization-Fixed Rate '!$K$13)/360)*C84),0)</f>
        <v>0</v>
      </c>
      <c r="O84" s="2070">
        <f>IF(A84&gt;'Input Amortization-Fixed Rate '!$B$7,0,IF(A84='Input Amortization-Fixed Rate '!$B$7,Q83,IF(AND(A84&gt;='Input Amortization-Fixed Rate '!$B$8,A84&lt;='Input Amortization-Fixed Rate '!$F$8,'Input Amortization-Fixed Rate '!$K$8="No"),0,'Input Amortization-Fixed Rate '!$K$4-I84-N84)))</f>
        <v>0</v>
      </c>
      <c r="P84" s="2071">
        <f t="shared" si="7"/>
        <v>0</v>
      </c>
      <c r="Q84" s="2070">
        <f t="shared" si="2"/>
        <v>0</v>
      </c>
      <c r="R84" s="2054"/>
      <c r="S84" s="2054"/>
      <c r="T84" s="2054"/>
      <c r="U84" s="2054">
        <f t="shared" si="3"/>
        <v>0</v>
      </c>
      <c r="V84" s="2054">
        <f t="shared" si="4"/>
        <v>0</v>
      </c>
      <c r="W84" s="2054">
        <f t="shared" si="0"/>
        <v>0</v>
      </c>
      <c r="X84" s="20"/>
      <c r="Y84" s="20"/>
    </row>
    <row r="85" spans="1:25" customFormat="1" ht="15">
      <c r="A85" s="100">
        <f t="shared" si="8"/>
        <v>59</v>
      </c>
      <c r="B85" s="2072">
        <f>IF(A85&gt;[11]Input!$B$7,"",DATE(YEAR(B84),MONTH(B84)+1,DAY([11]Input!$B$17)))</f>
        <v>45667</v>
      </c>
      <c r="C85" s="2073">
        <f t="shared" si="5"/>
        <v>31</v>
      </c>
      <c r="D85" s="2073"/>
      <c r="E85" s="2073"/>
      <c r="F85" s="2073"/>
      <c r="G85" s="2074">
        <f>ROUND((IFERROR((((J84*'Input Amortization-Fixed Rate '!$K$12)/360)*C85),0)),2)</f>
        <v>0</v>
      </c>
      <c r="H85" s="2074">
        <f>ROUND((IF(A85='Input Amortization-Fixed Rate '!$B$7,J84,(IF(A85&gt;'Input Amortization-Fixed Rate '!$B$7,0,IF(AND(A85&gt;='Input Amortization-Fixed Rate '!$B$8,A85&lt;='Input Amortization-Fixed Rate '!$F$8,'Input Amortization-Fixed Rate '!$K$8="No"),0,(('Input Amortization-Fixed Rate '!$C$12*('Input Amortization-Fixed Rate '!$K$4-G85-N85)))))))),2)</f>
        <v>0</v>
      </c>
      <c r="I85" s="2075">
        <f t="shared" si="1"/>
        <v>0</v>
      </c>
      <c r="J85" s="2074">
        <f t="shared" si="6"/>
        <v>2.9802322387695313E-8</v>
      </c>
      <c r="K85" s="2074"/>
      <c r="L85" s="2074"/>
      <c r="M85" s="2074"/>
      <c r="N85" s="2054">
        <f>IFERROR((((Q84*'Input Amortization-Fixed Rate '!$K$13)/360)*C85),0)</f>
        <v>0</v>
      </c>
      <c r="O85" s="2076">
        <f>IF(A85&gt;'Input Amortization-Fixed Rate '!$B$7,0,IF(A85='Input Amortization-Fixed Rate '!$B$7,Q84,IF(AND(A85&gt;='Input Amortization-Fixed Rate '!$B$8,A85&lt;='Input Amortization-Fixed Rate '!$F$8,'Input Amortization-Fixed Rate '!$K$8="No"),0,'Input Amortization-Fixed Rate '!$K$4-I85-N85)))</f>
        <v>0</v>
      </c>
      <c r="P85" s="2077">
        <f t="shared" si="7"/>
        <v>0</v>
      </c>
      <c r="Q85" s="2054">
        <f t="shared" si="2"/>
        <v>0</v>
      </c>
      <c r="R85" s="2054"/>
      <c r="S85" s="2054"/>
      <c r="T85" s="2054"/>
      <c r="U85" s="2054">
        <f t="shared" si="3"/>
        <v>0</v>
      </c>
      <c r="V85" s="2054">
        <f t="shared" si="4"/>
        <v>0</v>
      </c>
      <c r="W85" s="2054">
        <f t="shared" si="0"/>
        <v>0</v>
      </c>
      <c r="X85" s="20"/>
      <c r="Y85" s="20"/>
    </row>
    <row r="86" spans="1:25" customFormat="1" ht="15">
      <c r="A86" s="2065">
        <f t="shared" si="8"/>
        <v>60</v>
      </c>
      <c r="B86" s="2066">
        <f>IF(A86&gt;[11]Input!$B$7,"",DATE(YEAR(B85),MONTH(B85)+1,DAY([11]Input!$B$17)))</f>
        <v>45698</v>
      </c>
      <c r="C86" s="2067">
        <f t="shared" si="5"/>
        <v>31</v>
      </c>
      <c r="D86" s="2067"/>
      <c r="E86" s="2067"/>
      <c r="F86" s="2067"/>
      <c r="G86" s="2068">
        <f>ROUND((IFERROR((((J85*'Input Amortization-Fixed Rate '!$K$12)/360)*C86),0)),2)</f>
        <v>0</v>
      </c>
      <c r="H86" s="2068">
        <f>ROUND((IF(A86='Input Amortization-Fixed Rate '!$B$7,J85,(IF(A86&gt;'Input Amortization-Fixed Rate '!$B$7,0,IF(AND(A86&gt;='Input Amortization-Fixed Rate '!$B$8,A86&lt;='Input Amortization-Fixed Rate '!$F$8,'Input Amortization-Fixed Rate '!$K$8="No"),0,(('Input Amortization-Fixed Rate '!$C$12*('Input Amortization-Fixed Rate '!$K$4-G86-N86)))))))),2)</f>
        <v>0</v>
      </c>
      <c r="I86" s="2069">
        <f t="shared" si="1"/>
        <v>0</v>
      </c>
      <c r="J86" s="2068">
        <f t="shared" si="6"/>
        <v>2.9802322387695313E-8</v>
      </c>
      <c r="K86" s="2068"/>
      <c r="L86" s="2068"/>
      <c r="M86" s="2068"/>
      <c r="N86" s="2070">
        <f>IFERROR((((Q85*'Input Amortization-Fixed Rate '!$K$13)/360)*C86),0)</f>
        <v>0</v>
      </c>
      <c r="O86" s="2070">
        <f>IF(A86&gt;'Input Amortization-Fixed Rate '!$B$7,0,IF(A86='Input Amortization-Fixed Rate '!$B$7,Q85,IF(AND(A86&gt;='Input Amortization-Fixed Rate '!$B$8,A86&lt;='Input Amortization-Fixed Rate '!$F$8,'Input Amortization-Fixed Rate '!$K$8="No"),0,'Input Amortization-Fixed Rate '!$K$4-I86-N86)))</f>
        <v>0</v>
      </c>
      <c r="P86" s="2071">
        <f t="shared" si="7"/>
        <v>0</v>
      </c>
      <c r="Q86" s="2070">
        <f t="shared" si="2"/>
        <v>0</v>
      </c>
      <c r="R86" s="2054"/>
      <c r="S86" s="2054"/>
      <c r="T86" s="2054"/>
      <c r="U86" s="2054">
        <f t="shared" si="3"/>
        <v>0</v>
      </c>
      <c r="V86" s="2054">
        <f t="shared" si="4"/>
        <v>0</v>
      </c>
      <c r="W86" s="2054">
        <f t="shared" si="0"/>
        <v>0</v>
      </c>
      <c r="X86" s="20"/>
      <c r="Y86" s="20"/>
    </row>
    <row r="87" spans="1:25" customFormat="1" ht="15">
      <c r="A87" s="100">
        <f t="shared" si="8"/>
        <v>61</v>
      </c>
      <c r="B87" s="2072">
        <f>IF(A87&gt;[11]Input!$B$7,"",DATE(YEAR(B86),MONTH(B86)+1,DAY([11]Input!$B$17)))</f>
        <v>45726</v>
      </c>
      <c r="C87" s="2073">
        <f t="shared" si="5"/>
        <v>28</v>
      </c>
      <c r="D87" s="2073"/>
      <c r="E87" s="2073"/>
      <c r="F87" s="2073"/>
      <c r="G87" s="2074">
        <f>ROUND((IFERROR((((J86*'Input Amortization-Fixed Rate '!$K$12)/360)*C87),0)),2)</f>
        <v>0</v>
      </c>
      <c r="H87" s="2074">
        <f>ROUND((IF(A87='Input Amortization-Fixed Rate '!$B$7,J86,(IF(A87&gt;'Input Amortization-Fixed Rate '!$B$7,0,IF(AND(A87&gt;='Input Amortization-Fixed Rate '!$B$8,A87&lt;='Input Amortization-Fixed Rate '!$F$8,'Input Amortization-Fixed Rate '!$K$8="No"),0,(('Input Amortization-Fixed Rate '!$C$12*('Input Amortization-Fixed Rate '!$K$4-G87-N87)))))))),2)</f>
        <v>0</v>
      </c>
      <c r="I87" s="2075">
        <f t="shared" si="1"/>
        <v>0</v>
      </c>
      <c r="J87" s="2074">
        <f t="shared" si="6"/>
        <v>2.9802322387695313E-8</v>
      </c>
      <c r="K87" s="2074"/>
      <c r="L87" s="2074"/>
      <c r="M87" s="2074"/>
      <c r="N87" s="2054">
        <f>IFERROR((((Q86*'Input Amortization-Fixed Rate '!$K$13)/360)*C87),0)</f>
        <v>0</v>
      </c>
      <c r="O87" s="2076">
        <f>IF(A87&gt;'Input Amortization-Fixed Rate '!$B$7,0,IF(A87='Input Amortization-Fixed Rate '!$B$7,Q86,IF(AND(A87&gt;='Input Amortization-Fixed Rate '!$B$8,A87&lt;='Input Amortization-Fixed Rate '!$F$8,'Input Amortization-Fixed Rate '!$K$8="No"),0,'Input Amortization-Fixed Rate '!$K$4-I87-N87)))</f>
        <v>0</v>
      </c>
      <c r="P87" s="2077">
        <f t="shared" si="7"/>
        <v>0</v>
      </c>
      <c r="Q87" s="2054">
        <f t="shared" si="2"/>
        <v>0</v>
      </c>
      <c r="R87" s="2054"/>
      <c r="S87" s="2054"/>
      <c r="T87" s="2054"/>
      <c r="U87" s="2054">
        <f t="shared" si="3"/>
        <v>0</v>
      </c>
      <c r="V87" s="2054">
        <f t="shared" si="4"/>
        <v>0</v>
      </c>
      <c r="W87" s="2054">
        <f t="shared" si="0"/>
        <v>0</v>
      </c>
      <c r="X87" s="20"/>
      <c r="Y87" s="20"/>
    </row>
    <row r="88" spans="1:25" customFormat="1" ht="15">
      <c r="A88" s="2065">
        <f t="shared" si="8"/>
        <v>62</v>
      </c>
      <c r="B88" s="2066">
        <f>IF(A88&gt;[11]Input!$B$7,"",DATE(YEAR(B87),MONTH(B87)+1,DAY([11]Input!$B$17)))</f>
        <v>45757</v>
      </c>
      <c r="C88" s="2067">
        <f t="shared" si="5"/>
        <v>31</v>
      </c>
      <c r="D88" s="2067"/>
      <c r="E88" s="2067"/>
      <c r="F88" s="2067"/>
      <c r="G88" s="2068">
        <f>ROUND((IFERROR((((J87*'Input Amortization-Fixed Rate '!$K$12)/360)*C88),0)),2)</f>
        <v>0</v>
      </c>
      <c r="H88" s="2068">
        <f>ROUND((IF(A88='Input Amortization-Fixed Rate '!$B$7,J87,(IF(A88&gt;'Input Amortization-Fixed Rate '!$B$7,0,IF(AND(A88&gt;='Input Amortization-Fixed Rate '!$B$8,A88&lt;='Input Amortization-Fixed Rate '!$F$8,'Input Amortization-Fixed Rate '!$K$8="No"),0,(('Input Amortization-Fixed Rate '!$C$12*('Input Amortization-Fixed Rate '!$K$4-G88-N88)))))))),2)</f>
        <v>0</v>
      </c>
      <c r="I88" s="2069">
        <f t="shared" si="1"/>
        <v>0</v>
      </c>
      <c r="J88" s="2068">
        <f t="shared" si="6"/>
        <v>2.9802322387695313E-8</v>
      </c>
      <c r="K88" s="2068"/>
      <c r="L88" s="2068"/>
      <c r="M88" s="2068"/>
      <c r="N88" s="2070">
        <f>IFERROR((((Q87*'Input Amortization-Fixed Rate '!$K$13)/360)*C88),0)</f>
        <v>0</v>
      </c>
      <c r="O88" s="2070">
        <f>IF(A88&gt;'Input Amortization-Fixed Rate '!$B$7,0,IF(A88='Input Amortization-Fixed Rate '!$B$7,Q87,IF(AND(A88&gt;='Input Amortization-Fixed Rate '!$B$8,A88&lt;='Input Amortization-Fixed Rate '!$F$8,'Input Amortization-Fixed Rate '!$K$8="No"),0,'Input Amortization-Fixed Rate '!$K$4-I88-N88)))</f>
        <v>0</v>
      </c>
      <c r="P88" s="2071">
        <f t="shared" si="7"/>
        <v>0</v>
      </c>
      <c r="Q88" s="2070">
        <f t="shared" si="2"/>
        <v>0</v>
      </c>
      <c r="R88" s="2054"/>
      <c r="S88" s="2054"/>
      <c r="T88" s="2054"/>
      <c r="U88" s="2054">
        <f t="shared" si="3"/>
        <v>0</v>
      </c>
      <c r="V88" s="2054">
        <f t="shared" si="4"/>
        <v>0</v>
      </c>
      <c r="W88" s="2054">
        <f t="shared" si="0"/>
        <v>0</v>
      </c>
      <c r="X88" s="20"/>
      <c r="Y88" s="20"/>
    </row>
    <row r="89" spans="1:25" customFormat="1" ht="15">
      <c r="A89" s="100">
        <f t="shared" si="8"/>
        <v>63</v>
      </c>
      <c r="B89" s="2072">
        <f>IF(A89&gt;[11]Input!$B$7,"",DATE(YEAR(B88),MONTH(B88)+1,DAY([11]Input!$B$17)))</f>
        <v>45787</v>
      </c>
      <c r="C89" s="2073">
        <f t="shared" si="5"/>
        <v>30</v>
      </c>
      <c r="D89" s="2073"/>
      <c r="E89" s="2073"/>
      <c r="F89" s="2073"/>
      <c r="G89" s="2074">
        <f>ROUND((IFERROR((((J88*'Input Amortization-Fixed Rate '!$K$12)/360)*C89),0)),2)</f>
        <v>0</v>
      </c>
      <c r="H89" s="2074">
        <f>ROUND((IF(A89='Input Amortization-Fixed Rate '!$B$7,J88,(IF(A89&gt;'Input Amortization-Fixed Rate '!$B$7,0,IF(AND(A89&gt;='Input Amortization-Fixed Rate '!$B$8,A89&lt;='Input Amortization-Fixed Rate '!$F$8,'Input Amortization-Fixed Rate '!$K$8="No"),0,(('Input Amortization-Fixed Rate '!$C$12*('Input Amortization-Fixed Rate '!$K$4-G89-N89)))))))),2)</f>
        <v>0</v>
      </c>
      <c r="I89" s="2075">
        <f t="shared" si="1"/>
        <v>0</v>
      </c>
      <c r="J89" s="2074">
        <f t="shared" si="6"/>
        <v>2.9802322387695313E-8</v>
      </c>
      <c r="K89" s="2074"/>
      <c r="L89" s="2074"/>
      <c r="M89" s="2074"/>
      <c r="N89" s="2054">
        <f>IFERROR((((Q88*'Input Amortization-Fixed Rate '!$K$13)/360)*C89),0)</f>
        <v>0</v>
      </c>
      <c r="O89" s="2076">
        <f>IF(A89&gt;'Input Amortization-Fixed Rate '!$B$7,0,IF(A89='Input Amortization-Fixed Rate '!$B$7,Q88,IF(AND(A89&gt;='Input Amortization-Fixed Rate '!$B$8,A89&lt;='Input Amortization-Fixed Rate '!$F$8,'Input Amortization-Fixed Rate '!$K$8="No"),0,'Input Amortization-Fixed Rate '!$K$4-I89-N89)))</f>
        <v>0</v>
      </c>
      <c r="P89" s="2077">
        <f t="shared" si="7"/>
        <v>0</v>
      </c>
      <c r="Q89" s="2054">
        <f t="shared" si="2"/>
        <v>0</v>
      </c>
      <c r="R89" s="2054"/>
      <c r="S89" s="2054"/>
      <c r="T89" s="2054"/>
      <c r="U89" s="2054">
        <f t="shared" si="3"/>
        <v>0</v>
      </c>
      <c r="V89" s="2054">
        <f t="shared" si="4"/>
        <v>0</v>
      </c>
      <c r="W89" s="2054">
        <f t="shared" si="0"/>
        <v>0</v>
      </c>
      <c r="X89" s="20"/>
      <c r="Y89" s="20"/>
    </row>
    <row r="90" spans="1:25" customFormat="1" ht="15">
      <c r="A90" s="2065">
        <f t="shared" si="8"/>
        <v>64</v>
      </c>
      <c r="B90" s="2066">
        <f>IF(A90&gt;[11]Input!$B$7,"",DATE(YEAR(B89),MONTH(B89)+1,DAY([11]Input!$B$17)))</f>
        <v>45818</v>
      </c>
      <c r="C90" s="2067">
        <f t="shared" si="5"/>
        <v>31</v>
      </c>
      <c r="D90" s="2067"/>
      <c r="E90" s="2067"/>
      <c r="F90" s="2067"/>
      <c r="G90" s="2068">
        <f>ROUND((IFERROR((((J89*'Input Amortization-Fixed Rate '!$K$12)/360)*C90),0)),2)</f>
        <v>0</v>
      </c>
      <c r="H90" s="2068">
        <f>ROUND((IF(A90='Input Amortization-Fixed Rate '!$B$7,J89,(IF(A90&gt;'Input Amortization-Fixed Rate '!$B$7,0,IF(AND(A90&gt;='Input Amortization-Fixed Rate '!$B$8,A90&lt;='Input Amortization-Fixed Rate '!$F$8,'Input Amortization-Fixed Rate '!$K$8="No"),0,(('Input Amortization-Fixed Rate '!$C$12*('Input Amortization-Fixed Rate '!$K$4-G90-N90)))))))),2)</f>
        <v>0</v>
      </c>
      <c r="I90" s="2069">
        <f t="shared" si="1"/>
        <v>0</v>
      </c>
      <c r="J90" s="2068">
        <f t="shared" si="6"/>
        <v>2.9802322387695313E-8</v>
      </c>
      <c r="K90" s="2068"/>
      <c r="L90" s="2068"/>
      <c r="M90" s="2068"/>
      <c r="N90" s="2070">
        <f>IFERROR((((Q89*'Input Amortization-Fixed Rate '!$K$13)/360)*C90),0)</f>
        <v>0</v>
      </c>
      <c r="O90" s="2070">
        <f>IF(A90&gt;'Input Amortization-Fixed Rate '!$B$7,0,IF(A90='Input Amortization-Fixed Rate '!$B$7,Q89,IF(AND(A90&gt;='Input Amortization-Fixed Rate '!$B$8,A90&lt;='Input Amortization-Fixed Rate '!$F$8,'Input Amortization-Fixed Rate '!$K$8="No"),0,'Input Amortization-Fixed Rate '!$K$4-I90-N90)))</f>
        <v>0</v>
      </c>
      <c r="P90" s="2071">
        <f t="shared" si="7"/>
        <v>0</v>
      </c>
      <c r="Q90" s="2070">
        <f t="shared" si="2"/>
        <v>0</v>
      </c>
      <c r="R90" s="2054"/>
      <c r="S90" s="2054"/>
      <c r="T90" s="2054"/>
      <c r="U90" s="2054">
        <f t="shared" si="3"/>
        <v>0</v>
      </c>
      <c r="V90" s="2054">
        <f t="shared" si="4"/>
        <v>0</v>
      </c>
      <c r="W90" s="2054">
        <f t="shared" ref="W90:W152" si="9">IF(B90="","",U90+V90)</f>
        <v>0</v>
      </c>
      <c r="X90" s="20"/>
      <c r="Y90" s="20"/>
    </row>
    <row r="91" spans="1:25" customFormat="1" ht="15">
      <c r="A91" s="100">
        <f t="shared" si="8"/>
        <v>65</v>
      </c>
      <c r="B91" s="2072">
        <f>IF(A91&gt;[11]Input!$B$7,"",DATE(YEAR(B90),MONTH(B90)+1,DAY([11]Input!$B$17)))</f>
        <v>45848</v>
      </c>
      <c r="C91" s="2073">
        <f t="shared" si="5"/>
        <v>30</v>
      </c>
      <c r="D91" s="2073"/>
      <c r="E91" s="2073"/>
      <c r="F91" s="2073"/>
      <c r="G91" s="2074">
        <f>ROUND((IFERROR((((J90*'Input Amortization-Fixed Rate '!$K$12)/360)*C91),0)),2)</f>
        <v>0</v>
      </c>
      <c r="H91" s="2074">
        <f>ROUND((IF(A91='Input Amortization-Fixed Rate '!$B$7,J90,(IF(A91&gt;'Input Amortization-Fixed Rate '!$B$7,0,IF(AND(A91&gt;='Input Amortization-Fixed Rate '!$B$8,A91&lt;='Input Amortization-Fixed Rate '!$F$8,'Input Amortization-Fixed Rate '!$K$8="No"),0,(('Input Amortization-Fixed Rate '!$C$12*('Input Amortization-Fixed Rate '!$K$4-G91-N91)))))))),2)</f>
        <v>0</v>
      </c>
      <c r="I91" s="2075">
        <f t="shared" ref="I91:I152" si="10">G91+H91</f>
        <v>0</v>
      </c>
      <c r="J91" s="2074">
        <f t="shared" si="6"/>
        <v>2.9802322387695313E-8</v>
      </c>
      <c r="K91" s="2074"/>
      <c r="L91" s="2074"/>
      <c r="M91" s="2074"/>
      <c r="N91" s="2054">
        <f>IFERROR((((Q90*'Input Amortization-Fixed Rate '!$K$13)/360)*C91),0)</f>
        <v>0</v>
      </c>
      <c r="O91" s="2076">
        <f>IF(A91&gt;'Input Amortization-Fixed Rate '!$B$7,0,IF(A91='Input Amortization-Fixed Rate '!$B$7,Q90,IF(AND(A91&gt;='Input Amortization-Fixed Rate '!$B$8,A91&lt;='Input Amortization-Fixed Rate '!$F$8,'Input Amortization-Fixed Rate '!$K$8="No"),0,'Input Amortization-Fixed Rate '!$K$4-I91-N91)))</f>
        <v>0</v>
      </c>
      <c r="P91" s="2077">
        <f t="shared" si="7"/>
        <v>0</v>
      </c>
      <c r="Q91" s="2054">
        <f t="shared" ref="Q91:Q146" si="11">IF(B91="","",Q90-O91)</f>
        <v>0</v>
      </c>
      <c r="R91" s="2054"/>
      <c r="S91" s="2054"/>
      <c r="T91" s="2054"/>
      <c r="U91" s="2054">
        <f t="shared" ref="U91:U152" si="12">IF(B91="","",I91)</f>
        <v>0</v>
      </c>
      <c r="V91" s="2054">
        <f t="shared" ref="V91:V152" si="13">IF(B91="","",P91)</f>
        <v>0</v>
      </c>
      <c r="W91" s="2054">
        <f t="shared" si="9"/>
        <v>0</v>
      </c>
      <c r="X91" s="20"/>
      <c r="Y91" s="20"/>
    </row>
    <row r="92" spans="1:25" customFormat="1" ht="15">
      <c r="A92" s="2065">
        <f t="shared" si="8"/>
        <v>66</v>
      </c>
      <c r="B92" s="2066">
        <f>IF(A92&gt;[11]Input!$B$7,"",DATE(YEAR(B91),MONTH(B91)+1,DAY([11]Input!$B$17)))</f>
        <v>45879</v>
      </c>
      <c r="C92" s="2067">
        <f t="shared" ref="C92:C152" si="14">IF(B92="","",B92-B91)</f>
        <v>31</v>
      </c>
      <c r="D92" s="2067"/>
      <c r="E92" s="2067"/>
      <c r="F92" s="2067"/>
      <c r="G92" s="2068">
        <f>ROUND((IFERROR((((J91*'Input Amortization-Fixed Rate '!$K$12)/360)*C92),0)),2)</f>
        <v>0</v>
      </c>
      <c r="H92" s="2068">
        <f>ROUND((IF(A92='Input Amortization-Fixed Rate '!$B$7,J91,(IF(A92&gt;'Input Amortization-Fixed Rate '!$B$7,0,IF(AND(A92&gt;='Input Amortization-Fixed Rate '!$B$8,A92&lt;='Input Amortization-Fixed Rate '!$F$8,'Input Amortization-Fixed Rate '!$K$8="No"),0,(('Input Amortization-Fixed Rate '!$C$12*('Input Amortization-Fixed Rate '!$K$4-G92-N92)))))))),2)</f>
        <v>0</v>
      </c>
      <c r="I92" s="2069">
        <f t="shared" si="10"/>
        <v>0</v>
      </c>
      <c r="J92" s="2068">
        <f t="shared" ref="J92:J152" si="15">IF(B92="","",J91-H92)</f>
        <v>2.9802322387695313E-8</v>
      </c>
      <c r="K92" s="2068"/>
      <c r="L92" s="2068"/>
      <c r="M92" s="2068"/>
      <c r="N92" s="2070">
        <f>IFERROR((((Q91*'Input Amortization-Fixed Rate '!$K$13)/360)*C92),0)</f>
        <v>0</v>
      </c>
      <c r="O92" s="2070">
        <f>IF(A92&gt;'Input Amortization-Fixed Rate '!$B$7,0,IF(A92='Input Amortization-Fixed Rate '!$B$7,Q91,IF(AND(A92&gt;='Input Amortization-Fixed Rate '!$B$8,A92&lt;='Input Amortization-Fixed Rate '!$F$8,'Input Amortization-Fixed Rate '!$K$8="No"),0,'Input Amortization-Fixed Rate '!$K$4-I92-N92)))</f>
        <v>0</v>
      </c>
      <c r="P92" s="2071">
        <f t="shared" ref="P92:P152" si="16">N92+O92</f>
        <v>0</v>
      </c>
      <c r="Q92" s="2070">
        <f t="shared" si="11"/>
        <v>0</v>
      </c>
      <c r="R92" s="2054"/>
      <c r="S92" s="2054"/>
      <c r="T92" s="2054"/>
      <c r="U92" s="2054">
        <f t="shared" si="12"/>
        <v>0</v>
      </c>
      <c r="V92" s="2054">
        <f t="shared" si="13"/>
        <v>0</v>
      </c>
      <c r="W92" s="2054">
        <f t="shared" si="9"/>
        <v>0</v>
      </c>
      <c r="X92" s="20"/>
      <c r="Y92" s="20"/>
    </row>
    <row r="93" spans="1:25" customFormat="1" ht="15">
      <c r="A93" s="100">
        <f t="shared" ref="A93:A146" si="17">A92+1</f>
        <v>67</v>
      </c>
      <c r="B93" s="2072">
        <f>IF(A93&gt;[11]Input!$B$7,"",DATE(YEAR(B92),MONTH(B92)+1,DAY([11]Input!$B$17)))</f>
        <v>45910</v>
      </c>
      <c r="C93" s="2073">
        <f t="shared" si="14"/>
        <v>31</v>
      </c>
      <c r="D93" s="2073"/>
      <c r="E93" s="2073"/>
      <c r="F93" s="2073"/>
      <c r="G93" s="2074">
        <f>ROUND((IFERROR((((J92*'Input Amortization-Fixed Rate '!$K$12)/360)*C93),0)),2)</f>
        <v>0</v>
      </c>
      <c r="H93" s="2074">
        <f>ROUND((IF(A93='Input Amortization-Fixed Rate '!$B$7,J92,(IF(A93&gt;'Input Amortization-Fixed Rate '!$B$7,0,IF(AND(A93&gt;='Input Amortization-Fixed Rate '!$B$8,A93&lt;='Input Amortization-Fixed Rate '!$F$8,'Input Amortization-Fixed Rate '!$K$8="No"),0,(('Input Amortization-Fixed Rate '!$C$12*('Input Amortization-Fixed Rate '!$K$4-G93-N93)))))))),2)</f>
        <v>0</v>
      </c>
      <c r="I93" s="2075">
        <f t="shared" si="10"/>
        <v>0</v>
      </c>
      <c r="J93" s="2074">
        <f t="shared" si="15"/>
        <v>2.9802322387695313E-8</v>
      </c>
      <c r="K93" s="2074"/>
      <c r="L93" s="2074"/>
      <c r="M93" s="2074"/>
      <c r="N93" s="2054">
        <f>IFERROR((((Q92*'Input Amortization-Fixed Rate '!$K$13)/360)*C93),0)</f>
        <v>0</v>
      </c>
      <c r="O93" s="2076">
        <f>IF(A93&gt;'Input Amortization-Fixed Rate '!$B$7,0,IF(A93='Input Amortization-Fixed Rate '!$B$7,Q92,IF(AND(A93&gt;='Input Amortization-Fixed Rate '!$B$8,A93&lt;='Input Amortization-Fixed Rate '!$F$8,'Input Amortization-Fixed Rate '!$K$8="No"),0,'Input Amortization-Fixed Rate '!$K$4-I93-N93)))</f>
        <v>0</v>
      </c>
      <c r="P93" s="2077">
        <f t="shared" si="16"/>
        <v>0</v>
      </c>
      <c r="Q93" s="2054">
        <f t="shared" si="11"/>
        <v>0</v>
      </c>
      <c r="R93" s="2054"/>
      <c r="S93" s="2054"/>
      <c r="T93" s="2054"/>
      <c r="U93" s="2054">
        <f t="shared" si="12"/>
        <v>0</v>
      </c>
      <c r="V93" s="2054">
        <f t="shared" si="13"/>
        <v>0</v>
      </c>
      <c r="W93" s="2054">
        <f t="shared" si="9"/>
        <v>0</v>
      </c>
      <c r="X93" s="20"/>
      <c r="Y93" s="20"/>
    </row>
    <row r="94" spans="1:25" customFormat="1" ht="15">
      <c r="A94" s="2065">
        <f t="shared" si="17"/>
        <v>68</v>
      </c>
      <c r="B94" s="2066">
        <f>IF(A94&gt;[11]Input!$B$7,"",DATE(YEAR(B93),MONTH(B93)+1,DAY([11]Input!$B$17)))</f>
        <v>45940</v>
      </c>
      <c r="C94" s="2067">
        <f t="shared" si="14"/>
        <v>30</v>
      </c>
      <c r="D94" s="2067"/>
      <c r="E94" s="2067"/>
      <c r="F94" s="2067"/>
      <c r="G94" s="2068">
        <f>ROUND((IFERROR((((J93*'Input Amortization-Fixed Rate '!$K$12)/360)*C94),0)),2)</f>
        <v>0</v>
      </c>
      <c r="H94" s="2068">
        <f>ROUND((IF(A94='Input Amortization-Fixed Rate '!$B$7,J93,(IF(A94&gt;'Input Amortization-Fixed Rate '!$B$7,0,IF(AND(A94&gt;='Input Amortization-Fixed Rate '!$B$8,A94&lt;='Input Amortization-Fixed Rate '!$F$8,'Input Amortization-Fixed Rate '!$K$8="No"),0,(('Input Amortization-Fixed Rate '!$C$12*('Input Amortization-Fixed Rate '!$K$4-G94-N94)))))))),2)</f>
        <v>0</v>
      </c>
      <c r="I94" s="2069">
        <f t="shared" si="10"/>
        <v>0</v>
      </c>
      <c r="J94" s="2068">
        <f t="shared" si="15"/>
        <v>2.9802322387695313E-8</v>
      </c>
      <c r="K94" s="2068"/>
      <c r="L94" s="2068"/>
      <c r="M94" s="2068"/>
      <c r="N94" s="2070">
        <f>IFERROR((((Q93*'Input Amortization-Fixed Rate '!$K$13)/360)*C94),0)</f>
        <v>0</v>
      </c>
      <c r="O94" s="2070">
        <f>IF(A94&gt;'Input Amortization-Fixed Rate '!$B$7,0,IF(A94='Input Amortization-Fixed Rate '!$B$7,Q93,IF(AND(A94&gt;='Input Amortization-Fixed Rate '!$B$8,A94&lt;='Input Amortization-Fixed Rate '!$F$8,'Input Amortization-Fixed Rate '!$K$8="No"),0,'Input Amortization-Fixed Rate '!$K$4-I94-N94)))</f>
        <v>0</v>
      </c>
      <c r="P94" s="2071">
        <f t="shared" si="16"/>
        <v>0</v>
      </c>
      <c r="Q94" s="2070">
        <f t="shared" si="11"/>
        <v>0</v>
      </c>
      <c r="R94" s="2054"/>
      <c r="S94" s="2054"/>
      <c r="T94" s="2054"/>
      <c r="U94" s="2054">
        <f t="shared" si="12"/>
        <v>0</v>
      </c>
      <c r="V94" s="2054">
        <f t="shared" si="13"/>
        <v>0</v>
      </c>
      <c r="W94" s="2054">
        <f t="shared" si="9"/>
        <v>0</v>
      </c>
      <c r="X94" s="20"/>
      <c r="Y94" s="20"/>
    </row>
    <row r="95" spans="1:25" customFormat="1" ht="15">
      <c r="A95" s="100">
        <f t="shared" si="17"/>
        <v>69</v>
      </c>
      <c r="B95" s="2072">
        <f>IF(A95&gt;[11]Input!$B$7,"",DATE(YEAR(B94),MONTH(B94)+1,DAY([11]Input!$B$17)))</f>
        <v>45971</v>
      </c>
      <c r="C95" s="2073">
        <f t="shared" si="14"/>
        <v>31</v>
      </c>
      <c r="D95" s="2073"/>
      <c r="E95" s="2073"/>
      <c r="F95" s="2073"/>
      <c r="G95" s="2074">
        <f>ROUND((IFERROR((((J94*'Input Amortization-Fixed Rate '!$K$12)/360)*C95),0)),2)</f>
        <v>0</v>
      </c>
      <c r="H95" s="2074">
        <f>ROUND((IF(A95='Input Amortization-Fixed Rate '!$B$7,J94,(IF(A95&gt;'Input Amortization-Fixed Rate '!$B$7,0,IF(AND(A95&gt;='Input Amortization-Fixed Rate '!$B$8,A95&lt;='Input Amortization-Fixed Rate '!$F$8,'Input Amortization-Fixed Rate '!$K$8="No"),0,(('Input Amortization-Fixed Rate '!$C$12*('Input Amortization-Fixed Rate '!$K$4-G95-N95)))))))),2)</f>
        <v>0</v>
      </c>
      <c r="I95" s="2075">
        <f t="shared" si="10"/>
        <v>0</v>
      </c>
      <c r="J95" s="2074">
        <f t="shared" si="15"/>
        <v>2.9802322387695313E-8</v>
      </c>
      <c r="K95" s="2074"/>
      <c r="L95" s="2074"/>
      <c r="M95" s="2074"/>
      <c r="N95" s="2054">
        <f>IFERROR((((Q94*'Input Amortization-Fixed Rate '!$K$13)/360)*C95),0)</f>
        <v>0</v>
      </c>
      <c r="O95" s="2076">
        <f>IF(A95&gt;'Input Amortization-Fixed Rate '!$B$7,0,IF(A95='Input Amortization-Fixed Rate '!$B$7,Q94,IF(AND(A95&gt;='Input Amortization-Fixed Rate '!$B$8,A95&lt;='Input Amortization-Fixed Rate '!$F$8,'Input Amortization-Fixed Rate '!$K$8="No"),0,'Input Amortization-Fixed Rate '!$K$4-I95-N95)))</f>
        <v>0</v>
      </c>
      <c r="P95" s="2077">
        <f t="shared" si="16"/>
        <v>0</v>
      </c>
      <c r="Q95" s="2054">
        <f t="shared" si="11"/>
        <v>0</v>
      </c>
      <c r="R95" s="2054"/>
      <c r="S95" s="2054"/>
      <c r="T95" s="2054"/>
      <c r="U95" s="2054">
        <f t="shared" si="12"/>
        <v>0</v>
      </c>
      <c r="V95" s="2054">
        <f t="shared" si="13"/>
        <v>0</v>
      </c>
      <c r="W95" s="2054">
        <f t="shared" si="9"/>
        <v>0</v>
      </c>
      <c r="X95" s="20"/>
      <c r="Y95" s="20"/>
    </row>
    <row r="96" spans="1:25" customFormat="1" ht="15">
      <c r="A96" s="2065">
        <f t="shared" si="17"/>
        <v>70</v>
      </c>
      <c r="B96" s="2066">
        <f>IF(A96&gt;[11]Input!$B$7,"",DATE(YEAR(B95),MONTH(B95)+1,DAY([11]Input!$B$17)))</f>
        <v>46001</v>
      </c>
      <c r="C96" s="2067">
        <f t="shared" si="14"/>
        <v>30</v>
      </c>
      <c r="D96" s="2067"/>
      <c r="E96" s="2067"/>
      <c r="F96" s="2067"/>
      <c r="G96" s="2068">
        <f>ROUND((IFERROR((((J95*'Input Amortization-Fixed Rate '!$K$12)/360)*C96),0)),2)</f>
        <v>0</v>
      </c>
      <c r="H96" s="2068">
        <f>ROUND((IF(A96='Input Amortization-Fixed Rate '!$B$7,J95,(IF(A96&gt;'Input Amortization-Fixed Rate '!$B$7,0,IF(AND(A96&gt;='Input Amortization-Fixed Rate '!$B$8,A96&lt;='Input Amortization-Fixed Rate '!$F$8,'Input Amortization-Fixed Rate '!$K$8="No"),0,(('Input Amortization-Fixed Rate '!$C$12*('Input Amortization-Fixed Rate '!$K$4-G96-N96)))))))),2)</f>
        <v>0</v>
      </c>
      <c r="I96" s="2069">
        <f t="shared" si="10"/>
        <v>0</v>
      </c>
      <c r="J96" s="2068">
        <f t="shared" si="15"/>
        <v>2.9802322387695313E-8</v>
      </c>
      <c r="K96" s="2068"/>
      <c r="L96" s="2068"/>
      <c r="M96" s="2068"/>
      <c r="N96" s="2070">
        <f>IFERROR((((Q95*'Input Amortization-Fixed Rate '!$K$13)/360)*C96),0)</f>
        <v>0</v>
      </c>
      <c r="O96" s="2070">
        <f>IF(A96&gt;'Input Amortization-Fixed Rate '!$B$7,0,IF(A96='Input Amortization-Fixed Rate '!$B$7,Q95,IF(AND(A96&gt;='Input Amortization-Fixed Rate '!$B$8,A96&lt;='Input Amortization-Fixed Rate '!$F$8,'Input Amortization-Fixed Rate '!$K$8="No"),0,'Input Amortization-Fixed Rate '!$K$4-I96-N96)))</f>
        <v>0</v>
      </c>
      <c r="P96" s="2071">
        <f t="shared" si="16"/>
        <v>0</v>
      </c>
      <c r="Q96" s="2070">
        <f t="shared" si="11"/>
        <v>0</v>
      </c>
      <c r="R96" s="2054"/>
      <c r="S96" s="2054"/>
      <c r="T96" s="2054"/>
      <c r="U96" s="2054">
        <f t="shared" si="12"/>
        <v>0</v>
      </c>
      <c r="V96" s="2054">
        <f t="shared" si="13"/>
        <v>0</v>
      </c>
      <c r="W96" s="2054">
        <f t="shared" si="9"/>
        <v>0</v>
      </c>
      <c r="X96" s="20"/>
      <c r="Y96" s="20"/>
    </row>
    <row r="97" spans="1:25" customFormat="1" ht="15">
      <c r="A97" s="100">
        <f t="shared" si="17"/>
        <v>71</v>
      </c>
      <c r="B97" s="2072">
        <f>IF(A97&gt;[11]Input!$B$7,"",DATE(YEAR(B96),MONTH(B96)+1,DAY([11]Input!$B$17)))</f>
        <v>46032</v>
      </c>
      <c r="C97" s="2073">
        <f t="shared" si="14"/>
        <v>31</v>
      </c>
      <c r="D97" s="2073"/>
      <c r="E97" s="2073"/>
      <c r="F97" s="2073"/>
      <c r="G97" s="2074">
        <f>ROUND((IFERROR((((J96*'Input Amortization-Fixed Rate '!$K$12)/360)*C97),0)),2)</f>
        <v>0</v>
      </c>
      <c r="H97" s="2074">
        <f>ROUND((IF(A97='Input Amortization-Fixed Rate '!$B$7,J96,(IF(A97&gt;'Input Amortization-Fixed Rate '!$B$7,0,IF(AND(A97&gt;='Input Amortization-Fixed Rate '!$B$8,A97&lt;='Input Amortization-Fixed Rate '!$F$8,'Input Amortization-Fixed Rate '!$K$8="No"),0,(('Input Amortization-Fixed Rate '!$C$12*('Input Amortization-Fixed Rate '!$K$4-G97-N97)))))))),2)</f>
        <v>0</v>
      </c>
      <c r="I97" s="2075">
        <f t="shared" si="10"/>
        <v>0</v>
      </c>
      <c r="J97" s="2074">
        <f t="shared" si="15"/>
        <v>2.9802322387695313E-8</v>
      </c>
      <c r="K97" s="2074"/>
      <c r="L97" s="2074"/>
      <c r="M97" s="2074"/>
      <c r="N97" s="2054">
        <f>IFERROR((((Q96*'Input Amortization-Fixed Rate '!$K$13)/360)*C97),0)</f>
        <v>0</v>
      </c>
      <c r="O97" s="2076">
        <f>IF(A97&gt;'Input Amortization-Fixed Rate '!$B$7,0,IF(A97='Input Amortization-Fixed Rate '!$B$7,Q96,IF(AND(A97&gt;='Input Amortization-Fixed Rate '!$B$8,A97&lt;='Input Amortization-Fixed Rate '!$F$8,'Input Amortization-Fixed Rate '!$K$8="No"),0,'Input Amortization-Fixed Rate '!$K$4-I97-N97)))</f>
        <v>0</v>
      </c>
      <c r="P97" s="2077">
        <f t="shared" si="16"/>
        <v>0</v>
      </c>
      <c r="Q97" s="2054">
        <f t="shared" si="11"/>
        <v>0</v>
      </c>
      <c r="R97" s="2054"/>
      <c r="S97" s="2054"/>
      <c r="T97" s="2054"/>
      <c r="U97" s="2054">
        <f t="shared" si="12"/>
        <v>0</v>
      </c>
      <c r="V97" s="2054">
        <f t="shared" si="13"/>
        <v>0</v>
      </c>
      <c r="W97" s="2054">
        <f t="shared" si="9"/>
        <v>0</v>
      </c>
      <c r="X97" s="20"/>
      <c r="Y97" s="20"/>
    </row>
    <row r="98" spans="1:25" customFormat="1" ht="15">
      <c r="A98" s="2065">
        <f t="shared" si="17"/>
        <v>72</v>
      </c>
      <c r="B98" s="2066">
        <f>IF(A98&gt;[11]Input!$B$7,"",DATE(YEAR(B97),MONTH(B97)+1,DAY([11]Input!$B$17)))</f>
        <v>46063</v>
      </c>
      <c r="C98" s="2067">
        <f t="shared" si="14"/>
        <v>31</v>
      </c>
      <c r="D98" s="2067"/>
      <c r="E98" s="2067"/>
      <c r="F98" s="2067"/>
      <c r="G98" s="2068">
        <f>ROUND((IFERROR((((J97*'Input Amortization-Fixed Rate '!$K$12)/360)*C98),0)),2)</f>
        <v>0</v>
      </c>
      <c r="H98" s="2068">
        <f>ROUND((IF(A98='Input Amortization-Fixed Rate '!$B$7,J97,(IF(A98&gt;'Input Amortization-Fixed Rate '!$B$7,0,IF(AND(A98&gt;='Input Amortization-Fixed Rate '!$B$8,A98&lt;='Input Amortization-Fixed Rate '!$F$8,'Input Amortization-Fixed Rate '!$K$8="No"),0,(('Input Amortization-Fixed Rate '!$C$12*('Input Amortization-Fixed Rate '!$K$4-G98-N98)))))))),2)</f>
        <v>0</v>
      </c>
      <c r="I98" s="2069">
        <f t="shared" si="10"/>
        <v>0</v>
      </c>
      <c r="J98" s="2068">
        <f t="shared" si="15"/>
        <v>2.9802322387695313E-8</v>
      </c>
      <c r="K98" s="2068"/>
      <c r="L98" s="2068"/>
      <c r="M98" s="2068"/>
      <c r="N98" s="2070">
        <f>IFERROR((((Q97*'Input Amortization-Fixed Rate '!$K$13)/360)*C98),0)</f>
        <v>0</v>
      </c>
      <c r="O98" s="2070">
        <f>IF(A98&gt;'Input Amortization-Fixed Rate '!$B$7,0,IF(A98='Input Amortization-Fixed Rate '!$B$7,Q97,IF(AND(A98&gt;='Input Amortization-Fixed Rate '!$B$8,A98&lt;='Input Amortization-Fixed Rate '!$F$8,'Input Amortization-Fixed Rate '!$K$8="No"),0,'Input Amortization-Fixed Rate '!$K$4-I98-N98)))</f>
        <v>0</v>
      </c>
      <c r="P98" s="2071">
        <f t="shared" si="16"/>
        <v>0</v>
      </c>
      <c r="Q98" s="2070">
        <f t="shared" si="11"/>
        <v>0</v>
      </c>
      <c r="R98" s="2054"/>
      <c r="S98" s="2054"/>
      <c r="T98" s="2054"/>
      <c r="U98" s="2054">
        <f t="shared" si="12"/>
        <v>0</v>
      </c>
      <c r="V98" s="2054">
        <f t="shared" si="13"/>
        <v>0</v>
      </c>
      <c r="W98" s="2054">
        <f t="shared" si="9"/>
        <v>0</v>
      </c>
      <c r="X98" s="20"/>
      <c r="Y98" s="20"/>
    </row>
    <row r="99" spans="1:25" customFormat="1" ht="15">
      <c r="A99" s="100">
        <f t="shared" si="17"/>
        <v>73</v>
      </c>
      <c r="B99" s="2072">
        <f>IF(A99&gt;[11]Input!$B$7,"",DATE(YEAR(B98),MONTH(B98)+1,DAY([11]Input!$B$17)))</f>
        <v>46091</v>
      </c>
      <c r="C99" s="2073">
        <f t="shared" si="14"/>
        <v>28</v>
      </c>
      <c r="D99" s="2073"/>
      <c r="E99" s="2073"/>
      <c r="F99" s="2073"/>
      <c r="G99" s="2074">
        <f>ROUND((IFERROR((((J98*'Input Amortization-Fixed Rate '!$K$12)/360)*C99),0)),2)</f>
        <v>0</v>
      </c>
      <c r="H99" s="2074">
        <f>ROUND((IF(A99='Input Amortization-Fixed Rate '!$B$7,J98,(IF(A99&gt;'Input Amortization-Fixed Rate '!$B$7,0,IF(AND(A99&gt;='Input Amortization-Fixed Rate '!$B$8,A99&lt;='Input Amortization-Fixed Rate '!$F$8,'Input Amortization-Fixed Rate '!$K$8="No"),0,(('Input Amortization-Fixed Rate '!$C$12*('Input Amortization-Fixed Rate '!$K$4-G99-N99)))))))),2)</f>
        <v>0</v>
      </c>
      <c r="I99" s="2075">
        <f t="shared" si="10"/>
        <v>0</v>
      </c>
      <c r="J99" s="2074">
        <f t="shared" si="15"/>
        <v>2.9802322387695313E-8</v>
      </c>
      <c r="K99" s="2074"/>
      <c r="L99" s="2074"/>
      <c r="M99" s="2074"/>
      <c r="N99" s="2054">
        <f>IFERROR((((Q98*'Input Amortization-Fixed Rate '!$K$13)/360)*C99),0)</f>
        <v>0</v>
      </c>
      <c r="O99" s="2076">
        <f>IF(A99&gt;'Input Amortization-Fixed Rate '!$B$7,0,IF(A99='Input Amortization-Fixed Rate '!$B$7,Q98,IF(AND(A99&gt;='Input Amortization-Fixed Rate '!$B$8,A99&lt;='Input Amortization-Fixed Rate '!$F$8,'Input Amortization-Fixed Rate '!$K$8="No"),0,'Input Amortization-Fixed Rate '!$K$4-I99-N99)))</f>
        <v>0</v>
      </c>
      <c r="P99" s="2077">
        <f t="shared" si="16"/>
        <v>0</v>
      </c>
      <c r="Q99" s="2054">
        <f t="shared" si="11"/>
        <v>0</v>
      </c>
      <c r="R99" s="2054"/>
      <c r="S99" s="2054"/>
      <c r="T99" s="2054"/>
      <c r="U99" s="2054">
        <f t="shared" si="12"/>
        <v>0</v>
      </c>
      <c r="V99" s="2054">
        <f t="shared" si="13"/>
        <v>0</v>
      </c>
      <c r="W99" s="2054">
        <f t="shared" si="9"/>
        <v>0</v>
      </c>
      <c r="X99" s="20"/>
      <c r="Y99" s="20"/>
    </row>
    <row r="100" spans="1:25" customFormat="1" ht="15">
      <c r="A100" s="2065">
        <f t="shared" si="17"/>
        <v>74</v>
      </c>
      <c r="B100" s="2066">
        <f>IF(A100&gt;[11]Input!$B$7,"",DATE(YEAR(B99),MONTH(B99)+1,DAY([11]Input!$B$17)))</f>
        <v>46122</v>
      </c>
      <c r="C100" s="2067">
        <f t="shared" si="14"/>
        <v>31</v>
      </c>
      <c r="D100" s="2067"/>
      <c r="E100" s="2067"/>
      <c r="F100" s="2067"/>
      <c r="G100" s="2068">
        <f>ROUND((IFERROR((((J99*'Input Amortization-Fixed Rate '!$K$12)/360)*C100),0)),2)</f>
        <v>0</v>
      </c>
      <c r="H100" s="2068">
        <f>ROUND((IF(A100='Input Amortization-Fixed Rate '!$B$7,J99,(IF(A100&gt;'Input Amortization-Fixed Rate '!$B$7,0,IF(AND(A100&gt;='Input Amortization-Fixed Rate '!$B$8,A100&lt;='Input Amortization-Fixed Rate '!$F$8,'Input Amortization-Fixed Rate '!$K$8="No"),0,(('Input Amortization-Fixed Rate '!$C$12*('Input Amortization-Fixed Rate '!$K$4-G100-N100)))))))),2)</f>
        <v>0</v>
      </c>
      <c r="I100" s="2069">
        <f t="shared" si="10"/>
        <v>0</v>
      </c>
      <c r="J100" s="2068">
        <f t="shared" si="15"/>
        <v>2.9802322387695313E-8</v>
      </c>
      <c r="K100" s="2068"/>
      <c r="L100" s="2068"/>
      <c r="M100" s="2068"/>
      <c r="N100" s="2070">
        <f>IFERROR((((Q99*'Input Amortization-Fixed Rate '!$K$13)/360)*C100),0)</f>
        <v>0</v>
      </c>
      <c r="O100" s="2070">
        <f>IF(A100&gt;'Input Amortization-Fixed Rate '!$B$7,0,IF(A100='Input Amortization-Fixed Rate '!$B$7,Q99,IF(AND(A100&gt;='Input Amortization-Fixed Rate '!$B$8,A100&lt;='Input Amortization-Fixed Rate '!$F$8,'Input Amortization-Fixed Rate '!$K$8="No"),0,'Input Amortization-Fixed Rate '!$K$4-I100-N100)))</f>
        <v>0</v>
      </c>
      <c r="P100" s="2071">
        <f t="shared" si="16"/>
        <v>0</v>
      </c>
      <c r="Q100" s="2070">
        <f t="shared" si="11"/>
        <v>0</v>
      </c>
      <c r="R100" s="2054"/>
      <c r="S100" s="2054"/>
      <c r="T100" s="2054"/>
      <c r="U100" s="2054">
        <f t="shared" si="12"/>
        <v>0</v>
      </c>
      <c r="V100" s="2054">
        <f t="shared" si="13"/>
        <v>0</v>
      </c>
      <c r="W100" s="2054">
        <f t="shared" si="9"/>
        <v>0</v>
      </c>
      <c r="X100" s="20"/>
      <c r="Y100" s="20"/>
    </row>
    <row r="101" spans="1:25" customFormat="1" ht="15">
      <c r="A101" s="100">
        <f t="shared" si="17"/>
        <v>75</v>
      </c>
      <c r="B101" s="2072">
        <f>IF(A101&gt;[11]Input!$B$7,"",DATE(YEAR(B100),MONTH(B100)+1,DAY([11]Input!$B$17)))</f>
        <v>46152</v>
      </c>
      <c r="C101" s="2073">
        <f t="shared" si="14"/>
        <v>30</v>
      </c>
      <c r="D101" s="2073"/>
      <c r="E101" s="2073"/>
      <c r="F101" s="2073"/>
      <c r="G101" s="2074">
        <f>ROUND((IFERROR((((J100*'Input Amortization-Fixed Rate '!$K$12)/360)*C101),0)),2)</f>
        <v>0</v>
      </c>
      <c r="H101" s="2074">
        <f>ROUND((IF(A101='Input Amortization-Fixed Rate '!$B$7,J100,(IF(A101&gt;'Input Amortization-Fixed Rate '!$B$7,0,IF(AND(A101&gt;='Input Amortization-Fixed Rate '!$B$8,A101&lt;='Input Amortization-Fixed Rate '!$F$8,'Input Amortization-Fixed Rate '!$K$8="No"),0,(('Input Amortization-Fixed Rate '!$C$12*('Input Amortization-Fixed Rate '!$K$4-G101-N101)))))))),2)</f>
        <v>0</v>
      </c>
      <c r="I101" s="2075">
        <f t="shared" si="10"/>
        <v>0</v>
      </c>
      <c r="J101" s="2074">
        <f t="shared" si="15"/>
        <v>2.9802322387695313E-8</v>
      </c>
      <c r="K101" s="2074"/>
      <c r="L101" s="2074"/>
      <c r="M101" s="2074"/>
      <c r="N101" s="2054">
        <f>IFERROR((((Q100*'Input Amortization-Fixed Rate '!$K$13)/360)*C101),0)</f>
        <v>0</v>
      </c>
      <c r="O101" s="2076">
        <f>IF(A101&gt;'Input Amortization-Fixed Rate '!$B$7,0,IF(A101='Input Amortization-Fixed Rate '!$B$7,Q100,IF(AND(A101&gt;='Input Amortization-Fixed Rate '!$B$8,A101&lt;='Input Amortization-Fixed Rate '!$F$8,'Input Amortization-Fixed Rate '!$K$8="No"),0,'Input Amortization-Fixed Rate '!$K$4-I101-N101)))</f>
        <v>0</v>
      </c>
      <c r="P101" s="2077">
        <f t="shared" si="16"/>
        <v>0</v>
      </c>
      <c r="Q101" s="2054">
        <f t="shared" si="11"/>
        <v>0</v>
      </c>
      <c r="R101" s="2054"/>
      <c r="S101" s="2054"/>
      <c r="T101" s="2054"/>
      <c r="U101" s="2054">
        <f t="shared" si="12"/>
        <v>0</v>
      </c>
      <c r="V101" s="2054">
        <f t="shared" si="13"/>
        <v>0</v>
      </c>
      <c r="W101" s="2054">
        <f t="shared" si="9"/>
        <v>0</v>
      </c>
      <c r="X101" s="20"/>
      <c r="Y101" s="20"/>
    </row>
    <row r="102" spans="1:25" customFormat="1" ht="15">
      <c r="A102" s="2065">
        <f t="shared" si="17"/>
        <v>76</v>
      </c>
      <c r="B102" s="2066">
        <f>IF(A102&gt;[11]Input!$B$7,"",DATE(YEAR(B101),MONTH(B101)+1,DAY([11]Input!$B$17)))</f>
        <v>46183</v>
      </c>
      <c r="C102" s="2067">
        <f t="shared" si="14"/>
        <v>31</v>
      </c>
      <c r="D102" s="2067"/>
      <c r="E102" s="2067"/>
      <c r="F102" s="2067"/>
      <c r="G102" s="2068">
        <f>ROUND((IFERROR((((J101*'Input Amortization-Fixed Rate '!$K$12)/360)*C102),0)),2)</f>
        <v>0</v>
      </c>
      <c r="H102" s="2068">
        <f>ROUND((IF(A102='Input Amortization-Fixed Rate '!$B$7,J101,(IF(A102&gt;'Input Amortization-Fixed Rate '!$B$7,0,IF(AND(A102&gt;='Input Amortization-Fixed Rate '!$B$8,A102&lt;='Input Amortization-Fixed Rate '!$F$8,'Input Amortization-Fixed Rate '!$K$8="No"),0,(('Input Amortization-Fixed Rate '!$C$12*('Input Amortization-Fixed Rate '!$K$4-G102-N102)))))))),2)</f>
        <v>0</v>
      </c>
      <c r="I102" s="2069">
        <f t="shared" si="10"/>
        <v>0</v>
      </c>
      <c r="J102" s="2068">
        <f t="shared" si="15"/>
        <v>2.9802322387695313E-8</v>
      </c>
      <c r="K102" s="2068"/>
      <c r="L102" s="2068"/>
      <c r="M102" s="2068"/>
      <c r="N102" s="2070">
        <f>IFERROR((((Q101*'Input Amortization-Fixed Rate '!$K$13)/360)*C102),0)</f>
        <v>0</v>
      </c>
      <c r="O102" s="2070">
        <f>IF(A102&gt;'Input Amortization-Fixed Rate '!$B$7,0,IF(A102='Input Amortization-Fixed Rate '!$B$7,Q101,IF(AND(A102&gt;='Input Amortization-Fixed Rate '!$B$8,A102&lt;='Input Amortization-Fixed Rate '!$F$8,'Input Amortization-Fixed Rate '!$K$8="No"),0,'Input Amortization-Fixed Rate '!$K$4-I102-N102)))</f>
        <v>0</v>
      </c>
      <c r="P102" s="2071">
        <f t="shared" si="16"/>
        <v>0</v>
      </c>
      <c r="Q102" s="2070">
        <f t="shared" si="11"/>
        <v>0</v>
      </c>
      <c r="R102" s="2054"/>
      <c r="S102" s="2054"/>
      <c r="T102" s="2054"/>
      <c r="U102" s="2054">
        <f t="shared" si="12"/>
        <v>0</v>
      </c>
      <c r="V102" s="2054">
        <f t="shared" si="13"/>
        <v>0</v>
      </c>
      <c r="W102" s="2054">
        <f t="shared" si="9"/>
        <v>0</v>
      </c>
      <c r="X102" s="20"/>
      <c r="Y102" s="20"/>
    </row>
    <row r="103" spans="1:25" customFormat="1" ht="15">
      <c r="A103" s="100">
        <f t="shared" si="17"/>
        <v>77</v>
      </c>
      <c r="B103" s="2072">
        <f>IF(A103&gt;[11]Input!$B$7,"",DATE(YEAR(B102),MONTH(B102)+1,DAY([11]Input!$B$17)))</f>
        <v>46213</v>
      </c>
      <c r="C103" s="2073">
        <f t="shared" si="14"/>
        <v>30</v>
      </c>
      <c r="D103" s="2073"/>
      <c r="E103" s="2073"/>
      <c r="F103" s="2073"/>
      <c r="G103" s="2074">
        <f>ROUND((IFERROR((((J102*'Input Amortization-Fixed Rate '!$K$12)/360)*C103),0)),2)</f>
        <v>0</v>
      </c>
      <c r="H103" s="2074">
        <f>ROUND((IF(A103='Input Amortization-Fixed Rate '!$B$7,J102,(IF(A103&gt;'Input Amortization-Fixed Rate '!$B$7,0,IF(AND(A103&gt;='Input Amortization-Fixed Rate '!$B$8,A103&lt;='Input Amortization-Fixed Rate '!$F$8,'Input Amortization-Fixed Rate '!$K$8="No"),0,(('Input Amortization-Fixed Rate '!$C$12*('Input Amortization-Fixed Rate '!$K$4-G103-N103)))))))),2)</f>
        <v>0</v>
      </c>
      <c r="I103" s="2075">
        <f t="shared" si="10"/>
        <v>0</v>
      </c>
      <c r="J103" s="2074">
        <f t="shared" si="15"/>
        <v>2.9802322387695313E-8</v>
      </c>
      <c r="K103" s="2074"/>
      <c r="L103" s="2074"/>
      <c r="M103" s="2074"/>
      <c r="N103" s="2054">
        <f>IFERROR((((Q102*'Input Amortization-Fixed Rate '!$K$13)/360)*C103),0)</f>
        <v>0</v>
      </c>
      <c r="O103" s="2076">
        <f>IF(A103&gt;'Input Amortization-Fixed Rate '!$B$7,0,IF(A103='Input Amortization-Fixed Rate '!$B$7,Q102,IF(AND(A103&gt;='Input Amortization-Fixed Rate '!$B$8,A103&lt;='Input Amortization-Fixed Rate '!$F$8,'Input Amortization-Fixed Rate '!$K$8="No"),0,'Input Amortization-Fixed Rate '!$K$4-I103-N103)))</f>
        <v>0</v>
      </c>
      <c r="P103" s="2077">
        <f t="shared" si="16"/>
        <v>0</v>
      </c>
      <c r="Q103" s="2054">
        <f t="shared" si="11"/>
        <v>0</v>
      </c>
      <c r="R103" s="2054"/>
      <c r="S103" s="2054"/>
      <c r="T103" s="2054"/>
      <c r="U103" s="2054">
        <f t="shared" si="12"/>
        <v>0</v>
      </c>
      <c r="V103" s="2054">
        <f t="shared" si="13"/>
        <v>0</v>
      </c>
      <c r="W103" s="2054">
        <f t="shared" si="9"/>
        <v>0</v>
      </c>
      <c r="X103" s="20"/>
      <c r="Y103" s="20"/>
    </row>
    <row r="104" spans="1:25" customFormat="1" ht="15">
      <c r="A104" s="2065">
        <f t="shared" si="17"/>
        <v>78</v>
      </c>
      <c r="B104" s="2066">
        <f>IF(A104&gt;[11]Input!$B$7,"",DATE(YEAR(B103),MONTH(B103)+1,DAY([11]Input!$B$17)))</f>
        <v>46244</v>
      </c>
      <c r="C104" s="2067">
        <f t="shared" si="14"/>
        <v>31</v>
      </c>
      <c r="D104" s="2067"/>
      <c r="E104" s="2067"/>
      <c r="F104" s="2068"/>
      <c r="G104" s="2068">
        <f>ROUND((IFERROR((((J103*'Input Amortization-Fixed Rate '!$K$12)/360)*C104),0)),2)</f>
        <v>0</v>
      </c>
      <c r="H104" s="2068">
        <f>ROUND((IF(A104='Input Amortization-Fixed Rate '!$B$7,J103,(IF(A104&gt;'Input Amortization-Fixed Rate '!$B$7,0,IF(AND(A104&gt;='Input Amortization-Fixed Rate '!$B$8,A104&lt;='Input Amortization-Fixed Rate '!$F$8,'Input Amortization-Fixed Rate '!$K$8="No"),0,(('Input Amortization-Fixed Rate '!$C$12*('Input Amortization-Fixed Rate '!$K$4-G104-N104)))))))),2)</f>
        <v>0</v>
      </c>
      <c r="I104" s="2069">
        <f t="shared" si="10"/>
        <v>0</v>
      </c>
      <c r="J104" s="2068">
        <f t="shared" si="15"/>
        <v>2.9802322387695313E-8</v>
      </c>
      <c r="K104" s="2068"/>
      <c r="L104" s="2068"/>
      <c r="M104" s="2068"/>
      <c r="N104" s="2070">
        <f>IFERROR((((Q103*'Input Amortization-Fixed Rate '!$K$13)/360)*C104),0)</f>
        <v>0</v>
      </c>
      <c r="O104" s="2070">
        <f>IF(A104&gt;'Input Amortization-Fixed Rate '!$B$7,0,IF(A104='Input Amortization-Fixed Rate '!$B$7,Q103,IF(AND(A104&gt;='Input Amortization-Fixed Rate '!$B$8,A104&lt;='Input Amortization-Fixed Rate '!$F$8,'Input Amortization-Fixed Rate '!$K$8="No"),0,'Input Amortization-Fixed Rate '!$K$4-I104-N104)))</f>
        <v>0</v>
      </c>
      <c r="P104" s="2071">
        <f t="shared" si="16"/>
        <v>0</v>
      </c>
      <c r="Q104" s="2070">
        <f t="shared" si="11"/>
        <v>0</v>
      </c>
      <c r="R104" s="2054"/>
      <c r="S104" s="2054"/>
      <c r="T104" s="2054"/>
      <c r="U104" s="2054">
        <f t="shared" si="12"/>
        <v>0</v>
      </c>
      <c r="V104" s="2054">
        <f t="shared" si="13"/>
        <v>0</v>
      </c>
      <c r="W104" s="2054">
        <f t="shared" si="9"/>
        <v>0</v>
      </c>
      <c r="X104" s="20"/>
      <c r="Y104" s="20"/>
    </row>
    <row r="105" spans="1:25" customFormat="1" ht="15">
      <c r="A105" s="100">
        <f t="shared" si="17"/>
        <v>79</v>
      </c>
      <c r="B105" s="2072">
        <f>IF(A105&gt;[11]Input!$B$7,"",DATE(YEAR(B104),MONTH(B104)+1,DAY([11]Input!$B$17)))</f>
        <v>46275</v>
      </c>
      <c r="C105" s="2073">
        <f t="shared" si="14"/>
        <v>31</v>
      </c>
      <c r="D105" s="2073"/>
      <c r="E105" s="2073"/>
      <c r="F105" s="2073"/>
      <c r="G105" s="2074">
        <f>ROUND((IFERROR((((J104*'Input Amortization-Fixed Rate '!$K$12)/360)*C105),0)),2)</f>
        <v>0</v>
      </c>
      <c r="H105" s="2074">
        <f>ROUND((IF(A105='Input Amortization-Fixed Rate '!$B$7,J104,(IF(A105&gt;'Input Amortization-Fixed Rate '!$B$7,0,IF(AND(A105&gt;='Input Amortization-Fixed Rate '!$B$8,A105&lt;='Input Amortization-Fixed Rate '!$F$8,'Input Amortization-Fixed Rate '!$K$8="No"),0,(('Input Amortization-Fixed Rate '!$C$12*('Input Amortization-Fixed Rate '!$K$4-G105-N105)))))))),2)</f>
        <v>0</v>
      </c>
      <c r="I105" s="2075">
        <f t="shared" si="10"/>
        <v>0</v>
      </c>
      <c r="J105" s="2074">
        <f t="shared" si="15"/>
        <v>2.9802322387695313E-8</v>
      </c>
      <c r="K105" s="2074"/>
      <c r="L105" s="2074"/>
      <c r="M105" s="2074"/>
      <c r="N105" s="2054">
        <f>IFERROR((((Q104*'Input Amortization-Fixed Rate '!$K$13)/360)*C105),0)</f>
        <v>0</v>
      </c>
      <c r="O105" s="2076">
        <f>IF(A105&gt;'Input Amortization-Fixed Rate '!$B$7,0,IF(A105='Input Amortization-Fixed Rate '!$B$7,Q104,IF(AND(A105&gt;='Input Amortization-Fixed Rate '!$B$8,A105&lt;='Input Amortization-Fixed Rate '!$F$8,'Input Amortization-Fixed Rate '!$K$8="No"),0,'Input Amortization-Fixed Rate '!$K$4-I105-N105)))</f>
        <v>0</v>
      </c>
      <c r="P105" s="2077">
        <f t="shared" si="16"/>
        <v>0</v>
      </c>
      <c r="Q105" s="2054">
        <f t="shared" si="11"/>
        <v>0</v>
      </c>
      <c r="R105" s="2054"/>
      <c r="S105" s="2054"/>
      <c r="T105" s="2054"/>
      <c r="U105" s="2054">
        <f t="shared" si="12"/>
        <v>0</v>
      </c>
      <c r="V105" s="2054">
        <f t="shared" si="13"/>
        <v>0</v>
      </c>
      <c r="W105" s="2054">
        <f t="shared" si="9"/>
        <v>0</v>
      </c>
      <c r="X105" s="20"/>
      <c r="Y105" s="20"/>
    </row>
    <row r="106" spans="1:25" customFormat="1" ht="15">
      <c r="A106" s="2065">
        <f t="shared" si="17"/>
        <v>80</v>
      </c>
      <c r="B106" s="2066">
        <f>IF(A106&gt;[11]Input!$B$7,"",DATE(YEAR(B105),MONTH(B105)+1,DAY([11]Input!$B$17)))</f>
        <v>46305</v>
      </c>
      <c r="C106" s="2067">
        <f t="shared" si="14"/>
        <v>30</v>
      </c>
      <c r="D106" s="2067"/>
      <c r="E106" s="2067"/>
      <c r="F106" s="2067"/>
      <c r="G106" s="2068">
        <f>ROUND((IFERROR((((J105*'Input Amortization-Fixed Rate '!$K$12)/360)*C106),0)),2)</f>
        <v>0</v>
      </c>
      <c r="H106" s="2068">
        <f>ROUND((IF(A106='Input Amortization-Fixed Rate '!$B$7,J105,(IF(A106&gt;'Input Amortization-Fixed Rate '!$B$7,0,IF(AND(A106&gt;='Input Amortization-Fixed Rate '!$B$8,A106&lt;='Input Amortization-Fixed Rate '!$F$8,'Input Amortization-Fixed Rate '!$K$8="No"),0,(('Input Amortization-Fixed Rate '!$C$12*('Input Amortization-Fixed Rate '!$K$4-G106-N106)))))))),2)</f>
        <v>0</v>
      </c>
      <c r="I106" s="2069">
        <f t="shared" si="10"/>
        <v>0</v>
      </c>
      <c r="J106" s="2068">
        <f t="shared" si="15"/>
        <v>2.9802322387695313E-8</v>
      </c>
      <c r="K106" s="2068"/>
      <c r="L106" s="2068"/>
      <c r="M106" s="2068"/>
      <c r="N106" s="2070">
        <f>IFERROR((((Q105*'Input Amortization-Fixed Rate '!$K$13)/360)*C106),0)</f>
        <v>0</v>
      </c>
      <c r="O106" s="2070">
        <f>IF(A106&gt;'Input Amortization-Fixed Rate '!$B$7,0,IF(A106='Input Amortization-Fixed Rate '!$B$7,Q105,IF(AND(A106&gt;='Input Amortization-Fixed Rate '!$B$8,A106&lt;='Input Amortization-Fixed Rate '!$F$8,'Input Amortization-Fixed Rate '!$K$8="No"),0,'Input Amortization-Fixed Rate '!$K$4-I106-N106)))</f>
        <v>0</v>
      </c>
      <c r="P106" s="2071">
        <f t="shared" si="16"/>
        <v>0</v>
      </c>
      <c r="Q106" s="2070">
        <f t="shared" si="11"/>
        <v>0</v>
      </c>
      <c r="R106" s="2054"/>
      <c r="S106" s="2054"/>
      <c r="T106" s="2054"/>
      <c r="U106" s="2054">
        <f t="shared" si="12"/>
        <v>0</v>
      </c>
      <c r="V106" s="2054">
        <f t="shared" si="13"/>
        <v>0</v>
      </c>
      <c r="W106" s="2054">
        <f t="shared" si="9"/>
        <v>0</v>
      </c>
      <c r="X106" s="20"/>
      <c r="Y106" s="20"/>
    </row>
    <row r="107" spans="1:25" customFormat="1" ht="15">
      <c r="A107" s="100">
        <f t="shared" si="17"/>
        <v>81</v>
      </c>
      <c r="B107" s="2072">
        <f>IF(A107&gt;[11]Input!$B$7,"",DATE(YEAR(B106),MONTH(B106)+1,DAY([11]Input!$B$17)))</f>
        <v>46336</v>
      </c>
      <c r="C107" s="2073">
        <f t="shared" si="14"/>
        <v>31</v>
      </c>
      <c r="D107" s="2073"/>
      <c r="E107" s="2073"/>
      <c r="F107" s="2073"/>
      <c r="G107" s="2074">
        <f>ROUND((IFERROR((((J106*'Input Amortization-Fixed Rate '!$K$12)/360)*C107),0)),2)</f>
        <v>0</v>
      </c>
      <c r="H107" s="2074">
        <f>ROUND((IF(A107='Input Amortization-Fixed Rate '!$B$7,J106,(IF(A107&gt;'Input Amortization-Fixed Rate '!$B$7,0,IF(AND(A107&gt;='Input Amortization-Fixed Rate '!$B$8,A107&lt;='Input Amortization-Fixed Rate '!$F$8,'Input Amortization-Fixed Rate '!$K$8="No"),0,(('Input Amortization-Fixed Rate '!$C$12*('Input Amortization-Fixed Rate '!$K$4-G107-N107)))))))),2)</f>
        <v>0</v>
      </c>
      <c r="I107" s="2075">
        <f t="shared" si="10"/>
        <v>0</v>
      </c>
      <c r="J107" s="2074">
        <f t="shared" si="15"/>
        <v>2.9802322387695313E-8</v>
      </c>
      <c r="K107" s="2074"/>
      <c r="L107" s="2074"/>
      <c r="M107" s="2074"/>
      <c r="N107" s="2054">
        <f>IFERROR((((Q106*'Input Amortization-Fixed Rate '!$K$13)/360)*C107),0)</f>
        <v>0</v>
      </c>
      <c r="O107" s="2076">
        <f>IF(A107&gt;'Input Amortization-Fixed Rate '!$B$7,0,IF(A107='Input Amortization-Fixed Rate '!$B$7,Q106,IF(AND(A107&gt;='Input Amortization-Fixed Rate '!$B$8,A107&lt;='Input Amortization-Fixed Rate '!$F$8,'Input Amortization-Fixed Rate '!$K$8="No"),0,'Input Amortization-Fixed Rate '!$K$4-I107-N107)))</f>
        <v>0</v>
      </c>
      <c r="P107" s="2077">
        <f t="shared" si="16"/>
        <v>0</v>
      </c>
      <c r="Q107" s="2054">
        <f t="shared" si="11"/>
        <v>0</v>
      </c>
      <c r="R107" s="2054"/>
      <c r="S107" s="2054"/>
      <c r="T107" s="2054"/>
      <c r="U107" s="2054">
        <f t="shared" si="12"/>
        <v>0</v>
      </c>
      <c r="V107" s="2054">
        <f t="shared" si="13"/>
        <v>0</v>
      </c>
      <c r="W107" s="2054">
        <f t="shared" si="9"/>
        <v>0</v>
      </c>
      <c r="X107" s="20"/>
      <c r="Y107" s="20"/>
    </row>
    <row r="108" spans="1:25" customFormat="1" ht="15">
      <c r="A108" s="2065">
        <f t="shared" si="17"/>
        <v>82</v>
      </c>
      <c r="B108" s="2066">
        <f>IF(A108&gt;[11]Input!$B$7,"",DATE(YEAR(B107),MONTH(B107)+1,DAY([11]Input!$B$17)))</f>
        <v>46366</v>
      </c>
      <c r="C108" s="2067">
        <f t="shared" si="14"/>
        <v>30</v>
      </c>
      <c r="D108" s="2067"/>
      <c r="E108" s="2067"/>
      <c r="F108" s="2067"/>
      <c r="G108" s="2068">
        <f>ROUND((IFERROR((((J107*'Input Amortization-Fixed Rate '!$K$12)/360)*C108),0)),2)</f>
        <v>0</v>
      </c>
      <c r="H108" s="2068">
        <f>ROUND((IF(A108='Input Amortization-Fixed Rate '!$B$7,J107,(IF(A108&gt;'Input Amortization-Fixed Rate '!$B$7,0,IF(AND(A108&gt;='Input Amortization-Fixed Rate '!$B$8,A108&lt;='Input Amortization-Fixed Rate '!$F$8,'Input Amortization-Fixed Rate '!$K$8="No"),0,(('Input Amortization-Fixed Rate '!$C$12*('Input Amortization-Fixed Rate '!$K$4-G108-N108)))))))),2)</f>
        <v>0</v>
      </c>
      <c r="I108" s="2069">
        <f t="shared" si="10"/>
        <v>0</v>
      </c>
      <c r="J108" s="2068">
        <f t="shared" si="15"/>
        <v>2.9802322387695313E-8</v>
      </c>
      <c r="K108" s="2068"/>
      <c r="L108" s="2068"/>
      <c r="M108" s="2068"/>
      <c r="N108" s="2070">
        <f>IFERROR((((Q107*'Input Amortization-Fixed Rate '!$K$13)/360)*C108),0)</f>
        <v>0</v>
      </c>
      <c r="O108" s="2070">
        <f>IF(A108&gt;'Input Amortization-Fixed Rate '!$B$7,0,IF(A108='Input Amortization-Fixed Rate '!$B$7,Q107,IF(AND(A108&gt;='Input Amortization-Fixed Rate '!$B$8,A108&lt;='Input Amortization-Fixed Rate '!$F$8,'Input Amortization-Fixed Rate '!$K$8="No"),0,'Input Amortization-Fixed Rate '!$K$4-I108-N108)))</f>
        <v>0</v>
      </c>
      <c r="P108" s="2071">
        <f t="shared" si="16"/>
        <v>0</v>
      </c>
      <c r="Q108" s="2070">
        <f t="shared" si="11"/>
        <v>0</v>
      </c>
      <c r="R108" s="2054"/>
      <c r="S108" s="2054"/>
      <c r="T108" s="2054"/>
      <c r="U108" s="2054">
        <f t="shared" si="12"/>
        <v>0</v>
      </c>
      <c r="V108" s="2054">
        <f t="shared" si="13"/>
        <v>0</v>
      </c>
      <c r="W108" s="2054">
        <f t="shared" si="9"/>
        <v>0</v>
      </c>
      <c r="X108" s="20"/>
      <c r="Y108" s="20"/>
    </row>
    <row r="109" spans="1:25" customFormat="1" ht="15">
      <c r="A109" s="100">
        <f t="shared" si="17"/>
        <v>83</v>
      </c>
      <c r="B109" s="2072">
        <f>IF(A109&gt;[11]Input!$B$7,"",DATE(YEAR(B108),MONTH(B108)+1,DAY([11]Input!$B$17)))</f>
        <v>46397</v>
      </c>
      <c r="C109" s="2073">
        <f t="shared" si="14"/>
        <v>31</v>
      </c>
      <c r="D109" s="2073"/>
      <c r="E109" s="2073"/>
      <c r="F109" s="2073"/>
      <c r="G109" s="2074">
        <f>ROUND((IFERROR((((J108*'Input Amortization-Fixed Rate '!$K$12)/360)*C109),0)),2)</f>
        <v>0</v>
      </c>
      <c r="H109" s="2074">
        <f>ROUND((IF(A109='Input Amortization-Fixed Rate '!$B$7,J108,(IF(A109&gt;'Input Amortization-Fixed Rate '!$B$7,0,IF(AND(A109&gt;='Input Amortization-Fixed Rate '!$B$8,A109&lt;='Input Amortization-Fixed Rate '!$F$8,'Input Amortization-Fixed Rate '!$K$8="No"),0,(('Input Amortization-Fixed Rate '!$C$12*('Input Amortization-Fixed Rate '!$K$4-G109-N109)))))))),2)</f>
        <v>0</v>
      </c>
      <c r="I109" s="2075">
        <f t="shared" si="10"/>
        <v>0</v>
      </c>
      <c r="J109" s="2074">
        <f t="shared" si="15"/>
        <v>2.9802322387695313E-8</v>
      </c>
      <c r="K109" s="2074"/>
      <c r="L109" s="2074"/>
      <c r="M109" s="2074"/>
      <c r="N109" s="2054">
        <f>IFERROR((((Q108*'Input Amortization-Fixed Rate '!$K$13)/360)*C109),0)</f>
        <v>0</v>
      </c>
      <c r="O109" s="2076">
        <f>IF(A109&gt;'Input Amortization-Fixed Rate '!$B$7,0,IF(A109='Input Amortization-Fixed Rate '!$B$7,Q108,IF(AND(A109&gt;='Input Amortization-Fixed Rate '!$B$8,A109&lt;='Input Amortization-Fixed Rate '!$F$8,'Input Amortization-Fixed Rate '!$K$8="No"),0,'Input Amortization-Fixed Rate '!$K$4-I109-N109)))</f>
        <v>0</v>
      </c>
      <c r="P109" s="2077">
        <f t="shared" si="16"/>
        <v>0</v>
      </c>
      <c r="Q109" s="2054">
        <f t="shared" si="11"/>
        <v>0</v>
      </c>
      <c r="R109" s="2054"/>
      <c r="S109" s="2054"/>
      <c r="T109" s="2054"/>
      <c r="U109" s="2054">
        <f t="shared" si="12"/>
        <v>0</v>
      </c>
      <c r="V109" s="2054">
        <f t="shared" si="13"/>
        <v>0</v>
      </c>
      <c r="W109" s="2054">
        <f t="shared" si="9"/>
        <v>0</v>
      </c>
      <c r="X109" s="20"/>
      <c r="Y109" s="20"/>
    </row>
    <row r="110" spans="1:25" customFormat="1" ht="15">
      <c r="A110" s="2065">
        <f t="shared" si="17"/>
        <v>84</v>
      </c>
      <c r="B110" s="2066">
        <f>IF(A110&gt;[11]Input!$B$7,"",DATE(YEAR(B109),MONTH(B109)+1,DAY([11]Input!$B$17)))</f>
        <v>46428</v>
      </c>
      <c r="C110" s="2067">
        <f t="shared" si="14"/>
        <v>31</v>
      </c>
      <c r="D110" s="2067"/>
      <c r="E110" s="2067"/>
      <c r="F110" s="2067"/>
      <c r="G110" s="2068">
        <f>ROUND((IFERROR((((J109*'Input Amortization-Fixed Rate '!$K$12)/360)*C110),0)),2)</f>
        <v>0</v>
      </c>
      <c r="H110" s="2068">
        <f>ROUND((IF(A110='Input Amortization-Fixed Rate '!$B$7,J109,(IF(A110&gt;'Input Amortization-Fixed Rate '!$B$7,0,IF(AND(A110&gt;='Input Amortization-Fixed Rate '!$B$8,A110&lt;='Input Amortization-Fixed Rate '!$F$8,'Input Amortization-Fixed Rate '!$K$8="No"),0,(('Input Amortization-Fixed Rate '!$C$12*('Input Amortization-Fixed Rate '!$K$4-G110-N110)))))))),2)</f>
        <v>0</v>
      </c>
      <c r="I110" s="2069">
        <f t="shared" si="10"/>
        <v>0</v>
      </c>
      <c r="J110" s="2068">
        <f t="shared" si="15"/>
        <v>2.9802322387695313E-8</v>
      </c>
      <c r="K110" s="2068"/>
      <c r="L110" s="2068"/>
      <c r="M110" s="2068"/>
      <c r="N110" s="2070">
        <f>IFERROR((((Q109*'Input Amortization-Fixed Rate '!$K$13)/360)*C110),0)</f>
        <v>0</v>
      </c>
      <c r="O110" s="2070">
        <f>IF(A110&gt;'Input Amortization-Fixed Rate '!$B$7,0,IF(A110='Input Amortization-Fixed Rate '!$B$7,Q109,IF(AND(A110&gt;='Input Amortization-Fixed Rate '!$B$8,A110&lt;='Input Amortization-Fixed Rate '!$F$8,'Input Amortization-Fixed Rate '!$K$8="No"),0,'Input Amortization-Fixed Rate '!$K$4-I110-N110)))</f>
        <v>0</v>
      </c>
      <c r="P110" s="2071">
        <f t="shared" si="16"/>
        <v>0</v>
      </c>
      <c r="Q110" s="2070">
        <f t="shared" si="11"/>
        <v>0</v>
      </c>
      <c r="R110" s="2054"/>
      <c r="S110" s="2054"/>
      <c r="T110" s="2054"/>
      <c r="U110" s="2054">
        <f t="shared" si="12"/>
        <v>0</v>
      </c>
      <c r="V110" s="2054">
        <f t="shared" si="13"/>
        <v>0</v>
      </c>
      <c r="W110" s="2054">
        <f t="shared" si="9"/>
        <v>0</v>
      </c>
      <c r="X110" s="20"/>
      <c r="Y110" s="20"/>
    </row>
    <row r="111" spans="1:25" customFormat="1" ht="15">
      <c r="A111" s="100">
        <f t="shared" si="17"/>
        <v>85</v>
      </c>
      <c r="B111" s="2072">
        <f>IF(A111&gt;[11]Input!$B$7,"",DATE(YEAR(B110),MONTH(B110)+1,DAY([11]Input!$B$17)))</f>
        <v>46456</v>
      </c>
      <c r="C111" s="2073">
        <f t="shared" si="14"/>
        <v>28</v>
      </c>
      <c r="D111" s="2073"/>
      <c r="E111" s="2073"/>
      <c r="F111" s="2073"/>
      <c r="G111" s="2074">
        <f>ROUND((IFERROR((((J110*'Input Amortization-Fixed Rate '!$K$12)/360)*C111),0)),2)</f>
        <v>0</v>
      </c>
      <c r="H111" s="2074">
        <f>ROUND((IF(A111='Input Amortization-Fixed Rate '!$B$7,J110,(IF(A111&gt;'Input Amortization-Fixed Rate '!$B$7,0,IF(AND(A111&gt;='Input Amortization-Fixed Rate '!$B$8,A111&lt;='Input Amortization-Fixed Rate '!$F$8,'Input Amortization-Fixed Rate '!$K$8="No"),0,(('Input Amortization-Fixed Rate '!$C$12*('Input Amortization-Fixed Rate '!$K$4-G111-N111)))))))),2)</f>
        <v>0</v>
      </c>
      <c r="I111" s="2075">
        <f t="shared" si="10"/>
        <v>0</v>
      </c>
      <c r="J111" s="2074">
        <f t="shared" si="15"/>
        <v>2.9802322387695313E-8</v>
      </c>
      <c r="K111" s="2074"/>
      <c r="L111" s="2074"/>
      <c r="M111" s="2074"/>
      <c r="N111" s="2054">
        <f>IFERROR((((Q110*'Input Amortization-Fixed Rate '!$K$13)/360)*C111),0)</f>
        <v>0</v>
      </c>
      <c r="O111" s="2076">
        <f>IF(A111&gt;'Input Amortization-Fixed Rate '!$B$7,0,IF(A111='Input Amortization-Fixed Rate '!$B$7,Q110,IF(AND(A111&gt;='Input Amortization-Fixed Rate '!$B$8,A111&lt;='Input Amortization-Fixed Rate '!$F$8,'Input Amortization-Fixed Rate '!$K$8="No"),0,'Input Amortization-Fixed Rate '!$K$4-I111-N111)))</f>
        <v>0</v>
      </c>
      <c r="P111" s="2077">
        <f t="shared" si="16"/>
        <v>0</v>
      </c>
      <c r="Q111" s="2054">
        <f t="shared" si="11"/>
        <v>0</v>
      </c>
      <c r="R111" s="2054"/>
      <c r="S111" s="2054"/>
      <c r="T111" s="2054"/>
      <c r="U111" s="2054">
        <f t="shared" si="12"/>
        <v>0</v>
      </c>
      <c r="V111" s="2054">
        <f t="shared" si="13"/>
        <v>0</v>
      </c>
      <c r="W111" s="2054">
        <f t="shared" si="9"/>
        <v>0</v>
      </c>
      <c r="X111" s="20"/>
      <c r="Y111" s="20"/>
    </row>
    <row r="112" spans="1:25" customFormat="1" ht="15">
      <c r="A112" s="2065">
        <f t="shared" si="17"/>
        <v>86</v>
      </c>
      <c r="B112" s="2066">
        <f>IF(A112&gt;[11]Input!$B$7,"",DATE(YEAR(B111),MONTH(B111)+1,DAY([11]Input!$B$17)))</f>
        <v>46487</v>
      </c>
      <c r="C112" s="2067">
        <f t="shared" si="14"/>
        <v>31</v>
      </c>
      <c r="D112" s="2067"/>
      <c r="E112" s="2067"/>
      <c r="F112" s="2067"/>
      <c r="G112" s="2068">
        <f>ROUND((IFERROR((((J111*'Input Amortization-Fixed Rate '!$K$12)/360)*C112),0)),2)</f>
        <v>0</v>
      </c>
      <c r="H112" s="2068">
        <f>ROUND((IF(A112='Input Amortization-Fixed Rate '!$B$7,J111,(IF(A112&gt;'Input Amortization-Fixed Rate '!$B$7,0,IF(AND(A112&gt;='Input Amortization-Fixed Rate '!$B$8,A112&lt;='Input Amortization-Fixed Rate '!$F$8,'Input Amortization-Fixed Rate '!$K$8="No"),0,(('Input Amortization-Fixed Rate '!$C$12*('Input Amortization-Fixed Rate '!$K$4-G112-N112)))))))),2)</f>
        <v>0</v>
      </c>
      <c r="I112" s="2069">
        <f t="shared" si="10"/>
        <v>0</v>
      </c>
      <c r="J112" s="2068">
        <f t="shared" si="15"/>
        <v>2.9802322387695313E-8</v>
      </c>
      <c r="K112" s="2068"/>
      <c r="L112" s="2068"/>
      <c r="M112" s="2068"/>
      <c r="N112" s="2070">
        <f>IFERROR((((Q111*'Input Amortization-Fixed Rate '!$K$13)/360)*C112),0)</f>
        <v>0</v>
      </c>
      <c r="O112" s="2070">
        <f>IF(A112&gt;'Input Amortization-Fixed Rate '!$B$7,0,IF(A112='Input Amortization-Fixed Rate '!$B$7,Q111,IF(AND(A112&gt;='Input Amortization-Fixed Rate '!$B$8,A112&lt;='Input Amortization-Fixed Rate '!$F$8,'Input Amortization-Fixed Rate '!$K$8="No"),0,'Input Amortization-Fixed Rate '!$K$4-I112-N112)))</f>
        <v>0</v>
      </c>
      <c r="P112" s="2071">
        <f t="shared" si="16"/>
        <v>0</v>
      </c>
      <c r="Q112" s="2070">
        <f t="shared" si="11"/>
        <v>0</v>
      </c>
      <c r="R112" s="2054"/>
      <c r="S112" s="2054"/>
      <c r="T112" s="2054"/>
      <c r="U112" s="2054">
        <f t="shared" si="12"/>
        <v>0</v>
      </c>
      <c r="V112" s="2054">
        <f t="shared" si="13"/>
        <v>0</v>
      </c>
      <c r="W112" s="2054">
        <f t="shared" si="9"/>
        <v>0</v>
      </c>
      <c r="X112" s="20"/>
      <c r="Y112" s="20"/>
    </row>
    <row r="113" spans="1:25" customFormat="1" ht="15">
      <c r="A113" s="100">
        <f t="shared" si="17"/>
        <v>87</v>
      </c>
      <c r="B113" s="2072">
        <f>IF(A113&gt;[11]Input!$B$7,"",DATE(YEAR(B112),MONTH(B112)+1,DAY([11]Input!$B$17)))</f>
        <v>46517</v>
      </c>
      <c r="C113" s="2073">
        <f t="shared" si="14"/>
        <v>30</v>
      </c>
      <c r="D113" s="2073"/>
      <c r="E113" s="2073"/>
      <c r="F113" s="2073"/>
      <c r="G113" s="2074">
        <f>ROUND((IFERROR((((J112*'Input Amortization-Fixed Rate '!$K$12)/360)*C113),0)),2)</f>
        <v>0</v>
      </c>
      <c r="H113" s="2074">
        <f>ROUND((IF(A113='Input Amortization-Fixed Rate '!$B$7,J112,(IF(A113&gt;'Input Amortization-Fixed Rate '!$B$7,0,IF(AND(A113&gt;='Input Amortization-Fixed Rate '!$B$8,A113&lt;='Input Amortization-Fixed Rate '!$F$8,'Input Amortization-Fixed Rate '!$K$8="No"),0,(('Input Amortization-Fixed Rate '!$C$12*('Input Amortization-Fixed Rate '!$K$4-G113-N113)))))))),2)</f>
        <v>0</v>
      </c>
      <c r="I113" s="2075">
        <f t="shared" si="10"/>
        <v>0</v>
      </c>
      <c r="J113" s="2074">
        <f t="shared" si="15"/>
        <v>2.9802322387695313E-8</v>
      </c>
      <c r="K113" s="2074"/>
      <c r="L113" s="2074"/>
      <c r="M113" s="2074"/>
      <c r="N113" s="2054">
        <f>IFERROR((((Q112*'Input Amortization-Fixed Rate '!$K$13)/360)*C113),0)</f>
        <v>0</v>
      </c>
      <c r="O113" s="2076">
        <f>IF(A113&gt;'Input Amortization-Fixed Rate '!$B$7,0,IF(A113='Input Amortization-Fixed Rate '!$B$7,Q112,IF(AND(A113&gt;='Input Amortization-Fixed Rate '!$B$8,A113&lt;='Input Amortization-Fixed Rate '!$F$8,'Input Amortization-Fixed Rate '!$K$8="No"),0,'Input Amortization-Fixed Rate '!$K$4-I113-N113)))</f>
        <v>0</v>
      </c>
      <c r="P113" s="2077">
        <f t="shared" si="16"/>
        <v>0</v>
      </c>
      <c r="Q113" s="2054">
        <f t="shared" si="11"/>
        <v>0</v>
      </c>
      <c r="R113" s="2054"/>
      <c r="S113" s="2054"/>
      <c r="T113" s="2054"/>
      <c r="U113" s="2054">
        <f t="shared" si="12"/>
        <v>0</v>
      </c>
      <c r="V113" s="2054">
        <f t="shared" si="13"/>
        <v>0</v>
      </c>
      <c r="W113" s="2054">
        <f t="shared" si="9"/>
        <v>0</v>
      </c>
      <c r="X113" s="20"/>
      <c r="Y113" s="20"/>
    </row>
    <row r="114" spans="1:25" customFormat="1" ht="15">
      <c r="A114" s="2065">
        <f t="shared" si="17"/>
        <v>88</v>
      </c>
      <c r="B114" s="2066">
        <f>IF(A114&gt;[11]Input!$B$7,"",DATE(YEAR(B113),MONTH(B113)+1,DAY([11]Input!$B$17)))</f>
        <v>46548</v>
      </c>
      <c r="C114" s="2067">
        <f t="shared" si="14"/>
        <v>31</v>
      </c>
      <c r="D114" s="2067"/>
      <c r="E114" s="2067"/>
      <c r="F114" s="2067"/>
      <c r="G114" s="2068">
        <f>ROUND((IFERROR((((J113*'Input Amortization-Fixed Rate '!$K$12)/360)*C114),0)),2)</f>
        <v>0</v>
      </c>
      <c r="H114" s="2068">
        <f>ROUND((IF(A114='Input Amortization-Fixed Rate '!$B$7,J113,(IF(A114&gt;'Input Amortization-Fixed Rate '!$B$7,0,IF(AND(A114&gt;='Input Amortization-Fixed Rate '!$B$8,A114&lt;='Input Amortization-Fixed Rate '!$F$8,'Input Amortization-Fixed Rate '!$K$8="No"),0,(('Input Amortization-Fixed Rate '!$C$12*('Input Amortization-Fixed Rate '!$K$4-G114-N114)))))))),2)</f>
        <v>0</v>
      </c>
      <c r="I114" s="2069">
        <f t="shared" si="10"/>
        <v>0</v>
      </c>
      <c r="J114" s="2068">
        <f t="shared" si="15"/>
        <v>2.9802322387695313E-8</v>
      </c>
      <c r="K114" s="2068"/>
      <c r="L114" s="2068"/>
      <c r="M114" s="2068"/>
      <c r="N114" s="2070">
        <f>IFERROR((((Q113*'Input Amortization-Fixed Rate '!$K$13)/360)*C114),0)</f>
        <v>0</v>
      </c>
      <c r="O114" s="2070">
        <f>IF(A114&gt;'Input Amortization-Fixed Rate '!$B$7,0,IF(A114='Input Amortization-Fixed Rate '!$B$7,Q113,IF(AND(A114&gt;='Input Amortization-Fixed Rate '!$B$8,A114&lt;='Input Amortization-Fixed Rate '!$F$8,'Input Amortization-Fixed Rate '!$K$8="No"),0,'Input Amortization-Fixed Rate '!$K$4-I114-N114)))</f>
        <v>0</v>
      </c>
      <c r="P114" s="2071">
        <f t="shared" si="16"/>
        <v>0</v>
      </c>
      <c r="Q114" s="2070">
        <f t="shared" si="11"/>
        <v>0</v>
      </c>
      <c r="R114" s="2054"/>
      <c r="S114" s="2054"/>
      <c r="T114" s="2054"/>
      <c r="U114" s="2054">
        <f t="shared" si="12"/>
        <v>0</v>
      </c>
      <c r="V114" s="2054">
        <f t="shared" si="13"/>
        <v>0</v>
      </c>
      <c r="W114" s="2054">
        <f t="shared" si="9"/>
        <v>0</v>
      </c>
      <c r="X114" s="20"/>
      <c r="Y114" s="20"/>
    </row>
    <row r="115" spans="1:25" customFormat="1" ht="15">
      <c r="A115" s="100">
        <f t="shared" si="17"/>
        <v>89</v>
      </c>
      <c r="B115" s="2072">
        <f>IF(A115&gt;[11]Input!$B$7,"",DATE(YEAR(B114),MONTH(B114)+1,DAY([11]Input!$B$17)))</f>
        <v>46578</v>
      </c>
      <c r="C115" s="2073">
        <f t="shared" si="14"/>
        <v>30</v>
      </c>
      <c r="D115" s="2073"/>
      <c r="E115" s="2073"/>
      <c r="F115" s="2073"/>
      <c r="G115" s="2074">
        <f>ROUND((IFERROR((((J114*'Input Amortization-Fixed Rate '!$K$12)/360)*C115),0)),2)</f>
        <v>0</v>
      </c>
      <c r="H115" s="2074">
        <f>ROUND((IF(A115='Input Amortization-Fixed Rate '!$B$7,J114,(IF(A115&gt;'Input Amortization-Fixed Rate '!$B$7,0,IF(AND(A115&gt;='Input Amortization-Fixed Rate '!$B$8,A115&lt;='Input Amortization-Fixed Rate '!$F$8,'Input Amortization-Fixed Rate '!$K$8="No"),0,(('Input Amortization-Fixed Rate '!$C$12*('Input Amortization-Fixed Rate '!$K$4-G115-N115)))))))),2)</f>
        <v>0</v>
      </c>
      <c r="I115" s="2075">
        <f t="shared" si="10"/>
        <v>0</v>
      </c>
      <c r="J115" s="2074">
        <f t="shared" si="15"/>
        <v>2.9802322387695313E-8</v>
      </c>
      <c r="K115" s="2074"/>
      <c r="L115" s="2074"/>
      <c r="M115" s="2074"/>
      <c r="N115" s="2054">
        <f>IFERROR((((Q114*'Input Amortization-Fixed Rate '!$K$13)/360)*C115),0)</f>
        <v>0</v>
      </c>
      <c r="O115" s="2076">
        <f>IF(A115&gt;'Input Amortization-Fixed Rate '!$B$7,0,IF(A115='Input Amortization-Fixed Rate '!$B$7,Q114,IF(AND(A115&gt;='Input Amortization-Fixed Rate '!$B$8,A115&lt;='Input Amortization-Fixed Rate '!$F$8,'Input Amortization-Fixed Rate '!$K$8="No"),0,'Input Amortization-Fixed Rate '!$K$4-I115-N115)))</f>
        <v>0</v>
      </c>
      <c r="P115" s="2077">
        <f t="shared" si="16"/>
        <v>0</v>
      </c>
      <c r="Q115" s="2054">
        <f t="shared" si="11"/>
        <v>0</v>
      </c>
      <c r="R115" s="2054"/>
      <c r="S115" s="2054"/>
      <c r="T115" s="2054"/>
      <c r="U115" s="2054">
        <f t="shared" si="12"/>
        <v>0</v>
      </c>
      <c r="V115" s="2054">
        <f t="shared" si="13"/>
        <v>0</v>
      </c>
      <c r="W115" s="2054">
        <f t="shared" si="9"/>
        <v>0</v>
      </c>
      <c r="X115" s="20"/>
      <c r="Y115" s="20"/>
    </row>
    <row r="116" spans="1:25" customFormat="1" ht="15">
      <c r="A116" s="2065">
        <f t="shared" si="17"/>
        <v>90</v>
      </c>
      <c r="B116" s="2066">
        <f>IF(A116&gt;[11]Input!$B$7,"",DATE(YEAR(B115),MONTH(B115)+1,DAY([11]Input!$B$17)))</f>
        <v>46609</v>
      </c>
      <c r="C116" s="2067">
        <f t="shared" si="14"/>
        <v>31</v>
      </c>
      <c r="D116" s="2067"/>
      <c r="E116" s="2067"/>
      <c r="F116" s="2067"/>
      <c r="G116" s="2068">
        <f>ROUND((IFERROR((((J115*'Input Amortization-Fixed Rate '!$K$12)/360)*C116),0)),2)</f>
        <v>0</v>
      </c>
      <c r="H116" s="2068">
        <f>ROUND((IF(A116='Input Amortization-Fixed Rate '!$B$7,J115,(IF(A116&gt;'Input Amortization-Fixed Rate '!$B$7,0,IF(AND(A116&gt;='Input Amortization-Fixed Rate '!$B$8,A116&lt;='Input Amortization-Fixed Rate '!$F$8,'Input Amortization-Fixed Rate '!$K$8="No"),0,(('Input Amortization-Fixed Rate '!$C$12*('Input Amortization-Fixed Rate '!$K$4-G116-N116)))))))),2)</f>
        <v>0</v>
      </c>
      <c r="I116" s="2069">
        <f t="shared" si="10"/>
        <v>0</v>
      </c>
      <c r="J116" s="2068">
        <f t="shared" si="15"/>
        <v>2.9802322387695313E-8</v>
      </c>
      <c r="K116" s="2068"/>
      <c r="L116" s="2068"/>
      <c r="M116" s="2068"/>
      <c r="N116" s="2070">
        <f>IFERROR((((Q115*'Input Amortization-Fixed Rate '!$K$13)/360)*C116),0)</f>
        <v>0</v>
      </c>
      <c r="O116" s="2070">
        <f>IF(A116&gt;'Input Amortization-Fixed Rate '!$B$7,0,IF(A116='Input Amortization-Fixed Rate '!$B$7,Q115,IF(AND(A116&gt;='Input Amortization-Fixed Rate '!$B$8,A116&lt;='Input Amortization-Fixed Rate '!$F$8,'Input Amortization-Fixed Rate '!$K$8="No"),0,'Input Amortization-Fixed Rate '!$K$4-I116-N116)))</f>
        <v>0</v>
      </c>
      <c r="P116" s="2071">
        <f t="shared" si="16"/>
        <v>0</v>
      </c>
      <c r="Q116" s="2070">
        <f t="shared" si="11"/>
        <v>0</v>
      </c>
      <c r="R116" s="2054"/>
      <c r="S116" s="2054"/>
      <c r="T116" s="2054"/>
      <c r="U116" s="2054">
        <f t="shared" si="12"/>
        <v>0</v>
      </c>
      <c r="V116" s="2054">
        <f t="shared" si="13"/>
        <v>0</v>
      </c>
      <c r="W116" s="2054">
        <f t="shared" si="9"/>
        <v>0</v>
      </c>
      <c r="X116" s="20"/>
      <c r="Y116" s="20"/>
    </row>
    <row r="117" spans="1:25" customFormat="1" ht="15">
      <c r="A117" s="100">
        <f t="shared" si="17"/>
        <v>91</v>
      </c>
      <c r="B117" s="2072">
        <f>IF(A117&gt;[11]Input!$B$7,"",DATE(YEAR(B116),MONTH(B116)+1,DAY([11]Input!$B$17)))</f>
        <v>46640</v>
      </c>
      <c r="C117" s="2073">
        <f t="shared" si="14"/>
        <v>31</v>
      </c>
      <c r="D117" s="2073"/>
      <c r="E117" s="2073"/>
      <c r="F117" s="2073"/>
      <c r="G117" s="2074">
        <f>ROUND((IFERROR((((J116*'Input Amortization-Fixed Rate '!$K$12)/360)*C117),0)),2)</f>
        <v>0</v>
      </c>
      <c r="H117" s="2074">
        <f>ROUND((IF(A117='Input Amortization-Fixed Rate '!$B$7,J116,(IF(A117&gt;'Input Amortization-Fixed Rate '!$B$7,0,IF(AND(A117&gt;='Input Amortization-Fixed Rate '!$B$8,A117&lt;='Input Amortization-Fixed Rate '!$F$8,'Input Amortization-Fixed Rate '!$K$8="No"),0,(('Input Amortization-Fixed Rate '!$C$12*('Input Amortization-Fixed Rate '!$K$4-G117-N117)))))))),2)</f>
        <v>0</v>
      </c>
      <c r="I117" s="2075">
        <f t="shared" si="10"/>
        <v>0</v>
      </c>
      <c r="J117" s="2074">
        <f t="shared" si="15"/>
        <v>2.9802322387695313E-8</v>
      </c>
      <c r="K117" s="2074"/>
      <c r="L117" s="2074"/>
      <c r="M117" s="2074"/>
      <c r="N117" s="2054">
        <f>IFERROR((((Q116*'Input Amortization-Fixed Rate '!$K$13)/360)*C117),0)</f>
        <v>0</v>
      </c>
      <c r="O117" s="2076">
        <f>IF(A117&gt;'Input Amortization-Fixed Rate '!$B$7,0,IF(A117='Input Amortization-Fixed Rate '!$B$7,Q116,IF(AND(A117&gt;='Input Amortization-Fixed Rate '!$B$8,A117&lt;='Input Amortization-Fixed Rate '!$F$8,'Input Amortization-Fixed Rate '!$K$8="No"),0,'Input Amortization-Fixed Rate '!$K$4-I117-N117)))</f>
        <v>0</v>
      </c>
      <c r="P117" s="2077">
        <f t="shared" si="16"/>
        <v>0</v>
      </c>
      <c r="Q117" s="2054">
        <f t="shared" si="11"/>
        <v>0</v>
      </c>
      <c r="R117" s="2054"/>
      <c r="S117" s="2054"/>
      <c r="T117" s="2054"/>
      <c r="U117" s="2054">
        <f t="shared" si="12"/>
        <v>0</v>
      </c>
      <c r="V117" s="2054">
        <f t="shared" si="13"/>
        <v>0</v>
      </c>
      <c r="W117" s="2054">
        <f t="shared" si="9"/>
        <v>0</v>
      </c>
      <c r="X117" s="20"/>
      <c r="Y117" s="20"/>
    </row>
    <row r="118" spans="1:25" customFormat="1" ht="15">
      <c r="A118" s="2065">
        <f t="shared" si="17"/>
        <v>92</v>
      </c>
      <c r="B118" s="2066">
        <f>IF(A118&gt;[11]Input!$B$7,"",DATE(YEAR(B117),MONTH(B117)+1,DAY([11]Input!$B$17)))</f>
        <v>46670</v>
      </c>
      <c r="C118" s="2067">
        <f t="shared" si="14"/>
        <v>30</v>
      </c>
      <c r="D118" s="2067"/>
      <c r="E118" s="2067"/>
      <c r="F118" s="2067"/>
      <c r="G118" s="2068">
        <f>ROUND((IFERROR((((J117*'Input Amortization-Fixed Rate '!$K$12)/360)*C118),0)),2)</f>
        <v>0</v>
      </c>
      <c r="H118" s="2068">
        <f>ROUND((IF(A118='Input Amortization-Fixed Rate '!$B$7,J117,(IF(A118&gt;'Input Amortization-Fixed Rate '!$B$7,0,IF(AND(A118&gt;='Input Amortization-Fixed Rate '!$B$8,A118&lt;='Input Amortization-Fixed Rate '!$F$8,'Input Amortization-Fixed Rate '!$K$8="No"),0,(('Input Amortization-Fixed Rate '!$C$12*('Input Amortization-Fixed Rate '!$K$4-G118-N118)))))))),2)</f>
        <v>0</v>
      </c>
      <c r="I118" s="2069">
        <f t="shared" si="10"/>
        <v>0</v>
      </c>
      <c r="J118" s="2068">
        <f t="shared" si="15"/>
        <v>2.9802322387695313E-8</v>
      </c>
      <c r="K118" s="2068"/>
      <c r="L118" s="2068"/>
      <c r="M118" s="2068"/>
      <c r="N118" s="2070">
        <f>IFERROR((((Q117*'Input Amortization-Fixed Rate '!$K$13)/360)*C118),0)</f>
        <v>0</v>
      </c>
      <c r="O118" s="2070">
        <f>IF(A118&gt;'Input Amortization-Fixed Rate '!$B$7,0,IF(A118='Input Amortization-Fixed Rate '!$B$7,Q117,IF(AND(A118&gt;='Input Amortization-Fixed Rate '!$B$8,A118&lt;='Input Amortization-Fixed Rate '!$F$8,'Input Amortization-Fixed Rate '!$K$8="No"),0,'Input Amortization-Fixed Rate '!$K$4-I118-N118)))</f>
        <v>0</v>
      </c>
      <c r="P118" s="2071">
        <f t="shared" si="16"/>
        <v>0</v>
      </c>
      <c r="Q118" s="2070">
        <f t="shared" si="11"/>
        <v>0</v>
      </c>
      <c r="R118" s="2054"/>
      <c r="S118" s="2054"/>
      <c r="T118" s="2054"/>
      <c r="U118" s="2054">
        <f t="shared" si="12"/>
        <v>0</v>
      </c>
      <c r="V118" s="2054">
        <f t="shared" si="13"/>
        <v>0</v>
      </c>
      <c r="W118" s="2054">
        <f t="shared" si="9"/>
        <v>0</v>
      </c>
      <c r="X118" s="20"/>
      <c r="Y118" s="20"/>
    </row>
    <row r="119" spans="1:25" customFormat="1" ht="15">
      <c r="A119" s="100">
        <f t="shared" si="17"/>
        <v>93</v>
      </c>
      <c r="B119" s="2072">
        <f>IF(A119&gt;[11]Input!$B$7,"",DATE(YEAR(B118),MONTH(B118)+1,DAY([11]Input!$B$17)))</f>
        <v>46701</v>
      </c>
      <c r="C119" s="2073">
        <f t="shared" si="14"/>
        <v>31</v>
      </c>
      <c r="D119" s="2073"/>
      <c r="E119" s="2073"/>
      <c r="F119" s="2073"/>
      <c r="G119" s="2074">
        <f>ROUND((IFERROR((((J118*'Input Amortization-Fixed Rate '!$K$12)/360)*C119),0)),2)</f>
        <v>0</v>
      </c>
      <c r="H119" s="2074">
        <f>ROUND((IF(A119='Input Amortization-Fixed Rate '!$B$7,J118,(IF(A119&gt;'Input Amortization-Fixed Rate '!$B$7,0,IF(AND(A119&gt;='Input Amortization-Fixed Rate '!$B$8,A119&lt;='Input Amortization-Fixed Rate '!$F$8,'Input Amortization-Fixed Rate '!$K$8="No"),0,(('Input Amortization-Fixed Rate '!$C$12*('Input Amortization-Fixed Rate '!$K$4-G119-N119)))))))),2)</f>
        <v>0</v>
      </c>
      <c r="I119" s="2075">
        <f t="shared" si="10"/>
        <v>0</v>
      </c>
      <c r="J119" s="2074">
        <f t="shared" si="15"/>
        <v>2.9802322387695313E-8</v>
      </c>
      <c r="K119" s="2074"/>
      <c r="L119" s="2074"/>
      <c r="M119" s="2074"/>
      <c r="N119" s="2054">
        <f>IFERROR((((Q118*'Input Amortization-Fixed Rate '!$K$13)/360)*C119),0)</f>
        <v>0</v>
      </c>
      <c r="O119" s="2076">
        <f>IF(A119&gt;'Input Amortization-Fixed Rate '!$B$7,0,IF(A119='Input Amortization-Fixed Rate '!$B$7,Q118,IF(AND(A119&gt;='Input Amortization-Fixed Rate '!$B$8,A119&lt;='Input Amortization-Fixed Rate '!$F$8,'Input Amortization-Fixed Rate '!$K$8="No"),0,'Input Amortization-Fixed Rate '!$K$4-I119-N119)))</f>
        <v>0</v>
      </c>
      <c r="P119" s="2077">
        <f t="shared" si="16"/>
        <v>0</v>
      </c>
      <c r="Q119" s="2054">
        <f t="shared" si="11"/>
        <v>0</v>
      </c>
      <c r="R119" s="2054"/>
      <c r="S119" s="2054"/>
      <c r="T119" s="2054"/>
      <c r="U119" s="2054">
        <f t="shared" si="12"/>
        <v>0</v>
      </c>
      <c r="V119" s="2054">
        <f t="shared" si="13"/>
        <v>0</v>
      </c>
      <c r="W119" s="2054">
        <f t="shared" si="9"/>
        <v>0</v>
      </c>
      <c r="X119" s="20"/>
      <c r="Y119" s="20"/>
    </row>
    <row r="120" spans="1:25" customFormat="1" ht="15">
      <c r="A120" s="2065">
        <f t="shared" si="17"/>
        <v>94</v>
      </c>
      <c r="B120" s="2066">
        <f>IF(A120&gt;[11]Input!$B$7,"",DATE(YEAR(B119),MONTH(B119)+1,DAY([11]Input!$B$17)))</f>
        <v>46731</v>
      </c>
      <c r="C120" s="2067">
        <f t="shared" si="14"/>
        <v>30</v>
      </c>
      <c r="D120" s="2067"/>
      <c r="E120" s="2067"/>
      <c r="F120" s="2067"/>
      <c r="G120" s="2068">
        <f>ROUND((IFERROR((((J119*'Input Amortization-Fixed Rate '!$K$12)/360)*C120),0)),2)</f>
        <v>0</v>
      </c>
      <c r="H120" s="2068">
        <f>ROUND((IF(A120='Input Amortization-Fixed Rate '!$B$7,J119,(IF(A120&gt;'Input Amortization-Fixed Rate '!$B$7,0,IF(AND(A120&gt;='Input Amortization-Fixed Rate '!$B$8,A120&lt;='Input Amortization-Fixed Rate '!$F$8,'Input Amortization-Fixed Rate '!$K$8="No"),0,(('Input Amortization-Fixed Rate '!$C$12*('Input Amortization-Fixed Rate '!$K$4-G120-N120)))))))),2)</f>
        <v>0</v>
      </c>
      <c r="I120" s="2069">
        <f t="shared" si="10"/>
        <v>0</v>
      </c>
      <c r="J120" s="2068">
        <f t="shared" si="15"/>
        <v>2.9802322387695313E-8</v>
      </c>
      <c r="K120" s="2068"/>
      <c r="L120" s="2068"/>
      <c r="M120" s="2068"/>
      <c r="N120" s="2070">
        <f>IFERROR((((Q119*'Input Amortization-Fixed Rate '!$K$13)/360)*C120),0)</f>
        <v>0</v>
      </c>
      <c r="O120" s="2070">
        <f>IF(A120&gt;'Input Amortization-Fixed Rate '!$B$7,0,IF(A120='Input Amortization-Fixed Rate '!$B$7,Q119,IF(AND(A120&gt;='Input Amortization-Fixed Rate '!$B$8,A120&lt;='Input Amortization-Fixed Rate '!$F$8,'Input Amortization-Fixed Rate '!$K$8="No"),0,'Input Amortization-Fixed Rate '!$K$4-I120-N120)))</f>
        <v>0</v>
      </c>
      <c r="P120" s="2071">
        <f t="shared" si="16"/>
        <v>0</v>
      </c>
      <c r="Q120" s="2070">
        <f t="shared" si="11"/>
        <v>0</v>
      </c>
      <c r="R120" s="2054"/>
      <c r="S120" s="2054"/>
      <c r="T120" s="2054"/>
      <c r="U120" s="2054">
        <f t="shared" si="12"/>
        <v>0</v>
      </c>
      <c r="V120" s="2054">
        <f t="shared" si="13"/>
        <v>0</v>
      </c>
      <c r="W120" s="2054">
        <f t="shared" si="9"/>
        <v>0</v>
      </c>
      <c r="X120" s="20"/>
      <c r="Y120" s="20"/>
    </row>
    <row r="121" spans="1:25" customFormat="1" ht="15">
      <c r="A121" s="100">
        <f t="shared" si="17"/>
        <v>95</v>
      </c>
      <c r="B121" s="2072">
        <f>IF(A121&gt;[11]Input!$B$7,"",DATE(YEAR(B120),MONTH(B120)+1,DAY([11]Input!$B$17)))</f>
        <v>46762</v>
      </c>
      <c r="C121" s="2073">
        <f t="shared" si="14"/>
        <v>31</v>
      </c>
      <c r="D121" s="2073"/>
      <c r="E121" s="2073"/>
      <c r="F121" s="2073"/>
      <c r="G121" s="2074">
        <f>ROUND((IFERROR((((J120*'Input Amortization-Fixed Rate '!$K$12)/360)*C121),0)),2)</f>
        <v>0</v>
      </c>
      <c r="H121" s="2074">
        <f>ROUND((IF(A121='Input Amortization-Fixed Rate '!$B$7,J120,(IF(A121&gt;'Input Amortization-Fixed Rate '!$B$7,0,IF(AND(A121&gt;='Input Amortization-Fixed Rate '!$B$8,A121&lt;='Input Amortization-Fixed Rate '!$F$8,'Input Amortization-Fixed Rate '!$K$8="No"),0,(('Input Amortization-Fixed Rate '!$C$12*('Input Amortization-Fixed Rate '!$K$4-G121-N121)))))))),2)</f>
        <v>0</v>
      </c>
      <c r="I121" s="2075">
        <f t="shared" si="10"/>
        <v>0</v>
      </c>
      <c r="J121" s="2074">
        <f t="shared" si="15"/>
        <v>2.9802322387695313E-8</v>
      </c>
      <c r="K121" s="2074"/>
      <c r="L121" s="2074"/>
      <c r="M121" s="2074"/>
      <c r="N121" s="2054">
        <f>IFERROR((((Q120*'Input Amortization-Fixed Rate '!$K$13)/360)*C121),0)</f>
        <v>0</v>
      </c>
      <c r="O121" s="2076">
        <f>IF(A121&gt;'Input Amortization-Fixed Rate '!$B$7,0,IF(A121='Input Amortization-Fixed Rate '!$B$7,Q120,IF(AND(A121&gt;='Input Amortization-Fixed Rate '!$B$8,A121&lt;='Input Amortization-Fixed Rate '!$F$8,'Input Amortization-Fixed Rate '!$K$8="No"),0,'Input Amortization-Fixed Rate '!$K$4-I121-N121)))</f>
        <v>0</v>
      </c>
      <c r="P121" s="2077">
        <f t="shared" si="16"/>
        <v>0</v>
      </c>
      <c r="Q121" s="2054">
        <f t="shared" si="11"/>
        <v>0</v>
      </c>
      <c r="R121" s="2054"/>
      <c r="S121" s="2054"/>
      <c r="T121" s="2054"/>
      <c r="U121" s="2054">
        <f t="shared" si="12"/>
        <v>0</v>
      </c>
      <c r="V121" s="2054">
        <f t="shared" si="13"/>
        <v>0</v>
      </c>
      <c r="W121" s="2054">
        <f t="shared" si="9"/>
        <v>0</v>
      </c>
      <c r="X121" s="20"/>
      <c r="Y121" s="20"/>
    </row>
    <row r="122" spans="1:25" customFormat="1" ht="15">
      <c r="A122" s="2065">
        <f t="shared" si="17"/>
        <v>96</v>
      </c>
      <c r="B122" s="2066">
        <f>IF(A122&gt;[11]Input!$B$7,"",DATE(YEAR(B121),MONTH(B121)+1,DAY([11]Input!$B$17)))</f>
        <v>46793</v>
      </c>
      <c r="C122" s="2067">
        <f t="shared" si="14"/>
        <v>31</v>
      </c>
      <c r="D122" s="2067"/>
      <c r="E122" s="2067"/>
      <c r="F122" s="2067"/>
      <c r="G122" s="2068">
        <f>ROUND((IFERROR((((J121*'Input Amortization-Fixed Rate '!$K$12)/360)*C122),0)),2)</f>
        <v>0</v>
      </c>
      <c r="H122" s="2068">
        <f>ROUND((IF(A122='Input Amortization-Fixed Rate '!$B$7,J121,(IF(A122&gt;'Input Amortization-Fixed Rate '!$B$7,0,IF(AND(A122&gt;='Input Amortization-Fixed Rate '!$B$8,A122&lt;='Input Amortization-Fixed Rate '!$F$8,'Input Amortization-Fixed Rate '!$K$8="No"),0,(('Input Amortization-Fixed Rate '!$C$12*('Input Amortization-Fixed Rate '!$K$4-G122-N122)))))))),2)</f>
        <v>0</v>
      </c>
      <c r="I122" s="2069">
        <f t="shared" si="10"/>
        <v>0</v>
      </c>
      <c r="J122" s="2068">
        <f t="shared" si="15"/>
        <v>2.9802322387695313E-8</v>
      </c>
      <c r="K122" s="2068"/>
      <c r="L122" s="2068"/>
      <c r="M122" s="2068"/>
      <c r="N122" s="2070">
        <f>IFERROR((((Q121*'Input Amortization-Fixed Rate '!$K$13)/360)*C122),0)</f>
        <v>0</v>
      </c>
      <c r="O122" s="2070">
        <f>IF(A122&gt;'Input Amortization-Fixed Rate '!$B$7,0,IF(A122='Input Amortization-Fixed Rate '!$B$7,Q121,IF(AND(A122&gt;='Input Amortization-Fixed Rate '!$B$8,A122&lt;='Input Amortization-Fixed Rate '!$F$8,'Input Amortization-Fixed Rate '!$K$8="No"),0,'Input Amortization-Fixed Rate '!$K$4-I122-N122)))</f>
        <v>0</v>
      </c>
      <c r="P122" s="2071">
        <f t="shared" si="16"/>
        <v>0</v>
      </c>
      <c r="Q122" s="2070">
        <f t="shared" si="11"/>
        <v>0</v>
      </c>
      <c r="R122" s="2054"/>
      <c r="S122" s="2054"/>
      <c r="T122" s="2054"/>
      <c r="U122" s="2054">
        <f t="shared" si="12"/>
        <v>0</v>
      </c>
      <c r="V122" s="2054">
        <f t="shared" si="13"/>
        <v>0</v>
      </c>
      <c r="W122" s="2054">
        <f t="shared" si="9"/>
        <v>0</v>
      </c>
      <c r="X122" s="20"/>
      <c r="Y122" s="20"/>
    </row>
    <row r="123" spans="1:25" customFormat="1" ht="15">
      <c r="A123" s="100">
        <f t="shared" si="17"/>
        <v>97</v>
      </c>
      <c r="B123" s="2072">
        <f>IF(A123&gt;[11]Input!$B$7,"",DATE(YEAR(B122),MONTH(B122)+1,DAY([11]Input!$B$17)))</f>
        <v>46822</v>
      </c>
      <c r="C123" s="2073">
        <f t="shared" si="14"/>
        <v>29</v>
      </c>
      <c r="D123" s="2073"/>
      <c r="E123" s="2073"/>
      <c r="F123" s="2073"/>
      <c r="G123" s="2074">
        <f>ROUND((IFERROR((((J122*'Input Amortization-Fixed Rate '!$K$12)/360)*C123),0)),2)</f>
        <v>0</v>
      </c>
      <c r="H123" s="2074">
        <f>ROUND((IF(A123='Input Amortization-Fixed Rate '!$B$7,J122,(IF(A123&gt;'Input Amortization-Fixed Rate '!$B$7,0,IF(AND(A123&gt;='Input Amortization-Fixed Rate '!$B$8,A123&lt;='Input Amortization-Fixed Rate '!$F$8,'Input Amortization-Fixed Rate '!$K$8="No"),0,(('Input Amortization-Fixed Rate '!$C$12*('Input Amortization-Fixed Rate '!$K$4-G123-N123)))))))),2)</f>
        <v>0</v>
      </c>
      <c r="I123" s="2075">
        <f t="shared" si="10"/>
        <v>0</v>
      </c>
      <c r="J123" s="2074">
        <f t="shared" si="15"/>
        <v>2.9802322387695313E-8</v>
      </c>
      <c r="K123" s="2074"/>
      <c r="L123" s="2074"/>
      <c r="M123" s="2074"/>
      <c r="N123" s="2054">
        <f>IFERROR((((Q122*'Input Amortization-Fixed Rate '!$K$13)/360)*C123),0)</f>
        <v>0</v>
      </c>
      <c r="O123" s="2076">
        <f>IF(A123&gt;'Input Amortization-Fixed Rate '!$B$7,0,IF(A123='Input Amortization-Fixed Rate '!$B$7,Q122,IF(AND(A123&gt;='Input Amortization-Fixed Rate '!$B$8,A123&lt;='Input Amortization-Fixed Rate '!$F$8,'Input Amortization-Fixed Rate '!$K$8="No"),0,'Input Amortization-Fixed Rate '!$K$4-I123-N123)))</f>
        <v>0</v>
      </c>
      <c r="P123" s="2077">
        <f t="shared" si="16"/>
        <v>0</v>
      </c>
      <c r="Q123" s="2054">
        <f t="shared" si="11"/>
        <v>0</v>
      </c>
      <c r="R123" s="2054"/>
      <c r="S123" s="2054"/>
      <c r="T123" s="2054"/>
      <c r="U123" s="2054">
        <f t="shared" si="12"/>
        <v>0</v>
      </c>
      <c r="V123" s="2054">
        <f t="shared" si="13"/>
        <v>0</v>
      </c>
      <c r="W123" s="2054">
        <f t="shared" si="9"/>
        <v>0</v>
      </c>
      <c r="X123" s="20"/>
      <c r="Y123" s="20"/>
    </row>
    <row r="124" spans="1:25" customFormat="1" ht="15">
      <c r="A124" s="2065">
        <f t="shared" si="17"/>
        <v>98</v>
      </c>
      <c r="B124" s="2066">
        <f>IF(A124&gt;[11]Input!$B$7,"",DATE(YEAR(B123),MONTH(B123)+1,DAY([11]Input!$B$17)))</f>
        <v>46853</v>
      </c>
      <c r="C124" s="2067">
        <f t="shared" si="14"/>
        <v>31</v>
      </c>
      <c r="D124" s="2067"/>
      <c r="E124" s="2067"/>
      <c r="F124" s="2067"/>
      <c r="G124" s="2068">
        <f>ROUND((IFERROR((((J123*'Input Amortization-Fixed Rate '!$K$12)/360)*C124),0)),2)</f>
        <v>0</v>
      </c>
      <c r="H124" s="2068">
        <f>ROUND((IF(A124='Input Amortization-Fixed Rate '!$B$7,J123,(IF(A124&gt;'Input Amortization-Fixed Rate '!$B$7,0,IF(AND(A124&gt;='Input Amortization-Fixed Rate '!$B$8,A124&lt;='Input Amortization-Fixed Rate '!$F$8,'Input Amortization-Fixed Rate '!$K$8="No"),0,(('Input Amortization-Fixed Rate '!$C$12*('Input Amortization-Fixed Rate '!$K$4-G124-N124)))))))),2)</f>
        <v>0</v>
      </c>
      <c r="I124" s="2069">
        <f t="shared" si="10"/>
        <v>0</v>
      </c>
      <c r="J124" s="2068">
        <f t="shared" si="15"/>
        <v>2.9802322387695313E-8</v>
      </c>
      <c r="K124" s="2068"/>
      <c r="L124" s="2068"/>
      <c r="M124" s="2068"/>
      <c r="N124" s="2070">
        <f>IFERROR((((Q123*'Input Amortization-Fixed Rate '!$K$13)/360)*C124),0)</f>
        <v>0</v>
      </c>
      <c r="O124" s="2070">
        <f>IF(A124&gt;'Input Amortization-Fixed Rate '!$B$7,0,IF(A124='Input Amortization-Fixed Rate '!$B$7,Q123,IF(AND(A124&gt;='Input Amortization-Fixed Rate '!$B$8,A124&lt;='Input Amortization-Fixed Rate '!$F$8,'Input Amortization-Fixed Rate '!$K$8="No"),0,'Input Amortization-Fixed Rate '!$K$4-I124-N124)))</f>
        <v>0</v>
      </c>
      <c r="P124" s="2071">
        <f t="shared" si="16"/>
        <v>0</v>
      </c>
      <c r="Q124" s="2070">
        <f t="shared" si="11"/>
        <v>0</v>
      </c>
      <c r="R124" s="2054"/>
      <c r="S124" s="2054"/>
      <c r="T124" s="2054"/>
      <c r="U124" s="2054">
        <f t="shared" si="12"/>
        <v>0</v>
      </c>
      <c r="V124" s="2054">
        <f t="shared" si="13"/>
        <v>0</v>
      </c>
      <c r="W124" s="2054">
        <f t="shared" si="9"/>
        <v>0</v>
      </c>
      <c r="X124" s="20"/>
      <c r="Y124" s="20"/>
    </row>
    <row r="125" spans="1:25" customFormat="1" ht="15">
      <c r="A125" s="100">
        <f t="shared" si="17"/>
        <v>99</v>
      </c>
      <c r="B125" s="2072">
        <f>IF(A125&gt;[11]Input!$B$7,"",DATE(YEAR(B124),MONTH(B124)+1,DAY([11]Input!$B$17)))</f>
        <v>46883</v>
      </c>
      <c r="C125" s="2073">
        <f t="shared" si="14"/>
        <v>30</v>
      </c>
      <c r="D125" s="2073"/>
      <c r="E125" s="2073"/>
      <c r="F125" s="2073"/>
      <c r="G125" s="2074">
        <f>ROUND((IFERROR((((J124*'Input Amortization-Fixed Rate '!$K$12)/360)*C125),0)),2)</f>
        <v>0</v>
      </c>
      <c r="H125" s="2074">
        <f>ROUND((IF(A125='Input Amortization-Fixed Rate '!$B$7,J124,(IF(A125&gt;'Input Amortization-Fixed Rate '!$B$7,0,IF(AND(A125&gt;='Input Amortization-Fixed Rate '!$B$8,A125&lt;='Input Amortization-Fixed Rate '!$F$8,'Input Amortization-Fixed Rate '!$K$8="No"),0,(('Input Amortization-Fixed Rate '!$C$12*('Input Amortization-Fixed Rate '!$K$4-G125-N125)))))))),2)</f>
        <v>0</v>
      </c>
      <c r="I125" s="2075">
        <f t="shared" si="10"/>
        <v>0</v>
      </c>
      <c r="J125" s="2074">
        <f t="shared" si="15"/>
        <v>2.9802322387695313E-8</v>
      </c>
      <c r="K125" s="2074"/>
      <c r="L125" s="2074"/>
      <c r="M125" s="2074"/>
      <c r="N125" s="2054">
        <f>IFERROR((((Q124*'Input Amortization-Fixed Rate '!$K$13)/360)*C125),0)</f>
        <v>0</v>
      </c>
      <c r="O125" s="2076">
        <f>IF(A125&gt;'Input Amortization-Fixed Rate '!$B$7,0,IF(A125='Input Amortization-Fixed Rate '!$B$7,Q124,IF(AND(A125&gt;='Input Amortization-Fixed Rate '!$B$8,A125&lt;='Input Amortization-Fixed Rate '!$F$8,'Input Amortization-Fixed Rate '!$K$8="No"),0,'Input Amortization-Fixed Rate '!$K$4-I125-N125)))</f>
        <v>0</v>
      </c>
      <c r="P125" s="2077">
        <f t="shared" si="16"/>
        <v>0</v>
      </c>
      <c r="Q125" s="2054">
        <f t="shared" si="11"/>
        <v>0</v>
      </c>
      <c r="R125" s="2054"/>
      <c r="S125" s="2054"/>
      <c r="T125" s="2054"/>
      <c r="U125" s="2054">
        <f t="shared" si="12"/>
        <v>0</v>
      </c>
      <c r="V125" s="2054">
        <f t="shared" si="13"/>
        <v>0</v>
      </c>
      <c r="W125" s="2054">
        <f t="shared" si="9"/>
        <v>0</v>
      </c>
      <c r="X125" s="20"/>
      <c r="Y125" s="20"/>
    </row>
    <row r="126" spans="1:25" customFormat="1" ht="15">
      <c r="A126" s="2065">
        <f t="shared" si="17"/>
        <v>100</v>
      </c>
      <c r="B126" s="2066">
        <f>IF(A126&gt;[11]Input!$B$7,"",DATE(YEAR(B125),MONTH(B125)+1,DAY([11]Input!$B$17)))</f>
        <v>46914</v>
      </c>
      <c r="C126" s="2067">
        <f t="shared" si="14"/>
        <v>31</v>
      </c>
      <c r="D126" s="2067"/>
      <c r="E126" s="2067"/>
      <c r="F126" s="2067"/>
      <c r="G126" s="2068">
        <f>ROUND((IFERROR((((J125*'Input Amortization-Fixed Rate '!$K$12)/360)*C126),0)),2)</f>
        <v>0</v>
      </c>
      <c r="H126" s="2068">
        <f>ROUND((IF(A126='Input Amortization-Fixed Rate '!$B$7,J125,(IF(A126&gt;'Input Amortization-Fixed Rate '!$B$7,0,IF(AND(A126&gt;='Input Amortization-Fixed Rate '!$B$8,A126&lt;='Input Amortization-Fixed Rate '!$F$8,'Input Amortization-Fixed Rate '!$K$8="No"),0,(('Input Amortization-Fixed Rate '!$C$12*('Input Amortization-Fixed Rate '!$K$4-G126-N126)))))))),2)</f>
        <v>0</v>
      </c>
      <c r="I126" s="2069">
        <f t="shared" si="10"/>
        <v>0</v>
      </c>
      <c r="J126" s="2068">
        <f t="shared" si="15"/>
        <v>2.9802322387695313E-8</v>
      </c>
      <c r="K126" s="2068"/>
      <c r="L126" s="2068"/>
      <c r="M126" s="2068"/>
      <c r="N126" s="2070">
        <f>IFERROR((((Q125*'Input Amortization-Fixed Rate '!$K$13)/360)*C126),0)</f>
        <v>0</v>
      </c>
      <c r="O126" s="2070">
        <f>IF(A126&gt;'Input Amortization-Fixed Rate '!$B$7,0,IF(A126='Input Amortization-Fixed Rate '!$B$7,Q125,IF(AND(A126&gt;='Input Amortization-Fixed Rate '!$B$8,A126&lt;='Input Amortization-Fixed Rate '!$F$8,'Input Amortization-Fixed Rate '!$K$8="No"),0,'Input Amortization-Fixed Rate '!$K$4-I126-N126)))</f>
        <v>0</v>
      </c>
      <c r="P126" s="2071">
        <f t="shared" si="16"/>
        <v>0</v>
      </c>
      <c r="Q126" s="2070">
        <f t="shared" si="11"/>
        <v>0</v>
      </c>
      <c r="R126" s="2054"/>
      <c r="S126" s="2054"/>
      <c r="T126" s="2054"/>
      <c r="U126" s="2054">
        <f t="shared" si="12"/>
        <v>0</v>
      </c>
      <c r="V126" s="2054">
        <f t="shared" si="13"/>
        <v>0</v>
      </c>
      <c r="W126" s="2054">
        <f t="shared" si="9"/>
        <v>0</v>
      </c>
      <c r="X126" s="20"/>
      <c r="Y126" s="20"/>
    </row>
    <row r="127" spans="1:25" customFormat="1" ht="15">
      <c r="A127" s="100">
        <f t="shared" si="17"/>
        <v>101</v>
      </c>
      <c r="B127" s="2072">
        <f>IF(A127&gt;[11]Input!$B$7,"",DATE(YEAR(B126),MONTH(B126)+1,DAY([11]Input!$B$17)))</f>
        <v>46944</v>
      </c>
      <c r="C127" s="2073">
        <f t="shared" si="14"/>
        <v>30</v>
      </c>
      <c r="D127" s="2073"/>
      <c r="E127" s="2073"/>
      <c r="F127" s="2073"/>
      <c r="G127" s="2074">
        <f>ROUND((IFERROR((((J126*'Input Amortization-Fixed Rate '!$K$12)/360)*C127),0)),2)</f>
        <v>0</v>
      </c>
      <c r="H127" s="2074">
        <f>ROUND((IF(A127='Input Amortization-Fixed Rate '!$B$7,J126,(IF(A127&gt;'Input Amortization-Fixed Rate '!$B$7,0,IF(AND(A127&gt;='Input Amortization-Fixed Rate '!$B$8,A127&lt;='Input Amortization-Fixed Rate '!$F$8,'Input Amortization-Fixed Rate '!$K$8="No"),0,(('Input Amortization-Fixed Rate '!$C$12*('Input Amortization-Fixed Rate '!$K$4-G127-N127)))))))),2)</f>
        <v>0</v>
      </c>
      <c r="I127" s="2075">
        <f t="shared" si="10"/>
        <v>0</v>
      </c>
      <c r="J127" s="2074">
        <f t="shared" si="15"/>
        <v>2.9802322387695313E-8</v>
      </c>
      <c r="K127" s="2074"/>
      <c r="L127" s="2074"/>
      <c r="M127" s="2074"/>
      <c r="N127" s="2054">
        <f>IFERROR((((Q126*'Input Amortization-Fixed Rate '!$K$13)/360)*C127),0)</f>
        <v>0</v>
      </c>
      <c r="O127" s="2076">
        <f>IF(A127&gt;'Input Amortization-Fixed Rate '!$B$7,0,IF(A127='Input Amortization-Fixed Rate '!$B$7,Q126,IF(AND(A127&gt;='Input Amortization-Fixed Rate '!$B$8,A127&lt;='Input Amortization-Fixed Rate '!$F$8,'Input Amortization-Fixed Rate '!$K$8="No"),0,'Input Amortization-Fixed Rate '!$K$4-I127-N127)))</f>
        <v>0</v>
      </c>
      <c r="P127" s="2077">
        <f t="shared" si="16"/>
        <v>0</v>
      </c>
      <c r="Q127" s="2054">
        <f t="shared" si="11"/>
        <v>0</v>
      </c>
      <c r="R127" s="2054"/>
      <c r="S127" s="2054"/>
      <c r="T127" s="2054"/>
      <c r="U127" s="2054">
        <f t="shared" si="12"/>
        <v>0</v>
      </c>
      <c r="V127" s="2054">
        <f t="shared" si="13"/>
        <v>0</v>
      </c>
      <c r="W127" s="2054">
        <f t="shared" si="9"/>
        <v>0</v>
      </c>
      <c r="X127" s="20"/>
      <c r="Y127" s="20"/>
    </row>
    <row r="128" spans="1:25" customFormat="1" ht="15">
      <c r="A128" s="2065">
        <f t="shared" si="17"/>
        <v>102</v>
      </c>
      <c r="B128" s="2066">
        <f>IF(A128&gt;[11]Input!$B$7,"",DATE(YEAR(B127),MONTH(B127)+1,DAY([11]Input!$B$17)))</f>
        <v>46975</v>
      </c>
      <c r="C128" s="2067">
        <f t="shared" si="14"/>
        <v>31</v>
      </c>
      <c r="D128" s="2067"/>
      <c r="E128" s="2067"/>
      <c r="F128" s="2067"/>
      <c r="G128" s="2068">
        <f>ROUND((IFERROR((((J127*'Input Amortization-Fixed Rate '!$K$12)/360)*C128),0)),2)</f>
        <v>0</v>
      </c>
      <c r="H128" s="2068">
        <f>ROUND((IF(A128='Input Amortization-Fixed Rate '!$B$7,J127,(IF(A128&gt;'Input Amortization-Fixed Rate '!$B$7,0,IF(AND(A128&gt;='Input Amortization-Fixed Rate '!$B$8,A128&lt;='Input Amortization-Fixed Rate '!$F$8,'Input Amortization-Fixed Rate '!$K$8="No"),0,(('Input Amortization-Fixed Rate '!$C$12*('Input Amortization-Fixed Rate '!$K$4-G128-N128)))))))),2)</f>
        <v>0</v>
      </c>
      <c r="I128" s="2069">
        <f t="shared" si="10"/>
        <v>0</v>
      </c>
      <c r="J128" s="2068">
        <f t="shared" si="15"/>
        <v>2.9802322387695313E-8</v>
      </c>
      <c r="K128" s="2068"/>
      <c r="L128" s="2068"/>
      <c r="M128" s="2068"/>
      <c r="N128" s="2070">
        <f>IFERROR((((Q127*'Input Amortization-Fixed Rate '!$K$13)/360)*C128),0)</f>
        <v>0</v>
      </c>
      <c r="O128" s="2070">
        <f>IF(A128&gt;'Input Amortization-Fixed Rate '!$B$7,0,IF(A128='Input Amortization-Fixed Rate '!$B$7,Q127,IF(AND(A128&gt;='Input Amortization-Fixed Rate '!$B$8,A128&lt;='Input Amortization-Fixed Rate '!$F$8,'Input Amortization-Fixed Rate '!$K$8="No"),0,'Input Amortization-Fixed Rate '!$K$4-I128-N128)))</f>
        <v>0</v>
      </c>
      <c r="P128" s="2071">
        <f t="shared" si="16"/>
        <v>0</v>
      </c>
      <c r="Q128" s="2070">
        <f t="shared" si="11"/>
        <v>0</v>
      </c>
      <c r="R128" s="2054"/>
      <c r="S128" s="2054"/>
      <c r="T128" s="2054"/>
      <c r="U128" s="2054">
        <f t="shared" si="12"/>
        <v>0</v>
      </c>
      <c r="V128" s="2054">
        <f t="shared" si="13"/>
        <v>0</v>
      </c>
      <c r="W128" s="2054">
        <f t="shared" si="9"/>
        <v>0</v>
      </c>
      <c r="X128" s="20"/>
      <c r="Y128" s="20"/>
    </row>
    <row r="129" spans="1:25" customFormat="1" ht="15">
      <c r="A129" s="100">
        <f t="shared" si="17"/>
        <v>103</v>
      </c>
      <c r="B129" s="2072">
        <f>IF(A129&gt;[11]Input!$B$7,"",DATE(YEAR(B128),MONTH(B128)+1,DAY([11]Input!$B$17)))</f>
        <v>47006</v>
      </c>
      <c r="C129" s="2073">
        <f t="shared" si="14"/>
        <v>31</v>
      </c>
      <c r="D129" s="2073"/>
      <c r="E129" s="2073"/>
      <c r="F129" s="2073"/>
      <c r="G129" s="2074">
        <f>ROUND((IFERROR((((J128*'Input Amortization-Fixed Rate '!$K$12)/360)*C129),0)),2)</f>
        <v>0</v>
      </c>
      <c r="H129" s="2074">
        <f>ROUND((IF(A129='Input Amortization-Fixed Rate '!$B$7,J128,(IF(A129&gt;'Input Amortization-Fixed Rate '!$B$7,0,IF(AND(A129&gt;='Input Amortization-Fixed Rate '!$B$8,A129&lt;='Input Amortization-Fixed Rate '!$F$8,'Input Amortization-Fixed Rate '!$K$8="No"),0,(('Input Amortization-Fixed Rate '!$C$12*('Input Amortization-Fixed Rate '!$K$4-G129-N129)))))))),2)</f>
        <v>0</v>
      </c>
      <c r="I129" s="2075">
        <f t="shared" si="10"/>
        <v>0</v>
      </c>
      <c r="J129" s="2074">
        <f t="shared" si="15"/>
        <v>2.9802322387695313E-8</v>
      </c>
      <c r="K129" s="2074"/>
      <c r="L129" s="2074"/>
      <c r="M129" s="2074"/>
      <c r="N129" s="2054">
        <f>IFERROR((((Q128*'Input Amortization-Fixed Rate '!$K$13)/360)*C129),0)</f>
        <v>0</v>
      </c>
      <c r="O129" s="2076">
        <f>IF(A129&gt;'Input Amortization-Fixed Rate '!$B$7,0,IF(A129='Input Amortization-Fixed Rate '!$B$7,Q128,IF(AND(A129&gt;='Input Amortization-Fixed Rate '!$B$8,A129&lt;='Input Amortization-Fixed Rate '!$F$8,'Input Amortization-Fixed Rate '!$K$8="No"),0,'Input Amortization-Fixed Rate '!$K$4-I129-N129)))</f>
        <v>0</v>
      </c>
      <c r="P129" s="2077">
        <f t="shared" si="16"/>
        <v>0</v>
      </c>
      <c r="Q129" s="2054">
        <f t="shared" si="11"/>
        <v>0</v>
      </c>
      <c r="R129" s="2054"/>
      <c r="S129" s="2054"/>
      <c r="T129" s="2054"/>
      <c r="U129" s="2054">
        <f t="shared" si="12"/>
        <v>0</v>
      </c>
      <c r="V129" s="2054">
        <f t="shared" si="13"/>
        <v>0</v>
      </c>
      <c r="W129" s="2054">
        <f t="shared" si="9"/>
        <v>0</v>
      </c>
      <c r="X129" s="20"/>
      <c r="Y129" s="20"/>
    </row>
    <row r="130" spans="1:25" customFormat="1" ht="15">
      <c r="A130" s="2065">
        <f t="shared" si="17"/>
        <v>104</v>
      </c>
      <c r="B130" s="2066">
        <f>IF(A130&gt;[11]Input!$B$7,"",DATE(YEAR(B129),MONTH(B129)+1,DAY([11]Input!$B$17)))</f>
        <v>47036</v>
      </c>
      <c r="C130" s="2067">
        <f t="shared" si="14"/>
        <v>30</v>
      </c>
      <c r="D130" s="2067"/>
      <c r="E130" s="2067"/>
      <c r="F130" s="2067"/>
      <c r="G130" s="2068">
        <f>ROUND((IFERROR((((J129*'Input Amortization-Fixed Rate '!$K$12)/360)*C130),0)),2)</f>
        <v>0</v>
      </c>
      <c r="H130" s="2068">
        <f>ROUND((IF(A130='Input Amortization-Fixed Rate '!$B$7,J129,(IF(A130&gt;'Input Amortization-Fixed Rate '!$B$7,0,IF(AND(A130&gt;='Input Amortization-Fixed Rate '!$B$8,A130&lt;='Input Amortization-Fixed Rate '!$F$8,'Input Amortization-Fixed Rate '!$K$8="No"),0,(('Input Amortization-Fixed Rate '!$C$12*('Input Amortization-Fixed Rate '!$K$4-G130-N130)))))))),2)</f>
        <v>0</v>
      </c>
      <c r="I130" s="2069">
        <f t="shared" si="10"/>
        <v>0</v>
      </c>
      <c r="J130" s="2068">
        <f t="shared" si="15"/>
        <v>2.9802322387695313E-8</v>
      </c>
      <c r="K130" s="2068"/>
      <c r="L130" s="2068"/>
      <c r="M130" s="2068"/>
      <c r="N130" s="2070">
        <f>IFERROR((((Q129*'Input Amortization-Fixed Rate '!$K$13)/360)*C130),0)</f>
        <v>0</v>
      </c>
      <c r="O130" s="2070">
        <f>IF(A130&gt;'Input Amortization-Fixed Rate '!$B$7,0,IF(A130='Input Amortization-Fixed Rate '!$B$7,Q129,IF(AND(A130&gt;='Input Amortization-Fixed Rate '!$B$8,A130&lt;='Input Amortization-Fixed Rate '!$F$8,'Input Amortization-Fixed Rate '!$K$8="No"),0,'Input Amortization-Fixed Rate '!$K$4-I130-N130)))</f>
        <v>0</v>
      </c>
      <c r="P130" s="2071">
        <f t="shared" si="16"/>
        <v>0</v>
      </c>
      <c r="Q130" s="2070">
        <f t="shared" si="11"/>
        <v>0</v>
      </c>
      <c r="R130" s="2054"/>
      <c r="S130" s="2054"/>
      <c r="T130" s="2054"/>
      <c r="U130" s="2054">
        <f t="shared" si="12"/>
        <v>0</v>
      </c>
      <c r="V130" s="2054">
        <f t="shared" si="13"/>
        <v>0</v>
      </c>
      <c r="W130" s="2054">
        <f t="shared" si="9"/>
        <v>0</v>
      </c>
      <c r="X130" s="20"/>
      <c r="Y130" s="20"/>
    </row>
    <row r="131" spans="1:25" customFormat="1" ht="15">
      <c r="A131" s="100">
        <f t="shared" si="17"/>
        <v>105</v>
      </c>
      <c r="B131" s="2072">
        <f>IF(A131&gt;[11]Input!$B$7,"",DATE(YEAR(B130),MONTH(B130)+1,DAY([11]Input!$B$17)))</f>
        <v>47067</v>
      </c>
      <c r="C131" s="2073">
        <f t="shared" si="14"/>
        <v>31</v>
      </c>
      <c r="D131" s="2073"/>
      <c r="E131" s="2073"/>
      <c r="F131" s="2073"/>
      <c r="G131" s="2074">
        <f>ROUND((IFERROR((((J130*'Input Amortization-Fixed Rate '!$K$12)/360)*C131),0)),2)</f>
        <v>0</v>
      </c>
      <c r="H131" s="2074">
        <f>ROUND((IF(A131='Input Amortization-Fixed Rate '!$B$7,J130,(IF(A131&gt;'Input Amortization-Fixed Rate '!$B$7,0,IF(AND(A131&gt;='Input Amortization-Fixed Rate '!$B$8,A131&lt;='Input Amortization-Fixed Rate '!$F$8,'Input Amortization-Fixed Rate '!$K$8="No"),0,(('Input Amortization-Fixed Rate '!$C$12*('Input Amortization-Fixed Rate '!$K$4-G131-N131)))))))),2)</f>
        <v>0</v>
      </c>
      <c r="I131" s="2075">
        <f t="shared" si="10"/>
        <v>0</v>
      </c>
      <c r="J131" s="2074">
        <f t="shared" si="15"/>
        <v>2.9802322387695313E-8</v>
      </c>
      <c r="K131" s="2074"/>
      <c r="L131" s="2074"/>
      <c r="M131" s="2074"/>
      <c r="N131" s="2054">
        <f>IFERROR((((Q130*'Input Amortization-Fixed Rate '!$K$13)/360)*C131),0)</f>
        <v>0</v>
      </c>
      <c r="O131" s="2076">
        <f>IF(A131&gt;'Input Amortization-Fixed Rate '!$B$7,0,IF(A131='Input Amortization-Fixed Rate '!$B$7,Q130,IF(AND(A131&gt;='Input Amortization-Fixed Rate '!$B$8,A131&lt;='Input Amortization-Fixed Rate '!$F$8,'Input Amortization-Fixed Rate '!$K$8="No"),0,'Input Amortization-Fixed Rate '!$K$4-I131-N131)))</f>
        <v>0</v>
      </c>
      <c r="P131" s="2077">
        <f t="shared" si="16"/>
        <v>0</v>
      </c>
      <c r="Q131" s="2054">
        <f t="shared" si="11"/>
        <v>0</v>
      </c>
      <c r="R131" s="2054"/>
      <c r="S131" s="2054"/>
      <c r="T131" s="2054"/>
      <c r="U131" s="2054">
        <f t="shared" si="12"/>
        <v>0</v>
      </c>
      <c r="V131" s="2054">
        <f t="shared" si="13"/>
        <v>0</v>
      </c>
      <c r="W131" s="2054">
        <f t="shared" si="9"/>
        <v>0</v>
      </c>
      <c r="X131" s="20"/>
      <c r="Y131" s="20"/>
    </row>
    <row r="132" spans="1:25" customFormat="1" ht="15">
      <c r="A132" s="2065">
        <f t="shared" si="17"/>
        <v>106</v>
      </c>
      <c r="B132" s="2066">
        <f>IF(A132&gt;[11]Input!$B$7,"",DATE(YEAR(B131),MONTH(B131)+1,DAY([11]Input!$B$17)))</f>
        <v>47097</v>
      </c>
      <c r="C132" s="2067">
        <f t="shared" si="14"/>
        <v>30</v>
      </c>
      <c r="D132" s="2067"/>
      <c r="E132" s="2067"/>
      <c r="F132" s="2067"/>
      <c r="G132" s="2068">
        <f>ROUND((IFERROR((((J131*'Input Amortization-Fixed Rate '!$K$12)/360)*C132),0)),2)</f>
        <v>0</v>
      </c>
      <c r="H132" s="2068">
        <f>ROUND((IF(A132='Input Amortization-Fixed Rate '!$B$7,J131,(IF(A132&gt;'Input Amortization-Fixed Rate '!$B$7,0,IF(AND(A132&gt;='Input Amortization-Fixed Rate '!$B$8,A132&lt;='Input Amortization-Fixed Rate '!$F$8,'Input Amortization-Fixed Rate '!$K$8="No"),0,(('Input Amortization-Fixed Rate '!$C$12*('Input Amortization-Fixed Rate '!$K$4-G132-N132)))))))),2)</f>
        <v>0</v>
      </c>
      <c r="I132" s="2069">
        <f t="shared" si="10"/>
        <v>0</v>
      </c>
      <c r="J132" s="2068">
        <f t="shared" si="15"/>
        <v>2.9802322387695313E-8</v>
      </c>
      <c r="K132" s="2068"/>
      <c r="L132" s="2068"/>
      <c r="M132" s="2068"/>
      <c r="N132" s="2070">
        <f>IFERROR((((Q131*'Input Amortization-Fixed Rate '!$K$13)/360)*C132),0)</f>
        <v>0</v>
      </c>
      <c r="O132" s="2070">
        <f>IF(A132&gt;'Input Amortization-Fixed Rate '!$B$7,0,IF(A132='Input Amortization-Fixed Rate '!$B$7,Q131,IF(AND(A132&gt;='Input Amortization-Fixed Rate '!$B$8,A132&lt;='Input Amortization-Fixed Rate '!$F$8,'Input Amortization-Fixed Rate '!$K$8="No"),0,'Input Amortization-Fixed Rate '!$K$4-I132-N132)))</f>
        <v>0</v>
      </c>
      <c r="P132" s="2071">
        <f t="shared" si="16"/>
        <v>0</v>
      </c>
      <c r="Q132" s="2070">
        <f t="shared" si="11"/>
        <v>0</v>
      </c>
      <c r="R132" s="2054"/>
      <c r="S132" s="2054"/>
      <c r="T132" s="2054"/>
      <c r="U132" s="2054">
        <f t="shared" si="12"/>
        <v>0</v>
      </c>
      <c r="V132" s="2054">
        <f t="shared" si="13"/>
        <v>0</v>
      </c>
      <c r="W132" s="2054">
        <f t="shared" si="9"/>
        <v>0</v>
      </c>
      <c r="X132" s="20"/>
      <c r="Y132" s="20"/>
    </row>
    <row r="133" spans="1:25" customFormat="1" ht="15">
      <c r="A133" s="100">
        <f t="shared" si="17"/>
        <v>107</v>
      </c>
      <c r="B133" s="2072">
        <f>IF(A133&gt;[11]Input!$B$7,"",DATE(YEAR(B132),MONTH(B132)+1,DAY([11]Input!$B$17)))</f>
        <v>47128</v>
      </c>
      <c r="C133" s="2073">
        <f t="shared" si="14"/>
        <v>31</v>
      </c>
      <c r="D133" s="2073"/>
      <c r="E133" s="2073"/>
      <c r="F133" s="2073"/>
      <c r="G133" s="2074">
        <f>ROUND((IFERROR((((J132*'Input Amortization-Fixed Rate '!$K$12)/360)*C133),0)),2)</f>
        <v>0</v>
      </c>
      <c r="H133" s="2074">
        <f>ROUND((IF(A133='Input Amortization-Fixed Rate '!$B$7,J132,(IF(A133&gt;'Input Amortization-Fixed Rate '!$B$7,0,IF(AND(A133&gt;='Input Amortization-Fixed Rate '!$B$8,A133&lt;='Input Amortization-Fixed Rate '!$F$8,'Input Amortization-Fixed Rate '!$K$8="No"),0,(('Input Amortization-Fixed Rate '!$C$12*('Input Amortization-Fixed Rate '!$K$4-G133-N133)))))))),2)</f>
        <v>0</v>
      </c>
      <c r="I133" s="2075">
        <f t="shared" si="10"/>
        <v>0</v>
      </c>
      <c r="J133" s="2074">
        <f t="shared" si="15"/>
        <v>2.9802322387695313E-8</v>
      </c>
      <c r="K133" s="2074"/>
      <c r="L133" s="2074"/>
      <c r="M133" s="2074"/>
      <c r="N133" s="2054">
        <f>IFERROR((((Q132*'Input Amortization-Fixed Rate '!$K$13)/360)*C133),0)</f>
        <v>0</v>
      </c>
      <c r="O133" s="2076">
        <f>IF(A133&gt;'Input Amortization-Fixed Rate '!$B$7,0,IF(A133='Input Amortization-Fixed Rate '!$B$7,Q132,IF(AND(A133&gt;='Input Amortization-Fixed Rate '!$B$8,A133&lt;='Input Amortization-Fixed Rate '!$F$8,'Input Amortization-Fixed Rate '!$K$8="No"),0,'Input Amortization-Fixed Rate '!$K$4-I133-N133)))</f>
        <v>0</v>
      </c>
      <c r="P133" s="2077">
        <f t="shared" si="16"/>
        <v>0</v>
      </c>
      <c r="Q133" s="2054">
        <f t="shared" si="11"/>
        <v>0</v>
      </c>
      <c r="R133" s="2054"/>
      <c r="S133" s="2054"/>
      <c r="T133" s="2054"/>
      <c r="U133" s="2054">
        <f t="shared" si="12"/>
        <v>0</v>
      </c>
      <c r="V133" s="2054">
        <f t="shared" si="13"/>
        <v>0</v>
      </c>
      <c r="W133" s="2054">
        <f t="shared" si="9"/>
        <v>0</v>
      </c>
      <c r="X133" s="20"/>
      <c r="Y133" s="20"/>
    </row>
    <row r="134" spans="1:25" customFormat="1" ht="15">
      <c r="A134" s="2065">
        <f t="shared" si="17"/>
        <v>108</v>
      </c>
      <c r="B134" s="2066">
        <f>IF(A134&gt;[11]Input!$B$7,"",DATE(YEAR(B133),MONTH(B133)+1,DAY([11]Input!$B$17)))</f>
        <v>47159</v>
      </c>
      <c r="C134" s="2067">
        <f t="shared" si="14"/>
        <v>31</v>
      </c>
      <c r="D134" s="2067"/>
      <c r="E134" s="2067"/>
      <c r="F134" s="2067"/>
      <c r="G134" s="2068">
        <f>ROUND((IFERROR((((J133*'Input Amortization-Fixed Rate '!$K$12)/360)*C134),0)),2)</f>
        <v>0</v>
      </c>
      <c r="H134" s="2068">
        <f>ROUND((IF(A134='Input Amortization-Fixed Rate '!$B$7,J133,(IF(A134&gt;'Input Amortization-Fixed Rate '!$B$7,0,IF(AND(A134&gt;='Input Amortization-Fixed Rate '!$B$8,A134&lt;='Input Amortization-Fixed Rate '!$F$8,'Input Amortization-Fixed Rate '!$K$8="No"),0,(('Input Amortization-Fixed Rate '!$C$12*('Input Amortization-Fixed Rate '!$K$4-G134-N134)))))))),2)</f>
        <v>0</v>
      </c>
      <c r="I134" s="2069">
        <f t="shared" si="10"/>
        <v>0</v>
      </c>
      <c r="J134" s="2068">
        <f t="shared" si="15"/>
        <v>2.9802322387695313E-8</v>
      </c>
      <c r="K134" s="2068"/>
      <c r="L134" s="2068"/>
      <c r="M134" s="2068"/>
      <c r="N134" s="2070">
        <f>IFERROR((((Q133*'Input Amortization-Fixed Rate '!$K$13)/360)*C134),0)</f>
        <v>0</v>
      </c>
      <c r="O134" s="2070">
        <f>IF(A134&gt;'Input Amortization-Fixed Rate '!$B$7,0,IF(A134='Input Amortization-Fixed Rate '!$B$7,Q133,IF(AND(A134&gt;='Input Amortization-Fixed Rate '!$B$8,A134&lt;='Input Amortization-Fixed Rate '!$F$8,'Input Amortization-Fixed Rate '!$K$8="No"),0,'Input Amortization-Fixed Rate '!$K$4-I134-N134)))</f>
        <v>0</v>
      </c>
      <c r="P134" s="2071">
        <f t="shared" si="16"/>
        <v>0</v>
      </c>
      <c r="Q134" s="2070">
        <f t="shared" si="11"/>
        <v>0</v>
      </c>
      <c r="R134" s="2054"/>
      <c r="S134" s="2054"/>
      <c r="T134" s="2054"/>
      <c r="U134" s="2054">
        <f t="shared" si="12"/>
        <v>0</v>
      </c>
      <c r="V134" s="2054">
        <f t="shared" si="13"/>
        <v>0</v>
      </c>
      <c r="W134" s="2054">
        <f t="shared" si="9"/>
        <v>0</v>
      </c>
      <c r="X134" s="20"/>
      <c r="Y134" s="20"/>
    </row>
    <row r="135" spans="1:25" customFormat="1" ht="15">
      <c r="A135" s="100">
        <f t="shared" si="17"/>
        <v>109</v>
      </c>
      <c r="B135" s="2072">
        <f>IF(A135&gt;[11]Input!$B$7,"",DATE(YEAR(B134),MONTH(B134)+1,DAY([11]Input!$B$17)))</f>
        <v>47187</v>
      </c>
      <c r="C135" s="2073">
        <f t="shared" si="14"/>
        <v>28</v>
      </c>
      <c r="D135" s="2073"/>
      <c r="E135" s="2073"/>
      <c r="F135" s="2073"/>
      <c r="G135" s="2074">
        <f>ROUND((IFERROR((((J134*'Input Amortization-Fixed Rate '!$K$12)/360)*C135),0)),2)</f>
        <v>0</v>
      </c>
      <c r="H135" s="2074">
        <f>ROUND((IF(A135='Input Amortization-Fixed Rate '!$B$7,J134,(IF(A135&gt;'Input Amortization-Fixed Rate '!$B$7,0,IF(AND(A135&gt;='Input Amortization-Fixed Rate '!$B$8,A135&lt;='Input Amortization-Fixed Rate '!$F$8,'Input Amortization-Fixed Rate '!$K$8="No"),0,(('Input Amortization-Fixed Rate '!$C$12*('Input Amortization-Fixed Rate '!$K$4-G135-N135)))))))),2)</f>
        <v>0</v>
      </c>
      <c r="I135" s="2075">
        <f t="shared" si="10"/>
        <v>0</v>
      </c>
      <c r="J135" s="2074">
        <f t="shared" si="15"/>
        <v>2.9802322387695313E-8</v>
      </c>
      <c r="K135" s="2074"/>
      <c r="L135" s="2074"/>
      <c r="M135" s="2074"/>
      <c r="N135" s="2054">
        <f>IFERROR((((Q134*'Input Amortization-Fixed Rate '!$K$13)/360)*C135),0)</f>
        <v>0</v>
      </c>
      <c r="O135" s="2076">
        <f>IF(A135&gt;'Input Amortization-Fixed Rate '!$B$7,0,IF(A135='Input Amortization-Fixed Rate '!$B$7,Q134,IF(AND(A135&gt;='Input Amortization-Fixed Rate '!$B$8,A135&lt;='Input Amortization-Fixed Rate '!$F$8,'Input Amortization-Fixed Rate '!$K$8="No"),0,'Input Amortization-Fixed Rate '!$K$4-I135-N135)))</f>
        <v>0</v>
      </c>
      <c r="P135" s="2077">
        <f t="shared" si="16"/>
        <v>0</v>
      </c>
      <c r="Q135" s="2054">
        <f t="shared" si="11"/>
        <v>0</v>
      </c>
      <c r="R135" s="2054"/>
      <c r="S135" s="2054"/>
      <c r="T135" s="2054"/>
      <c r="U135" s="2054">
        <f t="shared" si="12"/>
        <v>0</v>
      </c>
      <c r="V135" s="2054">
        <f t="shared" si="13"/>
        <v>0</v>
      </c>
      <c r="W135" s="2054">
        <f t="shared" si="9"/>
        <v>0</v>
      </c>
      <c r="X135" s="20"/>
      <c r="Y135" s="20"/>
    </row>
    <row r="136" spans="1:25" customFormat="1" ht="15">
      <c r="A136" s="2065">
        <f t="shared" si="17"/>
        <v>110</v>
      </c>
      <c r="B136" s="2066">
        <f>IF(A136&gt;[11]Input!$B$7,"",DATE(YEAR(B135),MONTH(B135)+1,DAY([11]Input!$B$17)))</f>
        <v>47218</v>
      </c>
      <c r="C136" s="2067">
        <f t="shared" si="14"/>
        <v>31</v>
      </c>
      <c r="D136" s="2067"/>
      <c r="E136" s="2067"/>
      <c r="F136" s="2067"/>
      <c r="G136" s="2068">
        <f>ROUND((IFERROR((((J135*'Input Amortization-Fixed Rate '!$K$12)/360)*C136),0)),2)</f>
        <v>0</v>
      </c>
      <c r="H136" s="2068">
        <f>ROUND((IF(A136='Input Amortization-Fixed Rate '!$B$7,J135,(IF(A136&gt;'Input Amortization-Fixed Rate '!$B$7,0,IF(AND(A136&gt;='Input Amortization-Fixed Rate '!$B$8,A136&lt;='Input Amortization-Fixed Rate '!$F$8,'Input Amortization-Fixed Rate '!$K$8="No"),0,(('Input Amortization-Fixed Rate '!$C$12*('Input Amortization-Fixed Rate '!$K$4-G136-N136)))))))),2)</f>
        <v>0</v>
      </c>
      <c r="I136" s="2069">
        <f t="shared" si="10"/>
        <v>0</v>
      </c>
      <c r="J136" s="2068">
        <f t="shared" si="15"/>
        <v>2.9802322387695313E-8</v>
      </c>
      <c r="K136" s="2068"/>
      <c r="L136" s="2068"/>
      <c r="M136" s="2068"/>
      <c r="N136" s="2070">
        <f>IFERROR((((Q135*'Input Amortization-Fixed Rate '!$K$13)/360)*C136),0)</f>
        <v>0</v>
      </c>
      <c r="O136" s="2070">
        <f>IF(A136&gt;'Input Amortization-Fixed Rate '!$B$7,0,IF(A136='Input Amortization-Fixed Rate '!$B$7,Q135,IF(AND(A136&gt;='Input Amortization-Fixed Rate '!$B$8,A136&lt;='Input Amortization-Fixed Rate '!$F$8,'Input Amortization-Fixed Rate '!$K$8="No"),0,'Input Amortization-Fixed Rate '!$K$4-I136-N136)))</f>
        <v>0</v>
      </c>
      <c r="P136" s="2071">
        <f t="shared" si="16"/>
        <v>0</v>
      </c>
      <c r="Q136" s="2070">
        <f t="shared" si="11"/>
        <v>0</v>
      </c>
      <c r="R136" s="2054"/>
      <c r="S136" s="2054"/>
      <c r="T136" s="2054"/>
      <c r="U136" s="2054">
        <f t="shared" si="12"/>
        <v>0</v>
      </c>
      <c r="V136" s="2054">
        <f t="shared" si="13"/>
        <v>0</v>
      </c>
      <c r="W136" s="2054">
        <f t="shared" si="9"/>
        <v>0</v>
      </c>
      <c r="X136" s="20"/>
      <c r="Y136" s="20"/>
    </row>
    <row r="137" spans="1:25" customFormat="1" ht="15">
      <c r="A137" s="100">
        <f t="shared" si="17"/>
        <v>111</v>
      </c>
      <c r="B137" s="2072">
        <f>IF(A137&gt;[11]Input!$B$7,"",DATE(YEAR(B136),MONTH(B136)+1,DAY([11]Input!$B$17)))</f>
        <v>47248</v>
      </c>
      <c r="C137" s="2073">
        <f t="shared" si="14"/>
        <v>30</v>
      </c>
      <c r="D137" s="2073"/>
      <c r="E137" s="2073"/>
      <c r="F137" s="2073"/>
      <c r="G137" s="2074">
        <f>ROUND((IFERROR((((J136*'Input Amortization-Fixed Rate '!$K$12)/360)*C137),0)),2)</f>
        <v>0</v>
      </c>
      <c r="H137" s="2074">
        <f>ROUND((IF(A137='Input Amortization-Fixed Rate '!$B$7,J136,(IF(A137&gt;'Input Amortization-Fixed Rate '!$B$7,0,IF(AND(A137&gt;='Input Amortization-Fixed Rate '!$B$8,A137&lt;='Input Amortization-Fixed Rate '!$F$8,'Input Amortization-Fixed Rate '!$K$8="No"),0,(('Input Amortization-Fixed Rate '!$C$12*('Input Amortization-Fixed Rate '!$K$4-G137-N137)))))))),2)</f>
        <v>0</v>
      </c>
      <c r="I137" s="2075">
        <f t="shared" si="10"/>
        <v>0</v>
      </c>
      <c r="J137" s="2074">
        <f t="shared" si="15"/>
        <v>2.9802322387695313E-8</v>
      </c>
      <c r="K137" s="2074"/>
      <c r="L137" s="2074"/>
      <c r="M137" s="2074"/>
      <c r="N137" s="2054">
        <f>IFERROR((((Q136*'Input Amortization-Fixed Rate '!$K$13)/360)*C137),0)</f>
        <v>0</v>
      </c>
      <c r="O137" s="2076">
        <f>IF(A137&gt;'Input Amortization-Fixed Rate '!$B$7,0,IF(A137='Input Amortization-Fixed Rate '!$B$7,Q136,IF(AND(A137&gt;='Input Amortization-Fixed Rate '!$B$8,A137&lt;='Input Amortization-Fixed Rate '!$F$8,'Input Amortization-Fixed Rate '!$K$8="No"),0,'Input Amortization-Fixed Rate '!$K$4-I137-N137)))</f>
        <v>0</v>
      </c>
      <c r="P137" s="2077">
        <f t="shared" si="16"/>
        <v>0</v>
      </c>
      <c r="Q137" s="2054">
        <f t="shared" si="11"/>
        <v>0</v>
      </c>
      <c r="R137" s="2054"/>
      <c r="S137" s="2054"/>
      <c r="T137" s="2054"/>
      <c r="U137" s="2054">
        <f t="shared" si="12"/>
        <v>0</v>
      </c>
      <c r="V137" s="2054">
        <f t="shared" si="13"/>
        <v>0</v>
      </c>
      <c r="W137" s="2054">
        <f t="shared" si="9"/>
        <v>0</v>
      </c>
      <c r="X137" s="20"/>
      <c r="Y137" s="20"/>
    </row>
    <row r="138" spans="1:25" customFormat="1" ht="15">
      <c r="A138" s="2065">
        <f t="shared" si="17"/>
        <v>112</v>
      </c>
      <c r="B138" s="2066">
        <f>IF(A138&gt;[11]Input!$B$7,"",DATE(YEAR(B137),MONTH(B137)+1,DAY([11]Input!$B$17)))</f>
        <v>47279</v>
      </c>
      <c r="C138" s="2067">
        <f t="shared" si="14"/>
        <v>31</v>
      </c>
      <c r="D138" s="2067"/>
      <c r="E138" s="2067"/>
      <c r="F138" s="2067"/>
      <c r="G138" s="2068">
        <f>ROUND((IFERROR((((J137*'Input Amortization-Fixed Rate '!$K$12)/360)*C138),0)),2)</f>
        <v>0</v>
      </c>
      <c r="H138" s="2068">
        <f>ROUND((IF(A138='Input Amortization-Fixed Rate '!$B$7,J137,(IF(A138&gt;'Input Amortization-Fixed Rate '!$B$7,0,IF(AND(A138&gt;='Input Amortization-Fixed Rate '!$B$8,A138&lt;='Input Amortization-Fixed Rate '!$F$8,'Input Amortization-Fixed Rate '!$K$8="No"),0,(('Input Amortization-Fixed Rate '!$C$12*('Input Amortization-Fixed Rate '!$K$4-G138-N138)))))))),2)</f>
        <v>0</v>
      </c>
      <c r="I138" s="2069">
        <f t="shared" si="10"/>
        <v>0</v>
      </c>
      <c r="J138" s="2068">
        <f t="shared" si="15"/>
        <v>2.9802322387695313E-8</v>
      </c>
      <c r="K138" s="2068"/>
      <c r="L138" s="2068"/>
      <c r="M138" s="2068"/>
      <c r="N138" s="2070">
        <f>IFERROR((((Q137*'Input Amortization-Fixed Rate '!$K$13)/360)*C138),0)</f>
        <v>0</v>
      </c>
      <c r="O138" s="2070">
        <f>IF(A138&gt;'Input Amortization-Fixed Rate '!$B$7,0,IF(A138='Input Amortization-Fixed Rate '!$B$7,Q137,IF(AND(A138&gt;='Input Amortization-Fixed Rate '!$B$8,A138&lt;='Input Amortization-Fixed Rate '!$F$8,'Input Amortization-Fixed Rate '!$K$8="No"),0,'Input Amortization-Fixed Rate '!$K$4-I138-N138)))</f>
        <v>0</v>
      </c>
      <c r="P138" s="2071">
        <f t="shared" si="16"/>
        <v>0</v>
      </c>
      <c r="Q138" s="2070">
        <f t="shared" si="11"/>
        <v>0</v>
      </c>
      <c r="R138" s="2054"/>
      <c r="S138" s="2054"/>
      <c r="T138" s="2054"/>
      <c r="U138" s="2054">
        <f t="shared" si="12"/>
        <v>0</v>
      </c>
      <c r="V138" s="2054">
        <f t="shared" si="13"/>
        <v>0</v>
      </c>
      <c r="W138" s="2054">
        <f t="shared" si="9"/>
        <v>0</v>
      </c>
      <c r="X138" s="20"/>
      <c r="Y138" s="20"/>
    </row>
    <row r="139" spans="1:25" customFormat="1" ht="15">
      <c r="A139" s="100">
        <f t="shared" si="17"/>
        <v>113</v>
      </c>
      <c r="B139" s="2072">
        <f>IF(A139&gt;[11]Input!$B$7,"",DATE(YEAR(B138),MONTH(B138)+1,DAY([11]Input!$B$17)))</f>
        <v>47309</v>
      </c>
      <c r="C139" s="2073">
        <f t="shared" si="14"/>
        <v>30</v>
      </c>
      <c r="D139" s="2073"/>
      <c r="E139" s="2073"/>
      <c r="F139" s="2073"/>
      <c r="G139" s="2074">
        <f>ROUND((IFERROR((((J138*'Input Amortization-Fixed Rate '!$K$12)/360)*C139),0)),2)</f>
        <v>0</v>
      </c>
      <c r="H139" s="2074">
        <f>ROUND((IF(A139='Input Amortization-Fixed Rate '!$B$7,J138,(IF(A139&gt;'Input Amortization-Fixed Rate '!$B$7,0,IF(AND(A139&gt;='Input Amortization-Fixed Rate '!$B$8,A139&lt;='Input Amortization-Fixed Rate '!$F$8,'Input Amortization-Fixed Rate '!$K$8="No"),0,(('Input Amortization-Fixed Rate '!$C$12*('Input Amortization-Fixed Rate '!$K$4-G139-N139)))))))),2)</f>
        <v>0</v>
      </c>
      <c r="I139" s="2075">
        <f t="shared" si="10"/>
        <v>0</v>
      </c>
      <c r="J139" s="2074">
        <f t="shared" si="15"/>
        <v>2.9802322387695313E-8</v>
      </c>
      <c r="K139" s="2074"/>
      <c r="L139" s="2074"/>
      <c r="M139" s="2074"/>
      <c r="N139" s="2054">
        <f>IFERROR((((Q138*'Input Amortization-Fixed Rate '!$K$13)/360)*C139),0)</f>
        <v>0</v>
      </c>
      <c r="O139" s="2076">
        <f>IF(A139&gt;'Input Amortization-Fixed Rate '!$B$7,0,IF(A139='Input Amortization-Fixed Rate '!$B$7,Q138,IF(AND(A139&gt;='Input Amortization-Fixed Rate '!$B$8,A139&lt;='Input Amortization-Fixed Rate '!$F$8,'Input Amortization-Fixed Rate '!$K$8="No"),0,'Input Amortization-Fixed Rate '!$K$4-I139-N139)))</f>
        <v>0</v>
      </c>
      <c r="P139" s="2077">
        <f t="shared" si="16"/>
        <v>0</v>
      </c>
      <c r="Q139" s="2054">
        <f t="shared" si="11"/>
        <v>0</v>
      </c>
      <c r="R139" s="2054"/>
      <c r="S139" s="2054"/>
      <c r="T139" s="2054"/>
      <c r="U139" s="2054">
        <f t="shared" si="12"/>
        <v>0</v>
      </c>
      <c r="V139" s="2054">
        <f t="shared" si="13"/>
        <v>0</v>
      </c>
      <c r="W139" s="2054">
        <f t="shared" si="9"/>
        <v>0</v>
      </c>
      <c r="X139" s="20"/>
      <c r="Y139" s="20"/>
    </row>
    <row r="140" spans="1:25" customFormat="1" ht="15">
      <c r="A140" s="2065">
        <f t="shared" si="17"/>
        <v>114</v>
      </c>
      <c r="B140" s="2066">
        <f>IF(A140&gt;[11]Input!$B$7,"",DATE(YEAR(B139),MONTH(B139)+1,DAY([11]Input!$B$17)))</f>
        <v>47340</v>
      </c>
      <c r="C140" s="2067">
        <f t="shared" si="14"/>
        <v>31</v>
      </c>
      <c r="D140" s="2067"/>
      <c r="E140" s="2067"/>
      <c r="F140" s="2067"/>
      <c r="G140" s="2068">
        <f>ROUND((IFERROR((((J139*'Input Amortization-Fixed Rate '!$K$12)/360)*C140),0)),2)</f>
        <v>0</v>
      </c>
      <c r="H140" s="2068">
        <f>ROUND((IF(A140='Input Amortization-Fixed Rate '!$B$7,J139,(IF(A140&gt;'Input Amortization-Fixed Rate '!$B$7,0,IF(AND(A140&gt;='Input Amortization-Fixed Rate '!$B$8,A140&lt;='Input Amortization-Fixed Rate '!$F$8,'Input Amortization-Fixed Rate '!$K$8="No"),0,(('Input Amortization-Fixed Rate '!$C$12*('Input Amortization-Fixed Rate '!$K$4-G140-N140)))))))),2)</f>
        <v>0</v>
      </c>
      <c r="I140" s="2069">
        <f t="shared" si="10"/>
        <v>0</v>
      </c>
      <c r="J140" s="2068">
        <f t="shared" si="15"/>
        <v>2.9802322387695313E-8</v>
      </c>
      <c r="K140" s="2068"/>
      <c r="L140" s="2068"/>
      <c r="M140" s="2068"/>
      <c r="N140" s="2070">
        <f>IFERROR((((Q139*'Input Amortization-Fixed Rate '!$K$13)/360)*C140),0)</f>
        <v>0</v>
      </c>
      <c r="O140" s="2070">
        <f>IF(A140&gt;'Input Amortization-Fixed Rate '!$B$7,0,IF(A140='Input Amortization-Fixed Rate '!$B$7,Q139,IF(AND(A140&gt;='Input Amortization-Fixed Rate '!$B$8,A140&lt;='Input Amortization-Fixed Rate '!$F$8,'Input Amortization-Fixed Rate '!$K$8="No"),0,'Input Amortization-Fixed Rate '!$K$4-I140-N140)))</f>
        <v>0</v>
      </c>
      <c r="P140" s="2071">
        <f t="shared" si="16"/>
        <v>0</v>
      </c>
      <c r="Q140" s="2070">
        <f t="shared" si="11"/>
        <v>0</v>
      </c>
      <c r="R140" s="2054"/>
      <c r="S140" s="2054"/>
      <c r="T140" s="2054"/>
      <c r="U140" s="2054">
        <f t="shared" si="12"/>
        <v>0</v>
      </c>
      <c r="V140" s="2054">
        <f t="shared" si="13"/>
        <v>0</v>
      </c>
      <c r="W140" s="2054">
        <f t="shared" si="9"/>
        <v>0</v>
      </c>
      <c r="X140" s="20"/>
      <c r="Y140" s="20"/>
    </row>
    <row r="141" spans="1:25" customFormat="1" ht="15">
      <c r="A141" s="100">
        <f t="shared" si="17"/>
        <v>115</v>
      </c>
      <c r="B141" s="2072">
        <f>IF(A141&gt;[11]Input!$B$7,"",DATE(YEAR(B140),MONTH(B140)+1,DAY([11]Input!$B$17)))</f>
        <v>47371</v>
      </c>
      <c r="C141" s="2073">
        <f t="shared" si="14"/>
        <v>31</v>
      </c>
      <c r="D141" s="2073"/>
      <c r="E141" s="2073"/>
      <c r="F141" s="2073"/>
      <c r="G141" s="2074">
        <f>ROUND((IFERROR((((J140*'Input Amortization-Fixed Rate '!$K$12)/360)*C141),0)),2)</f>
        <v>0</v>
      </c>
      <c r="H141" s="2074">
        <f>ROUND((IF(A141='Input Amortization-Fixed Rate '!$B$7,J140,(IF(A141&gt;'Input Amortization-Fixed Rate '!$B$7,0,IF(AND(A141&gt;='Input Amortization-Fixed Rate '!$B$8,A141&lt;='Input Amortization-Fixed Rate '!$F$8,'Input Amortization-Fixed Rate '!$K$8="No"),0,(('Input Amortization-Fixed Rate '!$C$12*('Input Amortization-Fixed Rate '!$K$4-G141-N141)))))))),2)</f>
        <v>0</v>
      </c>
      <c r="I141" s="2075">
        <f t="shared" si="10"/>
        <v>0</v>
      </c>
      <c r="J141" s="2074">
        <f t="shared" si="15"/>
        <v>2.9802322387695313E-8</v>
      </c>
      <c r="K141" s="2074"/>
      <c r="L141" s="2074"/>
      <c r="M141" s="2074"/>
      <c r="N141" s="2054">
        <f>IFERROR((((Q140*'Input Amortization-Fixed Rate '!$K$13)/360)*C141),0)</f>
        <v>0</v>
      </c>
      <c r="O141" s="2076">
        <f>IF(A141&gt;'Input Amortization-Fixed Rate '!$B$7,0,IF(A141='Input Amortization-Fixed Rate '!$B$7,Q140,IF(AND(A141&gt;='Input Amortization-Fixed Rate '!$B$8,A141&lt;='Input Amortization-Fixed Rate '!$F$8,'Input Amortization-Fixed Rate '!$K$8="No"),0,'Input Amortization-Fixed Rate '!$K$4-I141-N141)))</f>
        <v>0</v>
      </c>
      <c r="P141" s="2077">
        <f t="shared" si="16"/>
        <v>0</v>
      </c>
      <c r="Q141" s="2054">
        <f t="shared" si="11"/>
        <v>0</v>
      </c>
      <c r="R141" s="2054"/>
      <c r="S141" s="2054"/>
      <c r="T141" s="2054"/>
      <c r="U141" s="2054">
        <f t="shared" si="12"/>
        <v>0</v>
      </c>
      <c r="V141" s="2054">
        <f t="shared" si="13"/>
        <v>0</v>
      </c>
      <c r="W141" s="2054">
        <f t="shared" si="9"/>
        <v>0</v>
      </c>
      <c r="X141" s="20"/>
      <c r="Y141" s="20"/>
    </row>
    <row r="142" spans="1:25" customFormat="1" ht="15">
      <c r="A142" s="2065">
        <f t="shared" si="17"/>
        <v>116</v>
      </c>
      <c r="B142" s="2066">
        <f>IF(A142&gt;[11]Input!$B$7,"",DATE(YEAR(B141),MONTH(B141)+1,DAY([11]Input!$B$17)))</f>
        <v>47401</v>
      </c>
      <c r="C142" s="2067">
        <f t="shared" si="14"/>
        <v>30</v>
      </c>
      <c r="D142" s="2067"/>
      <c r="E142" s="2067"/>
      <c r="F142" s="2067"/>
      <c r="G142" s="2068">
        <f>ROUND((IFERROR((((J141*'Input Amortization-Fixed Rate '!$K$12)/360)*C142),0)),2)</f>
        <v>0</v>
      </c>
      <c r="H142" s="2068">
        <f>ROUND((IF(A142='Input Amortization-Fixed Rate '!$B$7,J141,(IF(A142&gt;'Input Amortization-Fixed Rate '!$B$7,0,IF(AND(A142&gt;='Input Amortization-Fixed Rate '!$B$8,A142&lt;='Input Amortization-Fixed Rate '!$F$8,'Input Amortization-Fixed Rate '!$K$8="No"),0,(('Input Amortization-Fixed Rate '!$C$12*('Input Amortization-Fixed Rate '!$K$4-G142-N142)))))))),2)</f>
        <v>0</v>
      </c>
      <c r="I142" s="2069">
        <f t="shared" si="10"/>
        <v>0</v>
      </c>
      <c r="J142" s="2068">
        <f t="shared" si="15"/>
        <v>2.9802322387695313E-8</v>
      </c>
      <c r="K142" s="2068"/>
      <c r="L142" s="2068"/>
      <c r="M142" s="2068"/>
      <c r="N142" s="2070">
        <f>IFERROR((((Q141*'Input Amortization-Fixed Rate '!$K$13)/360)*C142),0)</f>
        <v>0</v>
      </c>
      <c r="O142" s="2070">
        <f>IF(A142&gt;'Input Amortization-Fixed Rate '!$B$7,0,IF(A142='Input Amortization-Fixed Rate '!$B$7,Q141,IF(AND(A142&gt;='Input Amortization-Fixed Rate '!$B$8,A142&lt;='Input Amortization-Fixed Rate '!$F$8,'Input Amortization-Fixed Rate '!$K$8="No"),0,'Input Amortization-Fixed Rate '!$K$4-I142-N142)))</f>
        <v>0</v>
      </c>
      <c r="P142" s="2071">
        <f t="shared" si="16"/>
        <v>0</v>
      </c>
      <c r="Q142" s="2070">
        <f t="shared" si="11"/>
        <v>0</v>
      </c>
      <c r="R142" s="2054"/>
      <c r="S142" s="2054"/>
      <c r="T142" s="2054"/>
      <c r="U142" s="2054">
        <f t="shared" si="12"/>
        <v>0</v>
      </c>
      <c r="V142" s="2054">
        <f t="shared" si="13"/>
        <v>0</v>
      </c>
      <c r="W142" s="2054">
        <f t="shared" si="9"/>
        <v>0</v>
      </c>
      <c r="X142" s="20"/>
      <c r="Y142" s="20"/>
    </row>
    <row r="143" spans="1:25" customFormat="1" ht="15">
      <c r="A143" s="100">
        <f t="shared" si="17"/>
        <v>117</v>
      </c>
      <c r="B143" s="2072">
        <f>IF(A143&gt;[11]Input!$B$7,"",DATE(YEAR(B142),MONTH(B142)+1,DAY([11]Input!$B$17)))</f>
        <v>47432</v>
      </c>
      <c r="C143" s="2073">
        <f t="shared" si="14"/>
        <v>31</v>
      </c>
      <c r="D143" s="2073"/>
      <c r="E143" s="2073"/>
      <c r="F143" s="2073"/>
      <c r="G143" s="2074">
        <f>ROUND((IFERROR((((J142*'Input Amortization-Fixed Rate '!$K$12)/360)*C143),0)),2)</f>
        <v>0</v>
      </c>
      <c r="H143" s="2074">
        <f>ROUND((IF(A143='Input Amortization-Fixed Rate '!$B$7,J142,(IF(A143&gt;'Input Amortization-Fixed Rate '!$B$7,0,IF(AND(A143&gt;='Input Amortization-Fixed Rate '!$B$8,A143&lt;='Input Amortization-Fixed Rate '!$F$8,'Input Amortization-Fixed Rate '!$K$8="No"),0,(('Input Amortization-Fixed Rate '!$C$12*('Input Amortization-Fixed Rate '!$K$4-G143-N143)))))))),2)</f>
        <v>0</v>
      </c>
      <c r="I143" s="2075">
        <f t="shared" si="10"/>
        <v>0</v>
      </c>
      <c r="J143" s="2074">
        <f t="shared" si="15"/>
        <v>2.9802322387695313E-8</v>
      </c>
      <c r="K143" s="2074"/>
      <c r="L143" s="2074"/>
      <c r="M143" s="2074"/>
      <c r="N143" s="2054">
        <f>IFERROR((((Q142*'Input Amortization-Fixed Rate '!$K$13)/360)*C143),0)</f>
        <v>0</v>
      </c>
      <c r="O143" s="2076">
        <f>IF(A143&gt;'Input Amortization-Fixed Rate '!$B$7,0,IF(A143='Input Amortization-Fixed Rate '!$B$7,Q142,IF(AND(A143&gt;='Input Amortization-Fixed Rate '!$B$8,A143&lt;='Input Amortization-Fixed Rate '!$F$8,'Input Amortization-Fixed Rate '!$K$8="No"),0,'Input Amortization-Fixed Rate '!$K$4-I143-N143)))</f>
        <v>0</v>
      </c>
      <c r="P143" s="2077">
        <f t="shared" si="16"/>
        <v>0</v>
      </c>
      <c r="Q143" s="2054">
        <f t="shared" si="11"/>
        <v>0</v>
      </c>
      <c r="R143" s="2054"/>
      <c r="S143" s="2054"/>
      <c r="T143" s="2054"/>
      <c r="U143" s="2054">
        <f t="shared" si="12"/>
        <v>0</v>
      </c>
      <c r="V143" s="2054">
        <f t="shared" si="13"/>
        <v>0</v>
      </c>
      <c r="W143" s="2054">
        <f t="shared" si="9"/>
        <v>0</v>
      </c>
      <c r="X143" s="20"/>
      <c r="Y143" s="20"/>
    </row>
    <row r="144" spans="1:25" customFormat="1" ht="15">
      <c r="A144" s="2065">
        <f t="shared" si="17"/>
        <v>118</v>
      </c>
      <c r="B144" s="2066">
        <f>IF(A144&gt;[11]Input!$B$7,"",DATE(YEAR(B143),MONTH(B143)+1,DAY([11]Input!$B$17)))</f>
        <v>47462</v>
      </c>
      <c r="C144" s="2067">
        <f t="shared" si="14"/>
        <v>30</v>
      </c>
      <c r="D144" s="2067"/>
      <c r="E144" s="2067"/>
      <c r="F144" s="2067"/>
      <c r="G144" s="2068">
        <f>ROUND((IFERROR((((J143*'Input Amortization-Fixed Rate '!$K$12)/360)*C144),0)),2)</f>
        <v>0</v>
      </c>
      <c r="H144" s="2068">
        <f>ROUND((IF(A144='Input Amortization-Fixed Rate '!$B$7,J143,(IF(A144&gt;'Input Amortization-Fixed Rate '!$B$7,0,IF(AND(A144&gt;='Input Amortization-Fixed Rate '!$B$8,A144&lt;='Input Amortization-Fixed Rate '!$F$8,'Input Amortization-Fixed Rate '!$K$8="No"),0,(('Input Amortization-Fixed Rate '!$C$12*('Input Amortization-Fixed Rate '!$K$4-G144-N144)))))))),2)</f>
        <v>0</v>
      </c>
      <c r="I144" s="2069">
        <f t="shared" si="10"/>
        <v>0</v>
      </c>
      <c r="J144" s="2068">
        <f t="shared" si="15"/>
        <v>2.9802322387695313E-8</v>
      </c>
      <c r="K144" s="2068"/>
      <c r="L144" s="2068"/>
      <c r="M144" s="2068"/>
      <c r="N144" s="2070">
        <f>IFERROR((((Q143*'Input Amortization-Fixed Rate '!$K$13)/360)*C144),0)</f>
        <v>0</v>
      </c>
      <c r="O144" s="2070">
        <f>IF(A144&gt;'Input Amortization-Fixed Rate '!$B$7,0,IF(A144='Input Amortization-Fixed Rate '!$B$7,Q143,IF(AND(A144&gt;='Input Amortization-Fixed Rate '!$B$8,A144&lt;='Input Amortization-Fixed Rate '!$F$8,'Input Amortization-Fixed Rate '!$K$8="No"),0,'Input Amortization-Fixed Rate '!$K$4-I144-N144)))</f>
        <v>0</v>
      </c>
      <c r="P144" s="2071">
        <f t="shared" si="16"/>
        <v>0</v>
      </c>
      <c r="Q144" s="2070">
        <f t="shared" si="11"/>
        <v>0</v>
      </c>
      <c r="R144" s="2054"/>
      <c r="S144" s="2054"/>
      <c r="T144" s="2054"/>
      <c r="U144" s="2054">
        <f t="shared" si="12"/>
        <v>0</v>
      </c>
      <c r="V144" s="2054">
        <f t="shared" si="13"/>
        <v>0</v>
      </c>
      <c r="W144" s="2054">
        <f t="shared" si="9"/>
        <v>0</v>
      </c>
      <c r="X144" s="20"/>
      <c r="Y144" s="20"/>
    </row>
    <row r="145" spans="1:74" customFormat="1" ht="15">
      <c r="A145" s="100">
        <f t="shared" si="17"/>
        <v>119</v>
      </c>
      <c r="B145" s="2072">
        <f>IF(A145&gt;[11]Input!$B$7,"",DATE(YEAR(B144),MONTH(B144)+1,DAY([11]Input!$B$17)))</f>
        <v>47493</v>
      </c>
      <c r="C145" s="2073">
        <f t="shared" si="14"/>
        <v>31</v>
      </c>
      <c r="D145" s="2073"/>
      <c r="E145" s="2073"/>
      <c r="F145" s="2073"/>
      <c r="G145" s="2074">
        <f>ROUND((IFERROR((((J144*'Input Amortization-Fixed Rate '!$K$12)/360)*C145),0)),2)</f>
        <v>0</v>
      </c>
      <c r="H145" s="2074">
        <f>ROUND((IF(A145='Input Amortization-Fixed Rate '!$B$7,J144,(IF(A145&gt;'Input Amortization-Fixed Rate '!$B$7,0,IF(AND(A145&gt;='Input Amortization-Fixed Rate '!$B$8,A145&lt;='Input Amortization-Fixed Rate '!$F$8,'Input Amortization-Fixed Rate '!$K$8="No"),0,(('Input Amortization-Fixed Rate '!$C$12*('Input Amortization-Fixed Rate '!$K$4-G145-N145)))))))),2)</f>
        <v>0</v>
      </c>
      <c r="I145" s="2075">
        <f t="shared" si="10"/>
        <v>0</v>
      </c>
      <c r="J145" s="2074">
        <f t="shared" si="15"/>
        <v>2.9802322387695313E-8</v>
      </c>
      <c r="K145" s="2074"/>
      <c r="L145" s="2074"/>
      <c r="M145" s="2074"/>
      <c r="N145" s="2054">
        <f>IFERROR((((Q144*'Input Amortization-Fixed Rate '!$K$13)/360)*C145),0)</f>
        <v>0</v>
      </c>
      <c r="O145" s="2076">
        <f>IF(A145&gt;'Input Amortization-Fixed Rate '!$B$7,0,IF(A145='Input Amortization-Fixed Rate '!$B$7,Q144,IF(AND(A145&gt;='Input Amortization-Fixed Rate '!$B$8,A145&lt;='Input Amortization-Fixed Rate '!$F$8,'Input Amortization-Fixed Rate '!$K$8="No"),0,'Input Amortization-Fixed Rate '!$K$4-I145-N145)))</f>
        <v>0</v>
      </c>
      <c r="P145" s="2077">
        <f t="shared" si="16"/>
        <v>0</v>
      </c>
      <c r="Q145" s="2054">
        <f t="shared" si="11"/>
        <v>0</v>
      </c>
      <c r="R145" s="2054"/>
      <c r="S145" s="2054"/>
      <c r="T145" s="2054"/>
      <c r="U145" s="2054">
        <f t="shared" si="12"/>
        <v>0</v>
      </c>
      <c r="V145" s="2054">
        <f t="shared" si="13"/>
        <v>0</v>
      </c>
      <c r="W145" s="2054">
        <f t="shared" si="9"/>
        <v>0</v>
      </c>
      <c r="X145" s="20"/>
      <c r="Y145" s="20"/>
    </row>
    <row r="146" spans="1:74" customFormat="1" ht="15">
      <c r="A146" s="2065">
        <f t="shared" si="17"/>
        <v>120</v>
      </c>
      <c r="B146" s="2066">
        <f>IF(A146&gt;[11]Input!$B$7,"",DATE(YEAR(B145),MONTH(B145)+1,DAY([11]Input!$B$17)))</f>
        <v>47524</v>
      </c>
      <c r="C146" s="2067">
        <f t="shared" si="14"/>
        <v>31</v>
      </c>
      <c r="D146" s="2067"/>
      <c r="E146" s="2067"/>
      <c r="F146" s="2067"/>
      <c r="G146" s="2068">
        <f>ROUND((IFERROR((((J145*'Input Amortization-Fixed Rate '!$K$12)/360)*C146),0)),2)</f>
        <v>0</v>
      </c>
      <c r="H146" s="2068">
        <f>ROUND((IF(A146='Input Amortization-Fixed Rate '!$B$7,J145,(IF(A146&gt;'Input Amortization-Fixed Rate '!$B$7,0,IF(AND(A146&gt;='Input Amortization-Fixed Rate '!$B$8,A146&lt;='Input Amortization-Fixed Rate '!$F$8,'Input Amortization-Fixed Rate '!$K$8="No"),0,(('Input Amortization-Fixed Rate '!$C$12*('Input Amortization-Fixed Rate '!$K$4-G146-N146)))))))),2)</f>
        <v>0</v>
      </c>
      <c r="I146" s="2068" t="s">
        <v>2299</v>
      </c>
      <c r="J146" s="2068"/>
      <c r="K146" s="2068"/>
      <c r="L146" s="2068"/>
      <c r="M146" s="2068"/>
      <c r="N146" s="2070">
        <f>IFERROR((((Q145*'Input Amortization-Fixed Rate '!$K$13)/360)*C146),0)</f>
        <v>0</v>
      </c>
      <c r="O146" s="2070">
        <f>IF(A146&gt;'Input Amortization-Fixed Rate '!$B$7,0,IF(A146='Input Amortization-Fixed Rate '!$B$7,Q145,IF(AND(A146&gt;='Input Amortization-Fixed Rate '!$B$8,A146&lt;='Input Amortization-Fixed Rate '!$F$8,'Input Amortization-Fixed Rate '!$K$8="No"),0,'Input Amortization-Fixed Rate '!$K$4-I146-N146)))</f>
        <v>0</v>
      </c>
      <c r="P146" s="2068" t="s">
        <v>2300</v>
      </c>
      <c r="Q146" s="2070">
        <f t="shared" si="11"/>
        <v>0</v>
      </c>
      <c r="R146" s="2054"/>
      <c r="S146" s="2054"/>
      <c r="T146" s="2054"/>
      <c r="U146" s="2054" t="str">
        <f t="shared" si="12"/>
        <v>accrued interest &amp; unpaid principal loan balance</v>
      </c>
      <c r="V146" s="2054" t="str">
        <f t="shared" si="13"/>
        <v>accrued interest  &amp; unpaid principal loan balance</v>
      </c>
      <c r="W146" s="2054" t="e">
        <f t="shared" si="9"/>
        <v>#VALUE!</v>
      </c>
      <c r="X146" s="20"/>
      <c r="Y146" s="20"/>
    </row>
    <row r="147" spans="1:74" customFormat="1" ht="15" hidden="1" outlineLevel="1">
      <c r="A147" s="100">
        <f t="shared" ref="A147:A152" si="18">A146+1</f>
        <v>121</v>
      </c>
      <c r="B147" s="2072" t="str">
        <f>IF(A147&gt;[11]Input!$B$7,"",DATE(YEAR(B146),MONTH(B146)+1,DAY([11]Input!$B$17)))</f>
        <v/>
      </c>
      <c r="C147" s="2073" t="str">
        <f t="shared" si="14"/>
        <v/>
      </c>
      <c r="D147" s="2073"/>
      <c r="E147" s="2073"/>
      <c r="F147" s="2073"/>
      <c r="G147" s="2074">
        <f>ROUND((IFERROR((((J146*'Input Amortization-Fixed Rate '!$K$12)/360)*C147),0)),2)</f>
        <v>0</v>
      </c>
      <c r="H147" s="2074">
        <f>ROUND((IF(A147='Input Amortization-Fixed Rate '!$B$7,J146,(IF(A147&gt;'Input Amortization-Fixed Rate '!$B$7,0,IF(AND(A147&gt;='Input Amortization-Fixed Rate '!$B$8,A147&lt;='Input Amortization-Fixed Rate '!$F$8,'Input Amortization-Fixed Rate '!$K$8="No"),0,(('Input Amortization-Fixed Rate '!$C$12*('Input Amortization-Fixed Rate '!$K$4-G147-N147)))))))),2)</f>
        <v>0</v>
      </c>
      <c r="I147" s="2074">
        <f t="shared" si="10"/>
        <v>0</v>
      </c>
      <c r="J147" s="2074" t="str">
        <f t="shared" si="15"/>
        <v/>
      </c>
      <c r="K147" s="2074"/>
      <c r="L147" s="2074"/>
      <c r="M147" s="2074"/>
      <c r="N147" s="2054">
        <f>IFERROR((((Q146*[11]Input!$K$13)/360)*C147),0)</f>
        <v>0</v>
      </c>
      <c r="O147" s="2054"/>
      <c r="P147" s="2054">
        <f>N147+O147</f>
        <v>0</v>
      </c>
      <c r="Q147" s="2054" t="str">
        <f t="shared" ref="Q147:Q152" si="19">IF(B147="","",O147+P147)</f>
        <v/>
      </c>
      <c r="R147" s="2054"/>
      <c r="S147" s="2054"/>
      <c r="T147" s="2054"/>
      <c r="U147" s="2054" t="str">
        <f t="shared" si="12"/>
        <v/>
      </c>
      <c r="V147" s="2054" t="str">
        <f t="shared" si="13"/>
        <v/>
      </c>
      <c r="W147" s="2054" t="str">
        <f t="shared" si="9"/>
        <v/>
      </c>
      <c r="X147" s="20"/>
      <c r="Y147" s="20"/>
    </row>
    <row r="148" spans="1:74" customFormat="1" ht="15" hidden="1" outlineLevel="1">
      <c r="A148" s="2065">
        <f t="shared" si="18"/>
        <v>122</v>
      </c>
      <c r="B148" s="2066" t="str">
        <f>IF(A148&gt;[11]Input!$B$7,"",DATE(YEAR(B147),MONTH(B147)+1,DAY([11]Input!$B$17)))</f>
        <v/>
      </c>
      <c r="C148" s="2067" t="str">
        <f t="shared" si="14"/>
        <v/>
      </c>
      <c r="D148" s="2067"/>
      <c r="E148" s="2067"/>
      <c r="F148" s="2067"/>
      <c r="G148" s="2074">
        <f>ROUND((IFERROR((((J147*'Input Amortization-Fixed Rate '!$K$12)/360)*C148),0)),2)</f>
        <v>0</v>
      </c>
      <c r="H148" s="2074">
        <f>ROUND((IF(A148='Input Amortization-Fixed Rate '!$B$7,J147,(IF(A148&gt;'Input Amortization-Fixed Rate '!$B$7,0,IF(AND(A148&gt;='Input Amortization-Fixed Rate '!$B$8,A148&lt;='Input Amortization-Fixed Rate '!$F$8,'Input Amortization-Fixed Rate '!$K$8="No"),0,(('Input Amortization-Fixed Rate '!$C$12*('Input Amortization-Fixed Rate '!$K$4-G148-N148)))))))),2)</f>
        <v>0</v>
      </c>
      <c r="I148" s="2068">
        <f t="shared" si="10"/>
        <v>0</v>
      </c>
      <c r="J148" s="2068"/>
      <c r="K148" s="2068"/>
      <c r="L148" s="2068"/>
      <c r="M148" s="2068"/>
      <c r="N148" s="2070">
        <f>IFERROR((((Q147*[11]Input!$K$13)/360)*C148),0)</f>
        <v>0</v>
      </c>
      <c r="O148" s="2070"/>
      <c r="P148" s="2070">
        <f t="shared" si="16"/>
        <v>0</v>
      </c>
      <c r="Q148" s="2070" t="str">
        <f t="shared" si="19"/>
        <v/>
      </c>
      <c r="R148" s="2054"/>
      <c r="S148" s="2054"/>
      <c r="T148" s="2054"/>
      <c r="U148" s="2054" t="str">
        <f t="shared" si="12"/>
        <v/>
      </c>
      <c r="V148" s="2054" t="str">
        <f t="shared" si="13"/>
        <v/>
      </c>
      <c r="W148" s="2054" t="str">
        <f t="shared" si="9"/>
        <v/>
      </c>
      <c r="X148" s="20"/>
      <c r="Y148" s="20"/>
    </row>
    <row r="149" spans="1:74" customFormat="1" ht="15" hidden="1" outlineLevel="1">
      <c r="A149" s="100">
        <f t="shared" si="18"/>
        <v>123</v>
      </c>
      <c r="B149" s="2072" t="str">
        <f>IF(A149&gt;[11]Input!$B$7,"",DATE(YEAR(B148),MONTH(B148)+1,DAY([11]Input!$B$17)))</f>
        <v/>
      </c>
      <c r="C149" s="2073" t="str">
        <f t="shared" si="14"/>
        <v/>
      </c>
      <c r="D149" s="2073"/>
      <c r="E149" s="2073"/>
      <c r="F149" s="2073"/>
      <c r="G149" s="2074">
        <f>ROUND((IFERROR((((J148*'Input Amortization-Fixed Rate '!$K$12)/360)*C149),0)),2)</f>
        <v>0</v>
      </c>
      <c r="H149" s="2074">
        <f>ROUND((IF(A149='Input Amortization-Fixed Rate '!$B$7,J148,(IF(A149&gt;'Input Amortization-Fixed Rate '!$B$7,0,IF(AND(A149&gt;='Input Amortization-Fixed Rate '!$B$8,A149&lt;='Input Amortization-Fixed Rate '!$F$8,'Input Amortization-Fixed Rate '!$K$8="No"),0,(('Input Amortization-Fixed Rate '!$C$12*('Input Amortization-Fixed Rate '!$K$4-G149-N149)))))))),2)</f>
        <v>0</v>
      </c>
      <c r="I149" s="2074">
        <f t="shared" si="10"/>
        <v>0</v>
      </c>
      <c r="J149" s="2074"/>
      <c r="K149" s="2074"/>
      <c r="L149" s="2074"/>
      <c r="M149" s="2074"/>
      <c r="N149" s="2054">
        <f>IFERROR((((Q148*[11]Input!$K$13)/360)*C149),0)</f>
        <v>0</v>
      </c>
      <c r="O149" s="2054"/>
      <c r="P149" s="2054">
        <f t="shared" si="16"/>
        <v>0</v>
      </c>
      <c r="Q149" s="2054" t="str">
        <f t="shared" si="19"/>
        <v/>
      </c>
      <c r="R149" s="2054"/>
      <c r="S149" s="2054"/>
      <c r="T149" s="2054"/>
      <c r="U149" s="2054" t="str">
        <f t="shared" si="12"/>
        <v/>
      </c>
      <c r="V149" s="2054" t="str">
        <f t="shared" si="13"/>
        <v/>
      </c>
      <c r="W149" s="2054" t="str">
        <f t="shared" si="9"/>
        <v/>
      </c>
      <c r="X149" s="20"/>
      <c r="Y149" s="20"/>
    </row>
    <row r="150" spans="1:74" customFormat="1" ht="15" hidden="1" outlineLevel="1">
      <c r="A150" s="2065">
        <f t="shared" si="18"/>
        <v>124</v>
      </c>
      <c r="B150" s="2066" t="str">
        <f>IF(A150&gt;[11]Input!$B$7,"",DATE(YEAR(B149),MONTH(B149)+1,DAY([11]Input!$B$17)))</f>
        <v/>
      </c>
      <c r="C150" s="2067" t="str">
        <f t="shared" si="14"/>
        <v/>
      </c>
      <c r="D150" s="2067"/>
      <c r="E150" s="2067"/>
      <c r="F150" s="2067"/>
      <c r="G150" s="2074">
        <f>ROUND((IFERROR((((J149*'Input Amortization-Fixed Rate '!$K$12)/360)*C150),0)),2)</f>
        <v>0</v>
      </c>
      <c r="H150" s="2074">
        <f>ROUND((IF(A150='Input Amortization-Fixed Rate '!$B$7,J149,(IF(A150&gt;'Input Amortization-Fixed Rate '!$B$7,0,IF(AND(A150&gt;='Input Amortization-Fixed Rate '!$B$8,A150&lt;='Input Amortization-Fixed Rate '!$F$8,'Input Amortization-Fixed Rate '!$K$8="No"),0,(('Input Amortization-Fixed Rate '!$C$12*('Input Amortization-Fixed Rate '!$K$4-G150-N150)))))))),2)</f>
        <v>0</v>
      </c>
      <c r="I150" s="2068">
        <f t="shared" si="10"/>
        <v>0</v>
      </c>
      <c r="J150" s="2068" t="str">
        <f t="shared" si="15"/>
        <v/>
      </c>
      <c r="K150" s="2068"/>
      <c r="L150" s="2068"/>
      <c r="M150" s="2068"/>
      <c r="N150" s="2070">
        <f>IFERROR((((Q149*[11]Input!$K$13)/360)*C150),0)</f>
        <v>0</v>
      </c>
      <c r="O150" s="2070"/>
      <c r="P150" s="2070">
        <f t="shared" si="16"/>
        <v>0</v>
      </c>
      <c r="Q150" s="2070" t="str">
        <f t="shared" si="19"/>
        <v/>
      </c>
      <c r="R150" s="2054"/>
      <c r="S150" s="2054"/>
      <c r="T150" s="2054"/>
      <c r="U150" s="2054" t="str">
        <f t="shared" si="12"/>
        <v/>
      </c>
      <c r="V150" s="2054" t="str">
        <f t="shared" si="13"/>
        <v/>
      </c>
      <c r="W150" s="2054" t="str">
        <f t="shared" si="9"/>
        <v/>
      </c>
      <c r="X150" s="20"/>
      <c r="Y150" s="20"/>
    </row>
    <row r="151" spans="1:74" customFormat="1" ht="15" hidden="1" outlineLevel="1">
      <c r="A151" s="100">
        <f t="shared" si="18"/>
        <v>125</v>
      </c>
      <c r="B151" s="2072" t="str">
        <f>IF(A151&gt;[11]Input!$B$7,"",DATE(YEAR(B150),MONTH(B150)+1,DAY([11]Input!$B$17)))</f>
        <v/>
      </c>
      <c r="C151" s="2073" t="str">
        <f t="shared" si="14"/>
        <v/>
      </c>
      <c r="D151" s="2073"/>
      <c r="E151" s="2073"/>
      <c r="F151" s="2073"/>
      <c r="G151" s="2074">
        <f>ROUND((IFERROR((((J150*'Input Amortization-Fixed Rate '!$K$12)/360)*C151),0)),2)</f>
        <v>0</v>
      </c>
      <c r="H151" s="2074">
        <f>ROUND((IF(A151='Input Amortization-Fixed Rate '!$B$7,J150,(IF(A151&gt;'Input Amortization-Fixed Rate '!$B$7,0,IF(AND(A151&gt;='Input Amortization-Fixed Rate '!$B$8,A151&lt;='Input Amortization-Fixed Rate '!$F$8,'Input Amortization-Fixed Rate '!$K$8="No"),0,(('Input Amortization-Fixed Rate '!$C$12*('Input Amortization-Fixed Rate '!$K$4-G151-N151)))))))),2)</f>
        <v>0</v>
      </c>
      <c r="I151" s="2074">
        <f t="shared" si="10"/>
        <v>0</v>
      </c>
      <c r="J151" s="2074" t="str">
        <f t="shared" si="15"/>
        <v/>
      </c>
      <c r="K151" s="2074"/>
      <c r="L151" s="2074"/>
      <c r="M151" s="2074"/>
      <c r="N151" s="2054">
        <f>IFERROR((((Q150*[11]Input!$K$13)/360)*C151),0)</f>
        <v>0</v>
      </c>
      <c r="O151" s="2054"/>
      <c r="P151" s="2054">
        <f t="shared" si="16"/>
        <v>0</v>
      </c>
      <c r="Q151" s="2054" t="str">
        <f t="shared" si="19"/>
        <v/>
      </c>
      <c r="R151" s="2054"/>
      <c r="S151" s="2054"/>
      <c r="T151" s="2054"/>
      <c r="U151" s="2054" t="str">
        <f t="shared" si="12"/>
        <v/>
      </c>
      <c r="V151" s="2054" t="str">
        <f t="shared" si="13"/>
        <v/>
      </c>
      <c r="W151" s="2054" t="str">
        <f t="shared" si="9"/>
        <v/>
      </c>
      <c r="X151" s="20"/>
      <c r="Y151" s="20"/>
    </row>
    <row r="152" spans="1:74" customFormat="1" ht="15" hidden="1" outlineLevel="1">
      <c r="A152" s="100">
        <f t="shared" si="18"/>
        <v>126</v>
      </c>
      <c r="B152" s="2072" t="str">
        <f>IF(A152&gt;[11]Input!$B$7,"",DATE(YEAR(B151),MONTH(B151)+1,DAY([11]Input!$B$17)))</f>
        <v/>
      </c>
      <c r="C152" s="2073" t="str">
        <f t="shared" si="14"/>
        <v/>
      </c>
      <c r="D152" s="2073"/>
      <c r="E152" s="2073"/>
      <c r="F152" s="2073"/>
      <c r="G152" s="2074">
        <f>ROUND((IFERROR((((J151*'Input Amortization-Fixed Rate '!$K$12)/360)*C152),0)),2)</f>
        <v>0</v>
      </c>
      <c r="H152" s="2074">
        <f>ROUND((IF(A152='Input Amortization-Fixed Rate '!$B$7,J151,(IF(A152&gt;'Input Amortization-Fixed Rate '!$B$7,0,IF(AND(A152&gt;='Input Amortization-Fixed Rate '!$B$8,A152&lt;='Input Amortization-Fixed Rate '!$F$8,'Input Amortization-Fixed Rate '!$K$8="No"),0,(('Input Amortization-Fixed Rate '!$C$12*('Input Amortization-Fixed Rate '!$K$4-G152-N152)))))))),2)</f>
        <v>0</v>
      </c>
      <c r="I152" s="2074">
        <f t="shared" si="10"/>
        <v>0</v>
      </c>
      <c r="J152" s="2074" t="str">
        <f t="shared" si="15"/>
        <v/>
      </c>
      <c r="K152" s="2074"/>
      <c r="L152" s="2074"/>
      <c r="M152" s="2074"/>
      <c r="N152" s="2054">
        <f>IFERROR((((Q151*[11]Input!$K$13)/360)*C152),0)</f>
        <v>0</v>
      </c>
      <c r="O152" s="2054"/>
      <c r="P152" s="2054">
        <f t="shared" si="16"/>
        <v>0</v>
      </c>
      <c r="Q152" s="2054" t="str">
        <f t="shared" si="19"/>
        <v/>
      </c>
      <c r="R152" s="2054"/>
      <c r="S152" s="2054"/>
      <c r="T152" s="2054"/>
      <c r="U152" s="2054" t="str">
        <f t="shared" si="12"/>
        <v/>
      </c>
      <c r="V152" s="2054" t="str">
        <f t="shared" si="13"/>
        <v/>
      </c>
      <c r="W152" s="2054" t="str">
        <f t="shared" si="9"/>
        <v/>
      </c>
      <c r="X152" s="20"/>
      <c r="Y152" s="20"/>
    </row>
    <row r="153" spans="1:74" customFormat="1" ht="15" collapsed="1">
      <c r="A153" s="100"/>
      <c r="B153" s="20"/>
      <c r="C153" s="100"/>
      <c r="D153" s="100"/>
      <c r="E153" s="100"/>
      <c r="F153" s="100"/>
      <c r="G153" s="2078"/>
      <c r="H153" s="2054"/>
      <c r="I153" s="2054"/>
      <c r="J153" s="2054"/>
      <c r="K153" s="2054"/>
      <c r="L153" s="2054"/>
      <c r="M153" s="2054"/>
      <c r="N153" s="2054"/>
      <c r="O153" s="2054"/>
      <c r="P153" s="2054"/>
      <c r="Q153" s="2054"/>
      <c r="R153" s="2054"/>
      <c r="S153" s="2054"/>
      <c r="T153" s="2054"/>
      <c r="U153" s="2054"/>
      <c r="V153" s="2054"/>
      <c r="W153" s="2054"/>
      <c r="X153" s="20"/>
      <c r="Y153" s="20"/>
    </row>
    <row r="154" spans="1:74" customFormat="1" ht="15">
      <c r="A154" s="100"/>
      <c r="B154" s="20"/>
      <c r="C154" s="100"/>
      <c r="D154" s="100"/>
      <c r="E154" s="100"/>
      <c r="F154" s="100"/>
      <c r="G154" s="2078"/>
      <c r="H154" s="2054"/>
      <c r="I154" s="2054"/>
      <c r="J154" s="2054"/>
      <c r="K154" s="2054"/>
      <c r="L154" s="2054"/>
      <c r="M154" s="2054"/>
      <c r="N154" s="2054"/>
      <c r="O154" s="2070"/>
      <c r="P154" s="2070"/>
      <c r="Q154" s="2054"/>
      <c r="R154" s="2054"/>
      <c r="S154" s="2054"/>
      <c r="T154" s="2054"/>
      <c r="U154" s="2054"/>
      <c r="V154" s="2054"/>
      <c r="W154" s="2054"/>
      <c r="X154" s="20"/>
      <c r="Y154" s="20"/>
    </row>
    <row r="155" spans="1:74" customFormat="1" ht="15" hidden="1" outlineLevel="1">
      <c r="A155" s="100"/>
      <c r="B155" s="20"/>
      <c r="C155" s="100"/>
      <c r="D155" s="100"/>
      <c r="E155" s="100"/>
      <c r="F155" s="100"/>
      <c r="G155" s="2078"/>
      <c r="H155" s="2054"/>
      <c r="I155" s="2054"/>
      <c r="J155" s="2054"/>
      <c r="K155" s="2054"/>
      <c r="L155" s="2054"/>
      <c r="M155" s="2054"/>
      <c r="N155" s="2054"/>
      <c r="O155" s="2054"/>
      <c r="P155" s="2054"/>
      <c r="Q155" s="2054"/>
      <c r="R155" s="2054"/>
      <c r="S155" s="2054"/>
      <c r="T155" s="2054"/>
      <c r="U155" s="2054"/>
      <c r="V155" s="2054"/>
      <c r="W155" s="2054"/>
      <c r="X155" s="20"/>
      <c r="Y155" s="20"/>
    </row>
    <row r="156" spans="1:74" customFormat="1" ht="15" hidden="1" outlineLevel="1">
      <c r="A156" s="2079" t="s">
        <v>2301</v>
      </c>
      <c r="B156" s="2080"/>
      <c r="C156" s="2081"/>
      <c r="D156" s="2081"/>
      <c r="E156" s="2081"/>
      <c r="F156" s="2081"/>
      <c r="G156" s="2082"/>
      <c r="H156" s="2083"/>
      <c r="I156" s="2083"/>
      <c r="J156" s="2083"/>
      <c r="K156" s="2083"/>
      <c r="L156" s="2083"/>
      <c r="M156" s="2083"/>
      <c r="N156" s="2083"/>
      <c r="O156" s="2083"/>
      <c r="P156" s="2083"/>
      <c r="Q156" s="2083"/>
      <c r="R156" s="2083"/>
      <c r="S156" s="2083"/>
      <c r="T156" s="2083"/>
      <c r="U156" s="2083"/>
      <c r="V156" s="2083"/>
      <c r="W156" s="2083"/>
      <c r="X156" s="2084"/>
      <c r="Y156" s="20"/>
    </row>
    <row r="157" spans="1:74" customFormat="1" ht="15" hidden="1" outlineLevel="1">
      <c r="A157" s="2085"/>
      <c r="B157" s="20"/>
      <c r="C157" s="100"/>
      <c r="D157" s="100"/>
      <c r="E157" s="100"/>
      <c r="F157" s="100"/>
      <c r="G157" s="2086" t="s">
        <v>2302</v>
      </c>
      <c r="H157" s="2054"/>
      <c r="I157" s="2054"/>
      <c r="J157" s="2054"/>
      <c r="K157" s="2054"/>
      <c r="L157" s="2054"/>
      <c r="M157" s="2054"/>
      <c r="N157" s="2054"/>
      <c r="O157" s="2054"/>
      <c r="P157" s="2054"/>
      <c r="Q157" s="2054"/>
      <c r="R157" s="2054"/>
      <c r="S157" s="2054"/>
      <c r="T157" s="2054"/>
      <c r="U157" s="2054"/>
      <c r="V157" s="2054"/>
      <c r="W157" s="2054"/>
      <c r="X157" s="2087"/>
      <c r="Y157" s="20"/>
    </row>
    <row r="158" spans="1:74" s="2089" customFormat="1" ht="15" hidden="1" outlineLevel="1">
      <c r="A158" s="2088" t="s">
        <v>2303</v>
      </c>
      <c r="B158" s="20"/>
      <c r="C158" s="100"/>
      <c r="D158" s="100"/>
      <c r="E158" s="100"/>
      <c r="F158" s="100"/>
      <c r="G158" s="2078"/>
      <c r="H158" s="2054">
        <f>SUM(H26:H157)</f>
        <v>64037354</v>
      </c>
      <c r="I158" s="2054"/>
      <c r="J158" s="2054"/>
      <c r="K158" s="2054"/>
      <c r="L158" s="2054"/>
      <c r="M158" s="2054"/>
      <c r="N158" s="2054"/>
      <c r="O158" s="2054">
        <f>SUM(O26:O157)</f>
        <v>15818989.999999978</v>
      </c>
      <c r="P158" s="2054"/>
      <c r="Q158" s="2054"/>
      <c r="R158" s="2054"/>
      <c r="S158" s="2054"/>
      <c r="T158" s="2054"/>
      <c r="U158" s="2054"/>
      <c r="V158" s="2054"/>
      <c r="W158" s="2054"/>
      <c r="X158" s="2087"/>
      <c r="Y158" s="20"/>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row>
    <row r="159" spans="1:74" s="2089" customFormat="1" ht="15" hidden="1" outlineLevel="1">
      <c r="A159" s="2088" t="s">
        <v>2304</v>
      </c>
      <c r="B159" s="20"/>
      <c r="C159" s="100"/>
      <c r="D159" s="100"/>
      <c r="E159" s="100"/>
      <c r="F159" s="100"/>
      <c r="G159" s="2078"/>
      <c r="H159" s="2054">
        <f>+[11]Input!B12</f>
        <v>60450000</v>
      </c>
      <c r="I159" s="2054"/>
      <c r="J159" s="2054"/>
      <c r="K159" s="2054"/>
      <c r="L159" s="2054"/>
      <c r="M159" s="2054"/>
      <c r="N159" s="2054"/>
      <c r="O159" s="2054">
        <f>+[11]Input!B13</f>
        <v>1550000</v>
      </c>
      <c r="P159" s="2054"/>
      <c r="Q159" s="2054"/>
      <c r="R159" s="2054"/>
      <c r="S159" s="2054"/>
      <c r="T159" s="2054"/>
      <c r="U159" s="2054"/>
      <c r="V159" s="2054"/>
      <c r="W159" s="2054"/>
      <c r="X159" s="2087"/>
      <c r="Y159" s="20"/>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row>
    <row r="160" spans="1:74" s="2089" customFormat="1" ht="15" hidden="1" outlineLevel="1">
      <c r="A160" s="2088" t="s">
        <v>439</v>
      </c>
      <c r="B160" s="20"/>
      <c r="C160" s="100"/>
      <c r="D160" s="100"/>
      <c r="E160" s="100"/>
      <c r="F160" s="100"/>
      <c r="G160" s="2078"/>
      <c r="H160" s="2054">
        <f>H159-H158</f>
        <v>-3587354</v>
      </c>
      <c r="I160" s="2054"/>
      <c r="J160" s="2054"/>
      <c r="K160" s="2054"/>
      <c r="L160" s="2054"/>
      <c r="M160" s="2054"/>
      <c r="N160" s="2054"/>
      <c r="O160" s="2054">
        <f>+O159-O158</f>
        <v>-14268989.999999978</v>
      </c>
      <c r="P160" s="2054"/>
      <c r="Q160" s="2054"/>
      <c r="R160" s="2054"/>
      <c r="S160" s="2054"/>
      <c r="T160" s="2054"/>
      <c r="U160" s="2054"/>
      <c r="V160" s="2054"/>
      <c r="W160" s="2054"/>
      <c r="X160" s="2087"/>
      <c r="Y160" s="2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row>
    <row r="161" spans="1:25" customFormat="1" ht="15" hidden="1" outlineLevel="1">
      <c r="A161" s="2090"/>
      <c r="B161" s="20"/>
      <c r="C161" s="100"/>
      <c r="D161" s="100"/>
      <c r="E161" s="100"/>
      <c r="F161" s="100"/>
      <c r="G161" s="2078"/>
      <c r="H161" s="2054"/>
      <c r="I161" s="2054"/>
      <c r="J161" s="2054"/>
      <c r="K161" s="2054"/>
      <c r="L161" s="2054"/>
      <c r="M161" s="2054"/>
      <c r="N161" s="2054"/>
      <c r="O161" s="2054"/>
      <c r="P161" s="2054"/>
      <c r="Q161" s="2054"/>
      <c r="R161" s="2054"/>
      <c r="S161" s="2054"/>
      <c r="T161" s="2054"/>
      <c r="U161" s="2054"/>
      <c r="V161" s="2054"/>
      <c r="W161" s="2054"/>
      <c r="X161" s="2087"/>
      <c r="Y161" s="20"/>
    </row>
    <row r="162" spans="1:25" customFormat="1" ht="15.75" hidden="1" outlineLevel="1" thickBot="1">
      <c r="A162" s="2091"/>
      <c r="B162" s="2092"/>
      <c r="C162" s="2093"/>
      <c r="D162" s="2093"/>
      <c r="E162" s="2093"/>
      <c r="F162" s="2093"/>
      <c r="G162" s="2094"/>
      <c r="H162" s="2095"/>
      <c r="I162" s="2095"/>
      <c r="J162" s="2095"/>
      <c r="K162" s="2095"/>
      <c r="L162" s="2095"/>
      <c r="M162" s="2095"/>
      <c r="N162" s="2095"/>
      <c r="O162" s="2095"/>
      <c r="P162" s="2095"/>
      <c r="Q162" s="2095"/>
      <c r="R162" s="2095"/>
      <c r="S162" s="2095"/>
      <c r="T162" s="2095"/>
      <c r="U162" s="2095"/>
      <c r="V162" s="2095"/>
      <c r="W162" s="2095"/>
      <c r="X162" s="2096"/>
      <c r="Y162" s="20"/>
    </row>
    <row r="163" spans="1:25" customFormat="1" ht="15" hidden="1" outlineLevel="1">
      <c r="A163" s="100"/>
      <c r="B163" s="351"/>
      <c r="C163" s="100"/>
      <c r="D163" s="100"/>
      <c r="E163" s="100"/>
      <c r="F163" s="100"/>
      <c r="G163" s="2078"/>
      <c r="H163" s="2054"/>
      <c r="I163" s="2054"/>
      <c r="J163" s="2054"/>
      <c r="K163" s="2054"/>
      <c r="L163" s="2054"/>
      <c r="M163" s="2054"/>
      <c r="N163" s="2054"/>
      <c r="O163" s="2054"/>
      <c r="P163" s="2054"/>
      <c r="Q163" s="2054"/>
      <c r="R163" s="2054"/>
      <c r="S163" s="2054"/>
      <c r="T163" s="2054"/>
      <c r="U163" s="2054"/>
      <c r="V163" s="2054"/>
      <c r="W163" s="2054"/>
      <c r="X163" s="20"/>
      <c r="Y163" s="20"/>
    </row>
    <row r="164" spans="1:25" customFormat="1" ht="15" collapsed="1">
      <c r="A164" s="100"/>
      <c r="B164" s="351"/>
      <c r="C164" s="100"/>
      <c r="D164" s="100"/>
      <c r="E164" s="100"/>
      <c r="F164" s="100"/>
      <c r="G164" s="2078"/>
      <c r="H164" s="2054"/>
      <c r="I164" s="2054"/>
      <c r="J164" s="2054"/>
      <c r="K164" s="2054"/>
      <c r="L164" s="2054"/>
      <c r="M164" s="2054"/>
      <c r="N164" s="2054"/>
      <c r="O164" s="2054"/>
      <c r="P164" s="2054"/>
      <c r="Q164" s="2054"/>
      <c r="R164" s="2054"/>
      <c r="S164" s="2054"/>
      <c r="T164" s="2054"/>
      <c r="U164" s="2054"/>
      <c r="V164" s="2054"/>
      <c r="W164" s="2054"/>
      <c r="X164" s="20"/>
      <c r="Y164" s="20"/>
    </row>
    <row r="165" spans="1:25" customFormat="1" ht="15.75" thickBot="1">
      <c r="A165" s="100"/>
      <c r="B165" s="2092" t="s">
        <v>2305</v>
      </c>
      <c r="C165" s="100"/>
      <c r="D165" s="100"/>
      <c r="E165" s="100"/>
      <c r="F165" s="100"/>
      <c r="G165" s="2078"/>
      <c r="H165" s="2054"/>
      <c r="I165" s="2054"/>
      <c r="J165" s="2054"/>
      <c r="K165" s="2054"/>
      <c r="L165" s="2054"/>
      <c r="M165" s="2054"/>
      <c r="N165" s="2054"/>
      <c r="O165" s="2054"/>
      <c r="P165" s="2054"/>
      <c r="Q165" s="2054"/>
      <c r="R165" s="2054"/>
      <c r="S165" s="2054"/>
      <c r="T165" s="2054"/>
      <c r="U165" s="2054"/>
      <c r="V165" s="2054"/>
      <c r="W165" s="2054"/>
      <c r="X165" s="20"/>
      <c r="Y165" s="20"/>
    </row>
    <row r="166" spans="1:25" customFormat="1" ht="15">
      <c r="A166" s="100"/>
      <c r="B166" s="2097" t="s">
        <v>1332</v>
      </c>
      <c r="C166" s="2098" t="s">
        <v>804</v>
      </c>
      <c r="D166" s="2098"/>
      <c r="E166" s="2098"/>
      <c r="F166" s="2098"/>
      <c r="G166" s="2099" t="s">
        <v>22</v>
      </c>
      <c r="H166" s="2100" t="s">
        <v>2306</v>
      </c>
      <c r="I166" s="1218"/>
      <c r="J166" s="1218"/>
      <c r="K166" s="1218"/>
      <c r="L166" s="1218"/>
      <c r="M166" s="1218"/>
      <c r="N166" s="1218"/>
      <c r="O166" s="1218"/>
      <c r="P166" s="1218"/>
      <c r="Q166" s="1218"/>
      <c r="R166" s="1218"/>
      <c r="S166" s="1218"/>
      <c r="T166" s="2054"/>
      <c r="U166" s="1218"/>
      <c r="V166" s="1218"/>
      <c r="W166" s="1218"/>
      <c r="X166" s="20"/>
      <c r="Y166" s="20"/>
    </row>
    <row r="167" spans="1:25" customFormat="1" ht="15">
      <c r="A167" s="100" t="s">
        <v>2307</v>
      </c>
      <c r="B167" s="2101">
        <f>SUM(G26:G146)</f>
        <v>0</v>
      </c>
      <c r="C167" s="2102">
        <f>SUM(N26:N146)</f>
        <v>0</v>
      </c>
      <c r="D167" s="2102"/>
      <c r="E167" s="2102"/>
      <c r="F167" s="2102"/>
      <c r="G167" s="2103">
        <f>SUM(B167:C167)</f>
        <v>0</v>
      </c>
      <c r="H167" s="2104">
        <f>+'Fixed Amortization Single Note'!B158</f>
        <v>0</v>
      </c>
      <c r="I167" s="1218"/>
      <c r="J167" s="1218"/>
      <c r="K167" s="1218"/>
      <c r="L167" s="1218"/>
      <c r="M167" s="1218"/>
      <c r="N167" s="1218"/>
      <c r="O167" s="1218"/>
      <c r="P167" s="1218"/>
      <c r="Q167" s="1218"/>
      <c r="R167" s="1218"/>
      <c r="S167" s="1218"/>
      <c r="T167" s="2054"/>
      <c r="U167" s="1218"/>
      <c r="V167" s="1218"/>
      <c r="W167" s="1218"/>
      <c r="X167" s="20"/>
      <c r="Y167" s="20"/>
    </row>
    <row r="168" spans="1:25" customFormat="1" ht="15.75" thickBot="1">
      <c r="A168" s="100" t="s">
        <v>2308</v>
      </c>
      <c r="B168" s="2105">
        <f>H146</f>
        <v>0</v>
      </c>
      <c r="C168" s="2106">
        <f>O146</f>
        <v>0</v>
      </c>
      <c r="D168" s="2106"/>
      <c r="E168" s="2106"/>
      <c r="F168" s="2106"/>
      <c r="G168" s="2107">
        <f>SUM(B168:C168)</f>
        <v>0</v>
      </c>
      <c r="H168" s="2184">
        <f>+'Fixed Amortization Single Note'!B159</f>
        <v>0</v>
      </c>
      <c r="I168" s="1218"/>
      <c r="J168" s="1218"/>
      <c r="K168" s="1218"/>
      <c r="L168" s="1218"/>
      <c r="M168" s="1218"/>
      <c r="N168" s="1218"/>
      <c r="O168" s="1218"/>
      <c r="P168" s="1218"/>
      <c r="Q168" s="1218"/>
      <c r="R168" s="1218"/>
      <c r="S168" s="1218"/>
      <c r="T168" s="2054"/>
      <c r="U168" s="1218"/>
      <c r="V168" s="1218"/>
      <c r="W168" s="1218"/>
      <c r="X168" s="20"/>
      <c r="Y168" s="20"/>
    </row>
    <row r="169" spans="1:25" customFormat="1" ht="15">
      <c r="A169" s="100"/>
      <c r="B169" s="20"/>
      <c r="C169" s="100"/>
      <c r="D169" s="100"/>
      <c r="E169" s="100"/>
      <c r="F169" s="100"/>
      <c r="G169" s="2108"/>
      <c r="H169" s="1218"/>
      <c r="I169" s="1218"/>
      <c r="J169" s="1218"/>
      <c r="K169" s="1218"/>
      <c r="L169" s="1218"/>
      <c r="M169" s="1218"/>
      <c r="N169" s="1218"/>
      <c r="O169" s="1218"/>
      <c r="P169" s="1218"/>
      <c r="Q169" s="1218"/>
      <c r="R169" s="1218"/>
      <c r="S169" s="1218"/>
      <c r="T169" s="2054"/>
      <c r="U169" s="1218"/>
      <c r="V169" s="1218"/>
      <c r="W169" s="1218"/>
      <c r="X169" s="20"/>
      <c r="Y169" s="20"/>
    </row>
    <row r="170" spans="1:25" customFormat="1" ht="15">
      <c r="A170" s="100"/>
      <c r="B170" s="20"/>
      <c r="C170" s="100"/>
      <c r="D170" s="100"/>
      <c r="E170" s="100"/>
      <c r="F170" s="100"/>
      <c r="G170" s="2108"/>
      <c r="H170" s="1218"/>
      <c r="I170" s="1218"/>
      <c r="J170" s="1218"/>
      <c r="K170" s="1218"/>
      <c r="L170" s="1218"/>
      <c r="M170" s="1218"/>
      <c r="N170" s="1218"/>
      <c r="O170" s="1218"/>
      <c r="P170" s="1218"/>
      <c r="Q170" s="1218"/>
      <c r="R170" s="1218"/>
      <c r="S170" s="1218"/>
      <c r="T170" s="2054"/>
      <c r="U170" s="1218"/>
      <c r="V170" s="1218"/>
      <c r="W170" s="1218"/>
      <c r="X170" s="20"/>
    </row>
    <row r="171" spans="1:25" customFormat="1" ht="15">
      <c r="A171" s="100"/>
      <c r="B171" s="20"/>
      <c r="C171" s="100"/>
      <c r="D171" s="100"/>
      <c r="E171" s="100"/>
      <c r="F171" s="100"/>
      <c r="G171" s="2108"/>
      <c r="H171" s="1218"/>
      <c r="I171" s="1218"/>
      <c r="J171" s="1218"/>
      <c r="K171" s="1218"/>
      <c r="L171" s="1218"/>
      <c r="M171" s="1218"/>
      <c r="N171" s="1218"/>
      <c r="O171" s="1218"/>
      <c r="P171" s="1218"/>
      <c r="Q171" s="1218"/>
      <c r="R171" s="1218"/>
      <c r="S171" s="1218"/>
      <c r="T171" s="2054"/>
      <c r="U171" s="1218"/>
      <c r="V171" s="1218"/>
      <c r="W171" s="1218"/>
      <c r="X171" s="20"/>
    </row>
    <row r="172" spans="1:25" customFormat="1" ht="15">
      <c r="A172" s="100"/>
      <c r="B172" s="20"/>
      <c r="C172" s="100"/>
      <c r="D172" s="100"/>
      <c r="E172" s="100"/>
      <c r="F172" s="100"/>
      <c r="G172" s="2108"/>
      <c r="H172" s="1218"/>
      <c r="I172" s="1218"/>
      <c r="J172" s="1218"/>
      <c r="K172" s="1218"/>
      <c r="L172" s="1218"/>
      <c r="M172" s="1218"/>
      <c r="N172" s="1218"/>
      <c r="O172" s="1218"/>
      <c r="P172" s="1218"/>
      <c r="Q172" s="1218"/>
      <c r="R172" s="1218"/>
      <c r="S172" s="1218"/>
      <c r="T172" s="2054"/>
      <c r="U172" s="1218"/>
      <c r="V172" s="1218"/>
      <c r="W172" s="1218"/>
      <c r="X172" s="20"/>
    </row>
    <row r="173" spans="1:25" customFormat="1" ht="15">
      <c r="A173" s="100"/>
      <c r="B173" s="20"/>
      <c r="C173" s="100"/>
      <c r="D173" s="100"/>
      <c r="E173" s="100"/>
      <c r="F173" s="100"/>
      <c r="G173" s="2108"/>
      <c r="H173" s="1218"/>
      <c r="I173" s="1218"/>
      <c r="J173" s="1218"/>
      <c r="K173" s="1218"/>
      <c r="L173" s="1218"/>
      <c r="M173" s="1218"/>
      <c r="N173" s="1218"/>
      <c r="O173" s="1218"/>
      <c r="P173" s="1218"/>
      <c r="Q173" s="1218"/>
      <c r="R173" s="1218"/>
      <c r="S173" s="1218"/>
      <c r="T173" s="2054"/>
      <c r="U173" s="1218"/>
      <c r="V173" s="1218"/>
      <c r="W173" s="1218"/>
      <c r="X173" s="20"/>
    </row>
    <row r="174" spans="1:25" customFormat="1" ht="15">
      <c r="A174" s="100"/>
      <c r="B174" s="20"/>
      <c r="C174" s="100"/>
      <c r="D174" s="100"/>
      <c r="E174" s="100"/>
      <c r="F174" s="100"/>
      <c r="G174" s="2108"/>
      <c r="H174" s="1218"/>
      <c r="I174" s="1218"/>
      <c r="J174" s="1218"/>
      <c r="K174" s="1218"/>
      <c r="L174" s="1218"/>
      <c r="M174" s="1218"/>
      <c r="N174" s="1218"/>
      <c r="O174" s="1218"/>
      <c r="P174" s="1218"/>
      <c r="Q174" s="1218"/>
      <c r="R174" s="1218"/>
      <c r="S174" s="1218"/>
      <c r="T174" s="2054"/>
      <c r="U174" s="1218"/>
      <c r="V174" s="1218"/>
      <c r="W174" s="1218"/>
      <c r="X174" s="20"/>
    </row>
    <row r="175" spans="1:25" customFormat="1" ht="15">
      <c r="A175" s="100"/>
      <c r="B175" s="20"/>
      <c r="C175" s="100"/>
      <c r="D175" s="100"/>
      <c r="E175" s="100"/>
      <c r="F175" s="100"/>
      <c r="G175" s="2108"/>
      <c r="H175" s="1218"/>
      <c r="I175" s="1218"/>
      <c r="J175" s="1218"/>
      <c r="K175" s="1218"/>
      <c r="L175" s="1218"/>
      <c r="M175" s="1218"/>
      <c r="N175" s="1218"/>
      <c r="O175" s="1218"/>
      <c r="P175" s="1218"/>
      <c r="Q175" s="1218"/>
      <c r="R175" s="1218"/>
      <c r="S175" s="1218"/>
      <c r="T175" s="2054"/>
      <c r="U175" s="1218"/>
      <c r="V175" s="1218"/>
      <c r="W175" s="1218"/>
      <c r="X175" s="20"/>
    </row>
    <row r="176" spans="1:25" customFormat="1" ht="15">
      <c r="A176" s="100"/>
      <c r="B176" s="20"/>
      <c r="C176" s="100"/>
      <c r="D176" s="100"/>
      <c r="E176" s="100"/>
      <c r="F176" s="100"/>
      <c r="G176" s="2108"/>
      <c r="H176" s="1218"/>
      <c r="I176" s="1218"/>
      <c r="J176" s="1218"/>
      <c r="K176" s="1218"/>
      <c r="L176" s="1218"/>
      <c r="M176" s="1218"/>
      <c r="N176" s="1218"/>
      <c r="O176" s="1218"/>
      <c r="P176" s="1218"/>
      <c r="Q176" s="1218"/>
      <c r="R176" s="1218"/>
      <c r="S176" s="1218"/>
      <c r="T176" s="2054"/>
      <c r="U176" s="1218"/>
      <c r="V176" s="1218"/>
      <c r="W176" s="1218"/>
      <c r="X176" s="20"/>
    </row>
    <row r="177" spans="1:24" customFormat="1" ht="15">
      <c r="A177" s="100"/>
      <c r="B177" s="20"/>
      <c r="C177" s="100"/>
      <c r="D177" s="100"/>
      <c r="E177" s="100"/>
      <c r="F177" s="100"/>
      <c r="G177" s="2108"/>
      <c r="H177" s="1218"/>
      <c r="I177" s="1218"/>
      <c r="J177" s="1218"/>
      <c r="K177" s="1218"/>
      <c r="L177" s="1218"/>
      <c r="M177" s="1218"/>
      <c r="N177" s="1218"/>
      <c r="O177" s="1218"/>
      <c r="P177" s="1218"/>
      <c r="Q177" s="1218"/>
      <c r="R177" s="1218"/>
      <c r="S177" s="1218"/>
      <c r="T177" s="2054"/>
      <c r="U177" s="1218"/>
      <c r="V177" s="1218"/>
      <c r="W177" s="1218"/>
      <c r="X177" s="20"/>
    </row>
    <row r="178" spans="1:24" customFormat="1" ht="15">
      <c r="A178" s="100"/>
      <c r="B178" s="20"/>
      <c r="C178" s="100"/>
      <c r="D178" s="100"/>
      <c r="E178" s="100"/>
      <c r="F178" s="100"/>
      <c r="G178" s="2108"/>
      <c r="H178" s="1218"/>
      <c r="I178" s="1218"/>
      <c r="J178" s="1218"/>
      <c r="K178" s="1218"/>
      <c r="L178" s="1218"/>
      <c r="M178" s="1218"/>
      <c r="N178" s="1218"/>
      <c r="O178" s="1218"/>
      <c r="P178" s="1218"/>
      <c r="Q178" s="1218"/>
      <c r="R178" s="1218"/>
      <c r="S178" s="1218"/>
      <c r="T178" s="2054"/>
      <c r="U178" s="1218"/>
      <c r="V178" s="1218"/>
      <c r="W178" s="1218"/>
      <c r="X178" s="20"/>
    </row>
    <row r="179" spans="1:24" customFormat="1" ht="15">
      <c r="A179" s="100"/>
      <c r="B179" s="20"/>
      <c r="C179" s="100"/>
      <c r="D179" s="100"/>
      <c r="E179" s="100"/>
      <c r="F179" s="100"/>
      <c r="G179" s="2108"/>
      <c r="H179" s="1218"/>
      <c r="I179" s="1218"/>
      <c r="J179" s="1218"/>
      <c r="K179" s="1218"/>
      <c r="L179" s="1218"/>
      <c r="M179" s="1218"/>
      <c r="N179" s="1218"/>
      <c r="O179" s="1218"/>
      <c r="P179" s="1218"/>
      <c r="Q179" s="1218"/>
      <c r="R179" s="1218"/>
      <c r="S179" s="1218"/>
      <c r="T179" s="2054"/>
      <c r="U179" s="1218"/>
      <c r="V179" s="1218"/>
      <c r="W179" s="1218"/>
      <c r="X179" s="20"/>
    </row>
    <row r="180" spans="1:24" customFormat="1" ht="15">
      <c r="A180" s="100"/>
      <c r="B180" s="20"/>
      <c r="C180" s="100"/>
      <c r="D180" s="100"/>
      <c r="E180" s="100"/>
      <c r="F180" s="100"/>
      <c r="G180" s="2108"/>
      <c r="H180" s="1218"/>
      <c r="I180" s="1218"/>
      <c r="J180" s="1218"/>
      <c r="K180" s="1218"/>
      <c r="L180" s="1218"/>
      <c r="M180" s="1218"/>
      <c r="N180" s="1218"/>
      <c r="O180" s="1218"/>
      <c r="P180" s="1218"/>
      <c r="Q180" s="1218"/>
      <c r="R180" s="1218"/>
      <c r="S180" s="1218"/>
      <c r="T180" s="2054"/>
      <c r="U180" s="1218"/>
      <c r="V180" s="1218"/>
      <c r="W180" s="1218"/>
      <c r="X180" s="20"/>
    </row>
    <row r="181" spans="1:24" customFormat="1" ht="15">
      <c r="A181" s="100"/>
      <c r="B181" s="20"/>
      <c r="C181" s="100"/>
      <c r="D181" s="100"/>
      <c r="E181" s="100"/>
      <c r="F181" s="100"/>
      <c r="G181" s="2108"/>
      <c r="H181" s="1218"/>
      <c r="I181" s="1218"/>
      <c r="J181" s="1218"/>
      <c r="K181" s="1218"/>
      <c r="L181" s="1218"/>
      <c r="M181" s="1218"/>
      <c r="N181" s="1218"/>
      <c r="O181" s="1218"/>
      <c r="P181" s="1218"/>
      <c r="Q181" s="1218"/>
      <c r="R181" s="1218"/>
      <c r="S181" s="1218"/>
      <c r="T181" s="2054"/>
      <c r="U181" s="1218"/>
      <c r="V181" s="1218"/>
      <c r="W181" s="1218"/>
      <c r="X181" s="20"/>
    </row>
    <row r="182" spans="1:24" customFormat="1" ht="15">
      <c r="A182" s="100"/>
      <c r="B182" s="20"/>
      <c r="C182" s="100"/>
      <c r="D182" s="100"/>
      <c r="E182" s="100"/>
      <c r="F182" s="100"/>
      <c r="G182" s="2108"/>
      <c r="H182" s="1218"/>
      <c r="I182" s="1218"/>
      <c r="J182" s="1218"/>
      <c r="K182" s="1218"/>
      <c r="L182" s="1218"/>
      <c r="M182" s="1218"/>
      <c r="N182" s="1218"/>
      <c r="O182" s="1218"/>
      <c r="P182" s="1218"/>
      <c r="Q182" s="1218"/>
      <c r="R182" s="1218"/>
      <c r="S182" s="1218"/>
      <c r="T182" s="2054"/>
      <c r="U182" s="1218"/>
      <c r="V182" s="1218"/>
      <c r="W182" s="1218"/>
      <c r="X182" s="20"/>
    </row>
    <row r="183" spans="1:24" customFormat="1" ht="15">
      <c r="A183" s="100"/>
      <c r="B183" s="20"/>
      <c r="C183" s="100"/>
      <c r="D183" s="100"/>
      <c r="E183" s="100"/>
      <c r="F183" s="100"/>
      <c r="G183" s="2108"/>
      <c r="H183" s="1218"/>
      <c r="I183" s="1218"/>
      <c r="J183" s="1218"/>
      <c r="K183" s="1218"/>
      <c r="L183" s="1218"/>
      <c r="M183" s="1218"/>
      <c r="N183" s="1218"/>
      <c r="O183" s="1218"/>
      <c r="P183" s="1218"/>
      <c r="Q183" s="1218"/>
      <c r="R183" s="1218"/>
      <c r="S183" s="1218"/>
      <c r="T183" s="2054"/>
      <c r="U183" s="1218"/>
      <c r="V183" s="1218"/>
      <c r="W183" s="1218"/>
      <c r="X183" s="20"/>
    </row>
    <row r="184" spans="1:24" customFormat="1" ht="15">
      <c r="A184" s="100"/>
      <c r="B184" s="20"/>
      <c r="C184" s="100"/>
      <c r="D184" s="100"/>
      <c r="E184" s="100"/>
      <c r="F184" s="100"/>
      <c r="G184" s="2108"/>
      <c r="H184" s="1218"/>
      <c r="I184" s="1218"/>
      <c r="J184" s="1218"/>
      <c r="K184" s="1218"/>
      <c r="L184" s="1218"/>
      <c r="M184" s="1218"/>
      <c r="N184" s="1218"/>
      <c r="O184" s="1218"/>
      <c r="P184" s="1218"/>
      <c r="Q184" s="1218"/>
      <c r="R184" s="1218"/>
      <c r="S184" s="1218"/>
      <c r="T184" s="2054"/>
      <c r="U184" s="1218"/>
      <c r="V184" s="1218"/>
      <c r="W184" s="1218"/>
      <c r="X184" s="20"/>
    </row>
    <row r="185" spans="1:24" customFormat="1" ht="15">
      <c r="A185" s="100"/>
      <c r="B185" s="20"/>
      <c r="C185" s="100"/>
      <c r="D185" s="100"/>
      <c r="E185" s="100"/>
      <c r="F185" s="100"/>
      <c r="G185" s="2108"/>
      <c r="H185" s="1218"/>
      <c r="I185" s="1218"/>
      <c r="J185" s="1218"/>
      <c r="K185" s="1218"/>
      <c r="L185" s="1218"/>
      <c r="M185" s="1218"/>
      <c r="N185" s="1218"/>
      <c r="O185" s="1218"/>
      <c r="P185" s="1218"/>
      <c r="Q185" s="1218"/>
      <c r="R185" s="1218"/>
      <c r="S185" s="1218"/>
      <c r="T185" s="2054"/>
      <c r="U185" s="1218"/>
      <c r="V185" s="1218"/>
      <c r="W185" s="1218"/>
      <c r="X185" s="20"/>
    </row>
    <row r="186" spans="1:24" customFormat="1" ht="15">
      <c r="A186" s="100"/>
      <c r="B186" s="20"/>
      <c r="C186" s="100"/>
      <c r="D186" s="100"/>
      <c r="E186" s="100"/>
      <c r="F186" s="100"/>
      <c r="G186" s="2108"/>
      <c r="H186" s="1218"/>
      <c r="I186" s="1218"/>
      <c r="J186" s="1218"/>
      <c r="K186" s="1218"/>
      <c r="L186" s="1218"/>
      <c r="M186" s="1218"/>
      <c r="N186" s="1218"/>
      <c r="O186" s="1218"/>
      <c r="P186" s="1218"/>
      <c r="Q186" s="1218"/>
      <c r="R186" s="1218"/>
      <c r="S186" s="1218"/>
      <c r="T186" s="2054"/>
      <c r="U186" s="1218"/>
      <c r="V186" s="1218"/>
      <c r="W186" s="1218"/>
      <c r="X186" s="20"/>
    </row>
    <row r="187" spans="1:24" customFormat="1" ht="15">
      <c r="A187" s="100"/>
      <c r="B187" s="20"/>
      <c r="C187" s="100"/>
      <c r="D187" s="100"/>
      <c r="E187" s="100"/>
      <c r="F187" s="100"/>
      <c r="G187" s="2108"/>
      <c r="H187" s="1218"/>
      <c r="I187" s="1218"/>
      <c r="J187" s="1218"/>
      <c r="K187" s="1218"/>
      <c r="L187" s="1218"/>
      <c r="M187" s="1218"/>
      <c r="N187" s="1218"/>
      <c r="O187" s="1218"/>
      <c r="P187" s="1218"/>
      <c r="Q187" s="1218"/>
      <c r="R187" s="1218"/>
      <c r="S187" s="1218"/>
      <c r="T187" s="2054"/>
      <c r="U187" s="1218"/>
      <c r="V187" s="1218"/>
      <c r="W187" s="1218"/>
      <c r="X187" s="20"/>
    </row>
    <row r="188" spans="1:24">
      <c r="G188" s="2012"/>
    </row>
    <row r="189" spans="1:24">
      <c r="G189" s="2012"/>
    </row>
    <row r="190" spans="1:24">
      <c r="G190" s="2012"/>
    </row>
    <row r="191" spans="1:24">
      <c r="G191" s="2012"/>
    </row>
    <row r="192" spans="1:24">
      <c r="G192" s="2012"/>
    </row>
    <row r="193" spans="7:7" s="3" customFormat="1">
      <c r="G193" s="2012"/>
    </row>
  </sheetData>
  <mergeCells count="5">
    <mergeCell ref="A1:Q1"/>
    <mergeCell ref="U1:W2"/>
    <mergeCell ref="A2:Q2"/>
    <mergeCell ref="G24:J24"/>
    <mergeCell ref="N24:Q2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7078-D04A-49CD-A876-365186153088}">
  <sheetPr codeName="Sheet26"/>
  <dimension ref="A1:BL193"/>
  <sheetViews>
    <sheetView topLeftCell="A124" workbookViewId="0">
      <selection activeCell="B158" sqref="B158"/>
    </sheetView>
  </sheetViews>
  <sheetFormatPr defaultColWidth="8.5703125" defaultRowHeight="12.75" outlineLevelRow="1"/>
  <cols>
    <col min="1" max="1" width="9.42578125" style="66" customWidth="1"/>
    <col min="2" max="2" width="16.42578125" style="3" customWidth="1"/>
    <col min="3" max="3" width="16.5703125" style="66" customWidth="1"/>
    <col min="4" max="4" width="14.5703125" style="65" bestFit="1" customWidth="1"/>
    <col min="5" max="5" width="14.42578125" style="65" customWidth="1"/>
    <col min="6" max="6" width="15.5703125" style="65" customWidth="1"/>
    <col min="7" max="7" width="14.5703125" style="65" bestFit="1" customWidth="1"/>
    <col min="8" max="8" width="16.42578125" style="65" customWidth="1"/>
    <col min="9" max="9" width="15.42578125" style="65" customWidth="1"/>
    <col min="10" max="10" width="13.5703125" style="65" customWidth="1"/>
    <col min="11" max="11" width="15.42578125" style="65" customWidth="1"/>
    <col min="12" max="12" width="14.42578125" style="65" customWidth="1"/>
    <col min="13" max="13" width="13.42578125" style="65" customWidth="1"/>
    <col min="14" max="16384" width="8.5703125" style="3"/>
  </cols>
  <sheetData>
    <row r="1" spans="1:15" ht="18.75">
      <c r="A1" s="1278" t="s">
        <v>2309</v>
      </c>
      <c r="B1" s="2134"/>
      <c r="C1" s="1278"/>
      <c r="D1" s="2135"/>
      <c r="E1" s="2135"/>
      <c r="F1" s="2135"/>
      <c r="G1" s="2135"/>
      <c r="H1" s="2135"/>
      <c r="I1" s="2135"/>
      <c r="J1" s="2135"/>
      <c r="K1" s="2135"/>
      <c r="L1" s="2135"/>
      <c r="M1" s="2135"/>
      <c r="O1" s="2136" t="s">
        <v>2310</v>
      </c>
    </row>
    <row r="2" spans="1:15" ht="15">
      <c r="A2" s="151" t="s">
        <v>231</v>
      </c>
      <c r="B2" s="2134"/>
      <c r="C2" s="1278"/>
      <c r="D2" s="2135"/>
      <c r="E2" s="2135"/>
      <c r="F2" s="2135"/>
      <c r="G2" s="2135"/>
      <c r="H2" s="2135"/>
      <c r="I2" s="2135"/>
      <c r="J2" s="2135"/>
      <c r="K2" s="2135"/>
      <c r="L2" s="2135"/>
      <c r="M2" s="2135"/>
      <c r="O2" s="3" t="s">
        <v>2311</v>
      </c>
    </row>
    <row r="3" spans="1:15">
      <c r="A3" s="57" t="s">
        <v>39</v>
      </c>
      <c r="B3" s="30"/>
      <c r="C3" s="28"/>
      <c r="D3" s="2016" t="str">
        <f>+INPUT!E16</f>
        <v>LSS Test 1</v>
      </c>
      <c r="E3" s="29"/>
      <c r="F3" s="29"/>
      <c r="G3" s="29"/>
      <c r="H3" s="29"/>
      <c r="I3" s="29"/>
      <c r="J3" s="29"/>
      <c r="K3" s="29"/>
      <c r="L3" s="29"/>
      <c r="M3" s="29"/>
    </row>
    <row r="4" spans="1:15" ht="13.5" thickBot="1">
      <c r="A4" s="57" t="s">
        <v>2255</v>
      </c>
      <c r="B4" s="30"/>
      <c r="C4" s="28"/>
      <c r="D4" s="2183" t="str">
        <f>+INPUT!E17</f>
        <v>6363 &amp; 6399 &amp; 6501 S Fiddler's Green Circle, Englewood, CO</v>
      </c>
      <c r="E4" s="1979"/>
      <c r="F4" s="1979"/>
      <c r="G4" s="1979"/>
      <c r="H4" s="1979"/>
      <c r="I4" s="1979"/>
      <c r="J4" s="1979"/>
      <c r="K4" s="1979"/>
      <c r="L4" s="1979"/>
      <c r="M4" s="1979"/>
    </row>
    <row r="5" spans="1:15" ht="12.75" customHeight="1" thickBot="1">
      <c r="A5" s="2137" t="s">
        <v>1666</v>
      </c>
      <c r="B5" s="2138"/>
      <c r="C5" s="2139"/>
      <c r="D5" s="2140">
        <f>+'Input Amortization-Fixed Rate '!B4</f>
        <v>0</v>
      </c>
      <c r="E5" s="2141"/>
      <c r="F5" s="2141" t="s">
        <v>2312</v>
      </c>
      <c r="G5" s="2142"/>
      <c r="H5" s="2140">
        <f>+'Input Amortization-Fixed Rate '!F4</f>
        <v>0</v>
      </c>
      <c r="I5" s="2141"/>
      <c r="J5" s="2141"/>
      <c r="K5" s="2141"/>
      <c r="L5" s="2143" t="s">
        <v>2313</v>
      </c>
      <c r="M5" s="2144">
        <f>ROUND((PMT(H6/12,H8,-C14,0,0)),2)</f>
        <v>221823.18</v>
      </c>
    </row>
    <row r="6" spans="1:15" ht="12.75" customHeight="1">
      <c r="A6" s="2145" t="s">
        <v>2314</v>
      </c>
      <c r="B6" s="71"/>
      <c r="C6" s="90"/>
      <c r="D6" s="1988">
        <f>+'Input Amortization-Fixed Rate '!B5</f>
        <v>0</v>
      </c>
      <c r="E6" s="1982"/>
      <c r="F6" s="1982" t="s">
        <v>2259</v>
      </c>
      <c r="G6" s="1984"/>
      <c r="H6" s="1988">
        <f>+'Input Amortization-Fixed Rate '!F5</f>
        <v>0</v>
      </c>
      <c r="I6" s="2146" t="s">
        <v>2260</v>
      </c>
      <c r="J6" s="1982"/>
      <c r="K6" s="1982"/>
      <c r="L6" s="1982"/>
      <c r="M6" s="1984"/>
    </row>
    <row r="7" spans="1:15" ht="12.75" customHeight="1">
      <c r="A7" s="2145"/>
      <c r="B7" s="71"/>
      <c r="C7" s="90"/>
      <c r="D7" s="1988"/>
      <c r="E7" s="1982"/>
      <c r="F7" s="1982"/>
      <c r="G7" s="1982"/>
      <c r="H7" s="1982"/>
      <c r="I7" s="1982"/>
      <c r="J7" s="1982"/>
      <c r="K7" s="1982"/>
      <c r="L7" s="1982"/>
      <c r="M7" s="1984"/>
    </row>
    <row r="8" spans="1:15" ht="13.5" customHeight="1">
      <c r="A8" s="2145" t="s">
        <v>2262</v>
      </c>
      <c r="B8" s="71"/>
      <c r="C8" s="90"/>
      <c r="D8" s="2015">
        <f>+'Input Amortization-Fixed Rate '!B7</f>
        <v>36</v>
      </c>
      <c r="E8" s="1982"/>
      <c r="F8" s="1982" t="s">
        <v>2263</v>
      </c>
      <c r="G8" s="1984"/>
      <c r="H8" s="2015">
        <f>+'Input Amortization-Fixed Rate '!F7</f>
        <v>360</v>
      </c>
      <c r="I8" s="1982"/>
      <c r="L8" s="1982"/>
      <c r="M8" s="1982"/>
    </row>
    <row r="9" spans="1:15" ht="13.5" customHeight="1" thickBot="1">
      <c r="A9" s="2147" t="s">
        <v>2264</v>
      </c>
      <c r="B9" s="2148"/>
      <c r="C9" s="1990"/>
      <c r="D9" s="2149">
        <f>+'Input Amortization-Fixed Rate '!B8</f>
        <v>0</v>
      </c>
      <c r="E9" s="1992"/>
      <c r="F9" s="1992" t="s">
        <v>2265</v>
      </c>
      <c r="G9" s="1992"/>
      <c r="H9" s="2150">
        <f>+'Input Amortization-Fixed Rate '!F8</f>
        <v>0</v>
      </c>
      <c r="I9" s="1992"/>
      <c r="J9" s="1992" t="s">
        <v>2266</v>
      </c>
      <c r="K9" s="1992"/>
      <c r="L9" s="2151" t="str">
        <f>+'Input Amortization-Fixed Rate '!K8</f>
        <v>No</v>
      </c>
      <c r="M9" s="1992"/>
    </row>
    <row r="10" spans="1:15">
      <c r="A10" s="90"/>
      <c r="B10" s="71"/>
      <c r="C10" s="90"/>
      <c r="D10" s="306"/>
      <c r="E10" s="306"/>
      <c r="F10" s="306"/>
      <c r="G10" s="306"/>
      <c r="H10" s="306"/>
      <c r="I10" s="306"/>
      <c r="J10" s="306"/>
      <c r="K10" s="306"/>
      <c r="L10" s="306"/>
      <c r="M10" s="306"/>
    </row>
    <row r="11" spans="1:15">
      <c r="A11" s="67" t="s">
        <v>2267</v>
      </c>
      <c r="B11" s="30"/>
      <c r="C11" s="28"/>
      <c r="D11" s="29"/>
      <c r="E11" s="29"/>
      <c r="F11" s="29"/>
      <c r="G11" s="29"/>
      <c r="H11" s="29"/>
      <c r="I11" s="29"/>
      <c r="J11" s="29"/>
      <c r="K11" s="29"/>
      <c r="L11" s="29"/>
      <c r="M11" s="29"/>
    </row>
    <row r="12" spans="1:15" ht="38.25">
      <c r="A12" s="661" t="s">
        <v>1671</v>
      </c>
      <c r="B12" s="2152"/>
      <c r="C12" s="1998" t="s">
        <v>729</v>
      </c>
      <c r="D12" s="1998" t="s">
        <v>322</v>
      </c>
      <c r="E12" s="1999" t="s">
        <v>1449</v>
      </c>
      <c r="F12" s="1998" t="s">
        <v>322</v>
      </c>
      <c r="G12" s="1998" t="s">
        <v>22</v>
      </c>
      <c r="H12" s="1998" t="s">
        <v>322</v>
      </c>
      <c r="I12" s="2000" t="s">
        <v>2268</v>
      </c>
      <c r="J12" s="1998" t="s">
        <v>306</v>
      </c>
      <c r="K12" s="1998" t="s">
        <v>196</v>
      </c>
      <c r="L12" s="1999" t="s">
        <v>1610</v>
      </c>
      <c r="M12" s="29"/>
    </row>
    <row r="13" spans="1:15">
      <c r="A13" s="251" t="s">
        <v>2269</v>
      </c>
      <c r="B13" s="2153"/>
      <c r="C13" s="2154">
        <f>+'Input Amortization-Fixed Rate '!B14</f>
        <v>79856344</v>
      </c>
      <c r="D13" s="2155">
        <f>C13/C14</f>
        <v>1</v>
      </c>
      <c r="E13" s="2154">
        <f>G13-C13</f>
        <v>28271156</v>
      </c>
      <c r="F13" s="2156">
        <f>IF(E13=0,0,E13/$E$14)</f>
        <v>1</v>
      </c>
      <c r="G13" s="2154">
        <f>+'Input Amortization-Fixed Rate '!F14</f>
        <v>108127500</v>
      </c>
      <c r="H13" s="2155">
        <f>G13/G14</f>
        <v>1</v>
      </c>
      <c r="I13" s="2157">
        <f>+'Input Amortization-Fixed Rate '!H14</f>
        <v>0</v>
      </c>
      <c r="J13" s="2158">
        <f>+'Input Amortization-Fixed Rate '!I14</f>
        <v>0</v>
      </c>
      <c r="K13" s="2158">
        <f>+'Input Amortization-Fixed Rate '!J14</f>
        <v>0</v>
      </c>
      <c r="L13" s="2158">
        <f>+'Input Amortization-Fixed Rate '!K14</f>
        <v>0</v>
      </c>
      <c r="M13" s="29"/>
    </row>
    <row r="14" spans="1:15">
      <c r="A14" s="57" t="s">
        <v>22</v>
      </c>
      <c r="B14" s="2159"/>
      <c r="C14" s="755">
        <f>SUM(C13:C13)</f>
        <v>79856344</v>
      </c>
      <c r="D14" s="2008">
        <f>C14/C14</f>
        <v>1</v>
      </c>
      <c r="E14" s="755">
        <f>SUM(E13:E13)</f>
        <v>28271156</v>
      </c>
      <c r="F14" s="2160">
        <f>IF(E14=0,0,E14/$E$14)</f>
        <v>1</v>
      </c>
      <c r="G14" s="755">
        <f>SUM(G13:G13)</f>
        <v>108127500</v>
      </c>
      <c r="H14" s="2008">
        <f>G14/G14</f>
        <v>1</v>
      </c>
      <c r="I14" s="2161">
        <f>D6</f>
        <v>0</v>
      </c>
      <c r="J14" s="2010">
        <f>D5</f>
        <v>0</v>
      </c>
      <c r="K14" s="2010">
        <f>SUMPRODUCT(K13:K13,G13:G13)/G14</f>
        <v>0</v>
      </c>
      <c r="L14" s="2010">
        <f>SUMPRODUCT(L13:L13,G13:G13)/G14</f>
        <v>0</v>
      </c>
      <c r="M14" s="755"/>
    </row>
    <row r="15" spans="1:15">
      <c r="A15" s="28"/>
      <c r="B15" s="30"/>
      <c r="C15" s="29"/>
      <c r="D15" s="29"/>
      <c r="E15" s="29"/>
      <c r="F15" s="29"/>
      <c r="G15" s="29"/>
      <c r="H15" s="29"/>
      <c r="I15" s="2162"/>
      <c r="J15" s="29"/>
      <c r="K15" s="29"/>
      <c r="L15" s="29"/>
      <c r="M15" s="29"/>
    </row>
    <row r="16" spans="1:15">
      <c r="A16" s="28" t="s">
        <v>168</v>
      </c>
      <c r="B16" s="30"/>
      <c r="C16" s="2163">
        <f>+'Input Amortization-Fixed Rate '!B16</f>
        <v>43860</v>
      </c>
      <c r="D16" s="28"/>
      <c r="E16" s="28"/>
      <c r="F16" s="28"/>
      <c r="G16" s="29"/>
      <c r="H16" s="29"/>
      <c r="I16" s="29"/>
      <c r="J16" s="29"/>
      <c r="K16" s="29"/>
      <c r="L16" s="29"/>
      <c r="M16" s="29"/>
    </row>
    <row r="17" spans="1:13">
      <c r="A17" s="1979" t="s">
        <v>2270</v>
      </c>
      <c r="B17" s="2164"/>
      <c r="C17" s="2165">
        <f>+'Input Amortization-Fixed Rate '!B17</f>
        <v>10</v>
      </c>
      <c r="D17" s="1979"/>
      <c r="E17" s="2164"/>
      <c r="F17" s="2165"/>
      <c r="G17" s="29"/>
      <c r="H17" s="29"/>
      <c r="I17" s="29"/>
      <c r="J17" s="29"/>
      <c r="K17" s="29"/>
      <c r="L17" s="29"/>
      <c r="M17" s="29"/>
    </row>
    <row r="18" spans="1:13" ht="29.25" customHeight="1">
      <c r="A18" s="2688" t="s">
        <v>2271</v>
      </c>
      <c r="B18" s="2513"/>
      <c r="C18" s="2013">
        <f>IF(DAY(C16)=C17,DATE(YEAR(C16),MONTH(C16),DAY(C16)-1),IF(DAY(C16)&lt;C17,DATE(YEAR(C16),MONTH(C16),DAY(C17-1)),IF(DAY(C16)&gt;C17,DATE(YEAR(C16),MONTH(C16)+1,DAY(C17-1)))))</f>
        <v>43870</v>
      </c>
      <c r="D18" s="1980" t="s">
        <v>2272</v>
      </c>
      <c r="E18" s="2166"/>
      <c r="F18" s="2014">
        <f>DATE(YEAR(C18),MONTH(C18)+1,DAY(C17))</f>
        <v>43900</v>
      </c>
      <c r="G18" s="1980"/>
      <c r="H18" s="1980"/>
      <c r="I18" s="1980"/>
      <c r="J18" s="1980"/>
      <c r="K18" s="1980"/>
      <c r="L18" s="1980"/>
      <c r="M18" s="1980"/>
    </row>
    <row r="19" spans="1:13" ht="29.25" customHeight="1">
      <c r="A19" s="74"/>
      <c r="B19" s="7"/>
      <c r="C19" s="2167"/>
      <c r="D19" s="1979"/>
      <c r="E19" s="2164"/>
      <c r="F19" s="2168"/>
      <c r="G19" s="1979"/>
      <c r="H19" s="1979"/>
      <c r="I19" s="1979"/>
      <c r="J19" s="1979"/>
      <c r="K19" s="1979"/>
      <c r="L19" s="1979"/>
      <c r="M19" s="1979"/>
    </row>
    <row r="20" spans="1:13" s="2060" customFormat="1" ht="27.6" customHeight="1">
      <c r="A20" s="2689" t="s">
        <v>2315</v>
      </c>
      <c r="B20" s="2690"/>
      <c r="C20" s="2690"/>
      <c r="D20" s="2690"/>
      <c r="E20" s="2690"/>
      <c r="F20" s="2690"/>
      <c r="G20" s="2690"/>
      <c r="H20" s="2057"/>
      <c r="I20" s="2057"/>
      <c r="J20" s="2057"/>
      <c r="K20" s="2057"/>
      <c r="L20" s="2057"/>
      <c r="M20" s="2057"/>
    </row>
    <row r="21" spans="1:13" s="2170" customFormat="1" ht="20.25" customHeight="1">
      <c r="A21" s="984"/>
      <c r="B21" s="984" t="s">
        <v>2316</v>
      </c>
      <c r="C21" s="984" t="s">
        <v>2317</v>
      </c>
      <c r="D21" s="986" t="s">
        <v>961</v>
      </c>
      <c r="E21" s="986" t="s">
        <v>2232</v>
      </c>
      <c r="F21" s="986" t="s">
        <v>2318</v>
      </c>
      <c r="G21" s="986" t="s">
        <v>2296</v>
      </c>
      <c r="H21" s="2169"/>
      <c r="I21" s="2169"/>
      <c r="J21" s="2169"/>
      <c r="K21" s="2169"/>
      <c r="L21" s="2169"/>
      <c r="M21" s="2169"/>
    </row>
    <row r="22" spans="1:13">
      <c r="A22" s="66" t="s">
        <v>460</v>
      </c>
      <c r="B22" s="231" t="s">
        <v>2298</v>
      </c>
      <c r="C22" s="2171">
        <f>C18-C16+1</f>
        <v>11</v>
      </c>
      <c r="D22" s="2172">
        <f>ROUND((((C13*L13)/360)*C22),2)</f>
        <v>0</v>
      </c>
      <c r="E22" s="2172">
        <v>0</v>
      </c>
      <c r="F22" s="2172">
        <f>D22+E22</f>
        <v>0</v>
      </c>
      <c r="G22" s="2172">
        <f>C13-E22</f>
        <v>79856344</v>
      </c>
      <c r="H22" s="1979"/>
      <c r="I22" s="1979"/>
      <c r="J22" s="1979"/>
      <c r="K22" s="1979"/>
      <c r="L22" s="1979"/>
      <c r="M22" s="1979"/>
    </row>
    <row r="23" spans="1:13" ht="15">
      <c r="A23" s="66">
        <v>1</v>
      </c>
      <c r="B23" s="231">
        <f>F18</f>
        <v>43900</v>
      </c>
      <c r="C23" s="2171">
        <f>B23-(DATE(YEAR(C18),MONTH(C18),DAY(C18)+1))</f>
        <v>29</v>
      </c>
      <c r="D23" s="2172">
        <f t="shared" ref="D23:D86" si="0">ROUND((IFERROR((((G22*$L$13)/360)*C23),0)),2)</f>
        <v>0</v>
      </c>
      <c r="E23" s="2172">
        <f t="shared" ref="E23:E86" si="1">ROUND((IF(A23=$D$8,G22,(IF(A23&gt;$D$8,0,IF(AND(A23&gt;=$D$9,A23&lt;=$H$9,$L$9="No"),0,(($D$13*($M$5-D23-H23)))))))),2)</f>
        <v>221823.18</v>
      </c>
      <c r="F23" s="2172">
        <f t="shared" ref="F23:F86" si="2">D23+E23</f>
        <v>221823.18</v>
      </c>
      <c r="G23" s="2172">
        <f>IF(B23="","",G22-E23)</f>
        <v>79634520.819999993</v>
      </c>
      <c r="H23" s="1979"/>
      <c r="I23" s="2076"/>
      <c r="J23" s="1979"/>
      <c r="K23" s="1979"/>
      <c r="L23" s="1979"/>
      <c r="M23" s="1979"/>
    </row>
    <row r="24" spans="1:13" ht="15">
      <c r="A24" s="66">
        <f>A23+1</f>
        <v>2</v>
      </c>
      <c r="B24" s="231">
        <f t="shared" ref="B24:B87" si="3">IF(A24&gt;$D$8,"",DATE(YEAR(B23),MONTH(B23)+1,DAY($C$17)))</f>
        <v>43931</v>
      </c>
      <c r="C24" s="2171">
        <f t="shared" ref="C24:C87" si="4">IF(B24="","",B24-B23)</f>
        <v>31</v>
      </c>
      <c r="D24" s="2172">
        <f t="shared" si="0"/>
        <v>0</v>
      </c>
      <c r="E24" s="2172">
        <f t="shared" si="1"/>
        <v>221823.18</v>
      </c>
      <c r="F24" s="2172">
        <f t="shared" si="2"/>
        <v>221823.18</v>
      </c>
      <c r="G24" s="2172">
        <f t="shared" ref="G24:G87" si="5">IF(B24="","",G23-E24)</f>
        <v>79412697.639999986</v>
      </c>
      <c r="H24" s="1979"/>
      <c r="I24" s="2076"/>
      <c r="J24" s="1979"/>
      <c r="K24" s="1979"/>
      <c r="L24" s="1979"/>
      <c r="M24" s="1979"/>
    </row>
    <row r="25" spans="1:13" ht="15">
      <c r="A25" s="66">
        <f t="shared" ref="A25:A88" si="6">A24+1</f>
        <v>3</v>
      </c>
      <c r="B25" s="231">
        <f t="shared" si="3"/>
        <v>43961</v>
      </c>
      <c r="C25" s="2171">
        <f t="shared" si="4"/>
        <v>30</v>
      </c>
      <c r="D25" s="2172">
        <f t="shared" si="0"/>
        <v>0</v>
      </c>
      <c r="E25" s="2172">
        <f t="shared" si="1"/>
        <v>221823.18</v>
      </c>
      <c r="F25" s="2172">
        <f t="shared" si="2"/>
        <v>221823.18</v>
      </c>
      <c r="G25" s="2172">
        <f t="shared" si="5"/>
        <v>79190874.459999979</v>
      </c>
      <c r="H25" s="1979"/>
      <c r="I25" s="2076"/>
      <c r="J25" s="1979"/>
      <c r="K25" s="1979"/>
      <c r="L25" s="1979"/>
      <c r="M25" s="1979"/>
    </row>
    <row r="26" spans="1:13" ht="15">
      <c r="A26" s="66">
        <f t="shared" si="6"/>
        <v>4</v>
      </c>
      <c r="B26" s="231">
        <f t="shared" si="3"/>
        <v>43992</v>
      </c>
      <c r="C26" s="2171">
        <f t="shared" si="4"/>
        <v>31</v>
      </c>
      <c r="D26" s="2172">
        <f t="shared" si="0"/>
        <v>0</v>
      </c>
      <c r="E26" s="2172">
        <f t="shared" si="1"/>
        <v>221823.18</v>
      </c>
      <c r="F26" s="2172">
        <f t="shared" si="2"/>
        <v>221823.18</v>
      </c>
      <c r="G26" s="2172">
        <f t="shared" si="5"/>
        <v>78969051.279999971</v>
      </c>
      <c r="H26" s="1979"/>
      <c r="I26" s="2076"/>
      <c r="J26" s="1979"/>
      <c r="K26" s="1979"/>
      <c r="L26" s="1979"/>
      <c r="M26" s="1979"/>
    </row>
    <row r="27" spans="1:13" ht="15">
      <c r="A27" s="66">
        <f t="shared" si="6"/>
        <v>5</v>
      </c>
      <c r="B27" s="231">
        <f t="shared" si="3"/>
        <v>44022</v>
      </c>
      <c r="C27" s="2171">
        <f t="shared" si="4"/>
        <v>30</v>
      </c>
      <c r="D27" s="2172">
        <f t="shared" si="0"/>
        <v>0</v>
      </c>
      <c r="E27" s="2172">
        <f t="shared" si="1"/>
        <v>221823.18</v>
      </c>
      <c r="F27" s="2172">
        <f t="shared" si="2"/>
        <v>221823.18</v>
      </c>
      <c r="G27" s="2172">
        <f t="shared" si="5"/>
        <v>78747228.099999964</v>
      </c>
      <c r="H27" s="1979"/>
      <c r="I27" s="2076"/>
      <c r="J27" s="1979"/>
      <c r="K27" s="1979"/>
      <c r="L27" s="1979"/>
      <c r="M27" s="1979"/>
    </row>
    <row r="28" spans="1:13" ht="15">
      <c r="A28" s="66">
        <f t="shared" si="6"/>
        <v>6</v>
      </c>
      <c r="B28" s="231">
        <f t="shared" si="3"/>
        <v>44053</v>
      </c>
      <c r="C28" s="2171">
        <f t="shared" si="4"/>
        <v>31</v>
      </c>
      <c r="D28" s="2172">
        <f t="shared" si="0"/>
        <v>0</v>
      </c>
      <c r="E28" s="2172">
        <f t="shared" si="1"/>
        <v>221823.18</v>
      </c>
      <c r="F28" s="2172">
        <f t="shared" si="2"/>
        <v>221823.18</v>
      </c>
      <c r="G28" s="2172">
        <f t="shared" si="5"/>
        <v>78525404.919999957</v>
      </c>
      <c r="H28" s="1979"/>
      <c r="I28" s="2076"/>
      <c r="J28" s="1979"/>
      <c r="K28" s="1979"/>
      <c r="L28" s="1979"/>
      <c r="M28" s="1979"/>
    </row>
    <row r="29" spans="1:13" ht="15">
      <c r="A29" s="66">
        <f t="shared" si="6"/>
        <v>7</v>
      </c>
      <c r="B29" s="231">
        <f t="shared" si="3"/>
        <v>44084</v>
      </c>
      <c r="C29" s="2171">
        <f t="shared" si="4"/>
        <v>31</v>
      </c>
      <c r="D29" s="2172">
        <f t="shared" si="0"/>
        <v>0</v>
      </c>
      <c r="E29" s="2172">
        <f t="shared" si="1"/>
        <v>221823.18</v>
      </c>
      <c r="F29" s="2172">
        <f t="shared" si="2"/>
        <v>221823.18</v>
      </c>
      <c r="G29" s="2172">
        <f t="shared" si="5"/>
        <v>78303581.73999995</v>
      </c>
      <c r="H29" s="1979"/>
      <c r="I29" s="2076"/>
      <c r="J29" s="1979"/>
      <c r="K29" s="1979"/>
      <c r="L29" s="1979"/>
      <c r="M29" s="1979"/>
    </row>
    <row r="30" spans="1:13" ht="15">
      <c r="A30" s="66">
        <f t="shared" si="6"/>
        <v>8</v>
      </c>
      <c r="B30" s="231">
        <f t="shared" si="3"/>
        <v>44114</v>
      </c>
      <c r="C30" s="2171">
        <f t="shared" si="4"/>
        <v>30</v>
      </c>
      <c r="D30" s="2172">
        <f t="shared" si="0"/>
        <v>0</v>
      </c>
      <c r="E30" s="2172">
        <f t="shared" si="1"/>
        <v>221823.18</v>
      </c>
      <c r="F30" s="2172">
        <f t="shared" si="2"/>
        <v>221823.18</v>
      </c>
      <c r="G30" s="2172">
        <f t="shared" si="5"/>
        <v>78081758.559999943</v>
      </c>
      <c r="H30" s="1979"/>
      <c r="I30" s="2076"/>
      <c r="J30" s="1979"/>
      <c r="K30" s="1979"/>
      <c r="L30" s="1979"/>
      <c r="M30" s="1979"/>
    </row>
    <row r="31" spans="1:13" ht="15">
      <c r="A31" s="66">
        <f t="shared" si="6"/>
        <v>9</v>
      </c>
      <c r="B31" s="231">
        <f t="shared" si="3"/>
        <v>44145</v>
      </c>
      <c r="C31" s="2171">
        <f t="shared" si="4"/>
        <v>31</v>
      </c>
      <c r="D31" s="2172">
        <f t="shared" si="0"/>
        <v>0</v>
      </c>
      <c r="E31" s="2172">
        <f t="shared" si="1"/>
        <v>221823.18</v>
      </c>
      <c r="F31" s="2172">
        <f t="shared" si="2"/>
        <v>221823.18</v>
      </c>
      <c r="G31" s="2172">
        <f t="shared" si="5"/>
        <v>77859935.379999936</v>
      </c>
      <c r="H31" s="1979"/>
      <c r="I31" s="2076"/>
      <c r="J31" s="1979"/>
      <c r="K31" s="1979"/>
      <c r="L31" s="1979"/>
      <c r="M31" s="1979"/>
    </row>
    <row r="32" spans="1:13" ht="15">
      <c r="A32" s="66">
        <f t="shared" si="6"/>
        <v>10</v>
      </c>
      <c r="B32" s="231">
        <f t="shared" si="3"/>
        <v>44175</v>
      </c>
      <c r="C32" s="2171">
        <f t="shared" si="4"/>
        <v>30</v>
      </c>
      <c r="D32" s="2172">
        <f t="shared" si="0"/>
        <v>0</v>
      </c>
      <c r="E32" s="2172">
        <f t="shared" si="1"/>
        <v>221823.18</v>
      </c>
      <c r="F32" s="2172">
        <f t="shared" si="2"/>
        <v>221823.18</v>
      </c>
      <c r="G32" s="2172">
        <f t="shared" si="5"/>
        <v>77638112.199999928</v>
      </c>
      <c r="H32" s="1979"/>
      <c r="I32" s="2076"/>
      <c r="J32" s="1979"/>
      <c r="K32" s="1979"/>
      <c r="L32" s="1979"/>
      <c r="M32" s="1979"/>
    </row>
    <row r="33" spans="1:13" ht="15">
      <c r="A33" s="66">
        <f t="shared" si="6"/>
        <v>11</v>
      </c>
      <c r="B33" s="231">
        <f t="shared" si="3"/>
        <v>44206</v>
      </c>
      <c r="C33" s="2171">
        <f t="shared" si="4"/>
        <v>31</v>
      </c>
      <c r="D33" s="2172">
        <f t="shared" si="0"/>
        <v>0</v>
      </c>
      <c r="E33" s="2172">
        <f t="shared" si="1"/>
        <v>221823.18</v>
      </c>
      <c r="F33" s="2172">
        <f t="shared" si="2"/>
        <v>221823.18</v>
      </c>
      <c r="G33" s="2172">
        <f t="shared" si="5"/>
        <v>77416289.019999921</v>
      </c>
      <c r="H33" s="1979"/>
      <c r="I33" s="2076"/>
      <c r="J33" s="1979"/>
      <c r="K33" s="1979"/>
      <c r="L33" s="1979"/>
      <c r="M33" s="1979"/>
    </row>
    <row r="34" spans="1:13" ht="15">
      <c r="A34" s="66">
        <f t="shared" si="6"/>
        <v>12</v>
      </c>
      <c r="B34" s="231">
        <f t="shared" si="3"/>
        <v>44237</v>
      </c>
      <c r="C34" s="2171">
        <f t="shared" si="4"/>
        <v>31</v>
      </c>
      <c r="D34" s="2172">
        <f t="shared" si="0"/>
        <v>0</v>
      </c>
      <c r="E34" s="2172">
        <f t="shared" si="1"/>
        <v>221823.18</v>
      </c>
      <c r="F34" s="2172">
        <f t="shared" si="2"/>
        <v>221823.18</v>
      </c>
      <c r="G34" s="2172">
        <f t="shared" si="5"/>
        <v>77194465.839999914</v>
      </c>
      <c r="H34" s="1979"/>
      <c r="I34" s="2076"/>
      <c r="J34" s="1979"/>
      <c r="K34" s="1979"/>
      <c r="L34" s="1979"/>
      <c r="M34" s="1979"/>
    </row>
    <row r="35" spans="1:13" ht="15">
      <c r="A35" s="66">
        <f t="shared" si="6"/>
        <v>13</v>
      </c>
      <c r="B35" s="231">
        <f t="shared" si="3"/>
        <v>44265</v>
      </c>
      <c r="C35" s="2171">
        <f t="shared" si="4"/>
        <v>28</v>
      </c>
      <c r="D35" s="2172">
        <f t="shared" si="0"/>
        <v>0</v>
      </c>
      <c r="E35" s="2172">
        <f t="shared" si="1"/>
        <v>221823.18</v>
      </c>
      <c r="F35" s="2172">
        <f t="shared" si="2"/>
        <v>221823.18</v>
      </c>
      <c r="G35" s="2172">
        <f t="shared" si="5"/>
        <v>76972642.659999907</v>
      </c>
      <c r="H35" s="1979"/>
      <c r="I35" s="2076"/>
      <c r="J35" s="1979"/>
      <c r="K35" s="1979"/>
      <c r="L35" s="1979"/>
      <c r="M35" s="1979"/>
    </row>
    <row r="36" spans="1:13" ht="15">
      <c r="A36" s="66">
        <f t="shared" si="6"/>
        <v>14</v>
      </c>
      <c r="B36" s="231">
        <f t="shared" si="3"/>
        <v>44296</v>
      </c>
      <c r="C36" s="2171">
        <f t="shared" si="4"/>
        <v>31</v>
      </c>
      <c r="D36" s="2172">
        <f t="shared" si="0"/>
        <v>0</v>
      </c>
      <c r="E36" s="2172">
        <f t="shared" si="1"/>
        <v>221823.18</v>
      </c>
      <c r="F36" s="2172">
        <f t="shared" si="2"/>
        <v>221823.18</v>
      </c>
      <c r="G36" s="2172">
        <f t="shared" si="5"/>
        <v>76750819.4799999</v>
      </c>
      <c r="H36" s="1979"/>
      <c r="I36" s="2076"/>
      <c r="J36" s="1979"/>
      <c r="K36" s="1979"/>
      <c r="L36" s="1979"/>
      <c r="M36" s="1979"/>
    </row>
    <row r="37" spans="1:13" ht="15">
      <c r="A37" s="66">
        <f t="shared" si="6"/>
        <v>15</v>
      </c>
      <c r="B37" s="231">
        <f t="shared" si="3"/>
        <v>44326</v>
      </c>
      <c r="C37" s="2171">
        <f t="shared" si="4"/>
        <v>30</v>
      </c>
      <c r="D37" s="2172">
        <f t="shared" si="0"/>
        <v>0</v>
      </c>
      <c r="E37" s="2172">
        <f t="shared" si="1"/>
        <v>221823.18</v>
      </c>
      <c r="F37" s="2172">
        <f t="shared" si="2"/>
        <v>221823.18</v>
      </c>
      <c r="G37" s="2172">
        <f t="shared" si="5"/>
        <v>76528996.299999893</v>
      </c>
      <c r="H37" s="1979"/>
      <c r="I37" s="2076"/>
      <c r="J37" s="1979"/>
      <c r="K37" s="1979"/>
      <c r="L37" s="1979"/>
      <c r="M37" s="1979"/>
    </row>
    <row r="38" spans="1:13" ht="15">
      <c r="A38" s="66">
        <f t="shared" si="6"/>
        <v>16</v>
      </c>
      <c r="B38" s="231">
        <f t="shared" si="3"/>
        <v>44357</v>
      </c>
      <c r="C38" s="2171">
        <f t="shared" si="4"/>
        <v>31</v>
      </c>
      <c r="D38" s="2172">
        <f t="shared" si="0"/>
        <v>0</v>
      </c>
      <c r="E38" s="2172">
        <f t="shared" si="1"/>
        <v>221823.18</v>
      </c>
      <c r="F38" s="2172">
        <f t="shared" si="2"/>
        <v>221823.18</v>
      </c>
      <c r="G38" s="2172">
        <f t="shared" si="5"/>
        <v>76307173.119999886</v>
      </c>
      <c r="H38" s="1979"/>
      <c r="I38" s="2076"/>
      <c r="J38" s="1979"/>
      <c r="K38" s="1979"/>
      <c r="L38" s="1979"/>
      <c r="M38" s="1979"/>
    </row>
    <row r="39" spans="1:13" ht="15">
      <c r="A39" s="66">
        <f t="shared" si="6"/>
        <v>17</v>
      </c>
      <c r="B39" s="231">
        <f t="shared" si="3"/>
        <v>44387</v>
      </c>
      <c r="C39" s="2171">
        <f t="shared" si="4"/>
        <v>30</v>
      </c>
      <c r="D39" s="2172">
        <f t="shared" si="0"/>
        <v>0</v>
      </c>
      <c r="E39" s="2172">
        <f t="shared" si="1"/>
        <v>221823.18</v>
      </c>
      <c r="F39" s="2172">
        <f t="shared" si="2"/>
        <v>221823.18</v>
      </c>
      <c r="G39" s="2172">
        <f t="shared" si="5"/>
        <v>76085349.939999878</v>
      </c>
      <c r="H39" s="1979"/>
      <c r="I39" s="2076"/>
      <c r="J39" s="1979"/>
      <c r="K39" s="1979"/>
      <c r="L39" s="1979"/>
      <c r="M39" s="1979"/>
    </row>
    <row r="40" spans="1:13" ht="15">
      <c r="A40" s="66">
        <f t="shared" si="6"/>
        <v>18</v>
      </c>
      <c r="B40" s="231">
        <f t="shared" si="3"/>
        <v>44418</v>
      </c>
      <c r="C40" s="2171">
        <f t="shared" si="4"/>
        <v>31</v>
      </c>
      <c r="D40" s="2172">
        <f t="shared" si="0"/>
        <v>0</v>
      </c>
      <c r="E40" s="2172">
        <f t="shared" si="1"/>
        <v>221823.18</v>
      </c>
      <c r="F40" s="2172">
        <f t="shared" si="2"/>
        <v>221823.18</v>
      </c>
      <c r="G40" s="2172">
        <f t="shared" si="5"/>
        <v>75863526.759999871</v>
      </c>
      <c r="H40" s="1979"/>
      <c r="I40" s="2076"/>
      <c r="J40" s="1979"/>
      <c r="K40" s="1979"/>
      <c r="L40" s="1979"/>
      <c r="M40" s="1979"/>
    </row>
    <row r="41" spans="1:13" ht="15">
      <c r="A41" s="66">
        <f t="shared" si="6"/>
        <v>19</v>
      </c>
      <c r="B41" s="231">
        <f t="shared" si="3"/>
        <v>44449</v>
      </c>
      <c r="C41" s="2171">
        <f t="shared" si="4"/>
        <v>31</v>
      </c>
      <c r="D41" s="2172">
        <f t="shared" si="0"/>
        <v>0</v>
      </c>
      <c r="E41" s="2172">
        <f t="shared" si="1"/>
        <v>221823.18</v>
      </c>
      <c r="F41" s="2172">
        <f t="shared" si="2"/>
        <v>221823.18</v>
      </c>
      <c r="G41" s="2172">
        <f t="shared" si="5"/>
        <v>75641703.579999864</v>
      </c>
      <c r="H41" s="1979"/>
      <c r="I41" s="2076"/>
      <c r="J41" s="1979"/>
      <c r="K41" s="1979"/>
      <c r="L41" s="1979"/>
      <c r="M41" s="1979"/>
    </row>
    <row r="42" spans="1:13" ht="15">
      <c r="A42" s="66">
        <f t="shared" si="6"/>
        <v>20</v>
      </c>
      <c r="B42" s="231">
        <f t="shared" si="3"/>
        <v>44479</v>
      </c>
      <c r="C42" s="2171">
        <f t="shared" si="4"/>
        <v>30</v>
      </c>
      <c r="D42" s="2172">
        <f t="shared" si="0"/>
        <v>0</v>
      </c>
      <c r="E42" s="2172">
        <f t="shared" si="1"/>
        <v>221823.18</v>
      </c>
      <c r="F42" s="2172">
        <f t="shared" si="2"/>
        <v>221823.18</v>
      </c>
      <c r="G42" s="2172">
        <f t="shared" si="5"/>
        <v>75419880.399999857</v>
      </c>
      <c r="H42" s="1979"/>
      <c r="I42" s="2076"/>
      <c r="J42" s="1979"/>
      <c r="K42" s="1979"/>
      <c r="L42" s="1979"/>
      <c r="M42" s="1979"/>
    </row>
    <row r="43" spans="1:13" ht="15">
      <c r="A43" s="66">
        <f t="shared" si="6"/>
        <v>21</v>
      </c>
      <c r="B43" s="231">
        <f t="shared" si="3"/>
        <v>44510</v>
      </c>
      <c r="C43" s="2171">
        <f t="shared" si="4"/>
        <v>31</v>
      </c>
      <c r="D43" s="2172">
        <f t="shared" si="0"/>
        <v>0</v>
      </c>
      <c r="E43" s="2172">
        <f t="shared" si="1"/>
        <v>221823.18</v>
      </c>
      <c r="F43" s="2172">
        <f t="shared" si="2"/>
        <v>221823.18</v>
      </c>
      <c r="G43" s="2172">
        <f t="shared" si="5"/>
        <v>75198057.21999985</v>
      </c>
      <c r="H43" s="1979"/>
      <c r="I43" s="2076"/>
      <c r="J43" s="1979"/>
      <c r="K43" s="1979"/>
      <c r="L43" s="1979"/>
      <c r="M43" s="1979"/>
    </row>
    <row r="44" spans="1:13" ht="15">
      <c r="A44" s="66">
        <f t="shared" si="6"/>
        <v>22</v>
      </c>
      <c r="B44" s="231">
        <f t="shared" si="3"/>
        <v>44540</v>
      </c>
      <c r="C44" s="2171">
        <f t="shared" si="4"/>
        <v>30</v>
      </c>
      <c r="D44" s="2172">
        <f t="shared" si="0"/>
        <v>0</v>
      </c>
      <c r="E44" s="2172">
        <f t="shared" si="1"/>
        <v>221823.18</v>
      </c>
      <c r="F44" s="2172">
        <f t="shared" si="2"/>
        <v>221823.18</v>
      </c>
      <c r="G44" s="2172">
        <f t="shared" si="5"/>
        <v>74976234.039999843</v>
      </c>
      <c r="H44" s="1979"/>
      <c r="I44" s="2076"/>
      <c r="J44" s="1979"/>
      <c r="K44" s="1979"/>
      <c r="L44" s="1979"/>
      <c r="M44" s="1979"/>
    </row>
    <row r="45" spans="1:13" ht="15">
      <c r="A45" s="66">
        <f t="shared" si="6"/>
        <v>23</v>
      </c>
      <c r="B45" s="231">
        <f t="shared" si="3"/>
        <v>44571</v>
      </c>
      <c r="C45" s="2171">
        <f t="shared" si="4"/>
        <v>31</v>
      </c>
      <c r="D45" s="2172">
        <f t="shared" si="0"/>
        <v>0</v>
      </c>
      <c r="E45" s="2172">
        <f t="shared" si="1"/>
        <v>221823.18</v>
      </c>
      <c r="F45" s="2172">
        <f t="shared" si="2"/>
        <v>221823.18</v>
      </c>
      <c r="G45" s="2172">
        <f t="shared" si="5"/>
        <v>74754410.859999835</v>
      </c>
      <c r="H45" s="1979"/>
      <c r="I45" s="2076"/>
      <c r="J45" s="1979"/>
      <c r="K45" s="1979"/>
      <c r="L45" s="1979"/>
      <c r="M45" s="1979"/>
    </row>
    <row r="46" spans="1:13" ht="15">
      <c r="A46" s="66">
        <f t="shared" si="6"/>
        <v>24</v>
      </c>
      <c r="B46" s="231">
        <f t="shared" si="3"/>
        <v>44602</v>
      </c>
      <c r="C46" s="2171">
        <f t="shared" si="4"/>
        <v>31</v>
      </c>
      <c r="D46" s="2172">
        <f t="shared" si="0"/>
        <v>0</v>
      </c>
      <c r="E46" s="2172">
        <f t="shared" si="1"/>
        <v>221823.18</v>
      </c>
      <c r="F46" s="2172">
        <f t="shared" si="2"/>
        <v>221823.18</v>
      </c>
      <c r="G46" s="2172">
        <f t="shared" si="5"/>
        <v>74532587.679999828</v>
      </c>
      <c r="H46" s="1979"/>
      <c r="I46" s="2076"/>
      <c r="J46" s="1979"/>
      <c r="K46" s="1979"/>
      <c r="L46" s="1979"/>
      <c r="M46" s="1979"/>
    </row>
    <row r="47" spans="1:13" ht="15">
      <c r="A47" s="66">
        <f t="shared" si="6"/>
        <v>25</v>
      </c>
      <c r="B47" s="231">
        <f t="shared" si="3"/>
        <v>44630</v>
      </c>
      <c r="C47" s="2171">
        <f t="shared" si="4"/>
        <v>28</v>
      </c>
      <c r="D47" s="2172">
        <f t="shared" si="0"/>
        <v>0</v>
      </c>
      <c r="E47" s="2172">
        <f t="shared" si="1"/>
        <v>221823.18</v>
      </c>
      <c r="F47" s="2172">
        <f t="shared" si="2"/>
        <v>221823.18</v>
      </c>
      <c r="G47" s="2172">
        <f t="shared" si="5"/>
        <v>74310764.499999821</v>
      </c>
      <c r="H47" s="1979"/>
      <c r="I47" s="2076"/>
      <c r="J47" s="1979"/>
      <c r="K47" s="1979"/>
      <c r="L47" s="1979"/>
      <c r="M47" s="1979"/>
    </row>
    <row r="48" spans="1:13" ht="15">
      <c r="A48" s="66">
        <f t="shared" si="6"/>
        <v>26</v>
      </c>
      <c r="B48" s="231">
        <f t="shared" si="3"/>
        <v>44661</v>
      </c>
      <c r="C48" s="2171">
        <f t="shared" si="4"/>
        <v>31</v>
      </c>
      <c r="D48" s="2172">
        <f t="shared" si="0"/>
        <v>0</v>
      </c>
      <c r="E48" s="2172">
        <f t="shared" si="1"/>
        <v>221823.18</v>
      </c>
      <c r="F48" s="2172">
        <f t="shared" si="2"/>
        <v>221823.18</v>
      </c>
      <c r="G48" s="2172">
        <f t="shared" si="5"/>
        <v>74088941.319999814</v>
      </c>
      <c r="H48" s="1979"/>
      <c r="I48" s="2076"/>
      <c r="J48" s="1979"/>
      <c r="K48" s="1979"/>
      <c r="L48" s="1979"/>
      <c r="M48" s="1979"/>
    </row>
    <row r="49" spans="1:13" ht="15">
      <c r="A49" s="66">
        <f t="shared" si="6"/>
        <v>27</v>
      </c>
      <c r="B49" s="231">
        <f t="shared" si="3"/>
        <v>44691</v>
      </c>
      <c r="C49" s="2171">
        <f t="shared" si="4"/>
        <v>30</v>
      </c>
      <c r="D49" s="2172">
        <f t="shared" si="0"/>
        <v>0</v>
      </c>
      <c r="E49" s="2172">
        <f t="shared" si="1"/>
        <v>221823.18</v>
      </c>
      <c r="F49" s="2172">
        <f t="shared" si="2"/>
        <v>221823.18</v>
      </c>
      <c r="G49" s="2172">
        <f t="shared" si="5"/>
        <v>73867118.139999807</v>
      </c>
      <c r="H49" s="1979"/>
      <c r="I49" s="2076"/>
      <c r="J49" s="1979"/>
      <c r="K49" s="1979"/>
      <c r="L49" s="1979"/>
      <c r="M49" s="1979"/>
    </row>
    <row r="50" spans="1:13" ht="15">
      <c r="A50" s="66">
        <f t="shared" si="6"/>
        <v>28</v>
      </c>
      <c r="B50" s="231">
        <f t="shared" si="3"/>
        <v>44722</v>
      </c>
      <c r="C50" s="2171">
        <f t="shared" si="4"/>
        <v>31</v>
      </c>
      <c r="D50" s="2172">
        <f t="shared" si="0"/>
        <v>0</v>
      </c>
      <c r="E50" s="2172">
        <f t="shared" si="1"/>
        <v>221823.18</v>
      </c>
      <c r="F50" s="2172">
        <f t="shared" si="2"/>
        <v>221823.18</v>
      </c>
      <c r="G50" s="2172">
        <f t="shared" si="5"/>
        <v>73645294.9599998</v>
      </c>
      <c r="H50" s="1979"/>
      <c r="I50" s="2076"/>
      <c r="J50" s="1979"/>
      <c r="K50" s="1979"/>
      <c r="L50" s="1979"/>
      <c r="M50" s="1979"/>
    </row>
    <row r="51" spans="1:13" ht="15">
      <c r="A51" s="66">
        <f t="shared" si="6"/>
        <v>29</v>
      </c>
      <c r="B51" s="231">
        <f t="shared" si="3"/>
        <v>44752</v>
      </c>
      <c r="C51" s="2171">
        <f t="shared" si="4"/>
        <v>30</v>
      </c>
      <c r="D51" s="2172">
        <f t="shared" si="0"/>
        <v>0</v>
      </c>
      <c r="E51" s="2172">
        <f t="shared" si="1"/>
        <v>221823.18</v>
      </c>
      <c r="F51" s="2172">
        <f t="shared" si="2"/>
        <v>221823.18</v>
      </c>
      <c r="G51" s="2172">
        <f t="shared" si="5"/>
        <v>73423471.779999793</v>
      </c>
      <c r="H51" s="1979"/>
      <c r="I51" s="2076"/>
      <c r="J51" s="1979"/>
      <c r="K51" s="1979"/>
      <c r="L51" s="1979"/>
      <c r="M51" s="1979"/>
    </row>
    <row r="52" spans="1:13" ht="15">
      <c r="A52" s="66">
        <f t="shared" si="6"/>
        <v>30</v>
      </c>
      <c r="B52" s="231">
        <f t="shared" si="3"/>
        <v>44783</v>
      </c>
      <c r="C52" s="2171">
        <f t="shared" si="4"/>
        <v>31</v>
      </c>
      <c r="D52" s="2172">
        <f t="shared" si="0"/>
        <v>0</v>
      </c>
      <c r="E52" s="2172">
        <f t="shared" si="1"/>
        <v>221823.18</v>
      </c>
      <c r="F52" s="2172">
        <f t="shared" si="2"/>
        <v>221823.18</v>
      </c>
      <c r="G52" s="2172">
        <f t="shared" si="5"/>
        <v>73201648.599999785</v>
      </c>
      <c r="H52" s="1979"/>
      <c r="I52" s="2076"/>
      <c r="J52" s="1979"/>
      <c r="K52" s="1979"/>
      <c r="L52" s="1979"/>
      <c r="M52" s="1979"/>
    </row>
    <row r="53" spans="1:13" ht="15">
      <c r="A53" s="66">
        <f t="shared" si="6"/>
        <v>31</v>
      </c>
      <c r="B53" s="231">
        <f t="shared" si="3"/>
        <v>44814</v>
      </c>
      <c r="C53" s="2171">
        <f t="shared" si="4"/>
        <v>31</v>
      </c>
      <c r="D53" s="2172">
        <f t="shared" si="0"/>
        <v>0</v>
      </c>
      <c r="E53" s="2172">
        <f t="shared" si="1"/>
        <v>221823.18</v>
      </c>
      <c r="F53" s="2172">
        <f t="shared" si="2"/>
        <v>221823.18</v>
      </c>
      <c r="G53" s="2172">
        <f t="shared" si="5"/>
        <v>72979825.419999778</v>
      </c>
      <c r="H53" s="1979"/>
      <c r="I53" s="2076"/>
      <c r="J53" s="1979"/>
      <c r="K53" s="1979"/>
      <c r="L53" s="1979"/>
      <c r="M53" s="1979"/>
    </row>
    <row r="54" spans="1:13" ht="15">
      <c r="A54" s="66">
        <f t="shared" si="6"/>
        <v>32</v>
      </c>
      <c r="B54" s="231">
        <f t="shared" si="3"/>
        <v>44844</v>
      </c>
      <c r="C54" s="2171">
        <f t="shared" si="4"/>
        <v>30</v>
      </c>
      <c r="D54" s="2172">
        <f t="shared" si="0"/>
        <v>0</v>
      </c>
      <c r="E54" s="2172">
        <f t="shared" si="1"/>
        <v>221823.18</v>
      </c>
      <c r="F54" s="2172">
        <f t="shared" si="2"/>
        <v>221823.18</v>
      </c>
      <c r="G54" s="2172">
        <f t="shared" si="5"/>
        <v>72758002.239999771</v>
      </c>
      <c r="H54" s="1979"/>
      <c r="I54" s="2076"/>
      <c r="J54" s="1979"/>
      <c r="K54" s="1979"/>
      <c r="L54" s="1979"/>
      <c r="M54" s="1979"/>
    </row>
    <row r="55" spans="1:13" ht="15">
      <c r="A55" s="66">
        <f t="shared" si="6"/>
        <v>33</v>
      </c>
      <c r="B55" s="231">
        <f t="shared" si="3"/>
        <v>44875</v>
      </c>
      <c r="C55" s="2171">
        <f t="shared" si="4"/>
        <v>31</v>
      </c>
      <c r="D55" s="2172">
        <f t="shared" si="0"/>
        <v>0</v>
      </c>
      <c r="E55" s="2172">
        <f t="shared" si="1"/>
        <v>221823.18</v>
      </c>
      <c r="F55" s="2172">
        <f t="shared" si="2"/>
        <v>221823.18</v>
      </c>
      <c r="G55" s="2172">
        <f t="shared" si="5"/>
        <v>72536179.059999764</v>
      </c>
      <c r="H55" s="1979"/>
      <c r="I55" s="2076"/>
      <c r="J55" s="1979"/>
      <c r="K55" s="1979"/>
      <c r="L55" s="1979"/>
      <c r="M55" s="1979"/>
    </row>
    <row r="56" spans="1:13" ht="15">
      <c r="A56" s="66">
        <f t="shared" si="6"/>
        <v>34</v>
      </c>
      <c r="B56" s="231">
        <f t="shared" si="3"/>
        <v>44905</v>
      </c>
      <c r="C56" s="2171">
        <f t="shared" si="4"/>
        <v>30</v>
      </c>
      <c r="D56" s="2172">
        <f t="shared" si="0"/>
        <v>0</v>
      </c>
      <c r="E56" s="2172">
        <f t="shared" si="1"/>
        <v>221823.18</v>
      </c>
      <c r="F56" s="2172">
        <f t="shared" si="2"/>
        <v>221823.18</v>
      </c>
      <c r="G56" s="2172">
        <f t="shared" si="5"/>
        <v>72314355.879999757</v>
      </c>
      <c r="H56" s="1979"/>
      <c r="I56" s="2076"/>
      <c r="J56" s="1979"/>
      <c r="K56" s="1979"/>
      <c r="L56" s="1979"/>
      <c r="M56" s="1979"/>
    </row>
    <row r="57" spans="1:13" ht="15">
      <c r="A57" s="66">
        <f t="shared" si="6"/>
        <v>35</v>
      </c>
      <c r="B57" s="231">
        <f t="shared" si="3"/>
        <v>44936</v>
      </c>
      <c r="C57" s="2171">
        <f t="shared" si="4"/>
        <v>31</v>
      </c>
      <c r="D57" s="2172">
        <f t="shared" si="0"/>
        <v>0</v>
      </c>
      <c r="E57" s="2172">
        <f t="shared" si="1"/>
        <v>221823.18</v>
      </c>
      <c r="F57" s="2172">
        <f t="shared" si="2"/>
        <v>221823.18</v>
      </c>
      <c r="G57" s="2172">
        <f t="shared" si="5"/>
        <v>72092532.69999975</v>
      </c>
      <c r="H57" s="1979"/>
      <c r="I57" s="2076"/>
      <c r="J57" s="1979"/>
      <c r="K57" s="1979"/>
      <c r="L57" s="1979"/>
      <c r="M57" s="1979"/>
    </row>
    <row r="58" spans="1:13" ht="15">
      <c r="A58" s="66">
        <f t="shared" si="6"/>
        <v>36</v>
      </c>
      <c r="B58" s="231">
        <f t="shared" si="3"/>
        <v>44967</v>
      </c>
      <c r="C58" s="2171">
        <f t="shared" si="4"/>
        <v>31</v>
      </c>
      <c r="D58" s="2172">
        <f t="shared" si="0"/>
        <v>0</v>
      </c>
      <c r="E58" s="2172">
        <f t="shared" si="1"/>
        <v>72092532.700000003</v>
      </c>
      <c r="F58" s="2172">
        <f t="shared" si="2"/>
        <v>72092532.700000003</v>
      </c>
      <c r="G58" s="2172">
        <f t="shared" si="5"/>
        <v>-2.5331974029541016E-7</v>
      </c>
      <c r="H58" s="1979"/>
      <c r="I58" s="2076"/>
      <c r="J58" s="1979"/>
      <c r="K58" s="1979"/>
      <c r="L58" s="1979"/>
      <c r="M58" s="1979"/>
    </row>
    <row r="59" spans="1:13" ht="15">
      <c r="A59" s="66">
        <f t="shared" si="6"/>
        <v>37</v>
      </c>
      <c r="B59" s="231" t="str">
        <f t="shared" si="3"/>
        <v/>
      </c>
      <c r="C59" s="2171" t="str">
        <f t="shared" si="4"/>
        <v/>
      </c>
      <c r="D59" s="2172">
        <f t="shared" si="0"/>
        <v>0</v>
      </c>
      <c r="E59" s="2172">
        <f t="shared" si="1"/>
        <v>0</v>
      </c>
      <c r="F59" s="2172">
        <f t="shared" si="2"/>
        <v>0</v>
      </c>
      <c r="G59" s="2172" t="str">
        <f t="shared" si="5"/>
        <v/>
      </c>
      <c r="H59" s="1979"/>
      <c r="I59" s="2076"/>
      <c r="J59" s="1979"/>
      <c r="K59" s="1979"/>
      <c r="L59" s="1979"/>
      <c r="M59" s="1979"/>
    </row>
    <row r="60" spans="1:13" ht="15">
      <c r="A60" s="66">
        <f t="shared" si="6"/>
        <v>38</v>
      </c>
      <c r="B60" s="231" t="str">
        <f t="shared" si="3"/>
        <v/>
      </c>
      <c r="C60" s="2171" t="str">
        <f t="shared" si="4"/>
        <v/>
      </c>
      <c r="D60" s="2172">
        <f t="shared" si="0"/>
        <v>0</v>
      </c>
      <c r="E60" s="2172">
        <f t="shared" si="1"/>
        <v>0</v>
      </c>
      <c r="F60" s="2172">
        <f t="shared" si="2"/>
        <v>0</v>
      </c>
      <c r="G60" s="2172" t="str">
        <f t="shared" si="5"/>
        <v/>
      </c>
      <c r="H60" s="1979"/>
      <c r="I60" s="2076"/>
      <c r="J60" s="1979"/>
      <c r="K60" s="1979"/>
      <c r="L60" s="1979"/>
      <c r="M60" s="1979"/>
    </row>
    <row r="61" spans="1:13" ht="15">
      <c r="A61" s="66">
        <f t="shared" si="6"/>
        <v>39</v>
      </c>
      <c r="B61" s="231" t="str">
        <f t="shared" si="3"/>
        <v/>
      </c>
      <c r="C61" s="2171" t="str">
        <f t="shared" si="4"/>
        <v/>
      </c>
      <c r="D61" s="2172">
        <f t="shared" si="0"/>
        <v>0</v>
      </c>
      <c r="E61" s="2172">
        <f t="shared" si="1"/>
        <v>0</v>
      </c>
      <c r="F61" s="2172">
        <f t="shared" si="2"/>
        <v>0</v>
      </c>
      <c r="G61" s="2172" t="str">
        <f t="shared" si="5"/>
        <v/>
      </c>
      <c r="H61" s="1979"/>
      <c r="I61" s="2076"/>
      <c r="J61" s="1979"/>
      <c r="K61" s="1979"/>
      <c r="L61" s="1979"/>
      <c r="M61" s="1979"/>
    </row>
    <row r="62" spans="1:13" ht="15">
      <c r="A62" s="66">
        <f t="shared" si="6"/>
        <v>40</v>
      </c>
      <c r="B62" s="231" t="str">
        <f t="shared" si="3"/>
        <v/>
      </c>
      <c r="C62" s="2171" t="str">
        <f t="shared" si="4"/>
        <v/>
      </c>
      <c r="D62" s="2172">
        <f t="shared" si="0"/>
        <v>0</v>
      </c>
      <c r="E62" s="2172">
        <f t="shared" si="1"/>
        <v>0</v>
      </c>
      <c r="F62" s="2172">
        <f t="shared" si="2"/>
        <v>0</v>
      </c>
      <c r="G62" s="2172" t="str">
        <f t="shared" si="5"/>
        <v/>
      </c>
      <c r="H62" s="1979"/>
      <c r="I62" s="2076"/>
      <c r="J62" s="1979"/>
      <c r="K62" s="1979"/>
      <c r="L62" s="1979"/>
      <c r="M62" s="1979"/>
    </row>
    <row r="63" spans="1:13" ht="15">
      <c r="A63" s="66">
        <f t="shared" si="6"/>
        <v>41</v>
      </c>
      <c r="B63" s="231" t="str">
        <f t="shared" si="3"/>
        <v/>
      </c>
      <c r="C63" s="2171" t="str">
        <f t="shared" si="4"/>
        <v/>
      </c>
      <c r="D63" s="2172">
        <f t="shared" si="0"/>
        <v>0</v>
      </c>
      <c r="E63" s="2172">
        <f t="shared" si="1"/>
        <v>0</v>
      </c>
      <c r="F63" s="2172">
        <f t="shared" si="2"/>
        <v>0</v>
      </c>
      <c r="G63" s="2172" t="str">
        <f t="shared" si="5"/>
        <v/>
      </c>
      <c r="H63" s="1979"/>
      <c r="I63" s="2076"/>
      <c r="J63" s="1979"/>
      <c r="K63" s="1979"/>
      <c r="L63" s="1979"/>
      <c r="M63" s="1979"/>
    </row>
    <row r="64" spans="1:13" ht="15">
      <c r="A64" s="66">
        <f t="shared" si="6"/>
        <v>42</v>
      </c>
      <c r="B64" s="231" t="str">
        <f t="shared" si="3"/>
        <v/>
      </c>
      <c r="C64" s="2171" t="str">
        <f t="shared" si="4"/>
        <v/>
      </c>
      <c r="D64" s="2172">
        <f t="shared" si="0"/>
        <v>0</v>
      </c>
      <c r="E64" s="2172">
        <f t="shared" si="1"/>
        <v>0</v>
      </c>
      <c r="F64" s="2172">
        <f t="shared" si="2"/>
        <v>0</v>
      </c>
      <c r="G64" s="2172" t="str">
        <f t="shared" si="5"/>
        <v/>
      </c>
      <c r="H64" s="1979"/>
      <c r="I64" s="2076"/>
      <c r="J64" s="1979"/>
      <c r="K64" s="1979"/>
      <c r="L64" s="1979"/>
      <c r="M64" s="1979"/>
    </row>
    <row r="65" spans="1:13" ht="15">
      <c r="A65" s="66">
        <f t="shared" si="6"/>
        <v>43</v>
      </c>
      <c r="B65" s="231" t="str">
        <f t="shared" si="3"/>
        <v/>
      </c>
      <c r="C65" s="2171" t="str">
        <f t="shared" si="4"/>
        <v/>
      </c>
      <c r="D65" s="2172">
        <f t="shared" si="0"/>
        <v>0</v>
      </c>
      <c r="E65" s="2172">
        <f t="shared" si="1"/>
        <v>0</v>
      </c>
      <c r="F65" s="2172">
        <f t="shared" si="2"/>
        <v>0</v>
      </c>
      <c r="G65" s="2172" t="str">
        <f t="shared" si="5"/>
        <v/>
      </c>
      <c r="H65" s="1979"/>
      <c r="I65" s="2076"/>
      <c r="J65" s="1979"/>
      <c r="K65" s="1979"/>
      <c r="L65" s="1979"/>
      <c r="M65" s="1979"/>
    </row>
    <row r="66" spans="1:13" ht="15">
      <c r="A66" s="66">
        <f t="shared" si="6"/>
        <v>44</v>
      </c>
      <c r="B66" s="231" t="str">
        <f t="shared" si="3"/>
        <v/>
      </c>
      <c r="C66" s="2171" t="str">
        <f t="shared" si="4"/>
        <v/>
      </c>
      <c r="D66" s="2172">
        <f t="shared" si="0"/>
        <v>0</v>
      </c>
      <c r="E66" s="2172">
        <f t="shared" si="1"/>
        <v>0</v>
      </c>
      <c r="F66" s="2172">
        <f t="shared" si="2"/>
        <v>0</v>
      </c>
      <c r="G66" s="2172" t="str">
        <f t="shared" si="5"/>
        <v/>
      </c>
      <c r="H66" s="1979"/>
      <c r="I66" s="2076"/>
      <c r="J66" s="1979"/>
      <c r="K66" s="1979"/>
      <c r="L66" s="1979"/>
      <c r="M66" s="1979"/>
    </row>
    <row r="67" spans="1:13" ht="15">
      <c r="A67" s="66">
        <f t="shared" si="6"/>
        <v>45</v>
      </c>
      <c r="B67" s="231" t="str">
        <f t="shared" si="3"/>
        <v/>
      </c>
      <c r="C67" s="2171" t="str">
        <f t="shared" si="4"/>
        <v/>
      </c>
      <c r="D67" s="2172">
        <f t="shared" si="0"/>
        <v>0</v>
      </c>
      <c r="E67" s="2172">
        <f t="shared" si="1"/>
        <v>0</v>
      </c>
      <c r="F67" s="2172">
        <f t="shared" si="2"/>
        <v>0</v>
      </c>
      <c r="G67" s="2172" t="str">
        <f t="shared" si="5"/>
        <v/>
      </c>
      <c r="H67" s="1979"/>
      <c r="I67" s="2076"/>
      <c r="J67" s="1979"/>
      <c r="K67" s="1979"/>
      <c r="L67" s="1979"/>
      <c r="M67" s="1979"/>
    </row>
    <row r="68" spans="1:13" ht="15">
      <c r="A68" s="66">
        <f t="shared" si="6"/>
        <v>46</v>
      </c>
      <c r="B68" s="231" t="str">
        <f t="shared" si="3"/>
        <v/>
      </c>
      <c r="C68" s="2171" t="str">
        <f t="shared" si="4"/>
        <v/>
      </c>
      <c r="D68" s="2172">
        <f t="shared" si="0"/>
        <v>0</v>
      </c>
      <c r="E68" s="2172">
        <f t="shared" si="1"/>
        <v>0</v>
      </c>
      <c r="F68" s="2172">
        <f t="shared" si="2"/>
        <v>0</v>
      </c>
      <c r="G68" s="2172" t="str">
        <f t="shared" si="5"/>
        <v/>
      </c>
      <c r="H68" s="1979"/>
      <c r="I68" s="2076"/>
      <c r="J68" s="1979"/>
      <c r="K68" s="1979"/>
      <c r="L68" s="1979"/>
      <c r="M68" s="1979"/>
    </row>
    <row r="69" spans="1:13" ht="15">
      <c r="A69" s="66">
        <f t="shared" si="6"/>
        <v>47</v>
      </c>
      <c r="B69" s="231" t="str">
        <f t="shared" si="3"/>
        <v/>
      </c>
      <c r="C69" s="2171" t="str">
        <f t="shared" si="4"/>
        <v/>
      </c>
      <c r="D69" s="2172">
        <f t="shared" si="0"/>
        <v>0</v>
      </c>
      <c r="E69" s="2172">
        <f t="shared" si="1"/>
        <v>0</v>
      </c>
      <c r="F69" s="2172">
        <f t="shared" si="2"/>
        <v>0</v>
      </c>
      <c r="G69" s="2172" t="str">
        <f t="shared" si="5"/>
        <v/>
      </c>
      <c r="H69" s="1979"/>
      <c r="I69" s="2076"/>
      <c r="J69" s="1979"/>
      <c r="K69" s="1979"/>
      <c r="L69" s="1979"/>
      <c r="M69" s="1979"/>
    </row>
    <row r="70" spans="1:13" ht="15">
      <c r="A70" s="66">
        <f t="shared" si="6"/>
        <v>48</v>
      </c>
      <c r="B70" s="231" t="str">
        <f t="shared" si="3"/>
        <v/>
      </c>
      <c r="C70" s="2171" t="str">
        <f t="shared" si="4"/>
        <v/>
      </c>
      <c r="D70" s="2172">
        <f t="shared" si="0"/>
        <v>0</v>
      </c>
      <c r="E70" s="2172">
        <f t="shared" si="1"/>
        <v>0</v>
      </c>
      <c r="F70" s="2172">
        <f t="shared" si="2"/>
        <v>0</v>
      </c>
      <c r="G70" s="2172" t="str">
        <f t="shared" si="5"/>
        <v/>
      </c>
      <c r="H70" s="1979"/>
      <c r="I70" s="2076"/>
      <c r="J70" s="1979"/>
      <c r="K70" s="1979"/>
      <c r="L70" s="1979"/>
      <c r="M70" s="1979"/>
    </row>
    <row r="71" spans="1:13" ht="15">
      <c r="A71" s="66">
        <f t="shared" si="6"/>
        <v>49</v>
      </c>
      <c r="B71" s="231" t="str">
        <f t="shared" si="3"/>
        <v/>
      </c>
      <c r="C71" s="2171" t="str">
        <f t="shared" si="4"/>
        <v/>
      </c>
      <c r="D71" s="2172">
        <f t="shared" si="0"/>
        <v>0</v>
      </c>
      <c r="E71" s="2172">
        <f t="shared" si="1"/>
        <v>0</v>
      </c>
      <c r="F71" s="2172">
        <f t="shared" si="2"/>
        <v>0</v>
      </c>
      <c r="G71" s="2172" t="str">
        <f t="shared" si="5"/>
        <v/>
      </c>
      <c r="H71" s="1979"/>
      <c r="I71" s="2076"/>
      <c r="J71" s="1979"/>
      <c r="K71" s="1979"/>
      <c r="L71" s="1979"/>
      <c r="M71" s="1979"/>
    </row>
    <row r="72" spans="1:13" ht="15">
      <c r="A72" s="66">
        <f t="shared" si="6"/>
        <v>50</v>
      </c>
      <c r="B72" s="231" t="str">
        <f t="shared" si="3"/>
        <v/>
      </c>
      <c r="C72" s="2171" t="str">
        <f t="shared" si="4"/>
        <v/>
      </c>
      <c r="D72" s="2172">
        <f t="shared" si="0"/>
        <v>0</v>
      </c>
      <c r="E72" s="2172">
        <f t="shared" si="1"/>
        <v>0</v>
      </c>
      <c r="F72" s="2172">
        <f t="shared" si="2"/>
        <v>0</v>
      </c>
      <c r="G72" s="2172" t="str">
        <f t="shared" si="5"/>
        <v/>
      </c>
      <c r="H72" s="1979"/>
      <c r="I72" s="2076"/>
      <c r="J72" s="1979"/>
      <c r="K72" s="1979"/>
      <c r="L72" s="1979"/>
      <c r="M72" s="1979"/>
    </row>
    <row r="73" spans="1:13" ht="15">
      <c r="A73" s="66">
        <f t="shared" si="6"/>
        <v>51</v>
      </c>
      <c r="B73" s="231" t="str">
        <f t="shared" si="3"/>
        <v/>
      </c>
      <c r="C73" s="2171" t="str">
        <f t="shared" si="4"/>
        <v/>
      </c>
      <c r="D73" s="2172">
        <f t="shared" si="0"/>
        <v>0</v>
      </c>
      <c r="E73" s="2172">
        <f t="shared" si="1"/>
        <v>0</v>
      </c>
      <c r="F73" s="2172">
        <f t="shared" si="2"/>
        <v>0</v>
      </c>
      <c r="G73" s="2172" t="str">
        <f t="shared" si="5"/>
        <v/>
      </c>
      <c r="H73" s="1979"/>
      <c r="I73" s="2076"/>
      <c r="J73" s="1979"/>
      <c r="K73" s="1979"/>
      <c r="L73" s="1979"/>
      <c r="M73" s="1979"/>
    </row>
    <row r="74" spans="1:13" ht="15">
      <c r="A74" s="66">
        <f t="shared" si="6"/>
        <v>52</v>
      </c>
      <c r="B74" s="231" t="str">
        <f t="shared" si="3"/>
        <v/>
      </c>
      <c r="C74" s="2171" t="str">
        <f t="shared" si="4"/>
        <v/>
      </c>
      <c r="D74" s="2172">
        <f t="shared" si="0"/>
        <v>0</v>
      </c>
      <c r="E74" s="2172">
        <f t="shared" si="1"/>
        <v>0</v>
      </c>
      <c r="F74" s="2172">
        <f t="shared" si="2"/>
        <v>0</v>
      </c>
      <c r="G74" s="2172" t="str">
        <f t="shared" si="5"/>
        <v/>
      </c>
      <c r="H74" s="1979"/>
      <c r="I74" s="2076"/>
      <c r="J74" s="1979"/>
      <c r="K74" s="1979"/>
      <c r="L74" s="1979"/>
      <c r="M74" s="1979"/>
    </row>
    <row r="75" spans="1:13" ht="15">
      <c r="A75" s="66">
        <f t="shared" si="6"/>
        <v>53</v>
      </c>
      <c r="B75" s="231" t="str">
        <f t="shared" si="3"/>
        <v/>
      </c>
      <c r="C75" s="2171" t="str">
        <f t="shared" si="4"/>
        <v/>
      </c>
      <c r="D75" s="2172">
        <f t="shared" si="0"/>
        <v>0</v>
      </c>
      <c r="E75" s="2172">
        <f t="shared" si="1"/>
        <v>0</v>
      </c>
      <c r="F75" s="2172">
        <f t="shared" si="2"/>
        <v>0</v>
      </c>
      <c r="G75" s="2172" t="str">
        <f t="shared" si="5"/>
        <v/>
      </c>
      <c r="H75" s="1979"/>
      <c r="I75" s="2076"/>
      <c r="J75" s="1979"/>
      <c r="K75" s="1979"/>
      <c r="L75" s="1979"/>
      <c r="M75" s="1979"/>
    </row>
    <row r="76" spans="1:13" ht="15">
      <c r="A76" s="66">
        <f t="shared" si="6"/>
        <v>54</v>
      </c>
      <c r="B76" s="231" t="str">
        <f t="shared" si="3"/>
        <v/>
      </c>
      <c r="C76" s="2171" t="str">
        <f t="shared" si="4"/>
        <v/>
      </c>
      <c r="D76" s="2172">
        <f t="shared" si="0"/>
        <v>0</v>
      </c>
      <c r="E76" s="2172">
        <f t="shared" si="1"/>
        <v>0</v>
      </c>
      <c r="F76" s="2172">
        <f t="shared" si="2"/>
        <v>0</v>
      </c>
      <c r="G76" s="2172" t="str">
        <f t="shared" si="5"/>
        <v/>
      </c>
      <c r="H76" s="1979"/>
      <c r="I76" s="2076"/>
      <c r="J76" s="1979"/>
      <c r="K76" s="1979"/>
      <c r="L76" s="1979"/>
      <c r="M76" s="1979"/>
    </row>
    <row r="77" spans="1:13" ht="15">
      <c r="A77" s="66">
        <f t="shared" si="6"/>
        <v>55</v>
      </c>
      <c r="B77" s="231" t="str">
        <f t="shared" si="3"/>
        <v/>
      </c>
      <c r="C77" s="2171" t="str">
        <f t="shared" si="4"/>
        <v/>
      </c>
      <c r="D77" s="2172">
        <f t="shared" si="0"/>
        <v>0</v>
      </c>
      <c r="E77" s="2172">
        <f t="shared" si="1"/>
        <v>0</v>
      </c>
      <c r="F77" s="2172">
        <f t="shared" si="2"/>
        <v>0</v>
      </c>
      <c r="G77" s="2172" t="str">
        <f t="shared" si="5"/>
        <v/>
      </c>
      <c r="H77" s="1979"/>
      <c r="I77" s="2076"/>
      <c r="J77" s="1979"/>
      <c r="K77" s="1979"/>
      <c r="L77" s="1979"/>
      <c r="M77" s="1979"/>
    </row>
    <row r="78" spans="1:13" ht="15">
      <c r="A78" s="66">
        <f t="shared" si="6"/>
        <v>56</v>
      </c>
      <c r="B78" s="231" t="str">
        <f t="shared" si="3"/>
        <v/>
      </c>
      <c r="C78" s="2171" t="str">
        <f t="shared" si="4"/>
        <v/>
      </c>
      <c r="D78" s="2172">
        <f t="shared" si="0"/>
        <v>0</v>
      </c>
      <c r="E78" s="2172">
        <f t="shared" si="1"/>
        <v>0</v>
      </c>
      <c r="F78" s="2172">
        <f t="shared" si="2"/>
        <v>0</v>
      </c>
      <c r="G78" s="2172" t="str">
        <f t="shared" si="5"/>
        <v/>
      </c>
      <c r="H78" s="1979"/>
      <c r="I78" s="2076"/>
      <c r="J78" s="1979"/>
      <c r="K78" s="1979"/>
      <c r="L78" s="1979"/>
      <c r="M78" s="1979"/>
    </row>
    <row r="79" spans="1:13" ht="15">
      <c r="A79" s="66">
        <f t="shared" si="6"/>
        <v>57</v>
      </c>
      <c r="B79" s="231" t="str">
        <f t="shared" si="3"/>
        <v/>
      </c>
      <c r="C79" s="2171" t="str">
        <f t="shared" si="4"/>
        <v/>
      </c>
      <c r="D79" s="2172">
        <f t="shared" si="0"/>
        <v>0</v>
      </c>
      <c r="E79" s="2172">
        <f t="shared" si="1"/>
        <v>0</v>
      </c>
      <c r="F79" s="2172">
        <f t="shared" si="2"/>
        <v>0</v>
      </c>
      <c r="G79" s="2172" t="str">
        <f t="shared" si="5"/>
        <v/>
      </c>
      <c r="H79" s="1979"/>
      <c r="I79" s="2076"/>
      <c r="J79" s="1979"/>
      <c r="K79" s="1979"/>
      <c r="L79" s="1979"/>
      <c r="M79" s="1979"/>
    </row>
    <row r="80" spans="1:13" ht="15">
      <c r="A80" s="66">
        <f t="shared" si="6"/>
        <v>58</v>
      </c>
      <c r="B80" s="231" t="str">
        <f t="shared" si="3"/>
        <v/>
      </c>
      <c r="C80" s="2171" t="str">
        <f t="shared" si="4"/>
        <v/>
      </c>
      <c r="D80" s="2172">
        <f t="shared" si="0"/>
        <v>0</v>
      </c>
      <c r="E80" s="2172">
        <f t="shared" si="1"/>
        <v>0</v>
      </c>
      <c r="F80" s="2172">
        <f t="shared" si="2"/>
        <v>0</v>
      </c>
      <c r="G80" s="2172" t="str">
        <f t="shared" si="5"/>
        <v/>
      </c>
      <c r="H80" s="1979"/>
      <c r="I80" s="2076"/>
      <c r="J80" s="1979"/>
      <c r="K80" s="1979"/>
      <c r="L80" s="1979"/>
      <c r="M80" s="1979"/>
    </row>
    <row r="81" spans="1:13" ht="15">
      <c r="A81" s="66">
        <f t="shared" si="6"/>
        <v>59</v>
      </c>
      <c r="B81" s="231" t="str">
        <f t="shared" si="3"/>
        <v/>
      </c>
      <c r="C81" s="2171" t="str">
        <f t="shared" si="4"/>
        <v/>
      </c>
      <c r="D81" s="2172">
        <f t="shared" si="0"/>
        <v>0</v>
      </c>
      <c r="E81" s="2172">
        <f t="shared" si="1"/>
        <v>0</v>
      </c>
      <c r="F81" s="2172">
        <f t="shared" si="2"/>
        <v>0</v>
      </c>
      <c r="G81" s="2172" t="str">
        <f t="shared" si="5"/>
        <v/>
      </c>
      <c r="H81" s="1979"/>
      <c r="I81" s="2076"/>
      <c r="J81" s="1979"/>
      <c r="K81" s="1979"/>
      <c r="L81" s="1979"/>
      <c r="M81" s="1979"/>
    </row>
    <row r="82" spans="1:13" ht="15">
      <c r="A82" s="66">
        <f t="shared" si="6"/>
        <v>60</v>
      </c>
      <c r="B82" s="231" t="str">
        <f t="shared" si="3"/>
        <v/>
      </c>
      <c r="C82" s="2171" t="str">
        <f t="shared" si="4"/>
        <v/>
      </c>
      <c r="D82" s="2172">
        <f t="shared" si="0"/>
        <v>0</v>
      </c>
      <c r="E82" s="2172">
        <f t="shared" si="1"/>
        <v>0</v>
      </c>
      <c r="F82" s="2172">
        <f t="shared" si="2"/>
        <v>0</v>
      </c>
      <c r="G82" s="2172" t="str">
        <f t="shared" si="5"/>
        <v/>
      </c>
      <c r="H82" s="1979"/>
      <c r="I82" s="2076"/>
      <c r="J82" s="1979"/>
      <c r="K82" s="1979"/>
      <c r="L82" s="1979"/>
      <c r="M82" s="1979"/>
    </row>
    <row r="83" spans="1:13" ht="15">
      <c r="A83" s="66">
        <f t="shared" si="6"/>
        <v>61</v>
      </c>
      <c r="B83" s="231" t="str">
        <f t="shared" si="3"/>
        <v/>
      </c>
      <c r="C83" s="2171" t="str">
        <f t="shared" si="4"/>
        <v/>
      </c>
      <c r="D83" s="2172">
        <f t="shared" si="0"/>
        <v>0</v>
      </c>
      <c r="E83" s="2172">
        <f t="shared" si="1"/>
        <v>0</v>
      </c>
      <c r="F83" s="2172">
        <f t="shared" si="2"/>
        <v>0</v>
      </c>
      <c r="G83" s="2172" t="str">
        <f t="shared" si="5"/>
        <v/>
      </c>
      <c r="H83" s="1979"/>
      <c r="I83" s="2076"/>
      <c r="J83" s="1979"/>
      <c r="K83" s="1979"/>
      <c r="L83" s="1979"/>
      <c r="M83" s="1979"/>
    </row>
    <row r="84" spans="1:13" ht="15">
      <c r="A84" s="66">
        <f t="shared" si="6"/>
        <v>62</v>
      </c>
      <c r="B84" s="231" t="str">
        <f t="shared" si="3"/>
        <v/>
      </c>
      <c r="C84" s="2171" t="str">
        <f t="shared" si="4"/>
        <v/>
      </c>
      <c r="D84" s="2172">
        <f t="shared" si="0"/>
        <v>0</v>
      </c>
      <c r="E84" s="2172">
        <f t="shared" si="1"/>
        <v>0</v>
      </c>
      <c r="F84" s="2172">
        <f t="shared" si="2"/>
        <v>0</v>
      </c>
      <c r="G84" s="2172" t="str">
        <f t="shared" si="5"/>
        <v/>
      </c>
      <c r="H84" s="1979"/>
      <c r="I84" s="2076"/>
      <c r="J84" s="1979"/>
      <c r="K84" s="1979"/>
      <c r="L84" s="1979"/>
      <c r="M84" s="1979"/>
    </row>
    <row r="85" spans="1:13" ht="15">
      <c r="A85" s="66">
        <f t="shared" si="6"/>
        <v>63</v>
      </c>
      <c r="B85" s="231" t="str">
        <f t="shared" si="3"/>
        <v/>
      </c>
      <c r="C85" s="2171" t="str">
        <f t="shared" si="4"/>
        <v/>
      </c>
      <c r="D85" s="2172">
        <f t="shared" si="0"/>
        <v>0</v>
      </c>
      <c r="E85" s="2172">
        <f t="shared" si="1"/>
        <v>0</v>
      </c>
      <c r="F85" s="2172">
        <f t="shared" si="2"/>
        <v>0</v>
      </c>
      <c r="G85" s="2172" t="str">
        <f t="shared" si="5"/>
        <v/>
      </c>
      <c r="H85" s="1979"/>
      <c r="I85" s="2076"/>
      <c r="J85" s="1979"/>
      <c r="K85" s="1979"/>
      <c r="L85" s="1979"/>
      <c r="M85" s="1979"/>
    </row>
    <row r="86" spans="1:13" ht="15">
      <c r="A86" s="66">
        <f t="shared" si="6"/>
        <v>64</v>
      </c>
      <c r="B86" s="231" t="str">
        <f t="shared" si="3"/>
        <v/>
      </c>
      <c r="C86" s="2171" t="str">
        <f t="shared" si="4"/>
        <v/>
      </c>
      <c r="D86" s="2172">
        <f t="shared" si="0"/>
        <v>0</v>
      </c>
      <c r="E86" s="2172">
        <f t="shared" si="1"/>
        <v>0</v>
      </c>
      <c r="F86" s="2172">
        <f t="shared" si="2"/>
        <v>0</v>
      </c>
      <c r="G86" s="2172" t="str">
        <f t="shared" si="5"/>
        <v/>
      </c>
      <c r="H86" s="1979"/>
      <c r="I86" s="2076"/>
      <c r="J86" s="1979"/>
      <c r="K86" s="1979"/>
      <c r="L86" s="1979"/>
      <c r="M86" s="1979"/>
    </row>
    <row r="87" spans="1:13" ht="15">
      <c r="A87" s="66">
        <f t="shared" si="6"/>
        <v>65</v>
      </c>
      <c r="B87" s="231" t="str">
        <f t="shared" si="3"/>
        <v/>
      </c>
      <c r="C87" s="2171" t="str">
        <f t="shared" si="4"/>
        <v/>
      </c>
      <c r="D87" s="2172">
        <f t="shared" ref="D87:D148" si="7">ROUND((IFERROR((((G86*$L$13)/360)*C87),0)),2)</f>
        <v>0</v>
      </c>
      <c r="E87" s="2172">
        <f t="shared" ref="E87:E148" si="8">ROUND((IF(A87=$D$8,G86,(IF(A87&gt;$D$8,0,IF(AND(A87&gt;=$D$9,A87&lt;=$H$9,$L$9="No"),0,(($D$13*($M$5-D87-H87)))))))),2)</f>
        <v>0</v>
      </c>
      <c r="F87" s="2172">
        <f t="shared" ref="F87:F148" si="9">D87+E87</f>
        <v>0</v>
      </c>
      <c r="G87" s="2172" t="str">
        <f t="shared" si="5"/>
        <v/>
      </c>
      <c r="H87" s="1979"/>
      <c r="I87" s="2076"/>
      <c r="J87" s="1979"/>
      <c r="K87" s="1979"/>
      <c r="L87" s="1979"/>
      <c r="M87" s="1979"/>
    </row>
    <row r="88" spans="1:13" ht="15">
      <c r="A88" s="66">
        <f t="shared" si="6"/>
        <v>66</v>
      </c>
      <c r="B88" s="231" t="str">
        <f t="shared" ref="B88:B148" si="10">IF(A88&gt;$D$8,"",DATE(YEAR(B87),MONTH(B87)+1,DAY($C$17)))</f>
        <v/>
      </c>
      <c r="C88" s="2171" t="str">
        <f t="shared" ref="C88:C148" si="11">IF(B88="","",B88-B87)</f>
        <v/>
      </c>
      <c r="D88" s="2172">
        <f t="shared" si="7"/>
        <v>0</v>
      </c>
      <c r="E88" s="2172">
        <f t="shared" si="8"/>
        <v>0</v>
      </c>
      <c r="F88" s="2172">
        <f t="shared" si="9"/>
        <v>0</v>
      </c>
      <c r="G88" s="2172" t="str">
        <f t="shared" ref="G88:G148" si="12">IF(B88="","",G87-E88)</f>
        <v/>
      </c>
      <c r="H88" s="1979"/>
      <c r="I88" s="2076"/>
      <c r="J88" s="1979"/>
      <c r="K88" s="1979"/>
      <c r="L88" s="1979"/>
      <c r="M88" s="1979"/>
    </row>
    <row r="89" spans="1:13" ht="15">
      <c r="A89" s="66">
        <f t="shared" ref="A89:A142" si="13">A88+1</f>
        <v>67</v>
      </c>
      <c r="B89" s="231" t="str">
        <f t="shared" si="10"/>
        <v/>
      </c>
      <c r="C89" s="2171" t="str">
        <f t="shared" si="11"/>
        <v/>
      </c>
      <c r="D89" s="2172">
        <f t="shared" si="7"/>
        <v>0</v>
      </c>
      <c r="E89" s="2172">
        <f t="shared" si="8"/>
        <v>0</v>
      </c>
      <c r="F89" s="2172">
        <f t="shared" si="9"/>
        <v>0</v>
      </c>
      <c r="G89" s="2172" t="str">
        <f t="shared" si="12"/>
        <v/>
      </c>
      <c r="H89" s="1979"/>
      <c r="I89" s="2076"/>
      <c r="J89" s="1979"/>
      <c r="K89" s="1979"/>
      <c r="L89" s="1979"/>
      <c r="M89" s="1979"/>
    </row>
    <row r="90" spans="1:13" ht="15">
      <c r="A90" s="66">
        <f t="shared" si="13"/>
        <v>68</v>
      </c>
      <c r="B90" s="231" t="str">
        <f t="shared" si="10"/>
        <v/>
      </c>
      <c r="C90" s="2171" t="str">
        <f t="shared" si="11"/>
        <v/>
      </c>
      <c r="D90" s="2172">
        <f t="shared" si="7"/>
        <v>0</v>
      </c>
      <c r="E90" s="2172">
        <f t="shared" si="8"/>
        <v>0</v>
      </c>
      <c r="F90" s="2172">
        <f t="shared" si="9"/>
        <v>0</v>
      </c>
      <c r="G90" s="2172" t="str">
        <f t="shared" si="12"/>
        <v/>
      </c>
      <c r="H90" s="1979"/>
      <c r="I90" s="2076"/>
      <c r="J90" s="1979"/>
      <c r="K90" s="1979"/>
      <c r="L90" s="1979"/>
      <c r="M90" s="1979"/>
    </row>
    <row r="91" spans="1:13" ht="15">
      <c r="A91" s="66">
        <f t="shared" si="13"/>
        <v>69</v>
      </c>
      <c r="B91" s="231" t="str">
        <f t="shared" si="10"/>
        <v/>
      </c>
      <c r="C91" s="2171" t="str">
        <f t="shared" si="11"/>
        <v/>
      </c>
      <c r="D91" s="2172">
        <f t="shared" si="7"/>
        <v>0</v>
      </c>
      <c r="E91" s="2172">
        <f t="shared" si="8"/>
        <v>0</v>
      </c>
      <c r="F91" s="2172">
        <f t="shared" si="9"/>
        <v>0</v>
      </c>
      <c r="G91" s="2172" t="str">
        <f t="shared" si="12"/>
        <v/>
      </c>
      <c r="H91" s="1979"/>
      <c r="I91" s="2076"/>
      <c r="J91" s="1979"/>
      <c r="K91" s="1979"/>
      <c r="L91" s="1979"/>
      <c r="M91" s="1979"/>
    </row>
    <row r="92" spans="1:13" ht="15">
      <c r="A92" s="66">
        <f t="shared" si="13"/>
        <v>70</v>
      </c>
      <c r="B92" s="231" t="str">
        <f t="shared" si="10"/>
        <v/>
      </c>
      <c r="C92" s="2171" t="str">
        <f t="shared" si="11"/>
        <v/>
      </c>
      <c r="D92" s="2172">
        <f t="shared" si="7"/>
        <v>0</v>
      </c>
      <c r="E92" s="2172">
        <f t="shared" si="8"/>
        <v>0</v>
      </c>
      <c r="F92" s="2172">
        <f t="shared" si="9"/>
        <v>0</v>
      </c>
      <c r="G92" s="2172" t="str">
        <f t="shared" si="12"/>
        <v/>
      </c>
      <c r="H92" s="1979"/>
      <c r="I92" s="2076"/>
      <c r="J92" s="1979"/>
      <c r="K92" s="1979"/>
      <c r="L92" s="1979"/>
      <c r="M92" s="1979"/>
    </row>
    <row r="93" spans="1:13" ht="15">
      <c r="A93" s="66">
        <f t="shared" si="13"/>
        <v>71</v>
      </c>
      <c r="B93" s="231" t="str">
        <f t="shared" si="10"/>
        <v/>
      </c>
      <c r="C93" s="2171" t="str">
        <f t="shared" si="11"/>
        <v/>
      </c>
      <c r="D93" s="2172">
        <f t="shared" si="7"/>
        <v>0</v>
      </c>
      <c r="E93" s="2172">
        <f t="shared" si="8"/>
        <v>0</v>
      </c>
      <c r="F93" s="2172">
        <f t="shared" si="9"/>
        <v>0</v>
      </c>
      <c r="G93" s="2172" t="str">
        <f t="shared" si="12"/>
        <v/>
      </c>
      <c r="H93" s="1979"/>
      <c r="I93" s="2076"/>
      <c r="J93" s="1979"/>
      <c r="K93" s="1979"/>
      <c r="L93" s="1979"/>
      <c r="M93" s="1979"/>
    </row>
    <row r="94" spans="1:13" ht="15">
      <c r="A94" s="66">
        <f t="shared" si="13"/>
        <v>72</v>
      </c>
      <c r="B94" s="231" t="str">
        <f t="shared" si="10"/>
        <v/>
      </c>
      <c r="C94" s="2171" t="str">
        <f t="shared" si="11"/>
        <v/>
      </c>
      <c r="D94" s="2172">
        <f t="shared" si="7"/>
        <v>0</v>
      </c>
      <c r="E94" s="2172">
        <f t="shared" si="8"/>
        <v>0</v>
      </c>
      <c r="F94" s="2172">
        <f t="shared" si="9"/>
        <v>0</v>
      </c>
      <c r="G94" s="2172" t="str">
        <f t="shared" si="12"/>
        <v/>
      </c>
      <c r="H94" s="1979"/>
      <c r="I94" s="2076"/>
      <c r="J94" s="1979"/>
      <c r="K94" s="1979"/>
      <c r="L94" s="1979"/>
      <c r="M94" s="1979"/>
    </row>
    <row r="95" spans="1:13" ht="15">
      <c r="A95" s="66">
        <f t="shared" si="13"/>
        <v>73</v>
      </c>
      <c r="B95" s="231" t="str">
        <f t="shared" si="10"/>
        <v/>
      </c>
      <c r="C95" s="2171" t="str">
        <f t="shared" si="11"/>
        <v/>
      </c>
      <c r="D95" s="2172">
        <f t="shared" si="7"/>
        <v>0</v>
      </c>
      <c r="E95" s="2172">
        <f t="shared" si="8"/>
        <v>0</v>
      </c>
      <c r="F95" s="2172">
        <f t="shared" si="9"/>
        <v>0</v>
      </c>
      <c r="G95" s="2172" t="str">
        <f t="shared" si="12"/>
        <v/>
      </c>
      <c r="H95" s="1979"/>
      <c r="I95" s="2076"/>
      <c r="J95" s="1979"/>
      <c r="K95" s="1979"/>
      <c r="L95" s="1979"/>
      <c r="M95" s="1979"/>
    </row>
    <row r="96" spans="1:13" ht="15">
      <c r="A96" s="66">
        <f t="shared" si="13"/>
        <v>74</v>
      </c>
      <c r="B96" s="231" t="str">
        <f t="shared" si="10"/>
        <v/>
      </c>
      <c r="C96" s="2171" t="str">
        <f t="shared" si="11"/>
        <v/>
      </c>
      <c r="D96" s="2172">
        <f t="shared" si="7"/>
        <v>0</v>
      </c>
      <c r="E96" s="2172">
        <f t="shared" si="8"/>
        <v>0</v>
      </c>
      <c r="F96" s="2172">
        <f t="shared" si="9"/>
        <v>0</v>
      </c>
      <c r="G96" s="2172" t="str">
        <f t="shared" si="12"/>
        <v/>
      </c>
      <c r="H96" s="1979"/>
      <c r="I96" s="2076"/>
      <c r="J96" s="1979"/>
      <c r="K96" s="1979"/>
      <c r="L96" s="1979"/>
      <c r="M96" s="1979"/>
    </row>
    <row r="97" spans="1:13" ht="15">
      <c r="A97" s="66">
        <f t="shared" si="13"/>
        <v>75</v>
      </c>
      <c r="B97" s="231" t="str">
        <f t="shared" si="10"/>
        <v/>
      </c>
      <c r="C97" s="2171" t="str">
        <f t="shared" si="11"/>
        <v/>
      </c>
      <c r="D97" s="2172">
        <f t="shared" si="7"/>
        <v>0</v>
      </c>
      <c r="E97" s="2172">
        <f t="shared" si="8"/>
        <v>0</v>
      </c>
      <c r="F97" s="2172">
        <f t="shared" si="9"/>
        <v>0</v>
      </c>
      <c r="G97" s="2172" t="str">
        <f t="shared" si="12"/>
        <v/>
      </c>
      <c r="H97" s="1979"/>
      <c r="I97" s="2076"/>
      <c r="J97" s="1979"/>
      <c r="K97" s="1979"/>
      <c r="L97" s="1979"/>
      <c r="M97" s="1979"/>
    </row>
    <row r="98" spans="1:13" ht="15">
      <c r="A98" s="66">
        <f t="shared" si="13"/>
        <v>76</v>
      </c>
      <c r="B98" s="231" t="str">
        <f t="shared" si="10"/>
        <v/>
      </c>
      <c r="C98" s="2171" t="str">
        <f t="shared" si="11"/>
        <v/>
      </c>
      <c r="D98" s="2172">
        <f t="shared" si="7"/>
        <v>0</v>
      </c>
      <c r="E98" s="2172">
        <f t="shared" si="8"/>
        <v>0</v>
      </c>
      <c r="F98" s="2172">
        <f t="shared" si="9"/>
        <v>0</v>
      </c>
      <c r="G98" s="2172" t="str">
        <f t="shared" si="12"/>
        <v/>
      </c>
      <c r="H98" s="1979"/>
      <c r="I98" s="2076"/>
      <c r="J98" s="1979"/>
      <c r="K98" s="1979"/>
      <c r="L98" s="1979"/>
      <c r="M98" s="1979"/>
    </row>
    <row r="99" spans="1:13" ht="15">
      <c r="A99" s="66">
        <f t="shared" si="13"/>
        <v>77</v>
      </c>
      <c r="B99" s="231" t="str">
        <f t="shared" si="10"/>
        <v/>
      </c>
      <c r="C99" s="2171" t="str">
        <f t="shared" si="11"/>
        <v/>
      </c>
      <c r="D99" s="2172">
        <f t="shared" si="7"/>
        <v>0</v>
      </c>
      <c r="E99" s="2172">
        <f t="shared" si="8"/>
        <v>0</v>
      </c>
      <c r="F99" s="2172">
        <f t="shared" si="9"/>
        <v>0</v>
      </c>
      <c r="G99" s="2172" t="str">
        <f t="shared" si="12"/>
        <v/>
      </c>
      <c r="H99" s="1979"/>
      <c r="I99" s="2076"/>
      <c r="J99" s="1979"/>
      <c r="K99" s="1979"/>
      <c r="L99" s="1979"/>
      <c r="M99" s="1979"/>
    </row>
    <row r="100" spans="1:13" ht="15">
      <c r="A100" s="66">
        <f t="shared" si="13"/>
        <v>78</v>
      </c>
      <c r="B100" s="231" t="str">
        <f t="shared" si="10"/>
        <v/>
      </c>
      <c r="C100" s="2171" t="str">
        <f t="shared" si="11"/>
        <v/>
      </c>
      <c r="D100" s="2172">
        <f t="shared" si="7"/>
        <v>0</v>
      </c>
      <c r="E100" s="2172">
        <f t="shared" si="8"/>
        <v>0</v>
      </c>
      <c r="F100" s="2172">
        <f t="shared" si="9"/>
        <v>0</v>
      </c>
      <c r="G100" s="2172" t="str">
        <f t="shared" si="12"/>
        <v/>
      </c>
      <c r="H100" s="1979"/>
      <c r="I100" s="2076"/>
      <c r="J100" s="1979"/>
      <c r="K100" s="1979"/>
      <c r="L100" s="1979"/>
      <c r="M100" s="1979"/>
    </row>
    <row r="101" spans="1:13" ht="15">
      <c r="A101" s="66">
        <f t="shared" si="13"/>
        <v>79</v>
      </c>
      <c r="B101" s="231" t="str">
        <f t="shared" si="10"/>
        <v/>
      </c>
      <c r="C101" s="2171" t="str">
        <f t="shared" si="11"/>
        <v/>
      </c>
      <c r="D101" s="2172">
        <f t="shared" si="7"/>
        <v>0</v>
      </c>
      <c r="E101" s="2172">
        <f t="shared" si="8"/>
        <v>0</v>
      </c>
      <c r="F101" s="2172">
        <f t="shared" si="9"/>
        <v>0</v>
      </c>
      <c r="G101" s="2172" t="str">
        <f t="shared" si="12"/>
        <v/>
      </c>
      <c r="H101" s="1979"/>
      <c r="I101" s="2076"/>
      <c r="J101" s="1979"/>
      <c r="K101" s="1979"/>
      <c r="L101" s="1979"/>
      <c r="M101" s="1979"/>
    </row>
    <row r="102" spans="1:13" ht="15">
      <c r="A102" s="66">
        <f t="shared" si="13"/>
        <v>80</v>
      </c>
      <c r="B102" s="231" t="str">
        <f t="shared" si="10"/>
        <v/>
      </c>
      <c r="C102" s="2171" t="str">
        <f t="shared" si="11"/>
        <v/>
      </c>
      <c r="D102" s="2172">
        <f t="shared" si="7"/>
        <v>0</v>
      </c>
      <c r="E102" s="2172">
        <f t="shared" si="8"/>
        <v>0</v>
      </c>
      <c r="F102" s="2172">
        <f t="shared" si="9"/>
        <v>0</v>
      </c>
      <c r="G102" s="2172" t="str">
        <f t="shared" si="12"/>
        <v/>
      </c>
      <c r="H102" s="1979"/>
      <c r="I102" s="2076"/>
      <c r="J102" s="1979"/>
      <c r="K102" s="1979"/>
      <c r="L102" s="1979"/>
      <c r="M102" s="1979"/>
    </row>
    <row r="103" spans="1:13" ht="15">
      <c r="A103" s="66">
        <f t="shared" si="13"/>
        <v>81</v>
      </c>
      <c r="B103" s="231" t="str">
        <f t="shared" si="10"/>
        <v/>
      </c>
      <c r="C103" s="2171" t="str">
        <f t="shared" si="11"/>
        <v/>
      </c>
      <c r="D103" s="2172">
        <f t="shared" si="7"/>
        <v>0</v>
      </c>
      <c r="E103" s="2172">
        <f t="shared" si="8"/>
        <v>0</v>
      </c>
      <c r="F103" s="2172">
        <f t="shared" si="9"/>
        <v>0</v>
      </c>
      <c r="G103" s="2172" t="str">
        <f t="shared" si="12"/>
        <v/>
      </c>
      <c r="H103" s="1979"/>
      <c r="I103" s="2076"/>
      <c r="J103" s="1979"/>
      <c r="K103" s="1979"/>
      <c r="L103" s="1979"/>
      <c r="M103" s="1979"/>
    </row>
    <row r="104" spans="1:13" ht="15">
      <c r="A104" s="66">
        <f t="shared" si="13"/>
        <v>82</v>
      </c>
      <c r="B104" s="231" t="str">
        <f t="shared" si="10"/>
        <v/>
      </c>
      <c r="C104" s="2171" t="str">
        <f t="shared" si="11"/>
        <v/>
      </c>
      <c r="D104" s="2172">
        <f t="shared" si="7"/>
        <v>0</v>
      </c>
      <c r="E104" s="2172">
        <f t="shared" si="8"/>
        <v>0</v>
      </c>
      <c r="F104" s="2172">
        <f t="shared" si="9"/>
        <v>0</v>
      </c>
      <c r="G104" s="2172" t="str">
        <f t="shared" si="12"/>
        <v/>
      </c>
      <c r="H104" s="1979"/>
      <c r="I104" s="2076"/>
      <c r="J104" s="1979"/>
      <c r="K104" s="1979"/>
      <c r="L104" s="1979"/>
      <c r="M104" s="1979"/>
    </row>
    <row r="105" spans="1:13" ht="15">
      <c r="A105" s="66">
        <f t="shared" si="13"/>
        <v>83</v>
      </c>
      <c r="B105" s="231" t="str">
        <f t="shared" si="10"/>
        <v/>
      </c>
      <c r="C105" s="2171" t="str">
        <f t="shared" si="11"/>
        <v/>
      </c>
      <c r="D105" s="2172">
        <f t="shared" si="7"/>
        <v>0</v>
      </c>
      <c r="E105" s="2172">
        <f t="shared" si="8"/>
        <v>0</v>
      </c>
      <c r="F105" s="2172">
        <f t="shared" si="9"/>
        <v>0</v>
      </c>
      <c r="G105" s="2172" t="str">
        <f t="shared" si="12"/>
        <v/>
      </c>
      <c r="H105" s="1979"/>
      <c r="I105" s="2076"/>
      <c r="J105" s="1979"/>
      <c r="K105" s="1979"/>
      <c r="L105" s="1979"/>
      <c r="M105" s="1979"/>
    </row>
    <row r="106" spans="1:13" ht="15">
      <c r="A106" s="66">
        <f t="shared" si="13"/>
        <v>84</v>
      </c>
      <c r="B106" s="231" t="str">
        <f t="shared" si="10"/>
        <v/>
      </c>
      <c r="C106" s="2171" t="str">
        <f t="shared" si="11"/>
        <v/>
      </c>
      <c r="D106" s="2172">
        <f t="shared" si="7"/>
        <v>0</v>
      </c>
      <c r="E106" s="2172">
        <f t="shared" si="8"/>
        <v>0</v>
      </c>
      <c r="F106" s="2172">
        <f t="shared" si="9"/>
        <v>0</v>
      </c>
      <c r="G106" s="2172" t="str">
        <f t="shared" si="12"/>
        <v/>
      </c>
      <c r="H106" s="1979"/>
      <c r="I106" s="2076"/>
      <c r="J106" s="1979"/>
      <c r="K106" s="1979"/>
      <c r="L106" s="1979"/>
      <c r="M106" s="1979"/>
    </row>
    <row r="107" spans="1:13" ht="15">
      <c r="A107" s="66">
        <f t="shared" si="13"/>
        <v>85</v>
      </c>
      <c r="B107" s="231" t="str">
        <f t="shared" si="10"/>
        <v/>
      </c>
      <c r="C107" s="2171" t="str">
        <f t="shared" si="11"/>
        <v/>
      </c>
      <c r="D107" s="2172">
        <f t="shared" si="7"/>
        <v>0</v>
      </c>
      <c r="E107" s="2172">
        <f t="shared" si="8"/>
        <v>0</v>
      </c>
      <c r="F107" s="2172">
        <f t="shared" si="9"/>
        <v>0</v>
      </c>
      <c r="G107" s="2172" t="str">
        <f t="shared" si="12"/>
        <v/>
      </c>
      <c r="H107" s="1979"/>
      <c r="I107" s="2076"/>
      <c r="J107" s="1979"/>
      <c r="K107" s="1979"/>
      <c r="L107" s="1979"/>
      <c r="M107" s="1979"/>
    </row>
    <row r="108" spans="1:13" ht="15">
      <c r="A108" s="66">
        <f t="shared" si="13"/>
        <v>86</v>
      </c>
      <c r="B108" s="231" t="str">
        <f t="shared" si="10"/>
        <v/>
      </c>
      <c r="C108" s="2171" t="str">
        <f t="shared" si="11"/>
        <v/>
      </c>
      <c r="D108" s="2172">
        <f t="shared" si="7"/>
        <v>0</v>
      </c>
      <c r="E108" s="2172">
        <f t="shared" si="8"/>
        <v>0</v>
      </c>
      <c r="F108" s="2172">
        <f t="shared" si="9"/>
        <v>0</v>
      </c>
      <c r="G108" s="2172" t="str">
        <f t="shared" si="12"/>
        <v/>
      </c>
      <c r="H108" s="1979"/>
      <c r="I108" s="2076"/>
      <c r="J108" s="1979"/>
      <c r="K108" s="1979"/>
      <c r="L108" s="1979"/>
      <c r="M108" s="1979"/>
    </row>
    <row r="109" spans="1:13" ht="15">
      <c r="A109" s="66">
        <f t="shared" si="13"/>
        <v>87</v>
      </c>
      <c r="B109" s="231" t="str">
        <f t="shared" si="10"/>
        <v/>
      </c>
      <c r="C109" s="2171" t="str">
        <f t="shared" si="11"/>
        <v/>
      </c>
      <c r="D109" s="2172">
        <f t="shared" si="7"/>
        <v>0</v>
      </c>
      <c r="E109" s="2172">
        <f t="shared" si="8"/>
        <v>0</v>
      </c>
      <c r="F109" s="2172">
        <f t="shared" si="9"/>
        <v>0</v>
      </c>
      <c r="G109" s="2172" t="str">
        <f t="shared" si="12"/>
        <v/>
      </c>
      <c r="H109" s="1979"/>
      <c r="I109" s="2076"/>
      <c r="J109" s="1979"/>
      <c r="K109" s="1979"/>
      <c r="L109" s="1979"/>
      <c r="M109" s="1979"/>
    </row>
    <row r="110" spans="1:13" ht="15">
      <c r="A110" s="66">
        <f t="shared" si="13"/>
        <v>88</v>
      </c>
      <c r="B110" s="231" t="str">
        <f t="shared" si="10"/>
        <v/>
      </c>
      <c r="C110" s="2171" t="str">
        <f t="shared" si="11"/>
        <v/>
      </c>
      <c r="D110" s="2172">
        <f t="shared" si="7"/>
        <v>0</v>
      </c>
      <c r="E110" s="2172">
        <f t="shared" si="8"/>
        <v>0</v>
      </c>
      <c r="F110" s="2172">
        <f t="shared" si="9"/>
        <v>0</v>
      </c>
      <c r="G110" s="2172" t="str">
        <f t="shared" si="12"/>
        <v/>
      </c>
      <c r="H110" s="1979"/>
      <c r="I110" s="2076"/>
      <c r="J110" s="1979"/>
      <c r="K110" s="1979"/>
      <c r="L110" s="1979"/>
      <c r="M110" s="1979"/>
    </row>
    <row r="111" spans="1:13" ht="15">
      <c r="A111" s="66">
        <f t="shared" si="13"/>
        <v>89</v>
      </c>
      <c r="B111" s="231" t="str">
        <f t="shared" si="10"/>
        <v/>
      </c>
      <c r="C111" s="2171" t="str">
        <f t="shared" si="11"/>
        <v/>
      </c>
      <c r="D111" s="2172">
        <f t="shared" si="7"/>
        <v>0</v>
      </c>
      <c r="E111" s="2172">
        <f t="shared" si="8"/>
        <v>0</v>
      </c>
      <c r="F111" s="2172">
        <f t="shared" si="9"/>
        <v>0</v>
      </c>
      <c r="G111" s="2172" t="str">
        <f t="shared" si="12"/>
        <v/>
      </c>
      <c r="H111" s="1979"/>
      <c r="I111" s="2076"/>
      <c r="J111" s="1979"/>
      <c r="K111" s="1979"/>
      <c r="L111" s="1979"/>
      <c r="M111" s="1979"/>
    </row>
    <row r="112" spans="1:13" ht="15">
      <c r="A112" s="66">
        <f t="shared" si="13"/>
        <v>90</v>
      </c>
      <c r="B112" s="231" t="str">
        <f t="shared" si="10"/>
        <v/>
      </c>
      <c r="C112" s="2171" t="str">
        <f t="shared" si="11"/>
        <v/>
      </c>
      <c r="D112" s="2172">
        <f t="shared" si="7"/>
        <v>0</v>
      </c>
      <c r="E112" s="2172">
        <f t="shared" si="8"/>
        <v>0</v>
      </c>
      <c r="F112" s="2172">
        <f t="shared" si="9"/>
        <v>0</v>
      </c>
      <c r="G112" s="2172" t="str">
        <f t="shared" si="12"/>
        <v/>
      </c>
      <c r="H112" s="1979"/>
      <c r="I112" s="2076"/>
      <c r="J112" s="1979"/>
      <c r="K112" s="1979"/>
      <c r="L112" s="1979"/>
      <c r="M112" s="1979"/>
    </row>
    <row r="113" spans="1:13" ht="15">
      <c r="A113" s="66">
        <f t="shared" si="13"/>
        <v>91</v>
      </c>
      <c r="B113" s="231" t="str">
        <f t="shared" si="10"/>
        <v/>
      </c>
      <c r="C113" s="2171" t="str">
        <f t="shared" si="11"/>
        <v/>
      </c>
      <c r="D113" s="2172">
        <f t="shared" si="7"/>
        <v>0</v>
      </c>
      <c r="E113" s="2172">
        <f t="shared" si="8"/>
        <v>0</v>
      </c>
      <c r="F113" s="2172">
        <f t="shared" si="9"/>
        <v>0</v>
      </c>
      <c r="G113" s="2172" t="str">
        <f t="shared" si="12"/>
        <v/>
      </c>
      <c r="H113" s="1979"/>
      <c r="I113" s="2076"/>
      <c r="J113" s="1979"/>
      <c r="K113" s="1979"/>
      <c r="L113" s="1979"/>
      <c r="M113" s="1979"/>
    </row>
    <row r="114" spans="1:13" ht="15">
      <c r="A114" s="66">
        <f t="shared" si="13"/>
        <v>92</v>
      </c>
      <c r="B114" s="231" t="str">
        <f t="shared" si="10"/>
        <v/>
      </c>
      <c r="C114" s="2171" t="str">
        <f t="shared" si="11"/>
        <v/>
      </c>
      <c r="D114" s="2172">
        <f t="shared" si="7"/>
        <v>0</v>
      </c>
      <c r="E114" s="2172">
        <f t="shared" si="8"/>
        <v>0</v>
      </c>
      <c r="F114" s="2172">
        <f t="shared" si="9"/>
        <v>0</v>
      </c>
      <c r="G114" s="2172" t="str">
        <f t="shared" si="12"/>
        <v/>
      </c>
      <c r="H114" s="1979"/>
      <c r="I114" s="2076"/>
      <c r="J114" s="1979"/>
      <c r="K114" s="1979"/>
      <c r="L114" s="1979"/>
      <c r="M114" s="1979"/>
    </row>
    <row r="115" spans="1:13" ht="15">
      <c r="A115" s="66">
        <f t="shared" si="13"/>
        <v>93</v>
      </c>
      <c r="B115" s="231" t="str">
        <f t="shared" si="10"/>
        <v/>
      </c>
      <c r="C115" s="2171" t="str">
        <f t="shared" si="11"/>
        <v/>
      </c>
      <c r="D115" s="2172">
        <f t="shared" si="7"/>
        <v>0</v>
      </c>
      <c r="E115" s="2172">
        <f t="shared" si="8"/>
        <v>0</v>
      </c>
      <c r="F115" s="2172">
        <f t="shared" si="9"/>
        <v>0</v>
      </c>
      <c r="G115" s="2172" t="str">
        <f t="shared" si="12"/>
        <v/>
      </c>
      <c r="H115" s="1979"/>
      <c r="I115" s="2076"/>
      <c r="J115" s="1979"/>
      <c r="K115" s="1979"/>
      <c r="L115" s="1979"/>
      <c r="M115" s="1979"/>
    </row>
    <row r="116" spans="1:13" ht="15">
      <c r="A116" s="66">
        <f t="shared" si="13"/>
        <v>94</v>
      </c>
      <c r="B116" s="231" t="str">
        <f t="shared" si="10"/>
        <v/>
      </c>
      <c r="C116" s="2171" t="str">
        <f t="shared" si="11"/>
        <v/>
      </c>
      <c r="D116" s="2172">
        <f t="shared" si="7"/>
        <v>0</v>
      </c>
      <c r="E116" s="2172">
        <f t="shared" si="8"/>
        <v>0</v>
      </c>
      <c r="F116" s="2172">
        <f t="shared" si="9"/>
        <v>0</v>
      </c>
      <c r="G116" s="2172" t="str">
        <f t="shared" si="12"/>
        <v/>
      </c>
      <c r="H116" s="1979"/>
      <c r="I116" s="2076"/>
      <c r="J116" s="1979"/>
      <c r="K116" s="1979"/>
      <c r="L116" s="1979"/>
      <c r="M116" s="1979"/>
    </row>
    <row r="117" spans="1:13" ht="15">
      <c r="A117" s="66">
        <f t="shared" si="13"/>
        <v>95</v>
      </c>
      <c r="B117" s="231" t="str">
        <f t="shared" si="10"/>
        <v/>
      </c>
      <c r="C117" s="2171" t="str">
        <f t="shared" si="11"/>
        <v/>
      </c>
      <c r="D117" s="2172">
        <f t="shared" si="7"/>
        <v>0</v>
      </c>
      <c r="E117" s="2172">
        <f t="shared" si="8"/>
        <v>0</v>
      </c>
      <c r="F117" s="2172">
        <f t="shared" si="9"/>
        <v>0</v>
      </c>
      <c r="G117" s="2172" t="str">
        <f t="shared" si="12"/>
        <v/>
      </c>
      <c r="H117" s="1979"/>
      <c r="I117" s="2076"/>
      <c r="J117" s="1979"/>
      <c r="K117" s="1979"/>
      <c r="L117" s="1979"/>
      <c r="M117" s="1979"/>
    </row>
    <row r="118" spans="1:13" ht="15">
      <c r="A118" s="66">
        <f t="shared" si="13"/>
        <v>96</v>
      </c>
      <c r="B118" s="231" t="str">
        <f t="shared" si="10"/>
        <v/>
      </c>
      <c r="C118" s="2171" t="str">
        <f t="shared" si="11"/>
        <v/>
      </c>
      <c r="D118" s="2172">
        <f t="shared" si="7"/>
        <v>0</v>
      </c>
      <c r="E118" s="2172">
        <f t="shared" si="8"/>
        <v>0</v>
      </c>
      <c r="F118" s="2172">
        <f t="shared" si="9"/>
        <v>0</v>
      </c>
      <c r="G118" s="2172" t="str">
        <f t="shared" si="12"/>
        <v/>
      </c>
      <c r="H118" s="1979"/>
      <c r="I118" s="2076"/>
      <c r="J118" s="1979"/>
      <c r="K118" s="1979"/>
      <c r="L118" s="1979"/>
      <c r="M118" s="1979"/>
    </row>
    <row r="119" spans="1:13" ht="15">
      <c r="A119" s="66">
        <f t="shared" si="13"/>
        <v>97</v>
      </c>
      <c r="B119" s="231" t="str">
        <f t="shared" si="10"/>
        <v/>
      </c>
      <c r="C119" s="2171" t="str">
        <f t="shared" si="11"/>
        <v/>
      </c>
      <c r="D119" s="2172">
        <f t="shared" si="7"/>
        <v>0</v>
      </c>
      <c r="E119" s="2172">
        <f t="shared" si="8"/>
        <v>0</v>
      </c>
      <c r="F119" s="2172">
        <f t="shared" si="9"/>
        <v>0</v>
      </c>
      <c r="G119" s="2172" t="str">
        <f t="shared" si="12"/>
        <v/>
      </c>
      <c r="H119" s="1979"/>
      <c r="I119" s="2076"/>
      <c r="J119" s="1979"/>
      <c r="K119" s="1979"/>
      <c r="L119" s="1979"/>
      <c r="M119" s="1979"/>
    </row>
    <row r="120" spans="1:13" ht="15">
      <c r="A120" s="66">
        <f t="shared" si="13"/>
        <v>98</v>
      </c>
      <c r="B120" s="231" t="str">
        <f t="shared" si="10"/>
        <v/>
      </c>
      <c r="C120" s="2171" t="str">
        <f t="shared" si="11"/>
        <v/>
      </c>
      <c r="D120" s="2172">
        <f t="shared" si="7"/>
        <v>0</v>
      </c>
      <c r="E120" s="2172">
        <f t="shared" si="8"/>
        <v>0</v>
      </c>
      <c r="F120" s="2172">
        <f t="shared" si="9"/>
        <v>0</v>
      </c>
      <c r="G120" s="2172" t="str">
        <f t="shared" si="12"/>
        <v/>
      </c>
      <c r="H120" s="1979"/>
      <c r="I120" s="2076"/>
      <c r="J120" s="1979"/>
      <c r="K120" s="1979"/>
      <c r="L120" s="1979"/>
      <c r="M120" s="1979"/>
    </row>
    <row r="121" spans="1:13" ht="15">
      <c r="A121" s="66">
        <f t="shared" si="13"/>
        <v>99</v>
      </c>
      <c r="B121" s="231" t="str">
        <f t="shared" si="10"/>
        <v/>
      </c>
      <c r="C121" s="2171" t="str">
        <f t="shared" si="11"/>
        <v/>
      </c>
      <c r="D121" s="2172">
        <f t="shared" si="7"/>
        <v>0</v>
      </c>
      <c r="E121" s="2172">
        <f t="shared" si="8"/>
        <v>0</v>
      </c>
      <c r="F121" s="2172">
        <f t="shared" si="9"/>
        <v>0</v>
      </c>
      <c r="G121" s="2172" t="str">
        <f t="shared" si="12"/>
        <v/>
      </c>
      <c r="H121" s="1979"/>
      <c r="I121" s="2076"/>
      <c r="J121" s="1979"/>
      <c r="K121" s="1979"/>
      <c r="L121" s="1979"/>
      <c r="M121" s="1979"/>
    </row>
    <row r="122" spans="1:13" ht="15">
      <c r="A122" s="66">
        <f t="shared" si="13"/>
        <v>100</v>
      </c>
      <c r="B122" s="231" t="str">
        <f t="shared" si="10"/>
        <v/>
      </c>
      <c r="C122" s="2171" t="str">
        <f t="shared" si="11"/>
        <v/>
      </c>
      <c r="D122" s="2172">
        <f t="shared" si="7"/>
        <v>0</v>
      </c>
      <c r="E122" s="2172">
        <f t="shared" si="8"/>
        <v>0</v>
      </c>
      <c r="F122" s="2172">
        <f t="shared" si="9"/>
        <v>0</v>
      </c>
      <c r="G122" s="2172" t="str">
        <f t="shared" si="12"/>
        <v/>
      </c>
      <c r="H122" s="1979"/>
      <c r="I122" s="2076"/>
      <c r="J122" s="1979"/>
      <c r="K122" s="1979"/>
      <c r="L122" s="1979"/>
      <c r="M122" s="1979"/>
    </row>
    <row r="123" spans="1:13" ht="15">
      <c r="A123" s="66">
        <f t="shared" si="13"/>
        <v>101</v>
      </c>
      <c r="B123" s="231" t="str">
        <f t="shared" si="10"/>
        <v/>
      </c>
      <c r="C123" s="2171" t="str">
        <f t="shared" si="11"/>
        <v/>
      </c>
      <c r="D123" s="2172">
        <f t="shared" si="7"/>
        <v>0</v>
      </c>
      <c r="E123" s="2172">
        <f t="shared" si="8"/>
        <v>0</v>
      </c>
      <c r="F123" s="2172">
        <f t="shared" si="9"/>
        <v>0</v>
      </c>
      <c r="G123" s="2172" t="str">
        <f t="shared" si="12"/>
        <v/>
      </c>
      <c r="H123" s="1979"/>
      <c r="I123" s="2076"/>
      <c r="J123" s="1979"/>
      <c r="K123" s="1979"/>
      <c r="L123" s="1979"/>
      <c r="M123" s="1979"/>
    </row>
    <row r="124" spans="1:13" ht="15">
      <c r="A124" s="66">
        <f t="shared" si="13"/>
        <v>102</v>
      </c>
      <c r="B124" s="231" t="str">
        <f t="shared" si="10"/>
        <v/>
      </c>
      <c r="C124" s="2171" t="str">
        <f t="shared" si="11"/>
        <v/>
      </c>
      <c r="D124" s="2172">
        <f t="shared" si="7"/>
        <v>0</v>
      </c>
      <c r="E124" s="2172">
        <f t="shared" si="8"/>
        <v>0</v>
      </c>
      <c r="F124" s="2172">
        <f t="shared" si="9"/>
        <v>0</v>
      </c>
      <c r="G124" s="2172" t="str">
        <f t="shared" si="12"/>
        <v/>
      </c>
      <c r="H124" s="1979"/>
      <c r="I124" s="2076"/>
      <c r="J124" s="1979"/>
      <c r="K124" s="1979"/>
      <c r="L124" s="1979"/>
      <c r="M124" s="1979"/>
    </row>
    <row r="125" spans="1:13" ht="15">
      <c r="A125" s="66">
        <f t="shared" si="13"/>
        <v>103</v>
      </c>
      <c r="B125" s="231" t="str">
        <f t="shared" si="10"/>
        <v/>
      </c>
      <c r="C125" s="2171" t="str">
        <f t="shared" si="11"/>
        <v/>
      </c>
      <c r="D125" s="2172">
        <f t="shared" si="7"/>
        <v>0</v>
      </c>
      <c r="E125" s="2172">
        <f t="shared" si="8"/>
        <v>0</v>
      </c>
      <c r="F125" s="2172">
        <f t="shared" si="9"/>
        <v>0</v>
      </c>
      <c r="G125" s="2172" t="str">
        <f t="shared" si="12"/>
        <v/>
      </c>
      <c r="H125" s="1979"/>
      <c r="I125" s="2076"/>
      <c r="J125" s="1979"/>
      <c r="K125" s="1979"/>
      <c r="L125" s="1979"/>
      <c r="M125" s="1979"/>
    </row>
    <row r="126" spans="1:13" ht="15">
      <c r="A126" s="66">
        <f t="shared" si="13"/>
        <v>104</v>
      </c>
      <c r="B126" s="231" t="str">
        <f t="shared" si="10"/>
        <v/>
      </c>
      <c r="C126" s="2171" t="str">
        <f t="shared" si="11"/>
        <v/>
      </c>
      <c r="D126" s="2172">
        <f t="shared" si="7"/>
        <v>0</v>
      </c>
      <c r="E126" s="2172">
        <f t="shared" si="8"/>
        <v>0</v>
      </c>
      <c r="F126" s="2172">
        <f t="shared" si="9"/>
        <v>0</v>
      </c>
      <c r="G126" s="2172" t="str">
        <f t="shared" si="12"/>
        <v/>
      </c>
      <c r="H126" s="1979"/>
      <c r="I126" s="2076"/>
      <c r="J126" s="1979"/>
      <c r="K126" s="1979"/>
      <c r="L126" s="1979"/>
      <c r="M126" s="1979"/>
    </row>
    <row r="127" spans="1:13" ht="15">
      <c r="A127" s="66">
        <f t="shared" si="13"/>
        <v>105</v>
      </c>
      <c r="B127" s="231" t="str">
        <f t="shared" si="10"/>
        <v/>
      </c>
      <c r="C127" s="2171" t="str">
        <f t="shared" si="11"/>
        <v/>
      </c>
      <c r="D127" s="2172">
        <f t="shared" si="7"/>
        <v>0</v>
      </c>
      <c r="E127" s="2172">
        <f t="shared" si="8"/>
        <v>0</v>
      </c>
      <c r="F127" s="2172">
        <f t="shared" si="9"/>
        <v>0</v>
      </c>
      <c r="G127" s="2172" t="str">
        <f t="shared" si="12"/>
        <v/>
      </c>
      <c r="H127" s="1979"/>
      <c r="I127" s="2076"/>
      <c r="J127" s="1979"/>
      <c r="K127" s="1979"/>
      <c r="L127" s="1979"/>
      <c r="M127" s="1979"/>
    </row>
    <row r="128" spans="1:13" ht="15">
      <c r="A128" s="66">
        <f t="shared" si="13"/>
        <v>106</v>
      </c>
      <c r="B128" s="231" t="str">
        <f t="shared" si="10"/>
        <v/>
      </c>
      <c r="C128" s="2171" t="str">
        <f t="shared" si="11"/>
        <v/>
      </c>
      <c r="D128" s="2172">
        <f t="shared" si="7"/>
        <v>0</v>
      </c>
      <c r="E128" s="2172">
        <f t="shared" si="8"/>
        <v>0</v>
      </c>
      <c r="F128" s="2172">
        <f t="shared" si="9"/>
        <v>0</v>
      </c>
      <c r="G128" s="2172" t="str">
        <f t="shared" si="12"/>
        <v/>
      </c>
      <c r="H128" s="1979"/>
      <c r="I128" s="2076"/>
      <c r="J128" s="1979"/>
      <c r="K128" s="1979"/>
      <c r="L128" s="1979"/>
      <c r="M128" s="1979"/>
    </row>
    <row r="129" spans="1:13" ht="15">
      <c r="A129" s="66">
        <f t="shared" si="13"/>
        <v>107</v>
      </c>
      <c r="B129" s="231" t="str">
        <f t="shared" si="10"/>
        <v/>
      </c>
      <c r="C129" s="2171" t="str">
        <f t="shared" si="11"/>
        <v/>
      </c>
      <c r="D129" s="2172">
        <f t="shared" si="7"/>
        <v>0</v>
      </c>
      <c r="E129" s="2172">
        <f t="shared" si="8"/>
        <v>0</v>
      </c>
      <c r="F129" s="2172">
        <f t="shared" si="9"/>
        <v>0</v>
      </c>
      <c r="G129" s="2172" t="str">
        <f t="shared" si="12"/>
        <v/>
      </c>
      <c r="H129" s="1979"/>
      <c r="I129" s="2076"/>
      <c r="J129" s="1979"/>
      <c r="K129" s="1979"/>
      <c r="L129" s="1979"/>
      <c r="M129" s="1979"/>
    </row>
    <row r="130" spans="1:13" ht="15">
      <c r="A130" s="66">
        <f t="shared" si="13"/>
        <v>108</v>
      </c>
      <c r="B130" s="231" t="str">
        <f t="shared" si="10"/>
        <v/>
      </c>
      <c r="C130" s="2171" t="str">
        <f t="shared" si="11"/>
        <v/>
      </c>
      <c r="D130" s="2172">
        <f t="shared" si="7"/>
        <v>0</v>
      </c>
      <c r="E130" s="2172">
        <f t="shared" si="8"/>
        <v>0</v>
      </c>
      <c r="F130" s="2172">
        <f t="shared" si="9"/>
        <v>0</v>
      </c>
      <c r="G130" s="2172" t="str">
        <f t="shared" si="12"/>
        <v/>
      </c>
      <c r="H130" s="1979"/>
      <c r="I130" s="2076"/>
      <c r="J130" s="1979"/>
      <c r="K130" s="1979"/>
      <c r="L130" s="1979"/>
      <c r="M130" s="1979"/>
    </row>
    <row r="131" spans="1:13" ht="15">
      <c r="A131" s="66">
        <f t="shared" si="13"/>
        <v>109</v>
      </c>
      <c r="B131" s="231" t="str">
        <f t="shared" si="10"/>
        <v/>
      </c>
      <c r="C131" s="2171" t="str">
        <f t="shared" si="11"/>
        <v/>
      </c>
      <c r="D131" s="2172">
        <f t="shared" si="7"/>
        <v>0</v>
      </c>
      <c r="E131" s="2172">
        <f t="shared" si="8"/>
        <v>0</v>
      </c>
      <c r="F131" s="2172">
        <f t="shared" si="9"/>
        <v>0</v>
      </c>
      <c r="G131" s="2172" t="str">
        <f t="shared" si="12"/>
        <v/>
      </c>
      <c r="H131" s="1979"/>
      <c r="I131" s="2076"/>
      <c r="J131" s="1979"/>
      <c r="K131" s="1979"/>
      <c r="L131" s="1979"/>
      <c r="M131" s="1979"/>
    </row>
    <row r="132" spans="1:13" ht="15">
      <c r="A132" s="66">
        <f t="shared" si="13"/>
        <v>110</v>
      </c>
      <c r="B132" s="231" t="str">
        <f t="shared" si="10"/>
        <v/>
      </c>
      <c r="C132" s="2171" t="str">
        <f t="shared" si="11"/>
        <v/>
      </c>
      <c r="D132" s="2172">
        <f t="shared" si="7"/>
        <v>0</v>
      </c>
      <c r="E132" s="2172">
        <f t="shared" si="8"/>
        <v>0</v>
      </c>
      <c r="F132" s="2172">
        <f t="shared" si="9"/>
        <v>0</v>
      </c>
      <c r="G132" s="2172" t="str">
        <f t="shared" si="12"/>
        <v/>
      </c>
      <c r="H132" s="1979"/>
      <c r="I132" s="2076"/>
      <c r="J132" s="1979"/>
      <c r="K132" s="1979"/>
      <c r="L132" s="1979"/>
      <c r="M132" s="1979"/>
    </row>
    <row r="133" spans="1:13" ht="15">
      <c r="A133" s="66">
        <f t="shared" si="13"/>
        <v>111</v>
      </c>
      <c r="B133" s="231" t="str">
        <f t="shared" si="10"/>
        <v/>
      </c>
      <c r="C133" s="2171" t="str">
        <f t="shared" si="11"/>
        <v/>
      </c>
      <c r="D133" s="2172">
        <f t="shared" si="7"/>
        <v>0</v>
      </c>
      <c r="E133" s="2172">
        <f t="shared" si="8"/>
        <v>0</v>
      </c>
      <c r="F133" s="2172">
        <f t="shared" si="9"/>
        <v>0</v>
      </c>
      <c r="G133" s="2172" t="str">
        <f t="shared" si="12"/>
        <v/>
      </c>
      <c r="H133" s="1979"/>
      <c r="I133" s="2076"/>
      <c r="J133" s="1979"/>
      <c r="K133" s="1979"/>
      <c r="L133" s="1979"/>
      <c r="M133" s="1979"/>
    </row>
    <row r="134" spans="1:13" ht="15">
      <c r="A134" s="66">
        <f t="shared" si="13"/>
        <v>112</v>
      </c>
      <c r="B134" s="231" t="str">
        <f t="shared" si="10"/>
        <v/>
      </c>
      <c r="C134" s="2171" t="str">
        <f t="shared" si="11"/>
        <v/>
      </c>
      <c r="D134" s="2172">
        <f t="shared" si="7"/>
        <v>0</v>
      </c>
      <c r="E134" s="2172">
        <f t="shared" si="8"/>
        <v>0</v>
      </c>
      <c r="F134" s="2172">
        <f t="shared" si="9"/>
        <v>0</v>
      </c>
      <c r="G134" s="2172" t="str">
        <f t="shared" si="12"/>
        <v/>
      </c>
      <c r="H134" s="1979"/>
      <c r="I134" s="2076"/>
      <c r="J134" s="1979"/>
      <c r="K134" s="1979"/>
      <c r="L134" s="1979"/>
      <c r="M134" s="1979"/>
    </row>
    <row r="135" spans="1:13" ht="15">
      <c r="A135" s="66">
        <f t="shared" si="13"/>
        <v>113</v>
      </c>
      <c r="B135" s="231" t="str">
        <f t="shared" si="10"/>
        <v/>
      </c>
      <c r="C135" s="2171" t="str">
        <f t="shared" si="11"/>
        <v/>
      </c>
      <c r="D135" s="2172">
        <f t="shared" si="7"/>
        <v>0</v>
      </c>
      <c r="E135" s="2172">
        <f t="shared" si="8"/>
        <v>0</v>
      </c>
      <c r="F135" s="2172">
        <f t="shared" si="9"/>
        <v>0</v>
      </c>
      <c r="G135" s="2172" t="str">
        <f t="shared" si="12"/>
        <v/>
      </c>
      <c r="H135" s="1979"/>
      <c r="I135" s="2076"/>
      <c r="J135" s="1979"/>
      <c r="K135" s="1979"/>
      <c r="L135" s="1979"/>
      <c r="M135" s="1979"/>
    </row>
    <row r="136" spans="1:13" ht="15">
      <c r="A136" s="66">
        <f t="shared" si="13"/>
        <v>114</v>
      </c>
      <c r="B136" s="231" t="str">
        <f t="shared" si="10"/>
        <v/>
      </c>
      <c r="C136" s="2171" t="str">
        <f t="shared" si="11"/>
        <v/>
      </c>
      <c r="D136" s="2172">
        <f t="shared" si="7"/>
        <v>0</v>
      </c>
      <c r="E136" s="2172">
        <f t="shared" si="8"/>
        <v>0</v>
      </c>
      <c r="F136" s="2172">
        <f t="shared" si="9"/>
        <v>0</v>
      </c>
      <c r="G136" s="2172" t="str">
        <f t="shared" si="12"/>
        <v/>
      </c>
      <c r="H136" s="1979"/>
      <c r="I136" s="2076"/>
      <c r="J136" s="1979"/>
      <c r="K136" s="1979"/>
      <c r="L136" s="1979"/>
      <c r="M136" s="1979"/>
    </row>
    <row r="137" spans="1:13" ht="15">
      <c r="A137" s="66">
        <f t="shared" si="13"/>
        <v>115</v>
      </c>
      <c r="B137" s="231" t="str">
        <f t="shared" si="10"/>
        <v/>
      </c>
      <c r="C137" s="2171" t="str">
        <f t="shared" si="11"/>
        <v/>
      </c>
      <c r="D137" s="2172">
        <f t="shared" si="7"/>
        <v>0</v>
      </c>
      <c r="E137" s="2172">
        <f t="shared" si="8"/>
        <v>0</v>
      </c>
      <c r="F137" s="2172">
        <f t="shared" si="9"/>
        <v>0</v>
      </c>
      <c r="G137" s="2172" t="str">
        <f t="shared" si="12"/>
        <v/>
      </c>
      <c r="H137" s="1979"/>
      <c r="I137" s="2076"/>
      <c r="J137" s="1979"/>
      <c r="K137" s="1979"/>
      <c r="L137" s="1979"/>
      <c r="M137" s="1979"/>
    </row>
    <row r="138" spans="1:13" ht="15">
      <c r="A138" s="66">
        <f t="shared" si="13"/>
        <v>116</v>
      </c>
      <c r="B138" s="231" t="str">
        <f t="shared" si="10"/>
        <v/>
      </c>
      <c r="C138" s="2171" t="str">
        <f t="shared" si="11"/>
        <v/>
      </c>
      <c r="D138" s="2172">
        <f t="shared" si="7"/>
        <v>0</v>
      </c>
      <c r="E138" s="2172">
        <f t="shared" si="8"/>
        <v>0</v>
      </c>
      <c r="F138" s="2172">
        <f t="shared" si="9"/>
        <v>0</v>
      </c>
      <c r="G138" s="2172" t="str">
        <f t="shared" si="12"/>
        <v/>
      </c>
      <c r="H138" s="1979"/>
      <c r="I138" s="2076"/>
      <c r="J138" s="1979"/>
      <c r="K138" s="1979"/>
      <c r="L138" s="1979"/>
      <c r="M138" s="1979"/>
    </row>
    <row r="139" spans="1:13" ht="15">
      <c r="A139" s="66">
        <f t="shared" si="13"/>
        <v>117</v>
      </c>
      <c r="B139" s="231" t="str">
        <f t="shared" si="10"/>
        <v/>
      </c>
      <c r="C139" s="2171" t="str">
        <f t="shared" si="11"/>
        <v/>
      </c>
      <c r="D139" s="2172">
        <f t="shared" si="7"/>
        <v>0</v>
      </c>
      <c r="E139" s="2172">
        <f t="shared" si="8"/>
        <v>0</v>
      </c>
      <c r="F139" s="2172">
        <f t="shared" si="9"/>
        <v>0</v>
      </c>
      <c r="G139" s="2172" t="str">
        <f t="shared" si="12"/>
        <v/>
      </c>
      <c r="H139" s="1979"/>
      <c r="I139" s="2076"/>
      <c r="J139" s="1979"/>
      <c r="K139" s="1979"/>
      <c r="L139" s="1979"/>
      <c r="M139" s="1979"/>
    </row>
    <row r="140" spans="1:13" ht="15">
      <c r="A140" s="66">
        <f t="shared" si="13"/>
        <v>118</v>
      </c>
      <c r="B140" s="231" t="str">
        <f t="shared" si="10"/>
        <v/>
      </c>
      <c r="C140" s="2171" t="str">
        <f t="shared" si="11"/>
        <v/>
      </c>
      <c r="D140" s="2172">
        <f t="shared" si="7"/>
        <v>0</v>
      </c>
      <c r="E140" s="2172">
        <f t="shared" si="8"/>
        <v>0</v>
      </c>
      <c r="F140" s="2172">
        <f t="shared" si="9"/>
        <v>0</v>
      </c>
      <c r="G140" s="2172" t="str">
        <f t="shared" si="12"/>
        <v/>
      </c>
      <c r="H140" s="1979"/>
      <c r="I140" s="2076"/>
      <c r="J140" s="1979"/>
      <c r="K140" s="1979"/>
      <c r="L140" s="1979"/>
      <c r="M140" s="1979"/>
    </row>
    <row r="141" spans="1:13" ht="15">
      <c r="A141" s="66">
        <f t="shared" si="13"/>
        <v>119</v>
      </c>
      <c r="B141" s="231" t="str">
        <f t="shared" si="10"/>
        <v/>
      </c>
      <c r="C141" s="2171" t="str">
        <f t="shared" si="11"/>
        <v/>
      </c>
      <c r="D141" s="2172">
        <f t="shared" si="7"/>
        <v>0</v>
      </c>
      <c r="E141" s="2172">
        <f t="shared" si="8"/>
        <v>0</v>
      </c>
      <c r="F141" s="2172">
        <f t="shared" si="9"/>
        <v>0</v>
      </c>
      <c r="G141" s="2172" t="str">
        <f t="shared" si="12"/>
        <v/>
      </c>
      <c r="H141" s="1979"/>
      <c r="I141" s="2076"/>
      <c r="J141" s="1979"/>
      <c r="K141" s="1979"/>
      <c r="L141" s="1979"/>
      <c r="M141" s="1979"/>
    </row>
    <row r="142" spans="1:13" ht="15">
      <c r="A142" s="66">
        <f t="shared" si="13"/>
        <v>120</v>
      </c>
      <c r="B142" s="231" t="str">
        <f t="shared" si="10"/>
        <v/>
      </c>
      <c r="C142" s="2171" t="str">
        <f t="shared" si="11"/>
        <v/>
      </c>
      <c r="D142" s="2172">
        <f t="shared" si="7"/>
        <v>0</v>
      </c>
      <c r="E142" s="2172">
        <f t="shared" si="8"/>
        <v>0</v>
      </c>
      <c r="F142" s="2172">
        <f t="shared" si="9"/>
        <v>0</v>
      </c>
      <c r="G142" s="2172" t="str">
        <f t="shared" si="12"/>
        <v/>
      </c>
      <c r="H142" s="1979"/>
      <c r="I142" s="2076"/>
      <c r="J142" s="1979"/>
      <c r="K142" s="1979"/>
      <c r="L142" s="1979"/>
      <c r="M142" s="1979"/>
    </row>
    <row r="143" spans="1:13" outlineLevel="1">
      <c r="A143" s="66">
        <f t="shared" ref="A143:A148" si="14">A142+1</f>
        <v>121</v>
      </c>
      <c r="B143" s="231" t="str">
        <f t="shared" si="10"/>
        <v/>
      </c>
      <c r="C143" s="2171" t="str">
        <f t="shared" si="11"/>
        <v/>
      </c>
      <c r="D143" s="2172">
        <f t="shared" si="7"/>
        <v>0</v>
      </c>
      <c r="E143" s="2172">
        <f t="shared" si="8"/>
        <v>0</v>
      </c>
      <c r="F143" s="2172">
        <f t="shared" si="9"/>
        <v>0</v>
      </c>
      <c r="G143" s="2172" t="str">
        <f t="shared" si="12"/>
        <v/>
      </c>
      <c r="H143" s="1979"/>
      <c r="I143" s="1979"/>
      <c r="J143" s="1979"/>
      <c r="K143" s="1979"/>
      <c r="L143" s="1979"/>
      <c r="M143" s="1979"/>
    </row>
    <row r="144" spans="1:13" outlineLevel="1">
      <c r="A144" s="66">
        <f t="shared" si="14"/>
        <v>122</v>
      </c>
      <c r="B144" s="231" t="str">
        <f t="shared" si="10"/>
        <v/>
      </c>
      <c r="C144" s="2171" t="str">
        <f t="shared" si="11"/>
        <v/>
      </c>
      <c r="D144" s="2172">
        <f t="shared" si="7"/>
        <v>0</v>
      </c>
      <c r="E144" s="2172">
        <f t="shared" si="8"/>
        <v>0</v>
      </c>
      <c r="F144" s="2172">
        <f t="shared" si="9"/>
        <v>0</v>
      </c>
      <c r="G144" s="2172"/>
      <c r="H144" s="1979"/>
      <c r="I144" s="1979"/>
      <c r="J144" s="1979"/>
      <c r="K144" s="1979"/>
      <c r="L144" s="1979"/>
      <c r="M144" s="1979"/>
    </row>
    <row r="145" spans="1:64" outlineLevel="1">
      <c r="A145" s="66">
        <f t="shared" si="14"/>
        <v>123</v>
      </c>
      <c r="B145" s="231" t="str">
        <f t="shared" si="10"/>
        <v/>
      </c>
      <c r="C145" s="2171" t="str">
        <f t="shared" si="11"/>
        <v/>
      </c>
      <c r="D145" s="2172">
        <f t="shared" si="7"/>
        <v>0</v>
      </c>
      <c r="E145" s="2172">
        <f t="shared" si="8"/>
        <v>0</v>
      </c>
      <c r="F145" s="2172">
        <f t="shared" si="9"/>
        <v>0</v>
      </c>
      <c r="G145" s="2172"/>
      <c r="H145" s="1979"/>
      <c r="I145" s="1979"/>
      <c r="J145" s="1979"/>
      <c r="K145" s="1979"/>
      <c r="L145" s="1979"/>
      <c r="M145" s="1979"/>
    </row>
    <row r="146" spans="1:64" outlineLevel="1">
      <c r="A146" s="66">
        <f t="shared" si="14"/>
        <v>124</v>
      </c>
      <c r="B146" s="231" t="str">
        <f t="shared" si="10"/>
        <v/>
      </c>
      <c r="C146" s="2171" t="str">
        <f t="shared" si="11"/>
        <v/>
      </c>
      <c r="D146" s="2172">
        <f t="shared" si="7"/>
        <v>0</v>
      </c>
      <c r="E146" s="2172">
        <f t="shared" si="8"/>
        <v>0</v>
      </c>
      <c r="F146" s="2172">
        <f t="shared" si="9"/>
        <v>0</v>
      </c>
      <c r="G146" s="2172" t="str">
        <f t="shared" si="12"/>
        <v/>
      </c>
      <c r="H146" s="1979"/>
      <c r="I146" s="1979"/>
      <c r="J146" s="1979"/>
      <c r="K146" s="1979"/>
      <c r="L146" s="1979"/>
      <c r="M146" s="1979"/>
    </row>
    <row r="147" spans="1:64" outlineLevel="1">
      <c r="A147" s="66">
        <f t="shared" si="14"/>
        <v>125</v>
      </c>
      <c r="B147" s="231" t="str">
        <f t="shared" si="10"/>
        <v/>
      </c>
      <c r="C147" s="2171" t="str">
        <f t="shared" si="11"/>
        <v/>
      </c>
      <c r="D147" s="2172">
        <f t="shared" si="7"/>
        <v>0</v>
      </c>
      <c r="E147" s="2172">
        <f t="shared" si="8"/>
        <v>0</v>
      </c>
      <c r="F147" s="2172">
        <f t="shared" si="9"/>
        <v>0</v>
      </c>
      <c r="G147" s="2172" t="str">
        <f t="shared" si="12"/>
        <v/>
      </c>
      <c r="H147" s="1979"/>
      <c r="I147" s="1979"/>
      <c r="J147" s="1979"/>
      <c r="K147" s="1979"/>
      <c r="L147" s="1979"/>
      <c r="M147" s="1979"/>
    </row>
    <row r="148" spans="1:64" outlineLevel="1">
      <c r="A148" s="66">
        <f t="shared" si="14"/>
        <v>126</v>
      </c>
      <c r="B148" s="231" t="str">
        <f t="shared" si="10"/>
        <v/>
      </c>
      <c r="C148" s="2171" t="str">
        <f t="shared" si="11"/>
        <v/>
      </c>
      <c r="D148" s="2172">
        <f t="shared" si="7"/>
        <v>0</v>
      </c>
      <c r="E148" s="2172">
        <f t="shared" si="8"/>
        <v>0</v>
      </c>
      <c r="F148" s="2172">
        <f t="shared" si="9"/>
        <v>0</v>
      </c>
      <c r="G148" s="2172" t="str">
        <f t="shared" si="12"/>
        <v/>
      </c>
      <c r="H148" s="1979"/>
      <c r="I148" s="1979"/>
      <c r="J148" s="1979"/>
      <c r="K148" s="1979"/>
      <c r="L148" s="1979"/>
      <c r="M148" s="1979"/>
    </row>
    <row r="149" spans="1:64">
      <c r="D149" s="987"/>
      <c r="H149" s="1979"/>
      <c r="I149" s="1979"/>
      <c r="J149" s="1979"/>
      <c r="K149" s="1979"/>
      <c r="L149" s="1979"/>
      <c r="M149" s="1979"/>
    </row>
    <row r="150" spans="1:64" ht="23.25" outlineLevel="1">
      <c r="A150" s="2173" t="s">
        <v>2301</v>
      </c>
      <c r="B150" s="2174"/>
      <c r="C150" s="2175"/>
      <c r="D150" s="2176" t="s">
        <v>2302</v>
      </c>
      <c r="E150" s="2177"/>
      <c r="F150" s="2177"/>
      <c r="G150" s="2177"/>
      <c r="H150" s="1979"/>
      <c r="I150" s="1979"/>
      <c r="J150" s="1979"/>
      <c r="K150" s="1979"/>
      <c r="L150" s="1979"/>
      <c r="M150" s="1979"/>
    </row>
    <row r="151" spans="1:64" s="2174" customFormat="1" outlineLevel="1">
      <c r="A151" s="2174" t="s">
        <v>2303</v>
      </c>
      <c r="C151" s="2175"/>
      <c r="D151" s="2178"/>
      <c r="E151" s="2177">
        <f>SUM(E22:E150)</f>
        <v>79856344</v>
      </c>
      <c r="F151" s="2177"/>
      <c r="G151" s="2177"/>
      <c r="H151" s="1979"/>
      <c r="I151" s="1979"/>
      <c r="J151" s="1979"/>
      <c r="K151" s="1979"/>
      <c r="L151" s="1979"/>
      <c r="M151" s="1979"/>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row>
    <row r="152" spans="1:64" s="2174" customFormat="1" outlineLevel="1">
      <c r="A152" s="2174" t="s">
        <v>2304</v>
      </c>
      <c r="C152" s="2175"/>
      <c r="D152" s="2178"/>
      <c r="E152" s="2177">
        <f>+C13</f>
        <v>79856344</v>
      </c>
      <c r="F152" s="2177"/>
      <c r="G152" s="2177"/>
      <c r="H152" s="1979"/>
      <c r="I152" s="1979"/>
      <c r="J152" s="1979"/>
      <c r="K152" s="1979"/>
      <c r="L152" s="1979"/>
      <c r="M152" s="1979"/>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row>
    <row r="153" spans="1:64" s="2174" customFormat="1" outlineLevel="1">
      <c r="A153" s="2175" t="s">
        <v>439</v>
      </c>
      <c r="C153" s="2175"/>
      <c r="D153" s="2178"/>
      <c r="E153" s="2177">
        <f>E152-E151</f>
        <v>0</v>
      </c>
      <c r="F153" s="2177"/>
      <c r="G153" s="2177"/>
      <c r="H153" s="1979"/>
      <c r="I153" s="1979"/>
      <c r="J153" s="1979"/>
      <c r="K153" s="1979"/>
      <c r="L153" s="1979"/>
      <c r="M153" s="1979"/>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row>
    <row r="154" spans="1:64">
      <c r="D154" s="987"/>
      <c r="H154" s="1979"/>
      <c r="I154" s="1979"/>
      <c r="J154" s="1979"/>
      <c r="K154" s="1979"/>
      <c r="L154" s="1979"/>
      <c r="M154" s="1979"/>
    </row>
    <row r="155" spans="1:64">
      <c r="D155" s="987"/>
      <c r="H155" s="1979"/>
      <c r="I155" s="1979"/>
      <c r="J155" s="1979"/>
      <c r="K155" s="1979"/>
      <c r="L155" s="1979"/>
      <c r="M155" s="1979"/>
    </row>
    <row r="156" spans="1:64">
      <c r="D156" s="987"/>
      <c r="H156" s="1979"/>
      <c r="I156" s="1979"/>
      <c r="J156" s="1979"/>
      <c r="K156" s="1979"/>
      <c r="L156" s="1979"/>
      <c r="M156" s="1979"/>
    </row>
    <row r="157" spans="1:64">
      <c r="D157" s="987"/>
      <c r="H157" s="1979"/>
      <c r="I157" s="1979"/>
      <c r="J157" s="1979"/>
      <c r="K157" s="1979"/>
      <c r="L157" s="1979"/>
      <c r="M157" s="1979"/>
    </row>
    <row r="158" spans="1:64">
      <c r="A158" s="2179" t="s">
        <v>2319</v>
      </c>
      <c r="B158" s="2180">
        <f>SUM(D22:D148)</f>
        <v>0</v>
      </c>
      <c r="D158" s="987"/>
      <c r="H158" s="1979"/>
      <c r="I158" s="1979"/>
      <c r="J158" s="1979"/>
      <c r="K158" s="1979"/>
      <c r="L158" s="1979"/>
      <c r="M158" s="1979"/>
    </row>
    <row r="159" spans="1:64">
      <c r="A159" s="2181" t="s">
        <v>2308</v>
      </c>
      <c r="B159" s="2182">
        <f>E142</f>
        <v>0</v>
      </c>
      <c r="D159" s="987"/>
      <c r="H159" s="1979"/>
      <c r="I159" s="1979"/>
      <c r="J159" s="1979"/>
      <c r="K159" s="1979"/>
      <c r="L159" s="1979"/>
      <c r="M159" s="1979"/>
    </row>
    <row r="160" spans="1:64">
      <c r="D160" s="987"/>
    </row>
    <row r="161" spans="1:64">
      <c r="D161" s="987"/>
    </row>
    <row r="162" spans="1:64">
      <c r="D162" s="987"/>
    </row>
    <row r="163" spans="1:64">
      <c r="D163" s="987"/>
    </row>
    <row r="164" spans="1:64">
      <c r="D164" s="987"/>
    </row>
    <row r="165" spans="1:64">
      <c r="D165" s="987"/>
    </row>
    <row r="166" spans="1:64">
      <c r="D166" s="987"/>
    </row>
    <row r="167" spans="1:64">
      <c r="D167" s="987"/>
    </row>
    <row r="168" spans="1:64">
      <c r="D168" s="987"/>
    </row>
    <row r="169" spans="1:64">
      <c r="D169" s="987"/>
    </row>
    <row r="170" spans="1:64">
      <c r="D170" s="987"/>
    </row>
    <row r="171" spans="1:64">
      <c r="D171" s="987"/>
    </row>
    <row r="172" spans="1:64">
      <c r="D172" s="987"/>
    </row>
    <row r="173" spans="1:64" s="65" customFormat="1">
      <c r="A173" s="66"/>
      <c r="B173" s="3"/>
      <c r="C173" s="66"/>
      <c r="D173" s="987"/>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row>
    <row r="174" spans="1:64" s="65" customFormat="1">
      <c r="A174" s="66"/>
      <c r="B174" s="3"/>
      <c r="C174" s="66"/>
      <c r="D174" s="987"/>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row>
    <row r="175" spans="1:64" s="65" customFormat="1">
      <c r="A175" s="66"/>
      <c r="B175" s="3"/>
      <c r="C175" s="66"/>
      <c r="D175" s="987"/>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row>
    <row r="176" spans="1:64" s="65" customFormat="1">
      <c r="A176" s="66"/>
      <c r="B176" s="3"/>
      <c r="C176" s="66"/>
      <c r="D176" s="987"/>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row>
    <row r="177" spans="1:64" s="65" customFormat="1">
      <c r="A177" s="66"/>
      <c r="B177" s="3"/>
      <c r="C177" s="66"/>
      <c r="D177" s="987"/>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row>
    <row r="178" spans="1:64" s="65" customFormat="1">
      <c r="A178" s="66"/>
      <c r="B178" s="3"/>
      <c r="C178" s="66"/>
      <c r="D178" s="987"/>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row>
    <row r="179" spans="1:64" s="65" customFormat="1">
      <c r="A179" s="66"/>
      <c r="B179" s="3"/>
      <c r="C179" s="66"/>
      <c r="D179" s="987"/>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row>
    <row r="180" spans="1:64" s="65" customFormat="1">
      <c r="A180" s="66"/>
      <c r="B180" s="3"/>
      <c r="C180" s="66"/>
      <c r="D180" s="987"/>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row>
    <row r="181" spans="1:64" s="65" customFormat="1">
      <c r="A181" s="66"/>
      <c r="B181" s="3"/>
      <c r="C181" s="66"/>
      <c r="D181" s="987"/>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row>
    <row r="182" spans="1:64" s="65" customFormat="1">
      <c r="A182" s="66"/>
      <c r="B182" s="3"/>
      <c r="C182" s="66"/>
      <c r="D182" s="987"/>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row>
    <row r="183" spans="1:64" s="65" customFormat="1">
      <c r="A183" s="66"/>
      <c r="B183" s="3"/>
      <c r="C183" s="66"/>
      <c r="D183" s="987"/>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row>
    <row r="184" spans="1:64" s="65" customFormat="1">
      <c r="A184" s="66"/>
      <c r="B184" s="3"/>
      <c r="C184" s="66"/>
      <c r="D184" s="987"/>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row>
    <row r="185" spans="1:64" s="65" customFormat="1">
      <c r="A185" s="66"/>
      <c r="B185" s="3"/>
      <c r="C185" s="66"/>
      <c r="D185" s="987"/>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row>
    <row r="186" spans="1:64" s="65" customFormat="1">
      <c r="A186" s="66"/>
      <c r="B186" s="3"/>
      <c r="C186" s="66"/>
      <c r="D186" s="987"/>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row>
    <row r="187" spans="1:64" s="65" customFormat="1">
      <c r="A187" s="66"/>
      <c r="B187" s="3"/>
      <c r="C187" s="66"/>
      <c r="D187" s="987"/>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row>
    <row r="188" spans="1:64" s="65" customFormat="1">
      <c r="A188" s="66"/>
      <c r="B188" s="3"/>
      <c r="C188" s="66"/>
      <c r="D188" s="987"/>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row>
    <row r="189" spans="1:64" s="65" customFormat="1">
      <c r="A189" s="66"/>
      <c r="B189" s="3"/>
      <c r="C189" s="66"/>
      <c r="D189" s="987"/>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row>
    <row r="190" spans="1:64" s="65" customFormat="1">
      <c r="A190" s="66"/>
      <c r="B190" s="3"/>
      <c r="C190" s="66"/>
      <c r="D190" s="987"/>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row>
    <row r="191" spans="1:64" s="65" customFormat="1">
      <c r="A191" s="66"/>
      <c r="B191" s="3"/>
      <c r="C191" s="66"/>
      <c r="D191" s="987"/>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row>
    <row r="192" spans="1:64" s="65" customFormat="1">
      <c r="A192" s="66"/>
      <c r="B192" s="3"/>
      <c r="C192" s="66"/>
      <c r="D192" s="987"/>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row>
    <row r="193" spans="1:64" s="65" customFormat="1">
      <c r="A193" s="66"/>
      <c r="B193" s="3"/>
      <c r="C193" s="66"/>
      <c r="D193" s="987"/>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row>
  </sheetData>
  <mergeCells count="2">
    <mergeCell ref="A18:B18"/>
    <mergeCell ref="A20:G20"/>
  </mergeCells>
  <dataValidations count="1">
    <dataValidation type="whole" allowBlank="1" showInputMessage="1" showErrorMessage="1" sqref="F17:F19 C17" xr:uid="{443F5D2E-9802-4093-A1FF-305A90EED638}">
      <formula1>1</formula1>
      <formula2>31</formula2>
    </dataValidation>
  </dataValidation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sheetPr>
  <dimension ref="A1:H23"/>
  <sheetViews>
    <sheetView zoomScale="115" zoomScaleNormal="115" workbookViewId="0">
      <selection activeCell="C26" sqref="C26"/>
    </sheetView>
  </sheetViews>
  <sheetFormatPr defaultRowHeight="15"/>
  <cols>
    <col min="1" max="1" width="14.5703125" customWidth="1"/>
    <col min="2" max="3" width="63.5703125" customWidth="1"/>
    <col min="4" max="4" width="74.5703125" customWidth="1"/>
  </cols>
  <sheetData>
    <row r="1" spans="1:8">
      <c r="B1" s="1" t="s">
        <v>2320</v>
      </c>
    </row>
    <row r="2" spans="1:8">
      <c r="H2" t="s">
        <v>2321</v>
      </c>
    </row>
    <row r="4" spans="1:8" ht="15.75" thickBot="1">
      <c r="B4" s="876" t="s">
        <v>2322</v>
      </c>
      <c r="C4" s="876" t="s">
        <v>2323</v>
      </c>
      <c r="D4" s="877" t="s">
        <v>376</v>
      </c>
    </row>
    <row r="5" spans="1:8">
      <c r="B5" s="878" t="s">
        <v>2324</v>
      </c>
      <c r="C5" s="878" t="s">
        <v>2325</v>
      </c>
      <c r="D5" s="879" t="s">
        <v>2326</v>
      </c>
    </row>
    <row r="6" spans="1:8">
      <c r="B6" s="880" t="s">
        <v>1044</v>
      </c>
      <c r="C6" s="880" t="s">
        <v>2327</v>
      </c>
      <c r="D6" s="881" t="s">
        <v>2328</v>
      </c>
    </row>
    <row r="7" spans="1:8" ht="45">
      <c r="A7" s="882"/>
      <c r="B7" s="883" t="s">
        <v>2329</v>
      </c>
      <c r="C7" s="883" t="s">
        <v>987</v>
      </c>
      <c r="D7" s="884" t="s">
        <v>2330</v>
      </c>
    </row>
    <row r="8" spans="1:8" ht="45">
      <c r="B8" s="880" t="s">
        <v>2331</v>
      </c>
      <c r="C8" s="880" t="s">
        <v>2332</v>
      </c>
      <c r="D8" s="881" t="s">
        <v>2333</v>
      </c>
    </row>
    <row r="9" spans="1:8">
      <c r="B9" s="885" t="s">
        <v>2334</v>
      </c>
      <c r="C9" s="880" t="s">
        <v>2335</v>
      </c>
      <c r="D9" s="881" t="s">
        <v>2336</v>
      </c>
    </row>
    <row r="10" spans="1:8" ht="16.5">
      <c r="B10" s="880" t="s">
        <v>2337</v>
      </c>
      <c r="C10" s="880" t="s">
        <v>2338</v>
      </c>
      <c r="D10" s="881" t="s">
        <v>2339</v>
      </c>
      <c r="H10" t="s">
        <v>2340</v>
      </c>
    </row>
    <row r="11" spans="1:8">
      <c r="A11" s="882"/>
      <c r="B11" s="880" t="s">
        <v>487</v>
      </c>
      <c r="C11" s="880" t="s">
        <v>487</v>
      </c>
      <c r="D11" s="881" t="s">
        <v>2341</v>
      </c>
    </row>
    <row r="12" spans="1:8">
      <c r="A12" s="882"/>
      <c r="B12" s="880" t="s">
        <v>12</v>
      </c>
      <c r="C12" s="880" t="s">
        <v>12</v>
      </c>
      <c r="D12" s="881" t="s">
        <v>2342</v>
      </c>
    </row>
    <row r="13" spans="1:8">
      <c r="A13" s="882"/>
      <c r="B13" s="880" t="s">
        <v>713</v>
      </c>
      <c r="C13" s="880" t="s">
        <v>713</v>
      </c>
      <c r="D13" s="881" t="s">
        <v>2343</v>
      </c>
    </row>
    <row r="14" spans="1:8">
      <c r="A14" s="882"/>
      <c r="B14" s="886"/>
      <c r="C14" s="886"/>
      <c r="D14" s="887"/>
    </row>
    <row r="15" spans="1:8">
      <c r="B15" s="888"/>
      <c r="C15" s="888"/>
      <c r="D15" s="7"/>
    </row>
    <row r="16" spans="1:8">
      <c r="B16" s="888"/>
      <c r="C16" s="888"/>
      <c r="D16" s="7"/>
    </row>
    <row r="17" spans="2:4" ht="15.75" thickBot="1">
      <c r="B17" s="876" t="s">
        <v>2344</v>
      </c>
      <c r="C17" s="876"/>
      <c r="D17" s="877" t="s">
        <v>376</v>
      </c>
    </row>
    <row r="18" spans="2:4">
      <c r="B18" s="878" t="s">
        <v>2345</v>
      </c>
      <c r="C18" s="878" t="s">
        <v>987</v>
      </c>
      <c r="D18" s="879" t="s">
        <v>2346</v>
      </c>
    </row>
    <row r="19" spans="2:4" ht="16.5">
      <c r="B19" s="880" t="s">
        <v>2337</v>
      </c>
      <c r="C19" s="880" t="s">
        <v>2338</v>
      </c>
      <c r="D19" s="881" t="s">
        <v>2347</v>
      </c>
    </row>
    <row r="20" spans="2:4">
      <c r="B20" s="885" t="s">
        <v>2348</v>
      </c>
      <c r="C20" s="880" t="s">
        <v>2335</v>
      </c>
      <c r="D20" s="881" t="s">
        <v>2349</v>
      </c>
    </row>
    <row r="21" spans="2:4">
      <c r="B21" s="880" t="s">
        <v>487</v>
      </c>
      <c r="C21" s="880" t="s">
        <v>487</v>
      </c>
      <c r="D21" s="881" t="s">
        <v>2350</v>
      </c>
    </row>
    <row r="22" spans="2:4">
      <c r="B22" s="880" t="s">
        <v>12</v>
      </c>
      <c r="C22" s="880" t="s">
        <v>12</v>
      </c>
      <c r="D22" s="881" t="s">
        <v>2351</v>
      </c>
    </row>
    <row r="23" spans="2:4">
      <c r="B23" s="880" t="s">
        <v>713</v>
      </c>
      <c r="C23" s="880" t="s">
        <v>713</v>
      </c>
      <c r="D23" s="881" t="s">
        <v>2352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37</vt:i4>
      </vt:variant>
    </vt:vector>
  </HeadingPairs>
  <TitlesOfParts>
    <vt:vector size="66" baseType="lpstr">
      <vt:lpstr>Investor Profile</vt:lpstr>
      <vt:lpstr>INPUT</vt:lpstr>
      <vt:lpstr>M61 Lookups</vt:lpstr>
      <vt:lpstr>For M61 Use Only</vt:lpstr>
      <vt:lpstr>Log</vt:lpstr>
      <vt:lpstr>Participation Splits</vt:lpstr>
      <vt:lpstr>S&amp;U Recon</vt:lpstr>
      <vt:lpstr>Drop Lists</vt:lpstr>
      <vt:lpstr>Project Budget Summary</vt:lpstr>
      <vt:lpstr>Budget-S&amp;U Codes Lookup</vt:lpstr>
      <vt:lpstr>Loan Settlement Stmt</vt:lpstr>
      <vt:lpstr>A Note Sale - </vt:lpstr>
      <vt:lpstr>Participation</vt:lpstr>
      <vt:lpstr>Debt Stack Calcs-Optional</vt:lpstr>
      <vt:lpstr>Backshop Escrows-Requires Input</vt:lpstr>
      <vt:lpstr>Delphi Capital Call</vt:lpstr>
      <vt:lpstr>Funding Instruction - Aflac US</vt:lpstr>
      <vt:lpstr>Funding Instruction - TRE ACR</vt:lpstr>
      <vt:lpstr>Funding Instruction - SILAC</vt:lpstr>
      <vt:lpstr>Tax Information Worksheet</vt:lpstr>
      <vt:lpstr>Tax Reserve</vt:lpstr>
      <vt:lpstr>Insurance Reserve</vt:lpstr>
      <vt:lpstr>Contractor's Budget Detail</vt:lpstr>
      <vt:lpstr>COST REPORT</vt:lpstr>
      <vt:lpstr>Amortization for Floating Rate</vt:lpstr>
      <vt:lpstr>Input Amortization-Fixed Rate </vt:lpstr>
      <vt:lpstr>Fixed Amortization Mort and Mez</vt:lpstr>
      <vt:lpstr>Fixed Amortization Single Note</vt:lpstr>
      <vt:lpstr>Financing Sources Defined</vt:lpstr>
      <vt:lpstr>Clientnames</vt:lpstr>
      <vt:lpstr>FinancingSourceName</vt:lpstr>
      <vt:lpstr>LApplyTrueUp</vt:lpstr>
      <vt:lpstr>LClassification</vt:lpstr>
      <vt:lpstr>LDealStatus</vt:lpstr>
      <vt:lpstr>LdebtType</vt:lpstr>
      <vt:lpstr>Ldistributionmethod</vt:lpstr>
      <vt:lpstr>LFeeNameType</vt:lpstr>
      <vt:lpstr>LHolidayList</vt:lpstr>
      <vt:lpstr>LienPositionRange</vt:lpstr>
      <vt:lpstr>LindexName</vt:lpstr>
      <vt:lpstr>LLienPosition</vt:lpstr>
      <vt:lpstr>LNoteFundingRule</vt:lpstr>
      <vt:lpstr>LPaydownScenarios</vt:lpstr>
      <vt:lpstr>LPurposeType</vt:lpstr>
      <vt:lpstr>LratespreadCalcType</vt:lpstr>
      <vt:lpstr>Lratespreadratetype</vt:lpstr>
      <vt:lpstr>LRateType</vt:lpstr>
      <vt:lpstr>LRoundingRule</vt:lpstr>
      <vt:lpstr>LServicerName</vt:lpstr>
      <vt:lpstr>LYesOrNO</vt:lpstr>
      <vt:lpstr>NoteStartIndex</vt:lpstr>
      <vt:lpstr>'Backshop Escrows-Requires Input'!Print_Area</vt:lpstr>
      <vt:lpstr>'Budget-S&amp;U Codes Lookup'!Print_Area</vt:lpstr>
      <vt:lpstr>'Contractor''s Budget Detail'!Print_Area</vt:lpstr>
      <vt:lpstr>'Delphi Capital Call'!Print_Area</vt:lpstr>
      <vt:lpstr>'Funding Instruction - Aflac US'!Print_Area</vt:lpstr>
      <vt:lpstr>'Funding Instruction - TRE ACR'!Print_Area</vt:lpstr>
      <vt:lpstr>'Insurance Reserve'!Print_Area</vt:lpstr>
      <vt:lpstr>'Loan Settlement Stmt'!Print_Area</vt:lpstr>
      <vt:lpstr>'Project Budget Summary'!Print_Area</vt:lpstr>
      <vt:lpstr>'S&amp;U Recon'!Print_Area</vt:lpstr>
      <vt:lpstr>'Tax Reserve'!Print_Area</vt:lpstr>
      <vt:lpstr>'Budget-S&amp;U Codes Lookup'!Print_Titles</vt:lpstr>
      <vt:lpstr>'Contractor''s Budget Detail'!Print_Titles</vt:lpstr>
      <vt:lpstr>'Insurance Reserve'!Print_Titles</vt:lpstr>
      <vt:lpstr>'Tax Reserve'!Print_Titles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siovino@acorecapital.com</dc:creator>
  <cp:keywords/>
  <dc:description/>
  <cp:lastModifiedBy>Manish Singh</cp:lastModifiedBy>
  <cp:revision/>
  <dcterms:created xsi:type="dcterms:W3CDTF">2018-03-02T17:04:40Z</dcterms:created>
  <dcterms:modified xsi:type="dcterms:W3CDTF">2023-08-10T08:06:56Z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i4>2</vt:i4>
  </property>
</Properties>
</file>