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shan\Desktop\DS\Project 4\"/>
    </mc:Choice>
  </mc:AlternateContent>
  <xr:revisionPtr revIDLastSave="0" documentId="13_ncr:1_{C9CB0050-8011-4270-9E23-197BF43ADA4C}" xr6:coauthVersionLast="47" xr6:coauthVersionMax="47" xr10:uidLastSave="{00000000-0000-0000-0000-000000000000}"/>
  <bookViews>
    <workbookView xWindow="-108" yWindow="-108" windowWidth="23256" windowHeight="12456" xr2:uid="{59751C17-08CB-4018-9B2A-7AE82620C1B2}"/>
  </bookViews>
  <sheets>
    <sheet name="NHiTS_TFT" sheetId="4" r:id="rId1"/>
    <sheet name="India Pak DF" sheetId="1" r:id="rId2"/>
    <sheet name="India Pak function" sheetId="3" r:id="rId3"/>
    <sheet name="State DF" sheetId="5" r:id="rId4"/>
    <sheet name="Payoff Matrix" sheetId="6" r:id="rId5"/>
    <sheet name="India 26" sheetId="8" r:id="rId6"/>
    <sheet name="2026" sheetId="10" r:id="rId7"/>
    <sheet name="pak 26" sheetId="9" r:id="rId8"/>
    <sheet name="India pak data raw" sheetId="2" r:id="rId9"/>
  </sheets>
  <externalReferences>
    <externalReference r:id="rId10"/>
  </externalReferences>
  <definedNames>
    <definedName name="_xlnm._FilterDatabase" localSheetId="8" hidden="1">'India pak data raw'!$B$30:$N$30</definedName>
    <definedName name="_xlnm._FilterDatabase" localSheetId="1" hidden="1">'India Pak DF'!$A$1:$AG$1</definedName>
    <definedName name="_xlnm._FilterDatabase" localSheetId="0" hidden="1">NHiTS_TFT!$B$1:$AB$78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5" i="8" s="1"/>
  <c r="C14" i="8" s="1"/>
  <c r="F4" i="8"/>
  <c r="L4" i="8"/>
  <c r="L6" i="8" s="1"/>
  <c r="L7" i="8" s="1"/>
  <c r="L8" i="8" s="1"/>
  <c r="L5" i="8"/>
  <c r="C7" i="8"/>
  <c r="C8" i="8"/>
  <c r="E24" i="10"/>
  <c r="E23" i="10"/>
  <c r="E22" i="10"/>
  <c r="E20" i="10"/>
  <c r="E19" i="10"/>
  <c r="E17" i="10"/>
  <c r="E16" i="10"/>
  <c r="J14" i="10"/>
  <c r="E9" i="10"/>
  <c r="E11" i="10" s="1"/>
  <c r="E13" i="10" s="1"/>
  <c r="L8" i="9"/>
  <c r="N8" i="9" s="1"/>
  <c r="C7" i="9"/>
  <c r="L5" i="9"/>
  <c r="F4" i="9"/>
  <c r="C4" i="9"/>
  <c r="C5" i="9" s="1"/>
  <c r="C11" i="9" s="1"/>
  <c r="L3" i="9"/>
  <c r="F8" i="9" s="1"/>
  <c r="D27" i="3"/>
  <c r="F3" i="8" l="1"/>
  <c r="F5" i="8" s="1"/>
  <c r="F8" i="8"/>
  <c r="F9" i="9"/>
  <c r="H3" i="10"/>
  <c r="F3" i="9"/>
  <c r="F5" i="9" s="1"/>
  <c r="H5" i="10" s="1"/>
  <c r="E3" i="10"/>
  <c r="E4" i="10" s="1"/>
  <c r="E5" i="10"/>
  <c r="H2" i="10"/>
  <c r="M3" i="9"/>
  <c r="N3" i="9" s="1"/>
  <c r="F10" i="8" l="1"/>
  <c r="F11" i="8" s="1"/>
  <c r="F9" i="8"/>
  <c r="H9" i="10"/>
  <c r="H11" i="10" s="1"/>
  <c r="H13" i="10" s="1"/>
  <c r="H4" i="10"/>
  <c r="H6" i="10" s="1"/>
  <c r="E6" i="10"/>
  <c r="F10" i="9"/>
  <c r="F11" i="9" s="1"/>
  <c r="H2" i="3" l="1"/>
  <c r="U20" i="6"/>
  <c r="T20" i="6"/>
  <c r="V20" i="6" s="1"/>
  <c r="O20" i="6"/>
  <c r="N20" i="6"/>
  <c r="M20" i="6"/>
  <c r="U19" i="6"/>
  <c r="V19" i="6" s="1"/>
  <c r="T19" i="6"/>
  <c r="N19" i="6"/>
  <c r="M19" i="6"/>
  <c r="O19" i="6" s="1"/>
  <c r="U18" i="6"/>
  <c r="T18" i="6"/>
  <c r="V18" i="6" s="1"/>
  <c r="O18" i="6"/>
  <c r="N18" i="6"/>
  <c r="M18" i="6"/>
  <c r="U17" i="6"/>
  <c r="V17" i="6" s="1"/>
  <c r="T17" i="6"/>
  <c r="N17" i="6"/>
  <c r="M17" i="6"/>
  <c r="O17" i="6" s="1"/>
  <c r="U16" i="6"/>
  <c r="T16" i="6"/>
  <c r="V16" i="6" s="1"/>
  <c r="O16" i="6"/>
  <c r="N16" i="6"/>
  <c r="M16" i="6"/>
  <c r="U15" i="6"/>
  <c r="V15" i="6" s="1"/>
  <c r="T15" i="6"/>
  <c r="N15" i="6"/>
  <c r="M15" i="6"/>
  <c r="O15" i="6" s="1"/>
  <c r="U14" i="6"/>
  <c r="T14" i="6"/>
  <c r="V14" i="6" s="1"/>
  <c r="O14" i="6"/>
  <c r="N14" i="6"/>
  <c r="M14" i="6"/>
  <c r="U13" i="6"/>
  <c r="V13" i="6" s="1"/>
  <c r="T13" i="6"/>
  <c r="N13" i="6"/>
  <c r="M13" i="6"/>
  <c r="O13" i="6" s="1"/>
  <c r="U12" i="6"/>
  <c r="T12" i="6"/>
  <c r="V12" i="6" s="1"/>
  <c r="O12" i="6"/>
  <c r="N12" i="6"/>
  <c r="M12" i="6"/>
  <c r="Q36" i="5"/>
  <c r="M36" i="5"/>
  <c r="M35" i="5"/>
  <c r="M33" i="5"/>
  <c r="M32" i="5"/>
  <c r="AK15" i="5"/>
  <c r="AJ15" i="5"/>
  <c r="AH15" i="5"/>
  <c r="AC15" i="5"/>
  <c r="Z15" i="5" s="1"/>
  <c r="AA15" i="5"/>
  <c r="X15" i="5"/>
  <c r="W15" i="5"/>
  <c r="R15" i="5"/>
  <c r="T15" i="5" s="1"/>
  <c r="P15" i="5"/>
  <c r="O15" i="5"/>
  <c r="L15" i="5"/>
  <c r="J15" i="5"/>
  <c r="G15" i="5"/>
  <c r="AK14" i="5"/>
  <c r="AJ14" i="5"/>
  <c r="AI14" i="5"/>
  <c r="AH14" i="5"/>
  <c r="AA14" i="5"/>
  <c r="AC14" i="5" s="1"/>
  <c r="Z14" i="5" s="1"/>
  <c r="X14" i="5"/>
  <c r="W14" i="5"/>
  <c r="R14" i="5"/>
  <c r="T14" i="5" s="1"/>
  <c r="P14" i="5"/>
  <c r="O14" i="5"/>
  <c r="L14" i="5"/>
  <c r="J14" i="5"/>
  <c r="K15" i="5" s="1"/>
  <c r="G14" i="5"/>
  <c r="I14" i="5" s="1"/>
  <c r="F14" i="5"/>
  <c r="E14" i="5"/>
  <c r="F15" i="5" s="1"/>
  <c r="AK13" i="5"/>
  <c r="AJ13" i="5"/>
  <c r="AH13" i="5"/>
  <c r="AA13" i="5"/>
  <c r="AC13" i="5" s="1"/>
  <c r="Z13" i="5" s="1"/>
  <c r="X13" i="5"/>
  <c r="W13" i="5"/>
  <c r="R13" i="5"/>
  <c r="T13" i="5" s="1"/>
  <c r="P13" i="5"/>
  <c r="O13" i="5"/>
  <c r="L13" i="5"/>
  <c r="J13" i="5"/>
  <c r="K14" i="5" s="1"/>
  <c r="G13" i="5"/>
  <c r="F13" i="5"/>
  <c r="AK12" i="5"/>
  <c r="AJ12" i="5"/>
  <c r="AH12" i="5"/>
  <c r="AI13" i="5" s="1"/>
  <c r="AA12" i="5"/>
  <c r="X12" i="5"/>
  <c r="W12" i="5"/>
  <c r="R12" i="5"/>
  <c r="T12" i="5" s="1"/>
  <c r="P12" i="5"/>
  <c r="O12" i="5"/>
  <c r="L12" i="5"/>
  <c r="I12" i="5" s="1"/>
  <c r="K12" i="5"/>
  <c r="J12" i="5"/>
  <c r="G12" i="5"/>
  <c r="F12" i="5"/>
  <c r="AK11" i="5"/>
  <c r="AJ11" i="5"/>
  <c r="AH11" i="5"/>
  <c r="AI11" i="5" s="1"/>
  <c r="AA11" i="5"/>
  <c r="AC11" i="5" s="1"/>
  <c r="Z11" i="5" s="1"/>
  <c r="X11" i="5"/>
  <c r="W11" i="5"/>
  <c r="T11" i="5"/>
  <c r="S11" i="5"/>
  <c r="R11" i="5"/>
  <c r="P11" i="5"/>
  <c r="O11" i="5"/>
  <c r="L11" i="5"/>
  <c r="I11" i="5" s="1"/>
  <c r="J11" i="5"/>
  <c r="G11" i="5"/>
  <c r="F11" i="5"/>
  <c r="AK10" i="5"/>
  <c r="AJ10" i="5"/>
  <c r="AH10" i="5"/>
  <c r="AI10" i="5" s="1"/>
  <c r="AA10" i="5"/>
  <c r="AC10" i="5" s="1"/>
  <c r="Z10" i="5" s="1"/>
  <c r="X10" i="5"/>
  <c r="W10" i="5"/>
  <c r="R10" i="5"/>
  <c r="P10" i="5"/>
  <c r="O10" i="5"/>
  <c r="L10" i="5"/>
  <c r="I10" i="5" s="1"/>
  <c r="J10" i="5"/>
  <c r="G10" i="5"/>
  <c r="F10" i="5"/>
  <c r="AK9" i="5"/>
  <c r="AJ9" i="5"/>
  <c r="AH9" i="5"/>
  <c r="AA9" i="5"/>
  <c r="AC9" i="5" s="1"/>
  <c r="Z9" i="5" s="1"/>
  <c r="X9" i="5"/>
  <c r="W9" i="5"/>
  <c r="R9" i="5"/>
  <c r="T9" i="5" s="1"/>
  <c r="P9" i="5"/>
  <c r="O9" i="5"/>
  <c r="L9" i="5"/>
  <c r="J9" i="5"/>
  <c r="G9" i="5"/>
  <c r="I9" i="5" s="1"/>
  <c r="F9" i="5"/>
  <c r="AK8" i="5"/>
  <c r="AJ8" i="5"/>
  <c r="AH8" i="5"/>
  <c r="AI8" i="5" s="1"/>
  <c r="AA8" i="5"/>
  <c r="AC8" i="5" s="1"/>
  <c r="Z8" i="5" s="1"/>
  <c r="X8" i="5"/>
  <c r="W8" i="5"/>
  <c r="R8" i="5"/>
  <c r="T8" i="5" s="1"/>
  <c r="P8" i="5"/>
  <c r="O8" i="5"/>
  <c r="L8" i="5"/>
  <c r="I8" i="5" s="1"/>
  <c r="J8" i="5"/>
  <c r="K9" i="5" s="1"/>
  <c r="G8" i="5"/>
  <c r="F8" i="5"/>
  <c r="AK7" i="5"/>
  <c r="AJ7" i="5"/>
  <c r="AH7" i="5"/>
  <c r="AI7" i="5" s="1"/>
  <c r="AA7" i="5"/>
  <c r="X7" i="5"/>
  <c r="W7" i="5"/>
  <c r="R7" i="5"/>
  <c r="S7" i="5" s="1"/>
  <c r="P7" i="5"/>
  <c r="O7" i="5"/>
  <c r="L7" i="5"/>
  <c r="I7" i="5" s="1"/>
  <c r="J7" i="5"/>
  <c r="K7" i="5" s="1"/>
  <c r="G7" i="5"/>
  <c r="F7" i="5"/>
  <c r="AK6" i="5"/>
  <c r="AJ6" i="5"/>
  <c r="AH6" i="5"/>
  <c r="AI6" i="5" s="1"/>
  <c r="AB6" i="5"/>
  <c r="AA6" i="5"/>
  <c r="AC6" i="5" s="1"/>
  <c r="X6" i="5"/>
  <c r="W6" i="5"/>
  <c r="T6" i="5"/>
  <c r="R6" i="5"/>
  <c r="P6" i="5"/>
  <c r="O6" i="5"/>
  <c r="L6" i="5"/>
  <c r="I6" i="5" s="1"/>
  <c r="J6" i="5"/>
  <c r="G6" i="5"/>
  <c r="F6" i="5"/>
  <c r="AK5" i="5"/>
  <c r="AJ5" i="5"/>
  <c r="AH5" i="5"/>
  <c r="AC5" i="5"/>
  <c r="Z5" i="5" s="1"/>
  <c r="AA5" i="5"/>
  <c r="AB5" i="5" s="1"/>
  <c r="X5" i="5"/>
  <c r="W5" i="5"/>
  <c r="R5" i="5"/>
  <c r="T5" i="5" s="1"/>
  <c r="P5" i="5"/>
  <c r="O5" i="5"/>
  <c r="L5" i="5"/>
  <c r="I5" i="5" s="1"/>
  <c r="J5" i="5"/>
  <c r="K5" i="5" s="1"/>
  <c r="G5" i="5"/>
  <c r="F5" i="5"/>
  <c r="AK4" i="5"/>
  <c r="AJ4" i="5"/>
  <c r="AH4" i="5"/>
  <c r="AI5" i="5" s="1"/>
  <c r="AA4" i="5"/>
  <c r="AC4" i="5" s="1"/>
  <c r="Z4" i="5" s="1"/>
  <c r="X4" i="5"/>
  <c r="W4" i="5"/>
  <c r="R4" i="5"/>
  <c r="T4" i="5" s="1"/>
  <c r="P4" i="5"/>
  <c r="O4" i="5"/>
  <c r="L4" i="5"/>
  <c r="I4" i="5" s="1"/>
  <c r="J4" i="5"/>
  <c r="K4" i="5" s="1"/>
  <c r="G4" i="5"/>
  <c r="F4" i="5"/>
  <c r="AK3" i="5"/>
  <c r="AJ3" i="5"/>
  <c r="AH3" i="5"/>
  <c r="AI3" i="5" s="1"/>
  <c r="AA3" i="5"/>
  <c r="AB4" i="5" s="1"/>
  <c r="X3" i="5"/>
  <c r="W3" i="5"/>
  <c r="R3" i="5"/>
  <c r="T3" i="5" s="1"/>
  <c r="P3" i="5"/>
  <c r="O3" i="5"/>
  <c r="L3" i="5"/>
  <c r="I3" i="5" s="1"/>
  <c r="K3" i="5"/>
  <c r="J3" i="5"/>
  <c r="G3" i="5"/>
  <c r="F3" i="5"/>
  <c r="AK2" i="5"/>
  <c r="AC2" i="5"/>
  <c r="T2" i="5"/>
  <c r="AB8" i="5" l="1"/>
  <c r="K8" i="5"/>
  <c r="S12" i="5"/>
  <c r="AB12" i="5"/>
  <c r="K13" i="5"/>
  <c r="AB13" i="5"/>
  <c r="AI15" i="5"/>
  <c r="S3" i="5"/>
  <c r="S4" i="5"/>
  <c r="T7" i="5"/>
  <c r="S8" i="5"/>
  <c r="AB9" i="5"/>
  <c r="K10" i="5"/>
  <c r="S10" i="5"/>
  <c r="AC12" i="5"/>
  <c r="Z12" i="5" s="1"/>
  <c r="I13" i="5"/>
  <c r="AI9" i="5"/>
  <c r="K6" i="5"/>
  <c r="S6" i="5"/>
  <c r="Z6" i="5"/>
  <c r="T10" i="5"/>
  <c r="AB10" i="5"/>
  <c r="K11" i="5"/>
  <c r="I15" i="5"/>
  <c r="S15" i="5"/>
  <c r="AB15" i="5"/>
  <c r="S14" i="5"/>
  <c r="AB3" i="5"/>
  <c r="AI4" i="5"/>
  <c r="S5" i="5"/>
  <c r="AB7" i="5"/>
  <c r="S9" i="5"/>
  <c r="AB11" i="5"/>
  <c r="AI12" i="5"/>
  <c r="S13" i="5"/>
  <c r="AB14" i="5"/>
  <c r="AC3" i="5"/>
  <c r="Z3" i="5" s="1"/>
  <c r="AC7" i="5"/>
  <c r="Z7" i="5" s="1"/>
  <c r="V78" i="4" l="1"/>
  <c r="U78" i="4"/>
  <c r="W78" i="4" s="1"/>
  <c r="D78" i="4"/>
  <c r="C78" i="4"/>
  <c r="F78" i="4" s="1"/>
  <c r="V77" i="4"/>
  <c r="U77" i="4"/>
  <c r="W77" i="4" s="1"/>
  <c r="D77" i="4"/>
  <c r="C77" i="4"/>
  <c r="G77" i="4" s="1"/>
  <c r="W76" i="4"/>
  <c r="V76" i="4"/>
  <c r="U76" i="4"/>
  <c r="G76" i="4"/>
  <c r="F76" i="4"/>
  <c r="D76" i="4"/>
  <c r="C76" i="4"/>
  <c r="W75" i="4"/>
  <c r="V75" i="4"/>
  <c r="U75" i="4"/>
  <c r="F75" i="4"/>
  <c r="D75" i="4"/>
  <c r="C75" i="4"/>
  <c r="G75" i="4" s="1"/>
  <c r="V74" i="4"/>
  <c r="U74" i="4"/>
  <c r="W74" i="4" s="1"/>
  <c r="D74" i="4"/>
  <c r="C74" i="4"/>
  <c r="F74" i="4" s="1"/>
  <c r="V66" i="4"/>
  <c r="U66" i="4"/>
  <c r="W66" i="4" s="1"/>
  <c r="G66" i="4"/>
  <c r="F66" i="4"/>
  <c r="V65" i="4"/>
  <c r="U65" i="4"/>
  <c r="W65" i="4" s="1"/>
  <c r="G65" i="4"/>
  <c r="F65" i="4"/>
  <c r="V64" i="4"/>
  <c r="U64" i="4"/>
  <c r="W64" i="4" s="1"/>
  <c r="G64" i="4"/>
  <c r="F64" i="4"/>
  <c r="V63" i="4"/>
  <c r="W63" i="4" s="1"/>
  <c r="U63" i="4"/>
  <c r="G63" i="4"/>
  <c r="F63" i="4"/>
  <c r="W62" i="4"/>
  <c r="V62" i="4"/>
  <c r="U62" i="4"/>
  <c r="G62" i="4"/>
  <c r="F62" i="4"/>
  <c r="V54" i="4"/>
  <c r="U54" i="4"/>
  <c r="W54" i="4" s="1"/>
  <c r="G54" i="4"/>
  <c r="F54" i="4"/>
  <c r="V53" i="4"/>
  <c r="U53" i="4"/>
  <c r="W53" i="4" s="1"/>
  <c r="G53" i="4"/>
  <c r="F53" i="4"/>
  <c r="V52" i="4"/>
  <c r="W52" i="4" s="1"/>
  <c r="U52" i="4"/>
  <c r="G52" i="4"/>
  <c r="F52" i="4"/>
  <c r="W51" i="4"/>
  <c r="V51" i="4"/>
  <c r="U51" i="4"/>
  <c r="G51" i="4"/>
  <c r="F51" i="4"/>
  <c r="V50" i="4"/>
  <c r="U50" i="4"/>
  <c r="W50" i="4" s="1"/>
  <c r="G50" i="4"/>
  <c r="F50" i="4"/>
  <c r="V42" i="4"/>
  <c r="U42" i="4"/>
  <c r="W42" i="4" s="1"/>
  <c r="G42" i="4"/>
  <c r="F42" i="4"/>
  <c r="V41" i="4"/>
  <c r="W41" i="4" s="1"/>
  <c r="U41" i="4"/>
  <c r="G41" i="4"/>
  <c r="F41" i="4"/>
  <c r="W40" i="4"/>
  <c r="V40" i="4"/>
  <c r="U40" i="4"/>
  <c r="G40" i="4"/>
  <c r="F40" i="4"/>
  <c r="V39" i="4"/>
  <c r="U39" i="4"/>
  <c r="W39" i="4" s="1"/>
  <c r="G39" i="4"/>
  <c r="F39" i="4"/>
  <c r="V38" i="4"/>
  <c r="U38" i="4"/>
  <c r="W38" i="4" s="1"/>
  <c r="G38" i="4"/>
  <c r="F38" i="4"/>
  <c r="V31" i="4"/>
  <c r="U31" i="4"/>
  <c r="W31" i="4" s="1"/>
  <c r="G31" i="4"/>
  <c r="F31" i="4"/>
  <c r="W30" i="4"/>
  <c r="V30" i="4"/>
  <c r="U30" i="4"/>
  <c r="G30" i="4"/>
  <c r="F30" i="4"/>
  <c r="V29" i="4"/>
  <c r="U29" i="4"/>
  <c r="W29" i="4" s="1"/>
  <c r="G29" i="4"/>
  <c r="F29" i="4"/>
  <c r="V28" i="4"/>
  <c r="U28" i="4"/>
  <c r="W28" i="4" s="1"/>
  <c r="G28" i="4"/>
  <c r="F28" i="4"/>
  <c r="V27" i="4"/>
  <c r="U27" i="4"/>
  <c r="W27" i="4" s="1"/>
  <c r="G27" i="4"/>
  <c r="F27" i="4"/>
  <c r="W26" i="4"/>
  <c r="V26" i="4"/>
  <c r="U26" i="4"/>
  <c r="G26" i="4"/>
  <c r="F26" i="4"/>
  <c r="V25" i="4"/>
  <c r="U25" i="4"/>
  <c r="W25" i="4" s="1"/>
  <c r="G25" i="4"/>
  <c r="F25" i="4"/>
  <c r="V24" i="4"/>
  <c r="U24" i="4"/>
  <c r="W24" i="4" s="1"/>
  <c r="G24" i="4"/>
  <c r="F24" i="4"/>
  <c r="V23" i="4"/>
  <c r="U23" i="4"/>
  <c r="W23" i="4" s="1"/>
  <c r="G23" i="4"/>
  <c r="F23" i="4"/>
  <c r="W18" i="4"/>
  <c r="V18" i="4"/>
  <c r="U18" i="4"/>
  <c r="G18" i="4"/>
  <c r="F18" i="4"/>
  <c r="V17" i="4"/>
  <c r="U17" i="4"/>
  <c r="W17" i="4" s="1"/>
  <c r="G17" i="4"/>
  <c r="F17" i="4"/>
  <c r="V16" i="4"/>
  <c r="U16" i="4"/>
  <c r="W16" i="4" s="1"/>
  <c r="G16" i="4"/>
  <c r="F16" i="4"/>
  <c r="V15" i="4"/>
  <c r="U15" i="4"/>
  <c r="W15" i="4" s="1"/>
  <c r="G15" i="4"/>
  <c r="F15" i="4"/>
  <c r="W14" i="4"/>
  <c r="V14" i="4"/>
  <c r="U14" i="4"/>
  <c r="G14" i="4"/>
  <c r="F14" i="4"/>
  <c r="V7" i="4"/>
  <c r="U7" i="4"/>
  <c r="W7" i="4" s="1"/>
  <c r="G7" i="4"/>
  <c r="F7" i="4"/>
  <c r="V6" i="4"/>
  <c r="U6" i="4"/>
  <c r="W6" i="4" s="1"/>
  <c r="G6" i="4"/>
  <c r="F6" i="4"/>
  <c r="V5" i="4"/>
  <c r="U5" i="4"/>
  <c r="W5" i="4" s="1"/>
  <c r="G5" i="4"/>
  <c r="F5" i="4"/>
  <c r="W4" i="4"/>
  <c r="V4" i="4"/>
  <c r="U4" i="4"/>
  <c r="G4" i="4"/>
  <c r="F4" i="4"/>
  <c r="V3" i="4"/>
  <c r="U3" i="4"/>
  <c r="W3" i="4" s="1"/>
  <c r="G3" i="4"/>
  <c r="F3" i="4"/>
  <c r="V2" i="4"/>
  <c r="U2" i="4"/>
  <c r="W2" i="4" s="1"/>
  <c r="G2" i="4"/>
  <c r="F2" i="4"/>
  <c r="G74" i="4" l="1"/>
  <c r="F77" i="4"/>
  <c r="G78" i="4"/>
  <c r="C31" i="3" l="1"/>
  <c r="F31" i="3"/>
  <c r="R26" i="3"/>
  <c r="C20" i="3"/>
  <c r="F20" i="3" s="1"/>
  <c r="R15" i="3"/>
  <c r="R10" i="3"/>
  <c r="S5" i="3" s="1"/>
  <c r="R2" i="3" s="1"/>
  <c r="N7" i="3"/>
  <c r="S6" i="3"/>
  <c r="I6" i="3"/>
  <c r="R4" i="3"/>
  <c r="S17" i="3"/>
  <c r="C2" i="3"/>
  <c r="D17" i="3" s="1"/>
  <c r="E56" i="2"/>
  <c r="D56" i="2"/>
  <c r="C56" i="2"/>
  <c r="E55" i="2"/>
  <c r="H55" i="2" s="1"/>
  <c r="D55" i="2"/>
  <c r="I55" i="2" s="1"/>
  <c r="C55" i="2"/>
  <c r="F56" i="2" s="1"/>
  <c r="E54" i="2"/>
  <c r="D54" i="2"/>
  <c r="C54" i="2"/>
  <c r="I54" i="2" s="1"/>
  <c r="E53" i="2"/>
  <c r="D53" i="2"/>
  <c r="C53" i="2"/>
  <c r="F53" i="2" s="1"/>
  <c r="E52" i="2"/>
  <c r="D52" i="2"/>
  <c r="C52" i="2"/>
  <c r="I51" i="2"/>
  <c r="E51" i="2"/>
  <c r="H51" i="2" s="1"/>
  <c r="D51" i="2"/>
  <c r="C51" i="2"/>
  <c r="F52" i="2" s="1"/>
  <c r="E50" i="2"/>
  <c r="D50" i="2"/>
  <c r="G51" i="2" s="1"/>
  <c r="C50" i="2"/>
  <c r="E49" i="2"/>
  <c r="D49" i="2"/>
  <c r="C49" i="2"/>
  <c r="F49" i="2" s="1"/>
  <c r="E48" i="2"/>
  <c r="D48" i="2"/>
  <c r="C48" i="2"/>
  <c r="I47" i="2"/>
  <c r="E47" i="2"/>
  <c r="H47" i="2" s="1"/>
  <c r="D47" i="2"/>
  <c r="C47" i="2"/>
  <c r="F48" i="2" s="1"/>
  <c r="G46" i="2"/>
  <c r="D46" i="2"/>
  <c r="C46" i="2"/>
  <c r="D45" i="2"/>
  <c r="G45" i="2" s="1"/>
  <c r="C45" i="2"/>
  <c r="F45" i="2" s="1"/>
  <c r="D44" i="2"/>
  <c r="C44" i="2"/>
  <c r="I44" i="2" s="1"/>
  <c r="G43" i="2"/>
  <c r="D43" i="2"/>
  <c r="C43" i="2"/>
  <c r="I43" i="2" s="1"/>
  <c r="G42" i="2"/>
  <c r="D42" i="2"/>
  <c r="C42" i="2"/>
  <c r="D41" i="2"/>
  <c r="G41" i="2" s="1"/>
  <c r="C41" i="2"/>
  <c r="I41" i="2" s="1"/>
  <c r="D40" i="2"/>
  <c r="C40" i="2"/>
  <c r="I40" i="2" s="1"/>
  <c r="G39" i="2"/>
  <c r="D39" i="2"/>
  <c r="C39" i="2"/>
  <c r="I39" i="2" s="1"/>
  <c r="G38" i="2"/>
  <c r="D38" i="2"/>
  <c r="C38" i="2"/>
  <c r="D37" i="2"/>
  <c r="G37" i="2" s="1"/>
  <c r="C37" i="2"/>
  <c r="F37" i="2" s="1"/>
  <c r="D36" i="2"/>
  <c r="C36" i="2"/>
  <c r="I36" i="2" s="1"/>
  <c r="G35" i="2"/>
  <c r="D35" i="2"/>
  <c r="C35" i="2"/>
  <c r="I35" i="2" s="1"/>
  <c r="G34" i="2"/>
  <c r="D34" i="2"/>
  <c r="C34" i="2"/>
  <c r="D33" i="2"/>
  <c r="G33" i="2" s="1"/>
  <c r="C33" i="2"/>
  <c r="I33" i="2" s="1"/>
  <c r="D32" i="2"/>
  <c r="C32" i="2"/>
  <c r="I32" i="2" s="1"/>
  <c r="D31" i="2"/>
  <c r="C31" i="2"/>
  <c r="I31" i="2" s="1"/>
  <c r="O28" i="2"/>
  <c r="N28" i="2"/>
  <c r="M28" i="2"/>
  <c r="H28" i="2"/>
  <c r="G28" i="2"/>
  <c r="F28" i="2"/>
  <c r="O27" i="2"/>
  <c r="N27" i="2"/>
  <c r="M27" i="2"/>
  <c r="H27" i="2"/>
  <c r="G27" i="2"/>
  <c r="F27" i="2"/>
  <c r="O26" i="2"/>
  <c r="N26" i="2"/>
  <c r="M26" i="2"/>
  <c r="H26" i="2"/>
  <c r="G26" i="2"/>
  <c r="F26" i="2"/>
  <c r="O25" i="2"/>
  <c r="N25" i="2"/>
  <c r="M25" i="2"/>
  <c r="H25" i="2"/>
  <c r="G25" i="2"/>
  <c r="F25" i="2"/>
  <c r="O24" i="2"/>
  <c r="N24" i="2"/>
  <c r="M24" i="2"/>
  <c r="H24" i="2"/>
  <c r="G24" i="2"/>
  <c r="F24" i="2"/>
  <c r="O23" i="2"/>
  <c r="N23" i="2"/>
  <c r="M23" i="2"/>
  <c r="H23" i="2"/>
  <c r="G23" i="2"/>
  <c r="F23" i="2"/>
  <c r="O22" i="2"/>
  <c r="N22" i="2"/>
  <c r="M22" i="2"/>
  <c r="H22" i="2"/>
  <c r="G22" i="2"/>
  <c r="F22" i="2"/>
  <c r="O21" i="2"/>
  <c r="N21" i="2"/>
  <c r="M21" i="2"/>
  <c r="H21" i="2"/>
  <c r="G21" i="2"/>
  <c r="F21" i="2"/>
  <c r="O20" i="2"/>
  <c r="N20" i="2"/>
  <c r="M20" i="2"/>
  <c r="H20" i="2"/>
  <c r="G20" i="2"/>
  <c r="F20" i="2"/>
  <c r="O19" i="2"/>
  <c r="N19" i="2"/>
  <c r="M19" i="2"/>
  <c r="H19" i="2"/>
  <c r="G19" i="2"/>
  <c r="F19" i="2"/>
  <c r="O18" i="2"/>
  <c r="N18" i="2"/>
  <c r="M18" i="2"/>
  <c r="H18" i="2"/>
  <c r="G18" i="2"/>
  <c r="F18" i="2"/>
  <c r="N17" i="2"/>
  <c r="M17" i="2"/>
  <c r="G17" i="2"/>
  <c r="F17" i="2"/>
  <c r="N16" i="2"/>
  <c r="M16" i="2"/>
  <c r="G16" i="2"/>
  <c r="F16" i="2"/>
  <c r="N15" i="2"/>
  <c r="M15" i="2"/>
  <c r="G15" i="2"/>
  <c r="F15" i="2"/>
  <c r="N14" i="2"/>
  <c r="M14" i="2"/>
  <c r="G14" i="2"/>
  <c r="F14" i="2"/>
  <c r="N13" i="2"/>
  <c r="M13" i="2"/>
  <c r="G13" i="2"/>
  <c r="F13" i="2"/>
  <c r="N12" i="2"/>
  <c r="M12" i="2"/>
  <c r="G12" i="2"/>
  <c r="F12" i="2"/>
  <c r="N11" i="2"/>
  <c r="M11" i="2"/>
  <c r="G11" i="2"/>
  <c r="F11" i="2"/>
  <c r="N10" i="2"/>
  <c r="M10" i="2"/>
  <c r="G10" i="2"/>
  <c r="F10" i="2"/>
  <c r="N9" i="2"/>
  <c r="M9" i="2"/>
  <c r="G9" i="2"/>
  <c r="F9" i="2"/>
  <c r="N8" i="2"/>
  <c r="M8" i="2"/>
  <c r="G8" i="2"/>
  <c r="F8" i="2"/>
  <c r="N7" i="2"/>
  <c r="M7" i="2"/>
  <c r="G7" i="2"/>
  <c r="F7" i="2"/>
  <c r="N6" i="2"/>
  <c r="M6" i="2"/>
  <c r="G6" i="2"/>
  <c r="F6" i="2"/>
  <c r="N5" i="2"/>
  <c r="M5" i="2"/>
  <c r="G5" i="2"/>
  <c r="F5" i="2"/>
  <c r="N4" i="2"/>
  <c r="M4" i="2"/>
  <c r="G4" i="2"/>
  <c r="F4" i="2"/>
  <c r="N3" i="2"/>
  <c r="M3" i="2"/>
  <c r="G3" i="2"/>
  <c r="F3" i="2"/>
  <c r="AK18" i="1"/>
  <c r="AF18" i="1"/>
  <c r="AB18" i="1"/>
  <c r="Z18" i="1"/>
  <c r="Y18" i="1"/>
  <c r="S18" i="1"/>
  <c r="T18" i="1" s="1"/>
  <c r="O18" i="1"/>
  <c r="J18" i="1"/>
  <c r="I18" i="1"/>
  <c r="D18" i="1"/>
  <c r="L18" i="1" s="1"/>
  <c r="AK17" i="1"/>
  <c r="AF17" i="1"/>
  <c r="AB17" i="1"/>
  <c r="Z17" i="1"/>
  <c r="AA18" i="1" s="1"/>
  <c r="Y17" i="1"/>
  <c r="S17" i="1"/>
  <c r="T17" i="1" s="1"/>
  <c r="O17" i="1"/>
  <c r="I17" i="1"/>
  <c r="K18" i="1" s="1"/>
  <c r="D17" i="1"/>
  <c r="L17" i="1" s="1"/>
  <c r="AK16" i="1"/>
  <c r="AF16" i="1"/>
  <c r="AB16" i="1"/>
  <c r="Z16" i="1"/>
  <c r="AA17" i="1" s="1"/>
  <c r="Y16" i="1"/>
  <c r="S16" i="1"/>
  <c r="T16" i="1" s="1"/>
  <c r="O16" i="1"/>
  <c r="L16" i="1"/>
  <c r="I16" i="1"/>
  <c r="K17" i="1" s="1"/>
  <c r="E16" i="1"/>
  <c r="D16" i="1"/>
  <c r="E17" i="1" s="1"/>
  <c r="AK15" i="1"/>
  <c r="AF15" i="1"/>
  <c r="AB15" i="1"/>
  <c r="Z15" i="1"/>
  <c r="AA16" i="1" s="1"/>
  <c r="Y15" i="1"/>
  <c r="T15" i="1"/>
  <c r="S15" i="1"/>
  <c r="O15" i="1"/>
  <c r="K15" i="1"/>
  <c r="I15" i="1"/>
  <c r="K16" i="1" s="1"/>
  <c r="D15" i="1"/>
  <c r="L15" i="1" s="1"/>
  <c r="AK14" i="1"/>
  <c r="AF14" i="1"/>
  <c r="AB14" i="1"/>
  <c r="Z14" i="1"/>
  <c r="AA15" i="1" s="1"/>
  <c r="Y14" i="1"/>
  <c r="S14" i="1"/>
  <c r="T14" i="1" s="1"/>
  <c r="O14" i="1"/>
  <c r="J14" i="1"/>
  <c r="I14" i="1"/>
  <c r="D14" i="1"/>
  <c r="L14" i="1" s="1"/>
  <c r="AK13" i="1"/>
  <c r="AF13" i="1"/>
  <c r="AB13" i="1"/>
  <c r="Z13" i="1"/>
  <c r="AA14" i="1" s="1"/>
  <c r="Y13" i="1"/>
  <c r="S13" i="1"/>
  <c r="T13" i="1" s="1"/>
  <c r="O13" i="1"/>
  <c r="I13" i="1"/>
  <c r="K14" i="1" s="1"/>
  <c r="D13" i="1"/>
  <c r="L13" i="1" s="1"/>
  <c r="AK12" i="1"/>
  <c r="AF12" i="1"/>
  <c r="AB12" i="1"/>
  <c r="Z12" i="1"/>
  <c r="AA13" i="1" s="1"/>
  <c r="Y12" i="1"/>
  <c r="S12" i="1"/>
  <c r="T12" i="1" s="1"/>
  <c r="O12" i="1"/>
  <c r="L12" i="1"/>
  <c r="I12" i="1"/>
  <c r="K13" i="1" s="1"/>
  <c r="D12" i="1"/>
  <c r="E13" i="1" s="1"/>
  <c r="AK11" i="1"/>
  <c r="AF11" i="1"/>
  <c r="AB11" i="1"/>
  <c r="Z11" i="1"/>
  <c r="AA12" i="1" s="1"/>
  <c r="Y11" i="1"/>
  <c r="T11" i="1"/>
  <c r="S11" i="1"/>
  <c r="O11" i="1"/>
  <c r="K11" i="1"/>
  <c r="I11" i="1"/>
  <c r="K12" i="1" s="1"/>
  <c r="D11" i="1"/>
  <c r="E12" i="1" s="1"/>
  <c r="AK10" i="1"/>
  <c r="AF10" i="1"/>
  <c r="AB10" i="1"/>
  <c r="Z10" i="1"/>
  <c r="AA11" i="1" s="1"/>
  <c r="Y10" i="1"/>
  <c r="S10" i="1"/>
  <c r="T10" i="1" s="1"/>
  <c r="O10" i="1"/>
  <c r="J10" i="1"/>
  <c r="I10" i="1"/>
  <c r="D10" i="1"/>
  <c r="L10" i="1" s="1"/>
  <c r="AK9" i="1"/>
  <c r="AF9" i="1"/>
  <c r="AB9" i="1"/>
  <c r="Z9" i="1"/>
  <c r="AA10" i="1" s="1"/>
  <c r="Y9" i="1"/>
  <c r="S9" i="1"/>
  <c r="T9" i="1" s="1"/>
  <c r="O9" i="1"/>
  <c r="I9" i="1"/>
  <c r="K10" i="1" s="1"/>
  <c r="D9" i="1"/>
  <c r="L9" i="1" s="1"/>
  <c r="AK8" i="1"/>
  <c r="AF8" i="1"/>
  <c r="AB8" i="1"/>
  <c r="Z8" i="1"/>
  <c r="AA9" i="1" s="1"/>
  <c r="Y8" i="1"/>
  <c r="T8" i="1"/>
  <c r="O8" i="1"/>
  <c r="J8" i="1"/>
  <c r="I8" i="1"/>
  <c r="K9" i="1" s="1"/>
  <c r="E8" i="1"/>
  <c r="D8" i="1"/>
  <c r="E9" i="1" s="1"/>
  <c r="AK7" i="1"/>
  <c r="AF7" i="1"/>
  <c r="AB7" i="1"/>
  <c r="AA7" i="1"/>
  <c r="Z7" i="1"/>
  <c r="AA8" i="1" s="1"/>
  <c r="Y7" i="1"/>
  <c r="T7" i="1"/>
  <c r="O7" i="1"/>
  <c r="I7" i="1"/>
  <c r="K8" i="1" s="1"/>
  <c r="D7" i="1"/>
  <c r="AK6" i="1"/>
  <c r="AF6" i="1"/>
  <c r="AB6" i="1"/>
  <c r="Z6" i="1"/>
  <c r="Y6" i="1"/>
  <c r="T6" i="1"/>
  <c r="O6" i="1"/>
  <c r="J6" i="1"/>
  <c r="I6" i="1"/>
  <c r="K7" i="1" s="1"/>
  <c r="E6" i="1"/>
  <c r="D6" i="1"/>
  <c r="E7" i="1" s="1"/>
  <c r="AK5" i="1"/>
  <c r="AF5" i="1"/>
  <c r="AB5" i="1"/>
  <c r="AA5" i="1"/>
  <c r="Z5" i="1"/>
  <c r="AA6" i="1" s="1"/>
  <c r="Y5" i="1"/>
  <c r="T5" i="1"/>
  <c r="O5" i="1"/>
  <c r="I5" i="1"/>
  <c r="L5" i="1" s="1"/>
  <c r="D5" i="1"/>
  <c r="AK4" i="1"/>
  <c r="AF4" i="1"/>
  <c r="AB4" i="1"/>
  <c r="Z4" i="1"/>
  <c r="Y4" i="1"/>
  <c r="T4" i="1"/>
  <c r="O4" i="1"/>
  <c r="J4" i="1"/>
  <c r="I4" i="1"/>
  <c r="K5" i="1" s="1"/>
  <c r="E4" i="1"/>
  <c r="D4" i="1"/>
  <c r="E5" i="1" s="1"/>
  <c r="AK3" i="1"/>
  <c r="AF3" i="1"/>
  <c r="AB3" i="1"/>
  <c r="Z3" i="1"/>
  <c r="AA4" i="1" s="1"/>
  <c r="Y3" i="1"/>
  <c r="T3" i="1"/>
  <c r="O3" i="1"/>
  <c r="I3" i="1"/>
  <c r="L3" i="1" s="1"/>
  <c r="E3" i="1"/>
  <c r="D3" i="1"/>
  <c r="AB2" i="1"/>
  <c r="Z2" i="1"/>
  <c r="AA3" i="1" s="1"/>
  <c r="T2" i="1"/>
  <c r="O2" i="1"/>
  <c r="L2" i="1"/>
  <c r="J2" i="1"/>
  <c r="I2" i="1"/>
  <c r="K3" i="1" s="1"/>
  <c r="D2" i="1"/>
  <c r="F34" i="2" l="1"/>
  <c r="G36" i="2"/>
  <c r="F38" i="2"/>
  <c r="G40" i="2"/>
  <c r="F42" i="2"/>
  <c r="G44" i="2"/>
  <c r="F46" i="2"/>
  <c r="G48" i="2"/>
  <c r="G54" i="2"/>
  <c r="G56" i="2"/>
  <c r="G50" i="2"/>
  <c r="G55" i="2"/>
  <c r="G32" i="2"/>
  <c r="F35" i="2"/>
  <c r="F36" i="2"/>
  <c r="F39" i="2"/>
  <c r="F40" i="2"/>
  <c r="F43" i="2"/>
  <c r="F44" i="2"/>
  <c r="G47" i="2"/>
  <c r="I50" i="2"/>
  <c r="G52" i="2"/>
  <c r="C13" i="3"/>
  <c r="N18" i="3"/>
  <c r="I16" i="3"/>
  <c r="N6" i="3"/>
  <c r="M2" i="3" s="1"/>
  <c r="N16" i="3" s="1"/>
  <c r="I37" i="2"/>
  <c r="I45" i="2"/>
  <c r="G49" i="2"/>
  <c r="F50" i="2"/>
  <c r="H52" i="2"/>
  <c r="G53" i="2"/>
  <c r="F32" i="2"/>
  <c r="I38" i="2"/>
  <c r="I42" i="2"/>
  <c r="I46" i="2"/>
  <c r="F47" i="2"/>
  <c r="I48" i="2"/>
  <c r="H49" i="2"/>
  <c r="I52" i="2"/>
  <c r="H53" i="2"/>
  <c r="F33" i="2"/>
  <c r="F41" i="2"/>
  <c r="I49" i="2"/>
  <c r="H50" i="2"/>
  <c r="I53" i="2"/>
  <c r="H54" i="2"/>
  <c r="H48" i="2"/>
  <c r="F54" i="2"/>
  <c r="H56" i="2"/>
  <c r="I34" i="2"/>
  <c r="F51" i="2"/>
  <c r="F55" i="2"/>
  <c r="I56" i="2"/>
  <c r="K6" i="1"/>
  <c r="J3" i="1"/>
  <c r="J5" i="1"/>
  <c r="J7" i="1"/>
  <c r="L8" i="1"/>
  <c r="J9" i="1"/>
  <c r="E11" i="1"/>
  <c r="L11" i="1"/>
  <c r="J13" i="1"/>
  <c r="E15" i="1"/>
  <c r="J17" i="1"/>
  <c r="E10" i="1"/>
  <c r="J12" i="1"/>
  <c r="E14" i="1"/>
  <c r="J16" i="1"/>
  <c r="E18" i="1"/>
  <c r="K4" i="1"/>
  <c r="L4" i="1"/>
  <c r="L6" i="1"/>
  <c r="L7" i="1"/>
  <c r="J11" i="1"/>
  <c r="J15" i="1"/>
  <c r="C21" i="3" l="1"/>
  <c r="D28" i="3"/>
  <c r="C24" i="3" s="1"/>
  <c r="C32" i="3" s="1"/>
  <c r="I28" i="3" l="1"/>
  <c r="F32" i="3"/>
  <c r="S27" i="3" s="1"/>
  <c r="F21" i="3"/>
  <c r="I29" i="3" s="1"/>
  <c r="N29" i="3" s="1"/>
  <c r="I17" i="3"/>
  <c r="H13" i="3" s="1"/>
  <c r="I27" i="3" l="1"/>
  <c r="H24" i="3" s="1"/>
  <c r="S28" i="3"/>
  <c r="R24" i="3" s="1"/>
  <c r="N17" i="3"/>
  <c r="M13" i="3" s="1"/>
  <c r="N27" i="3" s="1"/>
  <c r="S16" i="3"/>
  <c r="R13" i="3" s="1"/>
  <c r="N28" i="3" l="1"/>
  <c r="M24" i="3" s="1"/>
</calcChain>
</file>

<file path=xl/sharedStrings.xml><?xml version="1.0" encoding="utf-8"?>
<sst xmlns="http://schemas.openxmlformats.org/spreadsheetml/2006/main" count="435" uniqueCount="254">
  <si>
    <t>year</t>
  </si>
  <si>
    <t>India's rate USD/kg</t>
  </si>
  <si>
    <t>India rate lag</t>
  </si>
  <si>
    <t>India RC</t>
  </si>
  <si>
    <t>India RC+</t>
  </si>
  <si>
    <t>Pak's rate USD/kg</t>
  </si>
  <si>
    <t>PED</t>
  </si>
  <si>
    <t>Pak rate lag</t>
  </si>
  <si>
    <t>Pak RC</t>
  </si>
  <si>
    <t>Pak RC%</t>
  </si>
  <si>
    <t>Pak RC+</t>
  </si>
  <si>
    <t>IP RC</t>
  </si>
  <si>
    <t>TLD's rate USD/kg</t>
  </si>
  <si>
    <t>TLD rate lag</t>
  </si>
  <si>
    <t>TLD RC</t>
  </si>
  <si>
    <t>IRC</t>
  </si>
  <si>
    <t>PRC</t>
  </si>
  <si>
    <t>TRC</t>
  </si>
  <si>
    <t>Rate diff IP</t>
  </si>
  <si>
    <t>Rate diff 2</t>
  </si>
  <si>
    <t>Rate diff lag IP</t>
  </si>
  <si>
    <t>Rate diff TP</t>
  </si>
  <si>
    <t>Rate diff IT</t>
  </si>
  <si>
    <t>ISQ</t>
  </si>
  <si>
    <t>ISQ diff</t>
  </si>
  <si>
    <t>ISQ diff lag</t>
  </si>
  <si>
    <t>PSQ diff</t>
  </si>
  <si>
    <t>PSQ</t>
  </si>
  <si>
    <t>TSQ</t>
  </si>
  <si>
    <t>ISV</t>
  </si>
  <si>
    <t>ISV diff</t>
  </si>
  <si>
    <t>PSV</t>
  </si>
  <si>
    <t>TSV</t>
  </si>
  <si>
    <t>ISQ_lag</t>
  </si>
  <si>
    <t>PSQ_lag</t>
  </si>
  <si>
    <t>PSQ_lag+</t>
  </si>
  <si>
    <t>TSQ_lag</t>
  </si>
  <si>
    <t>ISV_lag</t>
  </si>
  <si>
    <t>PSV_lag</t>
  </si>
  <si>
    <t>TSV_lag</t>
  </si>
  <si>
    <t>-</t>
  </si>
  <si>
    <t>India export qty kg</t>
  </si>
  <si>
    <t>Pak export qty kg</t>
  </si>
  <si>
    <t>Thailand export qty kg</t>
  </si>
  <si>
    <t>India's share in qty</t>
  </si>
  <si>
    <t>Pak's share in qty</t>
  </si>
  <si>
    <t>TLD's share in qty</t>
  </si>
  <si>
    <t>World export qty kg</t>
  </si>
  <si>
    <t>India trade value 1000 USD</t>
  </si>
  <si>
    <t>Pak trade value 1000 USD</t>
  </si>
  <si>
    <t>TLD's trade value 1000 USD</t>
  </si>
  <si>
    <t>India's share in value</t>
  </si>
  <si>
    <t>Pak's share in value</t>
  </si>
  <si>
    <t>TLD's share in value</t>
  </si>
  <si>
    <t>World trade value 1000 USD</t>
  </si>
  <si>
    <t>100630 rice export</t>
  </si>
  <si>
    <t>India rate change</t>
  </si>
  <si>
    <t>Pak rate change</t>
  </si>
  <si>
    <t>TLD rate change</t>
  </si>
  <si>
    <t>Pak rate</t>
  </si>
  <si>
    <t>var</t>
  </si>
  <si>
    <t>coeff</t>
  </si>
  <si>
    <t>value</t>
  </si>
  <si>
    <t>const</t>
  </si>
  <si>
    <t>IP RC(Ind RC/Pak RC)</t>
  </si>
  <si>
    <t>M</t>
  </si>
  <si>
    <t>ISQ 2022</t>
  </si>
  <si>
    <t>ISQ 2023</t>
  </si>
  <si>
    <t>Pak rate w/o tariff</t>
  </si>
  <si>
    <t>India RC w/o tariff</t>
  </si>
  <si>
    <t>2025 India rate with tariff (30%)</t>
  </si>
  <si>
    <t>2025 India RC with tariff</t>
  </si>
  <si>
    <t>2025 Pak rate with tariff (11.25%)</t>
  </si>
  <si>
    <t>2025 Pak RC with tariff</t>
  </si>
  <si>
    <t>2026 India rate with tariff (40%)</t>
  </si>
  <si>
    <t>2026 Pak rate with tariff (15%)</t>
  </si>
  <si>
    <t>Sno</t>
  </si>
  <si>
    <t>MM-YYYY</t>
  </si>
  <si>
    <t>Month</t>
  </si>
  <si>
    <t>Year</t>
  </si>
  <si>
    <t>Variety</t>
  </si>
  <si>
    <t>Sin Month</t>
  </si>
  <si>
    <t>Cos Month</t>
  </si>
  <si>
    <t>Min Price Avg(Rs./MT)</t>
  </si>
  <si>
    <t>Max Price Avg(Rs./MT)</t>
  </si>
  <si>
    <t>Modal Price Avg(Rs./MT)</t>
  </si>
  <si>
    <t>No. of auctions</t>
  </si>
  <si>
    <t>Auction month</t>
  </si>
  <si>
    <t>No. of months since last auction</t>
  </si>
  <si>
    <t>Modal volatility</t>
  </si>
  <si>
    <t>Covid shock</t>
  </si>
  <si>
    <t>Last 12 month Indian export QTY MT</t>
  </si>
  <si>
    <t>Last 12 month Indian export INR Cr</t>
  </si>
  <si>
    <t>Last 12 month Indian export USD mil</t>
  </si>
  <si>
    <t>Last 12 month Pak export QTY MT</t>
  </si>
  <si>
    <t>Last 12 month Pak export USD mil</t>
  </si>
  <si>
    <t>India Export rate USD/MT for last 12 months</t>
  </si>
  <si>
    <t>Pak Export rate USD/MT for last 12 months</t>
  </si>
  <si>
    <t>India-Pak export rate last 12 months</t>
  </si>
  <si>
    <t>Current year harvest (000 MT)</t>
  </si>
  <si>
    <t>Current FY yield (MT/ha)</t>
  </si>
  <si>
    <t>MEP status in current month</t>
  </si>
  <si>
    <t>INR to USD depreciation rate (YoY)</t>
  </si>
  <si>
    <t>WPI change (YoY)</t>
  </si>
  <si>
    <t>Total</t>
  </si>
  <si>
    <t>Avg rates</t>
  </si>
  <si>
    <t>Haryana export value (mil USD)</t>
  </si>
  <si>
    <t>Haryana rate</t>
  </si>
  <si>
    <t>Haryana rate lag</t>
  </si>
  <si>
    <t>HRC</t>
  </si>
  <si>
    <t>Haryana % share</t>
  </si>
  <si>
    <t>Elasticity</t>
  </si>
  <si>
    <t>Haryana share lag</t>
  </si>
  <si>
    <t>HS diff lag</t>
  </si>
  <si>
    <t>HSC</t>
  </si>
  <si>
    <t>Punjab export value (mil USD)</t>
  </si>
  <si>
    <t>Punjab rate</t>
  </si>
  <si>
    <t>Punjab rate lag</t>
  </si>
  <si>
    <t>Punjab % share</t>
  </si>
  <si>
    <t>Punjab share lag</t>
  </si>
  <si>
    <t>PS diff lag</t>
  </si>
  <si>
    <t>PSC</t>
  </si>
  <si>
    <t>MP export value (mil USD)</t>
  </si>
  <si>
    <t>MP rate</t>
  </si>
  <si>
    <t>MP rate lag</t>
  </si>
  <si>
    <t>MPRC</t>
  </si>
  <si>
    <t>MP % share</t>
  </si>
  <si>
    <t>MP share lag</t>
  </si>
  <si>
    <t>MPS diff lag</t>
  </si>
  <si>
    <t>MPSC</t>
  </si>
  <si>
    <t>Gujarat export value (mil USD)</t>
  </si>
  <si>
    <t>Gujarat rates</t>
  </si>
  <si>
    <t>GRC</t>
  </si>
  <si>
    <t>Gujarat % share</t>
  </si>
  <si>
    <t>Gujarat share lag</t>
  </si>
  <si>
    <t>GS diff lag</t>
  </si>
  <si>
    <t>GSC</t>
  </si>
  <si>
    <t>% Share</t>
  </si>
  <si>
    <t>Haryana</t>
  </si>
  <si>
    <t>MP</t>
  </si>
  <si>
    <t>H</t>
  </si>
  <si>
    <r>
      <rPr>
        <b/>
        <sz val="11"/>
        <color theme="1"/>
        <rFont val="Arial"/>
        <family val="2"/>
        <scheme val="minor"/>
      </rPr>
      <t>Ongoing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98 INR
</t>
    </r>
    <r>
      <rPr>
        <b/>
        <sz val="11"/>
        <color theme="1"/>
        <rFont val="Arial"/>
        <family val="2"/>
        <scheme val="minor"/>
      </rPr>
      <t>Margin:</t>
    </r>
    <r>
      <rPr>
        <sz val="10"/>
        <color rgb="FF000000"/>
        <rFont val="Arial"/>
        <scheme val="minor"/>
      </rPr>
      <t xml:space="preserve"> 17.64%</t>
    </r>
  </si>
  <si>
    <r>
      <rPr>
        <b/>
        <sz val="11"/>
        <color theme="1"/>
        <rFont val="Arial"/>
        <family val="2"/>
        <scheme val="minor"/>
      </rPr>
      <t>Lower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86.5 INR
</t>
    </r>
    <r>
      <rPr>
        <b/>
        <sz val="11"/>
        <color theme="1"/>
        <rFont val="Arial"/>
        <family val="2"/>
        <scheme val="minor"/>
      </rPr>
      <t>Margin:</t>
    </r>
    <r>
      <rPr>
        <sz val="10"/>
        <color rgb="FF000000"/>
        <rFont val="Arial"/>
        <scheme val="minor"/>
      </rPr>
      <t xml:space="preserve"> 10%</t>
    </r>
  </si>
  <si>
    <r>
      <rPr>
        <b/>
        <sz val="11"/>
        <color theme="1"/>
        <rFont val="Arial"/>
        <family val="2"/>
        <scheme val="minor"/>
      </rPr>
      <t>Higher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102 INR
</t>
    </r>
    <r>
      <rPr>
        <b/>
        <sz val="11"/>
        <color theme="1"/>
        <rFont val="Arial"/>
        <family val="2"/>
        <scheme val="minor"/>
      </rPr>
      <t xml:space="preserve">Margin: </t>
    </r>
    <r>
      <rPr>
        <sz val="10"/>
        <color rgb="FF000000"/>
        <rFont val="Arial"/>
        <scheme val="minor"/>
      </rPr>
      <t>19.9%</t>
    </r>
  </si>
  <si>
    <r>
      <rPr>
        <b/>
        <sz val="11"/>
        <color theme="1"/>
        <rFont val="Arial"/>
        <family val="2"/>
        <scheme val="minor"/>
      </rPr>
      <t>Ongoing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79.3 INR
</t>
    </r>
    <r>
      <rPr>
        <b/>
        <sz val="11"/>
        <color theme="1"/>
        <rFont val="Arial"/>
        <family val="2"/>
        <scheme val="minor"/>
      </rPr>
      <t>Margin:</t>
    </r>
    <r>
      <rPr>
        <sz val="10"/>
        <color rgb="FF000000"/>
        <rFont val="Arial"/>
        <scheme val="minor"/>
      </rPr>
      <t xml:space="preserve"> 4.12%</t>
    </r>
  </si>
  <si>
    <t>MP: 51.52, 48.14%
H: 118.49, 20.92%</t>
  </si>
  <si>
    <t>MP: 51.16, 47.81%
H: 60.57, 21.37%</t>
  </si>
  <si>
    <t>MP: 51.65, 48.26%
H: 138.07, 20.76%</t>
  </si>
  <si>
    <r>
      <rPr>
        <b/>
        <sz val="11"/>
        <color theme="1"/>
        <rFont val="Arial"/>
        <family val="2"/>
        <scheme val="minor"/>
      </rPr>
      <t>Increased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83.3 INR
</t>
    </r>
    <r>
      <rPr>
        <b/>
        <sz val="11"/>
        <color theme="1"/>
        <rFont val="Arial"/>
        <family val="2"/>
        <scheme val="minor"/>
      </rPr>
      <t>Margin:</t>
    </r>
    <r>
      <rPr>
        <sz val="10"/>
        <color rgb="FF000000"/>
        <rFont val="Arial"/>
        <scheme val="minor"/>
      </rPr>
      <t xml:space="preserve"> 7.52%</t>
    </r>
  </si>
  <si>
    <t>MP: 96.89, 47.22%
H: 125.60, 22.18%</t>
  </si>
  <si>
    <t>MP: 96.21, 46.88%
H: 64.12, 22.63%</t>
  </si>
  <si>
    <t>MP: 97.14, 47.34%
H: 146.31, 22.01%</t>
  </si>
  <si>
    <r>
      <rPr>
        <b/>
        <sz val="11"/>
        <color theme="1"/>
        <rFont val="Arial"/>
        <family val="2"/>
        <scheme val="minor"/>
      </rPr>
      <t>Increased Rate 2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86.5 INR
</t>
    </r>
    <r>
      <rPr>
        <b/>
        <sz val="11"/>
        <color theme="1"/>
        <rFont val="Arial"/>
        <family val="2"/>
        <scheme val="minor"/>
      </rPr>
      <t xml:space="preserve">Margin: </t>
    </r>
    <r>
      <rPr>
        <sz val="10"/>
        <color rgb="FF000000"/>
        <rFont val="Arial"/>
        <scheme val="minor"/>
      </rPr>
      <t>10%</t>
    </r>
  </si>
  <si>
    <t>MP: 131, 46.46%
H: 131.41, 23.20%</t>
  </si>
  <si>
    <t>MP: 130, 46.13%
H: 67.03, 23.66%</t>
  </si>
  <si>
    <t>MP: 132, 46.58%
H: 153.19, 23.04%</t>
  </si>
  <si>
    <t>Pay-Off Matrix FOB Rates</t>
  </si>
  <si>
    <t>Details</t>
  </si>
  <si>
    <t>Pay-Off Matrix (Profit in INR Cr, Market share in %)</t>
  </si>
  <si>
    <t>Profit weight</t>
  </si>
  <si>
    <t>Share weight</t>
  </si>
  <si>
    <t>Profit</t>
  </si>
  <si>
    <t>Share</t>
  </si>
  <si>
    <t>Profit new</t>
  </si>
  <si>
    <t>Share new</t>
  </si>
  <si>
    <t>Combined score</t>
  </si>
  <si>
    <t>79.3, 98</t>
  </si>
  <si>
    <t>79.3, 86.5</t>
  </si>
  <si>
    <t>79.3, 102</t>
  </si>
  <si>
    <t>83.3, 98</t>
  </si>
  <si>
    <t>83.3, 86.5</t>
  </si>
  <si>
    <t>83.3, 102</t>
  </si>
  <si>
    <t>86.5, 98</t>
  </si>
  <si>
    <t>86.5, 86.5</t>
  </si>
  <si>
    <t>MP: 0.47
H: 0.38</t>
  </si>
  <si>
    <t>MP: 0.54
H: 0.73</t>
  </si>
  <si>
    <t>MP: 0.57
H: 1.01</t>
  </si>
  <si>
    <t>86.5, 102</t>
  </si>
  <si>
    <t>MP: 0.39
H: 0.31</t>
  </si>
  <si>
    <t>MP: 0.45
H: 0.64</t>
  </si>
  <si>
    <t>MP: 0.49
H: 0.92</t>
  </si>
  <si>
    <t>MP: 0.50
H: 0.41</t>
  </si>
  <si>
    <t>MP: 0.57
H: 0.75</t>
  </si>
  <si>
    <t>MP: 0.61
H: 1.04</t>
  </si>
  <si>
    <t>Total Operating Expense (TOE)</t>
  </si>
  <si>
    <t>Value in Rs</t>
  </si>
  <si>
    <t>Financial Expenses</t>
  </si>
  <si>
    <t>Taxes</t>
  </si>
  <si>
    <t>Values</t>
  </si>
  <si>
    <t>FOB rates for US export</t>
  </si>
  <si>
    <t>Values in Rs/kg</t>
  </si>
  <si>
    <t>Avg mandi modal rates for paddy (Rs/quintal)</t>
  </si>
  <si>
    <t>Short-term working capital interests (@10%p.a.)</t>
  </si>
  <si>
    <t>Corporate tax rate</t>
  </si>
  <si>
    <t>Medium exporter</t>
  </si>
  <si>
    <t>Rate of recovered rice at 65% (Rs/quintal)</t>
  </si>
  <si>
    <t>Exchange rate hedge cost (0.63% of transaction value)</t>
  </si>
  <si>
    <t>GST</t>
  </si>
  <si>
    <t>nil</t>
  </si>
  <si>
    <t>freight</t>
  </si>
  <si>
    <t>Rate of recovered rice (Rs/kg)</t>
  </si>
  <si>
    <t>insurance</t>
  </si>
  <si>
    <t>Commission charges per kg (rs 55/quintal)</t>
  </si>
  <si>
    <t>Medium exporter CIF</t>
  </si>
  <si>
    <t>Mandi fee @2%</t>
  </si>
  <si>
    <t>Medium exp</t>
  </si>
  <si>
    <t>Medium CIF in $</t>
  </si>
  <si>
    <t>Cess @2%</t>
  </si>
  <si>
    <t>Operating profit (Rs)</t>
  </si>
  <si>
    <t>Cost of Goods for US importers at 40% tariff (USD)</t>
  </si>
  <si>
    <t>Processing cost (milling, polishing, grading, storage, packaging) Rs per kg</t>
  </si>
  <si>
    <t>Operating Margin (on TOE) %</t>
  </si>
  <si>
    <t>Transport cost(mandi-&gt;mill-&gt;port) Rs/kg</t>
  </si>
  <si>
    <t>Net profit (Rs)</t>
  </si>
  <si>
    <t>Port handling charges Rs/kg</t>
  </si>
  <si>
    <t>Profit margin%</t>
  </si>
  <si>
    <t>US compliance certification cost Rs/kg</t>
  </si>
  <si>
    <t>Overheads Rs/kg</t>
  </si>
  <si>
    <t>Total per kg cost</t>
  </si>
  <si>
    <t>2024 Crop</t>
  </si>
  <si>
    <t>Value in Pkr</t>
  </si>
  <si>
    <t>Values in Pkr/kg</t>
  </si>
  <si>
    <t>Cost of Goods for US importePkr at 15% tariff (Pkr)</t>
  </si>
  <si>
    <t>Cost of Goods for US importePkr at 15% tariff (USD)</t>
  </si>
  <si>
    <t>Avg mandi modal rates for paddy (Pkr/quintal)</t>
  </si>
  <si>
    <t>May 2025 rates (1225 $ per ton)</t>
  </si>
  <si>
    <t>Rate of recovered rice at 65% (Pkr/quintal)</t>
  </si>
  <si>
    <t xml:space="preserve">source: https://ricenewstoday.com/wp-content/uploads/2025/06/RNT-weekly-report-Volume-20.pdf?utm_source=chatgpt.com </t>
  </si>
  <si>
    <t>Rate of recovered rice (Pkr/kg)</t>
  </si>
  <si>
    <t>Commission charges per kg</t>
  </si>
  <si>
    <t>Mandi tax @5%</t>
  </si>
  <si>
    <t>exporter CIF</t>
  </si>
  <si>
    <t>Processing cost (milling, polishing, grading, storage, packaging) + Overheads Pkr per kg</t>
  </si>
  <si>
    <t>Operating profit (Pkr)</t>
  </si>
  <si>
    <t>exporter CIF in $</t>
  </si>
  <si>
    <t>Transport and port handling cost Pkr/kg</t>
  </si>
  <si>
    <t>US compliance certification cost Pkr/kg</t>
  </si>
  <si>
    <t>Net profit (Pkr)</t>
  </si>
  <si>
    <t>India per kg FOB profit margin (INR)</t>
  </si>
  <si>
    <t>Pak per kg FOB profit margin (INR)</t>
  </si>
  <si>
    <t>Selling price/FOB rate</t>
  </si>
  <si>
    <t>Operating expenditure</t>
  </si>
  <si>
    <t>Operating profit</t>
  </si>
  <si>
    <t>Financial expenses</t>
  </si>
  <si>
    <t>Net profit margin(%)</t>
  </si>
  <si>
    <t>Indian rice per kg cost to importer</t>
  </si>
  <si>
    <t>Pak rice per kg cost to importer</t>
  </si>
  <si>
    <t>FOB rate</t>
  </si>
  <si>
    <t>Freight+insurance</t>
  </si>
  <si>
    <t>CIF (INR)</t>
  </si>
  <si>
    <t>US import tariff 2026</t>
  </si>
  <si>
    <t>Total per kg cost to importer (USD)</t>
  </si>
  <si>
    <t>actual</t>
  </si>
  <si>
    <t xml:space="preserve">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</si>
</sst>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.0000"/>
    <numFmt numFmtId="165" formatCode="0.00000"/>
    <numFmt numFmtId="166" formatCode="0.0000%"/>
    <numFmt numFmtId="167" formatCode="0.000%"/>
    <numFmt numFmtId="168" formatCode="0.0000000"/>
    <numFmt numFmtId="169" formatCode="0.000000"/>
    <numFmt numFmtId="170" formatCode="yyyy/mm/dd"/>
    <numFmt numFmtId="171" formatCode="0.000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rgb="FF000000"/>
      <name val="Consolas"/>
      <family val="3"/>
    </font>
    <font>
      <sz val="7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10"/>
      <color rgb="FF333333"/>
      <name val="Arial"/>
      <family val="2"/>
      <scheme val="minor"/>
    </font>
    <font>
      <sz val="7"/>
      <color rgb="FF333333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7F48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3366"/>
        <bgColor indexed="64"/>
      </patternFill>
    </fill>
  </fills>
  <borders count="1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5" fillId="0" borderId="0" xfId="0" applyFont="1"/>
    <xf numFmtId="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" fontId="6" fillId="0" borderId="0" xfId="0" applyNumberFormat="1" applyFont="1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7" fillId="0" borderId="0" xfId="0" applyFont="1" applyAlignment="1">
      <alignment horizontal="left" vertical="center"/>
    </xf>
    <xf numFmtId="0" fontId="0" fillId="0" borderId="0" xfId="1" applyNumberFormat="1" applyFont="1"/>
    <xf numFmtId="4" fontId="8" fillId="2" borderId="1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/>
    <xf numFmtId="10" fontId="0" fillId="0" borderId="0" xfId="0" applyNumberFormat="1"/>
    <xf numFmtId="4" fontId="6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0" fontId="0" fillId="3" borderId="0" xfId="1" applyNumberFormat="1" applyFont="1" applyFill="1"/>
    <xf numFmtId="10" fontId="0" fillId="4" borderId="0" xfId="1" applyNumberFormat="1" applyFont="1" applyFill="1"/>
    <xf numFmtId="166" fontId="0" fillId="5" borderId="0" xfId="1" applyNumberFormat="1" applyFont="1" applyFill="1"/>
    <xf numFmtId="10" fontId="0" fillId="6" borderId="0" xfId="1" applyNumberFormat="1" applyFont="1" applyFill="1"/>
    <xf numFmtId="166" fontId="0" fillId="6" borderId="0" xfId="1" applyNumberFormat="1" applyFont="1" applyFill="1"/>
    <xf numFmtId="0" fontId="5" fillId="0" borderId="4" xfId="0" applyFont="1" applyBorder="1"/>
    <xf numFmtId="1" fontId="0" fillId="0" borderId="4" xfId="0" applyNumberFormat="1" applyBorder="1" applyAlignment="1">
      <alignment horizontal="left"/>
    </xf>
    <xf numFmtId="2" fontId="6" fillId="0" borderId="4" xfId="0" applyNumberFormat="1" applyFont="1" applyBorder="1" applyAlignment="1">
      <alignment horizontal="center" vertical="center"/>
    </xf>
    <xf numFmtId="10" fontId="6" fillId="0" borderId="4" xfId="1" applyNumberFormat="1" applyFont="1" applyBorder="1" applyAlignment="1">
      <alignment horizontal="center" vertical="center"/>
    </xf>
    <xf numFmtId="2" fontId="0" fillId="0" borderId="4" xfId="0" applyNumberFormat="1" applyBorder="1"/>
    <xf numFmtId="10" fontId="0" fillId="0" borderId="4" xfId="1" applyNumberFormat="1" applyFont="1" applyBorder="1"/>
    <xf numFmtId="10" fontId="0" fillId="0" borderId="4" xfId="0" applyNumberFormat="1" applyBorder="1" applyAlignment="1">
      <alignment horizontal="center" vertical="center"/>
    </xf>
    <xf numFmtId="10" fontId="6" fillId="0" borderId="4" xfId="0" applyNumberFormat="1" applyFont="1" applyBorder="1"/>
    <xf numFmtId="1" fontId="6" fillId="0" borderId="4" xfId="0" applyNumberFormat="1" applyFont="1" applyBorder="1" applyAlignment="1">
      <alignment horizontal="left"/>
    </xf>
    <xf numFmtId="0" fontId="6" fillId="0" borderId="4" xfId="1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3" fontId="6" fillId="7" borderId="4" xfId="0" applyNumberFormat="1" applyFont="1" applyFill="1" applyBorder="1" applyAlignment="1">
      <alignment horizontal="center" vertical="center" wrapText="1"/>
    </xf>
    <xf numFmtId="10" fontId="6" fillId="7" borderId="4" xfId="1" applyNumberFormat="1" applyFont="1" applyFill="1" applyBorder="1" applyAlignment="1">
      <alignment horizontal="center" vertical="center" wrapText="1"/>
    </xf>
    <xf numFmtId="4" fontId="6" fillId="7" borderId="4" xfId="0" applyNumberFormat="1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4" fontId="6" fillId="2" borderId="4" xfId="0" applyNumberFormat="1" applyFont="1" applyFill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 vertical="center"/>
    </xf>
    <xf numFmtId="0" fontId="8" fillId="7" borderId="3" xfId="0" applyFont="1" applyFill="1" applyBorder="1" applyAlignment="1">
      <alignment horizontal="right" vertical="center" wrapText="1"/>
    </xf>
    <xf numFmtId="3" fontId="11" fillId="0" borderId="0" xfId="0" applyNumberFormat="1" applyFont="1"/>
    <xf numFmtId="3" fontId="10" fillId="0" borderId="4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right" vertical="center" wrapText="1"/>
    </xf>
    <xf numFmtId="4" fontId="11" fillId="0" borderId="0" xfId="0" applyNumberFormat="1" applyFont="1"/>
    <xf numFmtId="168" fontId="0" fillId="0" borderId="4" xfId="0" applyNumberFormat="1" applyBorder="1" applyAlignment="1">
      <alignment horizontal="center" vertical="center"/>
    </xf>
    <xf numFmtId="0" fontId="6" fillId="0" borderId="4" xfId="0" applyFont="1" applyBorder="1"/>
    <xf numFmtId="0" fontId="5" fillId="0" borderId="6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5" fillId="0" borderId="9" xfId="0" applyFont="1" applyBorder="1"/>
    <xf numFmtId="10" fontId="0" fillId="0" borderId="0" xfId="1" applyNumberFormat="1" applyFont="1" applyBorder="1"/>
    <xf numFmtId="0" fontId="0" fillId="0" borderId="10" xfId="0" applyBorder="1"/>
    <xf numFmtId="0" fontId="0" fillId="0" borderId="9" xfId="0" applyBorder="1"/>
    <xf numFmtId="10" fontId="0" fillId="0" borderId="0" xfId="1" applyNumberFormat="1" applyFont="1" applyBorder="1" applyAlignment="1">
      <alignment horizontal="center" vertical="center"/>
    </xf>
    <xf numFmtId="10" fontId="0" fillId="0" borderId="10" xfId="1" applyNumberFormat="1" applyFont="1" applyBorder="1"/>
    <xf numFmtId="10" fontId="0" fillId="0" borderId="10" xfId="0" applyNumberFormat="1" applyBorder="1"/>
    <xf numFmtId="0" fontId="0" fillId="0" borderId="10" xfId="1" applyNumberFormat="1" applyFont="1" applyBorder="1"/>
    <xf numFmtId="2" fontId="0" fillId="0" borderId="9" xfId="0" applyNumberFormat="1" applyBorder="1" applyAlignment="1">
      <alignment horizontal="center" vertical="center"/>
    </xf>
    <xf numFmtId="0" fontId="0" fillId="0" borderId="0" xfId="1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2" xfId="0" applyFont="1" applyBorder="1"/>
    <xf numFmtId="2" fontId="0" fillId="0" borderId="12" xfId="0" applyNumberFormat="1" applyBorder="1"/>
    <xf numFmtId="0" fontId="5" fillId="0" borderId="7" xfId="0" applyFont="1" applyBorder="1"/>
    <xf numFmtId="9" fontId="0" fillId="0" borderId="7" xfId="0" applyNumberFormat="1" applyBorder="1"/>
    <xf numFmtId="0" fontId="6" fillId="0" borderId="7" xfId="0" applyFont="1" applyBorder="1"/>
    <xf numFmtId="10" fontId="0" fillId="0" borderId="7" xfId="0" applyNumberFormat="1" applyBorder="1"/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vertical="center" wrapText="1"/>
    </xf>
    <xf numFmtId="2" fontId="0" fillId="0" borderId="10" xfId="1" applyNumberFormat="1" applyFont="1" applyBorder="1"/>
    <xf numFmtId="0" fontId="6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9" fontId="0" fillId="0" borderId="0" xfId="0" applyNumberFormat="1" applyAlignment="1">
      <alignment horizontal="center" vertical="center"/>
    </xf>
    <xf numFmtId="0" fontId="3" fillId="0" borderId="0" xfId="2" applyFont="1"/>
    <xf numFmtId="0" fontId="2" fillId="0" borderId="0" xfId="2"/>
    <xf numFmtId="0" fontId="2" fillId="0" borderId="0" xfId="2" applyAlignment="1">
      <alignment horizontal="left"/>
    </xf>
    <xf numFmtId="170" fontId="2" fillId="0" borderId="0" xfId="2" applyNumberFormat="1" applyAlignment="1">
      <alignment horizontal="left"/>
    </xf>
    <xf numFmtId="1" fontId="2" fillId="0" borderId="0" xfId="2" applyNumberFormat="1"/>
    <xf numFmtId="0" fontId="12" fillId="0" borderId="0" xfId="2" applyFont="1" applyAlignment="1">
      <alignment horizontal="left"/>
    </xf>
    <xf numFmtId="170" fontId="12" fillId="0" borderId="0" xfId="2" applyNumberFormat="1" applyFont="1" applyAlignment="1">
      <alignment horizontal="left"/>
    </xf>
    <xf numFmtId="0" fontId="12" fillId="0" borderId="0" xfId="2" applyFont="1"/>
    <xf numFmtId="1" fontId="12" fillId="0" borderId="0" xfId="2" applyNumberFormat="1" applyFont="1"/>
    <xf numFmtId="9" fontId="12" fillId="0" borderId="0" xfId="2" applyNumberFormat="1" applyFont="1"/>
    <xf numFmtId="9" fontId="13" fillId="0" borderId="0" xfId="3" applyFont="1"/>
    <xf numFmtId="10" fontId="2" fillId="0" borderId="4" xfId="3" applyNumberFormat="1" applyFont="1" applyFill="1" applyBorder="1"/>
    <xf numFmtId="2" fontId="2" fillId="0" borderId="4" xfId="2" applyNumberFormat="1" applyBorder="1"/>
    <xf numFmtId="10" fontId="15" fillId="0" borderId="4" xfId="3" applyNumberFormat="1" applyFont="1" applyFill="1" applyBorder="1" applyAlignment="1">
      <alignment horizontal="right" wrapText="1"/>
    </xf>
    <xf numFmtId="0" fontId="3" fillId="0" borderId="4" xfId="2" applyFont="1" applyBorder="1"/>
    <xf numFmtId="0" fontId="2" fillId="0" borderId="4" xfId="2" applyBorder="1"/>
    <xf numFmtId="10" fontId="0" fillId="0" borderId="0" xfId="3" applyNumberFormat="1" applyFont="1"/>
    <xf numFmtId="0" fontId="3" fillId="0" borderId="4" xfId="2" applyFont="1" applyBorder="1" applyAlignment="1">
      <alignment horizontal="center" vertical="center" wrapText="1"/>
    </xf>
    <xf numFmtId="171" fontId="2" fillId="0" borderId="4" xfId="2" applyNumberFormat="1" applyBorder="1" applyAlignment="1">
      <alignment vertical="center" wrapText="1"/>
    </xf>
    <xf numFmtId="0" fontId="2" fillId="0" borderId="4" xfId="2" applyBorder="1" applyAlignment="1">
      <alignment vertical="center" wrapText="1"/>
    </xf>
    <xf numFmtId="10" fontId="2" fillId="0" borderId="4" xfId="2" applyNumberFormat="1" applyBorder="1"/>
    <xf numFmtId="2" fontId="14" fillId="0" borderId="4" xfId="2" applyNumberFormat="1" applyFont="1" applyBorder="1" applyAlignment="1">
      <alignment wrapText="1"/>
    </xf>
    <xf numFmtId="2" fontId="3" fillId="0" borderId="4" xfId="2" applyNumberFormat="1" applyFont="1" applyBorder="1"/>
    <xf numFmtId="1" fontId="15" fillId="0" borderId="4" xfId="2" applyNumberFormat="1" applyFont="1" applyBorder="1" applyAlignment="1">
      <alignment horizontal="left" wrapText="1"/>
    </xf>
    <xf numFmtId="2" fontId="15" fillId="0" borderId="4" xfId="2" applyNumberFormat="1" applyFont="1" applyBorder="1" applyAlignment="1">
      <alignment horizontal="right" wrapText="1"/>
    </xf>
    <xf numFmtId="2" fontId="15" fillId="0" borderId="4" xfId="3" applyNumberFormat="1" applyFont="1" applyFill="1" applyBorder="1" applyAlignment="1">
      <alignment horizontal="right" wrapText="1"/>
    </xf>
    <xf numFmtId="2" fontId="2" fillId="0" borderId="4" xfId="3" applyNumberFormat="1" applyFont="1" applyFill="1" applyBorder="1"/>
    <xf numFmtId="9" fontId="0" fillId="0" borderId="4" xfId="3" applyFont="1" applyFill="1" applyBorder="1"/>
    <xf numFmtId="0" fontId="15" fillId="0" borderId="4" xfId="3" applyNumberFormat="1" applyFont="1" applyFill="1" applyBorder="1" applyAlignment="1">
      <alignment horizontal="right" wrapText="1"/>
    </xf>
    <xf numFmtId="0" fontId="2" fillId="0" borderId="4" xfId="3" applyNumberFormat="1" applyFont="1" applyFill="1" applyBorder="1"/>
    <xf numFmtId="2" fontId="14" fillId="8" borderId="4" xfId="2" applyNumberFormat="1" applyFont="1" applyFill="1" applyBorder="1" applyAlignment="1">
      <alignment vertical="center" wrapText="1"/>
    </xf>
    <xf numFmtId="2" fontId="14" fillId="8" borderId="4" xfId="2" applyNumberFormat="1" applyFont="1" applyFill="1" applyBorder="1" applyAlignment="1">
      <alignment horizontal="left" vertical="center" wrapText="1"/>
    </xf>
    <xf numFmtId="171" fontId="3" fillId="0" borderId="4" xfId="2" applyNumberFormat="1" applyFont="1" applyBorder="1" applyAlignment="1">
      <alignment horizontal="center" vertical="center"/>
    </xf>
    <xf numFmtId="0" fontId="2" fillId="0" borderId="14" xfId="2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0" xfId="5" applyFont="1"/>
    <xf numFmtId="0" fontId="1" fillId="0" borderId="0" xfId="5"/>
    <xf numFmtId="0" fontId="3" fillId="9" borderId="4" xfId="5" applyFont="1" applyFill="1" applyBorder="1" applyAlignment="1">
      <alignment horizontal="left" vertical="center" wrapText="1"/>
    </xf>
    <xf numFmtId="0" fontId="3" fillId="9" borderId="4" xfId="5" applyFont="1" applyFill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3" fillId="9" borderId="15" xfId="5" applyFont="1" applyFill="1" applyBorder="1" applyAlignment="1">
      <alignment horizontal="left" vertical="center"/>
    </xf>
    <xf numFmtId="0" fontId="1" fillId="10" borderId="4" xfId="5" applyFill="1" applyBorder="1" applyAlignment="1">
      <alignment vertical="center" wrapText="1"/>
    </xf>
    <xf numFmtId="2" fontId="1" fillId="0" borderId="4" xfId="5" applyNumberFormat="1" applyBorder="1" applyAlignment="1">
      <alignment horizontal="center" vertical="center"/>
    </xf>
    <xf numFmtId="2" fontId="1" fillId="0" borderId="4" xfId="5" applyNumberFormat="1" applyBorder="1" applyAlignment="1">
      <alignment horizontal="center" vertical="center" wrapText="1"/>
    </xf>
    <xf numFmtId="0" fontId="1" fillId="10" borderId="4" xfId="5" applyFill="1" applyBorder="1" applyAlignment="1">
      <alignment vertical="center"/>
    </xf>
    <xf numFmtId="9" fontId="1" fillId="0" borderId="4" xfId="5" applyNumberFormat="1" applyBorder="1" applyAlignment="1">
      <alignment horizontal="center" vertical="center"/>
    </xf>
    <xf numFmtId="0" fontId="1" fillId="0" borderId="0" xfId="5" applyAlignment="1">
      <alignment vertical="center"/>
    </xf>
    <xf numFmtId="0" fontId="1" fillId="0" borderId="4" xfId="5" applyBorder="1" applyAlignment="1">
      <alignment horizontal="center" vertical="center"/>
    </xf>
    <xf numFmtId="0" fontId="1" fillId="10" borderId="4" xfId="5" applyFill="1" applyBorder="1" applyAlignment="1">
      <alignment wrapText="1"/>
    </xf>
    <xf numFmtId="0" fontId="3" fillId="10" borderId="4" xfId="5" applyFont="1" applyFill="1" applyBorder="1"/>
    <xf numFmtId="2" fontId="3" fillId="0" borderId="4" xfId="5" applyNumberFormat="1" applyFont="1" applyBorder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7" fontId="0" fillId="0" borderId="0" xfId="6" applyNumberFormat="1" applyFont="1"/>
    <xf numFmtId="2" fontId="1" fillId="0" borderId="0" xfId="5" applyNumberFormat="1"/>
    <xf numFmtId="0" fontId="3" fillId="10" borderId="4" xfId="5" applyFont="1" applyFill="1" applyBorder="1" applyAlignment="1">
      <alignment wrapText="1"/>
    </xf>
    <xf numFmtId="10" fontId="0" fillId="0" borderId="0" xfId="6" applyNumberFormat="1" applyFont="1"/>
    <xf numFmtId="1" fontId="1" fillId="0" borderId="0" xfId="5" applyNumberFormat="1"/>
    <xf numFmtId="0" fontId="16" fillId="11" borderId="4" xfId="5" applyFont="1" applyFill="1" applyBorder="1" applyAlignment="1">
      <alignment horizontal="center" vertical="center"/>
    </xf>
    <xf numFmtId="2" fontId="16" fillId="11" borderId="4" xfId="5" applyNumberFormat="1" applyFont="1" applyFill="1" applyBorder="1" applyAlignment="1">
      <alignment horizontal="center" vertical="center"/>
    </xf>
    <xf numFmtId="0" fontId="1" fillId="0" borderId="4" xfId="5" applyBorder="1" applyAlignment="1">
      <alignment horizontal="left" wrapText="1"/>
    </xf>
    <xf numFmtId="0" fontId="3" fillId="9" borderId="6" xfId="5" applyFont="1" applyFill="1" applyBorder="1"/>
    <xf numFmtId="0" fontId="3" fillId="9" borderId="5" xfId="5" applyFont="1" applyFill="1" applyBorder="1"/>
    <xf numFmtId="0" fontId="1" fillId="10" borderId="4" xfId="5" applyFill="1" applyBorder="1" applyAlignment="1">
      <alignment vertical="top" wrapText="1"/>
    </xf>
    <xf numFmtId="0" fontId="16" fillId="11" borderId="6" xfId="5" applyFont="1" applyFill="1" applyBorder="1" applyAlignment="1">
      <alignment horizontal="left" vertical="center"/>
    </xf>
    <xf numFmtId="2" fontId="1" fillId="0" borderId="8" xfId="5" applyNumberFormat="1" applyBorder="1" applyAlignment="1">
      <alignment horizontal="center" vertical="center"/>
    </xf>
    <xf numFmtId="0" fontId="16" fillId="11" borderId="9" xfId="5" applyFont="1" applyFill="1" applyBorder="1" applyAlignment="1">
      <alignment horizontal="left" wrapText="1"/>
    </xf>
    <xf numFmtId="9" fontId="0" fillId="0" borderId="10" xfId="6" applyFont="1" applyBorder="1" applyAlignment="1">
      <alignment horizontal="center" vertical="center"/>
    </xf>
    <xf numFmtId="0" fontId="16" fillId="11" borderId="9" xfId="5" applyFont="1" applyFill="1" applyBorder="1" applyAlignment="1">
      <alignment horizontal="left" vertical="center"/>
    </xf>
    <xf numFmtId="2" fontId="1" fillId="0" borderId="10" xfId="5" applyNumberFormat="1" applyBorder="1" applyAlignment="1">
      <alignment horizontal="center" vertical="center"/>
    </xf>
    <xf numFmtId="9" fontId="0" fillId="0" borderId="0" xfId="6" applyFont="1" applyBorder="1" applyAlignment="1">
      <alignment horizontal="center" vertical="center"/>
    </xf>
    <xf numFmtId="0" fontId="16" fillId="11" borderId="11" xfId="5" applyFont="1" applyFill="1" applyBorder="1" applyAlignment="1">
      <alignment horizontal="left" vertical="center"/>
    </xf>
    <xf numFmtId="10" fontId="0" fillId="0" borderId="13" xfId="6" applyNumberFormat="1" applyFont="1" applyBorder="1" applyAlignment="1">
      <alignment horizontal="center" vertical="center"/>
    </xf>
    <xf numFmtId="9" fontId="13" fillId="0" borderId="4" xfId="6" applyFont="1" applyBorder="1" applyAlignment="1">
      <alignment horizontal="center" vertical="center"/>
    </xf>
    <xf numFmtId="9" fontId="13" fillId="0" borderId="0" xfId="6" applyFont="1" applyFill="1" applyBorder="1" applyAlignment="1">
      <alignment horizontal="center" vertical="center"/>
    </xf>
    <xf numFmtId="167" fontId="13" fillId="0" borderId="0" xfId="6" applyNumberFormat="1" applyFont="1"/>
    <xf numFmtId="10" fontId="13" fillId="0" borderId="4" xfId="6" applyNumberFormat="1" applyFont="1" applyBorder="1" applyAlignment="1">
      <alignment horizontal="center" vertical="center"/>
    </xf>
    <xf numFmtId="0" fontId="13" fillId="0" borderId="0" xfId="6" applyNumberFormat="1" applyFont="1"/>
    <xf numFmtId="0" fontId="17" fillId="0" borderId="0" xfId="5" applyFont="1"/>
    <xf numFmtId="0" fontId="18" fillId="0" borderId="0" xfId="5" applyFont="1"/>
    <xf numFmtId="0" fontId="17" fillId="9" borderId="4" xfId="5" applyFont="1" applyFill="1" applyBorder="1" applyAlignment="1">
      <alignment horizontal="left" vertical="center" wrapText="1"/>
    </xf>
    <xf numFmtId="0" fontId="17" fillId="9" borderId="4" xfId="5" applyFont="1" applyFill="1" applyBorder="1" applyAlignment="1">
      <alignment horizontal="left" vertical="center"/>
    </xf>
    <xf numFmtId="0" fontId="18" fillId="0" borderId="0" xfId="5" applyFont="1" applyAlignment="1">
      <alignment horizontal="left" vertical="center"/>
    </xf>
    <xf numFmtId="0" fontId="17" fillId="9" borderId="15" xfId="5" applyFont="1" applyFill="1" applyBorder="1" applyAlignment="1">
      <alignment horizontal="left" vertical="center"/>
    </xf>
    <xf numFmtId="0" fontId="18" fillId="10" borderId="4" xfId="5" applyFont="1" applyFill="1" applyBorder="1" applyAlignment="1">
      <alignment vertical="center" wrapText="1"/>
    </xf>
    <xf numFmtId="2" fontId="18" fillId="0" borderId="4" xfId="5" applyNumberFormat="1" applyFont="1" applyBorder="1" applyAlignment="1">
      <alignment horizontal="center" vertical="center"/>
    </xf>
    <xf numFmtId="2" fontId="18" fillId="0" borderId="4" xfId="5" applyNumberFormat="1" applyFont="1" applyBorder="1" applyAlignment="1">
      <alignment horizontal="center" vertical="center" wrapText="1"/>
    </xf>
    <xf numFmtId="0" fontId="18" fillId="10" borderId="4" xfId="5" applyFont="1" applyFill="1" applyBorder="1" applyAlignment="1">
      <alignment vertical="center"/>
    </xf>
    <xf numFmtId="9" fontId="18" fillId="0" borderId="4" xfId="5" applyNumberFormat="1" applyFont="1" applyBorder="1" applyAlignment="1">
      <alignment horizontal="center" vertical="center"/>
    </xf>
    <xf numFmtId="0" fontId="18" fillId="0" borderId="0" xfId="5" applyFont="1" applyAlignment="1">
      <alignment vertical="center"/>
    </xf>
    <xf numFmtId="0" fontId="18" fillId="0" borderId="4" xfId="5" applyFont="1" applyBorder="1" applyAlignment="1">
      <alignment horizontal="center" vertical="center"/>
    </xf>
    <xf numFmtId="0" fontId="18" fillId="10" borderId="4" xfId="5" applyFont="1" applyFill="1" applyBorder="1" applyAlignment="1">
      <alignment wrapText="1"/>
    </xf>
    <xf numFmtId="0" fontId="18" fillId="9" borderId="4" xfId="5" applyFont="1" applyFill="1" applyBorder="1" applyAlignment="1">
      <alignment vertical="center"/>
    </xf>
    <xf numFmtId="0" fontId="18" fillId="0" borderId="4" xfId="5" applyFont="1" applyBorder="1"/>
    <xf numFmtId="0" fontId="17" fillId="10" borderId="4" xfId="5" applyFont="1" applyFill="1" applyBorder="1"/>
    <xf numFmtId="2" fontId="17" fillId="0" borderId="4" xfId="5" applyNumberFormat="1" applyFont="1" applyBorder="1" applyAlignment="1">
      <alignment horizontal="center" vertical="center"/>
    </xf>
    <xf numFmtId="0" fontId="17" fillId="9" borderId="4" xfId="5" applyFont="1" applyFill="1" applyBorder="1"/>
    <xf numFmtId="2" fontId="18" fillId="0" borderId="0" xfId="5" applyNumberFormat="1" applyFont="1" applyAlignment="1">
      <alignment horizontal="center" vertical="center"/>
    </xf>
    <xf numFmtId="2" fontId="18" fillId="0" borderId="0" xfId="5" applyNumberFormat="1" applyFont="1"/>
    <xf numFmtId="0" fontId="17" fillId="10" borderId="4" xfId="5" applyFont="1" applyFill="1" applyBorder="1" applyAlignment="1">
      <alignment wrapText="1"/>
    </xf>
    <xf numFmtId="0" fontId="19" fillId="12" borderId="4" xfId="5" applyFont="1" applyFill="1" applyBorder="1"/>
    <xf numFmtId="0" fontId="19" fillId="12" borderId="4" xfId="5" applyFont="1" applyFill="1" applyBorder="1" applyAlignment="1">
      <alignment horizontal="left" vertical="center" wrapText="1"/>
    </xf>
    <xf numFmtId="0" fontId="19" fillId="12" borderId="4" xfId="5" applyFont="1" applyFill="1" applyBorder="1" applyAlignment="1">
      <alignment vertical="center"/>
    </xf>
    <xf numFmtId="10" fontId="13" fillId="0" borderId="0" xfId="6" applyNumberFormat="1" applyFont="1"/>
    <xf numFmtId="0" fontId="18" fillId="6" borderId="0" xfId="5" applyFont="1" applyFill="1"/>
    <xf numFmtId="9" fontId="18" fillId="0" borderId="0" xfId="5" applyNumberFormat="1" applyFont="1"/>
    <xf numFmtId="10" fontId="18" fillId="0" borderId="0" xfId="5" applyNumberFormat="1" applyFont="1"/>
    <xf numFmtId="171" fontId="18" fillId="0" borderId="0" xfId="5" applyNumberFormat="1" applyFont="1"/>
  </cellXfs>
  <cellStyles count="7">
    <cellStyle name="Comma 2" xfId="4" xr:uid="{0E2B9718-7639-4318-86FF-12292DC66527}"/>
    <cellStyle name="Normal" xfId="0" builtinId="0"/>
    <cellStyle name="Normal 2" xfId="2" xr:uid="{3F7FBF3D-2CE7-46D2-9251-80EDCED1E4A9}"/>
    <cellStyle name="Normal 3" xfId="5" xr:uid="{2DE04A2F-F0CD-477E-AAB2-378F0B90F7E7}"/>
    <cellStyle name="Percent" xfId="1" builtinId="5"/>
    <cellStyle name="Percent 2" xfId="3" xr:uid="{EFDAF743-BE38-4BDE-B8FE-6F6DF4DFB2D4}"/>
    <cellStyle name="Percent 3" xfId="6" xr:uid="{1786C659-6963-4D61-BB23-9CF42EA6C2DD}"/>
  </cellStyles>
  <dxfs count="0"/>
  <tableStyles count="0" defaultTableStyle="TableStyleMedium2" defaultPivotStyle="PivotStyleLight16"/>
  <colors>
    <mruColors>
      <color rgb="FF003366"/>
      <color rgb="FF00006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shan\Desktop\DS\Project%204\Ind%20Pak%20rice%20share.xlsx" TargetMode="External"/><Relationship Id="rId1" Type="http://schemas.openxmlformats.org/officeDocument/2006/relationships/externalLinkPath" Target="Ind%20Pak%20rice%20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eff 2"/>
      <sheetName val="Coeff 3"/>
      <sheetName val="DF2"/>
      <sheetName val="DF3"/>
      <sheetName val="Sheet2"/>
      <sheetName val="100630"/>
      <sheetName val="Sheet3"/>
      <sheetName val="sheet4"/>
      <sheetName val="Sheet1"/>
      <sheetName val="xyz"/>
      <sheetName val="Sheet3 (2)"/>
    </sheetNames>
    <sheetDataSet>
      <sheetData sheetId="0"/>
      <sheetData sheetId="1"/>
      <sheetData sheetId="2">
        <row r="19">
          <cell r="B19">
            <v>1.34</v>
          </cell>
        </row>
      </sheetData>
      <sheetData sheetId="3">
        <row r="18">
          <cell r="F18">
            <v>1.7693430091841806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71D6-055F-4DA5-B3AF-3013E53EC99A}">
  <dimension ref="A1:AB85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3.8" x14ac:dyDescent="0.25"/>
  <cols>
    <col min="1" max="1" width="5" style="86" customWidth="1"/>
    <col min="2" max="2" width="11.5546875" style="86" customWidth="1"/>
    <col min="3" max="3" width="7" style="86" customWidth="1"/>
    <col min="4" max="4" width="6.33203125" style="86" customWidth="1"/>
    <col min="5" max="5" width="9" style="86" bestFit="1" customWidth="1"/>
    <col min="6" max="6" width="11.44140625" style="86" bestFit="1" customWidth="1"/>
    <col min="7" max="7" width="12.109375" style="86" bestFit="1" customWidth="1"/>
    <col min="8" max="8" width="18.33203125" style="86" bestFit="1" customWidth="1"/>
    <col min="9" max="9" width="18.77734375" style="86" bestFit="1" customWidth="1"/>
    <col min="10" max="10" width="20.5546875" style="86" bestFit="1" customWidth="1"/>
    <col min="11" max="11" width="15.88671875" style="86" bestFit="1" customWidth="1"/>
    <col min="12" max="12" width="15.33203125" style="86" bestFit="1" customWidth="1"/>
    <col min="13" max="13" width="15.33203125" style="86" customWidth="1"/>
    <col min="14" max="14" width="16" style="86" bestFit="1" customWidth="1"/>
    <col min="15" max="15" width="12.88671875" style="86" bestFit="1" customWidth="1"/>
    <col min="16" max="16" width="33.44140625" style="86" bestFit="1" customWidth="1"/>
    <col min="17" max="17" width="32.21875" style="86" bestFit="1" customWidth="1"/>
    <col min="18" max="18" width="33.33203125" style="86" bestFit="1" customWidth="1"/>
    <col min="19" max="19" width="31.21875" style="86" bestFit="1" customWidth="1"/>
    <col min="20" max="20" width="31.109375" style="86" bestFit="1" customWidth="1"/>
    <col min="21" max="21" width="40.109375" style="86" bestFit="1" customWidth="1"/>
    <col min="22" max="22" width="38.88671875" style="86" bestFit="1" customWidth="1"/>
    <col min="23" max="23" width="33.21875" style="86" bestFit="1" customWidth="1"/>
    <col min="24" max="24" width="28" style="86" customWidth="1"/>
    <col min="25" max="25" width="24.33203125" style="86" customWidth="1"/>
    <col min="26" max="26" width="26.5546875" style="86" bestFit="1" customWidth="1"/>
    <col min="27" max="27" width="32" style="86" bestFit="1" customWidth="1"/>
    <col min="28" max="28" width="17.5546875" style="86" bestFit="1" customWidth="1"/>
    <col min="29" max="16384" width="8.88671875" style="86"/>
  </cols>
  <sheetData>
    <row r="1" spans="1:28" x14ac:dyDescent="0.25">
      <c r="A1" s="85" t="s">
        <v>76</v>
      </c>
      <c r="B1" s="85" t="s">
        <v>77</v>
      </c>
      <c r="C1" s="85" t="s">
        <v>78</v>
      </c>
      <c r="D1" s="85" t="s">
        <v>79</v>
      </c>
      <c r="E1" s="85" t="s">
        <v>80</v>
      </c>
      <c r="F1" s="85" t="s">
        <v>81</v>
      </c>
      <c r="G1" s="85" t="s">
        <v>82</v>
      </c>
      <c r="H1" s="85" t="s">
        <v>83</v>
      </c>
      <c r="I1" s="85" t="s">
        <v>84</v>
      </c>
      <c r="J1" s="85" t="s">
        <v>85</v>
      </c>
      <c r="K1" s="85" t="s">
        <v>86</v>
      </c>
      <c r="L1" s="85" t="s">
        <v>87</v>
      </c>
      <c r="M1" s="85" t="s">
        <v>88</v>
      </c>
      <c r="N1" s="85" t="s">
        <v>89</v>
      </c>
      <c r="O1" s="85" t="s">
        <v>90</v>
      </c>
      <c r="P1" s="85" t="s">
        <v>91</v>
      </c>
      <c r="Q1" s="85" t="s">
        <v>92</v>
      </c>
      <c r="R1" s="85" t="s">
        <v>93</v>
      </c>
      <c r="S1" s="85" t="s">
        <v>94</v>
      </c>
      <c r="T1" s="85" t="s">
        <v>95</v>
      </c>
      <c r="U1" s="85" t="s">
        <v>96</v>
      </c>
      <c r="V1" s="85" t="s">
        <v>97</v>
      </c>
      <c r="W1" s="85" t="s">
        <v>98</v>
      </c>
      <c r="X1" s="85" t="s">
        <v>99</v>
      </c>
      <c r="Y1" s="85" t="s">
        <v>100</v>
      </c>
      <c r="Z1" s="85" t="s">
        <v>101</v>
      </c>
      <c r="AA1" s="85" t="s">
        <v>102</v>
      </c>
      <c r="AB1" s="85" t="s">
        <v>103</v>
      </c>
    </row>
    <row r="2" spans="1:28" ht="14.4" x14ac:dyDescent="0.3">
      <c r="A2" s="90">
        <v>1</v>
      </c>
      <c r="B2" s="91">
        <v>43556</v>
      </c>
      <c r="C2" s="92">
        <v>4</v>
      </c>
      <c r="D2" s="92">
        <v>2019</v>
      </c>
      <c r="E2" s="92">
        <v>1121</v>
      </c>
      <c r="F2" s="92">
        <f>SIN(2*PI()*(C2/12))</f>
        <v>0.86602540378443871</v>
      </c>
      <c r="G2" s="92">
        <f>COS(2*PI()*(C2/12))</f>
        <v>-0.49999999999999978</v>
      </c>
      <c r="H2" s="93">
        <v>33909.482759999999</v>
      </c>
      <c r="I2" s="93">
        <v>35586.034480000002</v>
      </c>
      <c r="J2" s="93">
        <v>34857.413789999999</v>
      </c>
      <c r="K2" s="92">
        <v>0</v>
      </c>
      <c r="L2" s="92">
        <v>0</v>
      </c>
      <c r="M2" s="93">
        <v>1</v>
      </c>
      <c r="N2" s="92">
        <v>0</v>
      </c>
      <c r="O2" s="92">
        <v>0</v>
      </c>
      <c r="P2" s="92">
        <v>4415000</v>
      </c>
      <c r="Q2" s="93">
        <v>32804</v>
      </c>
      <c r="R2" s="93">
        <v>4721.9999999999991</v>
      </c>
      <c r="S2" s="93">
        <v>537133</v>
      </c>
      <c r="T2" s="93">
        <v>582</v>
      </c>
      <c r="U2" s="93">
        <f>(R2*1000000)/(P2)</f>
        <v>1069.5356738391845</v>
      </c>
      <c r="V2" s="93">
        <f>(T2*1000000)/S2</f>
        <v>1083.5305222356474</v>
      </c>
      <c r="W2" s="93">
        <f>U2-V2</f>
        <v>-13.994848396462885</v>
      </c>
      <c r="X2" s="93">
        <v>8346.1019999999753</v>
      </c>
      <c r="Y2" s="92">
        <v>4.8419999999999916</v>
      </c>
      <c r="Z2" s="92">
        <v>0</v>
      </c>
      <c r="AA2" s="94">
        <v>0.06</v>
      </c>
      <c r="AB2" s="95">
        <v>9.6499526963103141E-2</v>
      </c>
    </row>
    <row r="3" spans="1:28" ht="14.4" x14ac:dyDescent="0.3">
      <c r="A3" s="90">
        <v>2</v>
      </c>
      <c r="B3" s="91">
        <v>43586</v>
      </c>
      <c r="C3" s="92">
        <v>5</v>
      </c>
      <c r="D3" s="92">
        <v>2019</v>
      </c>
      <c r="E3" s="92">
        <v>1121</v>
      </c>
      <c r="F3" s="92">
        <f t="shared" ref="F3:F7" si="0">SIN(2*PI()*(C3/12))</f>
        <v>0.49999999999999994</v>
      </c>
      <c r="G3" s="92">
        <f t="shared" ref="G3:G7" si="1">COS(2*PI()*(C3/12))</f>
        <v>-0.86602540378443871</v>
      </c>
      <c r="H3" s="93">
        <v>33909.482759999999</v>
      </c>
      <c r="I3" s="93">
        <v>35586.034480000002</v>
      </c>
      <c r="J3" s="93">
        <v>34857.413789999999</v>
      </c>
      <c r="K3" s="92">
        <v>0</v>
      </c>
      <c r="L3" s="92">
        <v>0</v>
      </c>
      <c r="M3" s="93">
        <v>2</v>
      </c>
      <c r="N3" s="92">
        <v>0</v>
      </c>
      <c r="O3" s="92">
        <v>0</v>
      </c>
      <c r="P3" s="92">
        <v>4418200</v>
      </c>
      <c r="Q3" s="93">
        <v>32661.680000000008</v>
      </c>
      <c r="R3" s="93">
        <v>4690.6399999999985</v>
      </c>
      <c r="S3" s="93">
        <v>563438.28</v>
      </c>
      <c r="T3" s="93">
        <v>598.10216000000003</v>
      </c>
      <c r="U3" s="93">
        <f t="shared" ref="U3:U7" si="2">(R3*1000000)/(P3)</f>
        <v>1061.6631207278979</v>
      </c>
      <c r="V3" s="93">
        <f t="shared" ref="V3:V7" si="3">(T3*1000000)/S3</f>
        <v>1061.5220534891594</v>
      </c>
      <c r="W3" s="93">
        <f t="shared" ref="W3:W7" si="4">U3-V3</f>
        <v>0.14106723873851479</v>
      </c>
      <c r="X3" s="93">
        <v>8346.1019999999753</v>
      </c>
      <c r="Y3" s="92">
        <v>4.8419999999999916</v>
      </c>
      <c r="Z3" s="92">
        <v>0</v>
      </c>
      <c r="AA3" s="94">
        <v>0.03</v>
      </c>
      <c r="AB3" s="95">
        <v>9.9056603773584911E-2</v>
      </c>
    </row>
    <row r="4" spans="1:28" ht="14.4" x14ac:dyDescent="0.3">
      <c r="A4" s="90">
        <v>3</v>
      </c>
      <c r="B4" s="91">
        <v>43617</v>
      </c>
      <c r="C4" s="92">
        <v>6</v>
      </c>
      <c r="D4" s="92">
        <v>2019</v>
      </c>
      <c r="E4" s="92">
        <v>1121</v>
      </c>
      <c r="F4" s="92">
        <f t="shared" si="0"/>
        <v>1.22514845490862E-16</v>
      </c>
      <c r="G4" s="92">
        <f t="shared" si="1"/>
        <v>-1</v>
      </c>
      <c r="H4" s="93">
        <v>33909.482759999999</v>
      </c>
      <c r="I4" s="93">
        <v>35586.034480000002</v>
      </c>
      <c r="J4" s="93">
        <v>34857.413789999999</v>
      </c>
      <c r="K4" s="92">
        <v>0</v>
      </c>
      <c r="L4" s="92">
        <v>0</v>
      </c>
      <c r="M4" s="93">
        <v>3</v>
      </c>
      <c r="N4" s="92">
        <v>0</v>
      </c>
      <c r="O4" s="92">
        <v>0</v>
      </c>
      <c r="P4" s="92">
        <v>4421400</v>
      </c>
      <c r="Q4" s="93">
        <v>32519.360000000008</v>
      </c>
      <c r="R4" s="93">
        <v>4659.28</v>
      </c>
      <c r="S4" s="93">
        <v>589743.55999999994</v>
      </c>
      <c r="T4" s="93">
        <v>614.20431999999994</v>
      </c>
      <c r="U4" s="93">
        <f t="shared" si="2"/>
        <v>1053.8019631790835</v>
      </c>
      <c r="V4" s="93">
        <f t="shared" si="3"/>
        <v>1041.4769429614457</v>
      </c>
      <c r="W4" s="93">
        <f t="shared" si="4"/>
        <v>12.325020217637757</v>
      </c>
      <c r="X4" s="93">
        <v>8346.1019999999753</v>
      </c>
      <c r="Y4" s="92">
        <v>4.8419999999999916</v>
      </c>
      <c r="Z4" s="92">
        <v>0</v>
      </c>
      <c r="AA4" s="94">
        <v>0.02</v>
      </c>
      <c r="AB4" s="95">
        <v>9.8020735155513725E-2</v>
      </c>
    </row>
    <row r="5" spans="1:28" ht="14.4" x14ac:dyDescent="0.3">
      <c r="A5" s="90">
        <v>4</v>
      </c>
      <c r="B5" s="91">
        <v>43647</v>
      </c>
      <c r="C5" s="92">
        <v>7</v>
      </c>
      <c r="D5" s="92">
        <v>2019</v>
      </c>
      <c r="E5" s="92">
        <v>1121</v>
      </c>
      <c r="F5" s="92">
        <f t="shared" si="0"/>
        <v>-0.50000000000000011</v>
      </c>
      <c r="G5" s="92">
        <f t="shared" si="1"/>
        <v>-0.8660254037844386</v>
      </c>
      <c r="H5" s="93">
        <v>33909.482759999999</v>
      </c>
      <c r="I5" s="93">
        <v>35586.034480000002</v>
      </c>
      <c r="J5" s="93">
        <v>34857.413789999999</v>
      </c>
      <c r="K5" s="92">
        <v>0</v>
      </c>
      <c r="L5" s="92">
        <v>0</v>
      </c>
      <c r="M5" s="93">
        <v>4</v>
      </c>
      <c r="N5" s="92">
        <v>0</v>
      </c>
      <c r="O5" s="92">
        <v>0</v>
      </c>
      <c r="P5" s="92">
        <v>4424600</v>
      </c>
      <c r="Q5" s="93">
        <v>32377.040000000005</v>
      </c>
      <c r="R5" s="93">
        <v>4627.9199999999992</v>
      </c>
      <c r="S5" s="93">
        <v>616048.84</v>
      </c>
      <c r="T5" s="93">
        <v>630.30647999999997</v>
      </c>
      <c r="U5" s="93">
        <f t="shared" si="2"/>
        <v>1045.9521764679291</v>
      </c>
      <c r="V5" s="93">
        <f t="shared" si="3"/>
        <v>1023.1436845169615</v>
      </c>
      <c r="W5" s="93">
        <f t="shared" si="4"/>
        <v>22.808491950967664</v>
      </c>
      <c r="X5" s="93">
        <v>8346.1019999999753</v>
      </c>
      <c r="Y5" s="92">
        <v>4.8419999999999916</v>
      </c>
      <c r="Z5" s="92">
        <v>0</v>
      </c>
      <c r="AA5" s="94">
        <v>0</v>
      </c>
      <c r="AB5" s="95">
        <v>8.5740913327120249E-2</v>
      </c>
    </row>
    <row r="6" spans="1:28" ht="14.4" x14ac:dyDescent="0.3">
      <c r="A6" s="90">
        <v>5</v>
      </c>
      <c r="B6" s="91">
        <v>43678</v>
      </c>
      <c r="C6" s="92">
        <v>8</v>
      </c>
      <c r="D6" s="92">
        <v>2019</v>
      </c>
      <c r="E6" s="92">
        <v>1121</v>
      </c>
      <c r="F6" s="92">
        <f t="shared" si="0"/>
        <v>-0.86602540378443837</v>
      </c>
      <c r="G6" s="92">
        <f t="shared" si="1"/>
        <v>-0.50000000000000044</v>
      </c>
      <c r="H6" s="93">
        <v>33909.482759999999</v>
      </c>
      <c r="I6" s="93">
        <v>35586.034480000002</v>
      </c>
      <c r="J6" s="93">
        <v>34857.413789999999</v>
      </c>
      <c r="K6" s="92">
        <v>0</v>
      </c>
      <c r="L6" s="92">
        <v>0</v>
      </c>
      <c r="M6" s="93">
        <v>5</v>
      </c>
      <c r="N6" s="92">
        <v>0</v>
      </c>
      <c r="O6" s="92">
        <v>0</v>
      </c>
      <c r="P6" s="92">
        <v>4427800</v>
      </c>
      <c r="Q6" s="93">
        <v>32234.720000000001</v>
      </c>
      <c r="R6" s="93">
        <v>4596.5599999999995</v>
      </c>
      <c r="S6" s="93">
        <v>642354.12</v>
      </c>
      <c r="T6" s="93">
        <v>646.40863999999999</v>
      </c>
      <c r="U6" s="93">
        <f t="shared" si="2"/>
        <v>1038.1137359410991</v>
      </c>
      <c r="V6" s="93">
        <f t="shared" si="3"/>
        <v>1006.3119701014762</v>
      </c>
      <c r="W6" s="93">
        <f t="shared" si="4"/>
        <v>31.801765839622931</v>
      </c>
      <c r="X6" s="93">
        <v>8346.1019999999753</v>
      </c>
      <c r="Y6" s="92">
        <v>4.8419999999999916</v>
      </c>
      <c r="Z6" s="92">
        <v>0</v>
      </c>
      <c r="AA6" s="94">
        <v>0.02</v>
      </c>
      <c r="AB6" s="95">
        <v>2.0353982300884931E-2</v>
      </c>
    </row>
    <row r="7" spans="1:28" ht="14.4" x14ac:dyDescent="0.3">
      <c r="A7" s="90">
        <v>6</v>
      </c>
      <c r="B7" s="91">
        <v>43709</v>
      </c>
      <c r="C7" s="92">
        <v>9</v>
      </c>
      <c r="D7" s="92">
        <v>2019</v>
      </c>
      <c r="E7" s="92">
        <v>1121</v>
      </c>
      <c r="F7" s="92">
        <f t="shared" si="0"/>
        <v>-1</v>
      </c>
      <c r="G7" s="92">
        <f t="shared" si="1"/>
        <v>-1.83772268236293E-16</v>
      </c>
      <c r="H7" s="93">
        <v>33909.482759999999</v>
      </c>
      <c r="I7" s="93">
        <v>35586.034480000002</v>
      </c>
      <c r="J7" s="93">
        <v>34857.413789999999</v>
      </c>
      <c r="K7" s="92">
        <v>0</v>
      </c>
      <c r="L7" s="92">
        <v>0</v>
      </c>
      <c r="M7" s="93">
        <v>6</v>
      </c>
      <c r="N7" s="92">
        <v>0</v>
      </c>
      <c r="O7" s="92">
        <v>0</v>
      </c>
      <c r="P7" s="92">
        <v>4431000</v>
      </c>
      <c r="Q7" s="93">
        <v>32092.400000000001</v>
      </c>
      <c r="R7" s="93">
        <v>4565.2</v>
      </c>
      <c r="S7" s="93">
        <v>668659.40000000014</v>
      </c>
      <c r="T7" s="93">
        <v>662.51080000000002</v>
      </c>
      <c r="U7" s="93">
        <f t="shared" si="2"/>
        <v>1030.2866170164748</v>
      </c>
      <c r="V7" s="93">
        <f t="shared" si="3"/>
        <v>990.80458601195141</v>
      </c>
      <c r="W7" s="93">
        <f t="shared" si="4"/>
        <v>39.482031004523378</v>
      </c>
      <c r="X7" s="93">
        <v>8346.1019999999753</v>
      </c>
      <c r="Y7" s="92">
        <v>4.8419999999999916</v>
      </c>
      <c r="Z7" s="92">
        <v>0</v>
      </c>
      <c r="AA7" s="94">
        <v>-0.01</v>
      </c>
      <c r="AB7" s="95">
        <v>1.7652250661959402E-2</v>
      </c>
    </row>
    <row r="8" spans="1:28" ht="14.4" x14ac:dyDescent="0.3">
      <c r="A8" s="90">
        <v>7</v>
      </c>
      <c r="B8" s="91">
        <v>43739</v>
      </c>
      <c r="C8" s="92">
        <v>10</v>
      </c>
      <c r="D8" s="92">
        <v>2019</v>
      </c>
      <c r="E8" s="92">
        <v>1121</v>
      </c>
      <c r="F8" s="92">
        <v>-0.86602540378443815</v>
      </c>
      <c r="G8" s="92">
        <v>0.50000000000000011</v>
      </c>
      <c r="H8" s="93">
        <v>25512.5</v>
      </c>
      <c r="I8" s="93">
        <v>29386.071428571428</v>
      </c>
      <c r="J8" s="93">
        <v>27799.166666666668</v>
      </c>
      <c r="K8" s="92">
        <v>168</v>
      </c>
      <c r="L8" s="92">
        <v>1</v>
      </c>
      <c r="M8" s="93">
        <v>7</v>
      </c>
      <c r="N8" s="93">
        <v>2434.4602905341449</v>
      </c>
      <c r="O8" s="92">
        <v>0</v>
      </c>
      <c r="P8" s="93">
        <v>4433800</v>
      </c>
      <c r="Q8" s="93">
        <v>31967.87000000009</v>
      </c>
      <c r="R8" s="93">
        <v>4537.7600000000075</v>
      </c>
      <c r="S8" s="93">
        <v>691676.51999999909</v>
      </c>
      <c r="T8" s="93">
        <v>676.60018999999829</v>
      </c>
      <c r="U8" s="93">
        <v>1023.4471559384734</v>
      </c>
      <c r="V8" s="93">
        <v>978.20320689792845</v>
      </c>
      <c r="W8" s="93">
        <v>45.243949040543157</v>
      </c>
      <c r="X8" s="93">
        <v>8346.1019999999753</v>
      </c>
      <c r="Y8" s="92">
        <v>4.8419999999999916</v>
      </c>
      <c r="Z8" s="92">
        <v>0</v>
      </c>
      <c r="AA8" s="95">
        <v>-3.4998700316649874E-2</v>
      </c>
      <c r="AB8" s="95">
        <v>1.7652250661959339E-2</v>
      </c>
    </row>
    <row r="9" spans="1:28" ht="14.4" x14ac:dyDescent="0.3">
      <c r="A9" s="90">
        <v>8</v>
      </c>
      <c r="B9" s="91">
        <v>43770</v>
      </c>
      <c r="C9" s="92">
        <v>11</v>
      </c>
      <c r="D9" s="92">
        <v>2019</v>
      </c>
      <c r="E9" s="92">
        <v>1121</v>
      </c>
      <c r="F9" s="92">
        <v>-0.50000000000000011</v>
      </c>
      <c r="G9" s="92">
        <v>0.86602540378444104</v>
      </c>
      <c r="H9" s="93">
        <v>23872.643312101911</v>
      </c>
      <c r="I9" s="93">
        <v>30506.178343949046</v>
      </c>
      <c r="J9" s="93">
        <v>27736.178343949046</v>
      </c>
      <c r="K9" s="92">
        <v>314</v>
      </c>
      <c r="L9" s="92">
        <v>1</v>
      </c>
      <c r="M9" s="93">
        <v>1</v>
      </c>
      <c r="N9" s="93">
        <v>3128.1601601038756</v>
      </c>
      <c r="O9" s="92">
        <v>0</v>
      </c>
      <c r="P9" s="93">
        <v>4436600</v>
      </c>
      <c r="Q9" s="93">
        <v>31843.339999999891</v>
      </c>
      <c r="R9" s="93">
        <v>4510.32</v>
      </c>
      <c r="S9" s="93">
        <v>714693.63999999454</v>
      </c>
      <c r="T9" s="93">
        <v>690.68958000000362</v>
      </c>
      <c r="U9" s="93">
        <v>1016.6163278185998</v>
      </c>
      <c r="V9" s="93">
        <v>966.41349711745818</v>
      </c>
      <c r="W9" s="93">
        <v>50.202830701149772</v>
      </c>
      <c r="X9" s="93">
        <v>8346.101999999968</v>
      </c>
      <c r="Y9" s="92">
        <v>4.8420000000000254</v>
      </c>
      <c r="Z9" s="92">
        <v>0</v>
      </c>
      <c r="AA9" s="95">
        <v>-3.2735653241455706E-3</v>
      </c>
      <c r="AB9" s="95">
        <v>1.222707423580793E-2</v>
      </c>
    </row>
    <row r="10" spans="1:28" ht="14.4" x14ac:dyDescent="0.3">
      <c r="A10" s="90">
        <v>9</v>
      </c>
      <c r="B10" s="91">
        <v>43800</v>
      </c>
      <c r="C10" s="92">
        <v>12</v>
      </c>
      <c r="D10" s="92">
        <v>2019</v>
      </c>
      <c r="E10" s="92">
        <v>1121</v>
      </c>
      <c r="F10" s="92">
        <v>-2.45029690981724E-16</v>
      </c>
      <c r="G10" s="92">
        <v>1</v>
      </c>
      <c r="H10" s="93">
        <v>26003.298429319373</v>
      </c>
      <c r="I10" s="93">
        <v>31610.785340314134</v>
      </c>
      <c r="J10" s="93">
        <v>29313.769633507854</v>
      </c>
      <c r="K10" s="92">
        <v>191</v>
      </c>
      <c r="L10" s="92">
        <v>1</v>
      </c>
      <c r="M10" s="93">
        <v>1</v>
      </c>
      <c r="N10" s="93">
        <v>4151.5553749001629</v>
      </c>
      <c r="O10" s="92">
        <v>0</v>
      </c>
      <c r="P10" s="93">
        <v>4439400</v>
      </c>
      <c r="Q10" s="93">
        <v>31718.809999999907</v>
      </c>
      <c r="R10" s="93">
        <v>4482.8800000000037</v>
      </c>
      <c r="S10" s="93">
        <v>737710.76000000176</v>
      </c>
      <c r="T10" s="93">
        <v>704.77896999999996</v>
      </c>
      <c r="U10" s="93">
        <v>1009.7941163220287</v>
      </c>
      <c r="V10" s="93">
        <v>955.3594826243326</v>
      </c>
      <c r="W10" s="93">
        <v>54.43463369769762</v>
      </c>
      <c r="X10" s="93">
        <v>8346.1019999999735</v>
      </c>
      <c r="Y10" s="92">
        <v>4.8419999999999908</v>
      </c>
      <c r="Z10" s="92">
        <v>0</v>
      </c>
      <c r="AA10" s="95">
        <v>5.6636378501796212E-3</v>
      </c>
      <c r="AB10" s="95">
        <v>-1.1177987962166749E-2</v>
      </c>
    </row>
    <row r="11" spans="1:28" ht="14.4" x14ac:dyDescent="0.3">
      <c r="A11" s="90">
        <v>10</v>
      </c>
      <c r="B11" s="91">
        <v>43831</v>
      </c>
      <c r="C11" s="92">
        <v>1</v>
      </c>
      <c r="D11" s="92">
        <v>2020</v>
      </c>
      <c r="E11" s="92">
        <v>1121</v>
      </c>
      <c r="F11" s="92">
        <v>0.49999999999999994</v>
      </c>
      <c r="G11" s="92">
        <v>0.86602540378443915</v>
      </c>
      <c r="H11" s="93">
        <v>27751.724137931036</v>
      </c>
      <c r="I11" s="93">
        <v>30172.931034482757</v>
      </c>
      <c r="J11" s="93">
        <v>29342.241379310344</v>
      </c>
      <c r="K11" s="92">
        <v>58</v>
      </c>
      <c r="L11" s="92">
        <v>1</v>
      </c>
      <c r="M11" s="93">
        <v>1</v>
      </c>
      <c r="N11" s="93">
        <v>2125.0247000450531</v>
      </c>
      <c r="O11" s="92">
        <v>0</v>
      </c>
      <c r="P11" s="93">
        <v>4443400</v>
      </c>
      <c r="Q11" s="93">
        <v>31540.909999999971</v>
      </c>
      <c r="R11" s="93">
        <v>4443.6799999999948</v>
      </c>
      <c r="S11" s="93">
        <v>770592.35999999964</v>
      </c>
      <c r="T11" s="93">
        <v>724.90666999999939</v>
      </c>
      <c r="U11" s="93">
        <v>1000.0630148084805</v>
      </c>
      <c r="V11" s="93">
        <v>940.71354405849661</v>
      </c>
      <c r="W11" s="93">
        <v>59.349470749984405</v>
      </c>
      <c r="X11" s="93">
        <v>8346.1020000000099</v>
      </c>
      <c r="Y11" s="92">
        <v>4.8420000000000041</v>
      </c>
      <c r="Z11" s="92">
        <v>0</v>
      </c>
      <c r="AA11" s="95">
        <v>8.2627598220610249E-3</v>
      </c>
      <c r="AB11" s="95">
        <v>-3.2006920415224849E-2</v>
      </c>
    </row>
    <row r="12" spans="1:28" ht="14.4" x14ac:dyDescent="0.3">
      <c r="A12" s="90">
        <v>11</v>
      </c>
      <c r="B12" s="91">
        <v>43862</v>
      </c>
      <c r="C12" s="92">
        <v>2</v>
      </c>
      <c r="D12" s="92">
        <v>2020</v>
      </c>
      <c r="E12" s="92">
        <v>1121</v>
      </c>
      <c r="F12" s="92">
        <v>0.86602540378443915</v>
      </c>
      <c r="G12" s="92">
        <v>0.50000000000000011</v>
      </c>
      <c r="H12" s="93">
        <v>26942.321428571428</v>
      </c>
      <c r="I12" s="93">
        <v>29424.107142857141</v>
      </c>
      <c r="J12" s="93">
        <v>28290.357142857141</v>
      </c>
      <c r="K12" s="92">
        <v>56</v>
      </c>
      <c r="L12" s="92">
        <v>1</v>
      </c>
      <c r="M12" s="93">
        <v>1</v>
      </c>
      <c r="N12" s="93">
        <v>1346.6010602937888</v>
      </c>
      <c r="O12" s="92">
        <v>0</v>
      </c>
      <c r="P12" s="93">
        <v>4447400</v>
      </c>
      <c r="Q12" s="93">
        <v>31363.010000000006</v>
      </c>
      <c r="R12" s="93">
        <v>4404.4800000000032</v>
      </c>
      <c r="S12" s="93">
        <v>803473.96000000066</v>
      </c>
      <c r="T12" s="93">
        <v>745.03437000000065</v>
      </c>
      <c r="U12" s="93">
        <v>990.34941763727022</v>
      </c>
      <c r="V12" s="93">
        <v>927.26635471795464</v>
      </c>
      <c r="W12" s="93">
        <v>63.083062919316035</v>
      </c>
      <c r="X12" s="93">
        <v>8346.1020000000099</v>
      </c>
      <c r="Y12" s="92">
        <v>4.842000000000005</v>
      </c>
      <c r="Z12" s="92">
        <v>0</v>
      </c>
      <c r="AA12" s="95">
        <v>5.1934511368052173E-3</v>
      </c>
      <c r="AB12" s="95">
        <v>-3.2006920415224842E-2</v>
      </c>
    </row>
    <row r="13" spans="1:28" ht="14.4" x14ac:dyDescent="0.3">
      <c r="A13" s="90">
        <v>12</v>
      </c>
      <c r="B13" s="91">
        <v>43891</v>
      </c>
      <c r="C13" s="92">
        <v>3</v>
      </c>
      <c r="D13" s="92">
        <v>2020</v>
      </c>
      <c r="E13" s="92">
        <v>1121</v>
      </c>
      <c r="F13" s="92">
        <v>1</v>
      </c>
      <c r="G13" s="92">
        <v>6.1257422745431001E-17</v>
      </c>
      <c r="H13" s="93">
        <v>26131.666666666668</v>
      </c>
      <c r="I13" s="93">
        <v>28994.166666666668</v>
      </c>
      <c r="J13" s="93">
        <v>28220</v>
      </c>
      <c r="K13" s="92">
        <v>12</v>
      </c>
      <c r="L13" s="92">
        <v>1</v>
      </c>
      <c r="M13" s="93">
        <v>1</v>
      </c>
      <c r="N13" s="93">
        <v>569.65699408423916</v>
      </c>
      <c r="O13" s="92">
        <v>0</v>
      </c>
      <c r="P13" s="93">
        <v>4451400</v>
      </c>
      <c r="Q13" s="93">
        <v>31185.10999999999</v>
      </c>
      <c r="R13" s="93">
        <v>4365.28</v>
      </c>
      <c r="S13" s="93">
        <v>836355.56000000017</v>
      </c>
      <c r="T13" s="93">
        <v>765.1620700000002</v>
      </c>
      <c r="U13" s="93">
        <v>980.65327762052391</v>
      </c>
      <c r="V13" s="93">
        <v>914.8765269163755</v>
      </c>
      <c r="W13" s="93">
        <v>65.776750704148526</v>
      </c>
      <c r="X13" s="93">
        <v>8346.1020000000008</v>
      </c>
      <c r="Y13" s="92">
        <v>4.8419999999999996</v>
      </c>
      <c r="Z13" s="92">
        <v>0</v>
      </c>
      <c r="AA13" s="95">
        <v>7.2721960343208686E-2</v>
      </c>
      <c r="AB13" s="95">
        <v>-4.4003451251078581E-2</v>
      </c>
    </row>
    <row r="14" spans="1:28" ht="14.4" x14ac:dyDescent="0.3">
      <c r="A14" s="90">
        <v>13</v>
      </c>
      <c r="B14" s="91">
        <v>43922</v>
      </c>
      <c r="C14" s="92">
        <v>4</v>
      </c>
      <c r="D14" s="92">
        <v>2020</v>
      </c>
      <c r="E14" s="92">
        <v>1121</v>
      </c>
      <c r="F14" s="92">
        <f>SIN(2*PI()*(C14/12))</f>
        <v>0.86602540378443871</v>
      </c>
      <c r="G14" s="92">
        <f>COS(2*PI()*(C14/12))</f>
        <v>-0.49999999999999978</v>
      </c>
      <c r="H14" s="93">
        <v>26131.666666666668</v>
      </c>
      <c r="I14" s="93">
        <v>28994.166666666668</v>
      </c>
      <c r="J14" s="93">
        <v>28220</v>
      </c>
      <c r="K14" s="92">
        <v>0</v>
      </c>
      <c r="L14" s="92">
        <v>0</v>
      </c>
      <c r="M14" s="93">
        <v>1</v>
      </c>
      <c r="N14" s="92">
        <v>0</v>
      </c>
      <c r="O14" s="92">
        <v>0</v>
      </c>
      <c r="P14" s="93">
        <v>4455000</v>
      </c>
      <c r="Q14" s="93">
        <v>31025</v>
      </c>
      <c r="R14" s="93">
        <v>4330</v>
      </c>
      <c r="S14" s="93">
        <v>865949.00000000012</v>
      </c>
      <c r="T14" s="93">
        <v>783.27700000000004</v>
      </c>
      <c r="U14" s="93">
        <f t="shared" ref="U14:U18" si="5">(R14*1000000)/(P14)</f>
        <v>971.94163860830531</v>
      </c>
      <c r="V14" s="93">
        <f t="shared" ref="V14:V18" si="6">(T14*1000000)/S14</f>
        <v>904.53017440980921</v>
      </c>
      <c r="W14" s="93">
        <f t="shared" ref="W14:W18" si="7">U14-V14</f>
        <v>67.411464198496105</v>
      </c>
      <c r="X14" s="93">
        <v>8890.4130000000005</v>
      </c>
      <c r="Y14" s="92">
        <v>4.9000000000000004</v>
      </c>
      <c r="Z14" s="92">
        <v>0</v>
      </c>
      <c r="AA14" s="94">
        <v>0.1</v>
      </c>
      <c r="AB14" s="95">
        <v>-4.4003451251078587E-2</v>
      </c>
    </row>
    <row r="15" spans="1:28" ht="14.4" x14ac:dyDescent="0.3">
      <c r="A15" s="90">
        <v>14</v>
      </c>
      <c r="B15" s="91">
        <v>43952</v>
      </c>
      <c r="C15" s="92">
        <v>5</v>
      </c>
      <c r="D15" s="92">
        <v>2020</v>
      </c>
      <c r="E15" s="92">
        <v>1121</v>
      </c>
      <c r="F15" s="92">
        <f t="shared" ref="F15:F18" si="8">SIN(2*PI()*(C15/12))</f>
        <v>0.49999999999999994</v>
      </c>
      <c r="G15" s="92">
        <f t="shared" ref="G15:G18" si="9">COS(2*PI()*(C15/12))</f>
        <v>-0.86602540378443871</v>
      </c>
      <c r="H15" s="93">
        <v>26131.666666666668</v>
      </c>
      <c r="I15" s="93">
        <v>28994.166666666668</v>
      </c>
      <c r="J15" s="93">
        <v>28220</v>
      </c>
      <c r="K15" s="92">
        <v>0</v>
      </c>
      <c r="L15" s="92">
        <v>0</v>
      </c>
      <c r="M15" s="93">
        <v>2</v>
      </c>
      <c r="N15" s="92">
        <v>0</v>
      </c>
      <c r="O15" s="92">
        <v>0</v>
      </c>
      <c r="P15" s="93">
        <v>4469037.0480000004</v>
      </c>
      <c r="Q15" s="93">
        <v>30930.990399999999</v>
      </c>
      <c r="R15" s="93">
        <v>4305.0936000000002</v>
      </c>
      <c r="S15" s="93">
        <v>846231.64000000013</v>
      </c>
      <c r="T15" s="93">
        <v>766.17428000000007</v>
      </c>
      <c r="U15" s="93">
        <f t="shared" si="5"/>
        <v>963.31571069132917</v>
      </c>
      <c r="V15" s="93">
        <f t="shared" si="6"/>
        <v>905.39545413357507</v>
      </c>
      <c r="W15" s="93">
        <f t="shared" si="7"/>
        <v>57.920256557754101</v>
      </c>
      <c r="X15" s="93">
        <v>8890.4130000000005</v>
      </c>
      <c r="Y15" s="92">
        <v>4.9000000000000004</v>
      </c>
      <c r="Z15" s="92">
        <v>0</v>
      </c>
      <c r="AA15" s="94">
        <v>0.08</v>
      </c>
      <c r="AB15" s="95">
        <v>-4.8927038626609465E-2</v>
      </c>
    </row>
    <row r="16" spans="1:28" ht="14.4" x14ac:dyDescent="0.3">
      <c r="A16" s="90">
        <v>15</v>
      </c>
      <c r="B16" s="91">
        <v>43983</v>
      </c>
      <c r="C16" s="92">
        <v>6</v>
      </c>
      <c r="D16" s="92">
        <v>2020</v>
      </c>
      <c r="E16" s="92">
        <v>1121</v>
      </c>
      <c r="F16" s="92">
        <f t="shared" si="8"/>
        <v>1.22514845490862E-16</v>
      </c>
      <c r="G16" s="92">
        <f t="shared" si="9"/>
        <v>-1</v>
      </c>
      <c r="H16" s="93">
        <v>26131.666666666668</v>
      </c>
      <c r="I16" s="93">
        <v>28994.166666666668</v>
      </c>
      <c r="J16" s="93">
        <v>28220</v>
      </c>
      <c r="K16" s="92">
        <v>0</v>
      </c>
      <c r="L16" s="92">
        <v>0</v>
      </c>
      <c r="M16" s="93">
        <v>3</v>
      </c>
      <c r="N16" s="92">
        <v>0</v>
      </c>
      <c r="O16" s="92">
        <v>0</v>
      </c>
      <c r="P16" s="93">
        <v>4483074.0959999999</v>
      </c>
      <c r="Q16" s="93">
        <v>30836.980799999998</v>
      </c>
      <c r="R16" s="93">
        <v>4280.1871999999994</v>
      </c>
      <c r="S16" s="93">
        <v>826514.28</v>
      </c>
      <c r="T16" s="93">
        <v>749.07155999999998</v>
      </c>
      <c r="U16" s="93">
        <f t="shared" si="5"/>
        <v>954.74380042457358</v>
      </c>
      <c r="V16" s="93">
        <f t="shared" si="6"/>
        <v>906.30201815750843</v>
      </c>
      <c r="W16" s="93">
        <f t="shared" si="7"/>
        <v>48.44178226706515</v>
      </c>
      <c r="X16" s="93">
        <v>8890.4130000000005</v>
      </c>
      <c r="Y16" s="92">
        <v>4.9000000000000004</v>
      </c>
      <c r="Z16" s="92">
        <v>0</v>
      </c>
      <c r="AA16" s="94">
        <v>0.09</v>
      </c>
      <c r="AB16" s="95">
        <v>-4.8927038626609465E-2</v>
      </c>
    </row>
    <row r="17" spans="1:28" ht="14.4" x14ac:dyDescent="0.3">
      <c r="A17" s="90">
        <v>16</v>
      </c>
      <c r="B17" s="91">
        <v>44013</v>
      </c>
      <c r="C17" s="92">
        <v>7</v>
      </c>
      <c r="D17" s="92">
        <v>2020</v>
      </c>
      <c r="E17" s="92">
        <v>1121</v>
      </c>
      <c r="F17" s="92">
        <f t="shared" si="8"/>
        <v>-0.50000000000000011</v>
      </c>
      <c r="G17" s="92">
        <f t="shared" si="9"/>
        <v>-0.8660254037844386</v>
      </c>
      <c r="H17" s="93">
        <v>26131.666666666668</v>
      </c>
      <c r="I17" s="93">
        <v>28994.166666666668</v>
      </c>
      <c r="J17" s="93">
        <v>28220</v>
      </c>
      <c r="K17" s="92">
        <v>0</v>
      </c>
      <c r="L17" s="92">
        <v>0</v>
      </c>
      <c r="M17" s="93">
        <v>4</v>
      </c>
      <c r="N17" s="92">
        <v>0</v>
      </c>
      <c r="O17" s="92">
        <v>0</v>
      </c>
      <c r="P17" s="93">
        <v>4497111.1439999994</v>
      </c>
      <c r="Q17" s="93">
        <v>30742.971199999996</v>
      </c>
      <c r="R17" s="93">
        <v>4255.2807999999995</v>
      </c>
      <c r="S17" s="93">
        <v>806796.92000000016</v>
      </c>
      <c r="T17" s="93">
        <v>731.96884</v>
      </c>
      <c r="U17" s="93">
        <f t="shared" si="5"/>
        <v>946.22540198441675</v>
      </c>
      <c r="V17" s="93">
        <f t="shared" si="6"/>
        <v>907.25289333033129</v>
      </c>
      <c r="W17" s="93">
        <f t="shared" si="7"/>
        <v>38.972508654085459</v>
      </c>
      <c r="X17" s="93">
        <v>8890.4130000000005</v>
      </c>
      <c r="Y17" s="92">
        <v>4.9000000000000004</v>
      </c>
      <c r="Z17" s="92">
        <v>0</v>
      </c>
      <c r="AA17" s="94">
        <v>0.09</v>
      </c>
      <c r="AB17" s="95">
        <v>-4.8927038626609465E-2</v>
      </c>
    </row>
    <row r="18" spans="1:28" ht="14.4" x14ac:dyDescent="0.3">
      <c r="A18" s="90">
        <v>17</v>
      </c>
      <c r="B18" s="91">
        <v>44044</v>
      </c>
      <c r="C18" s="92">
        <v>8</v>
      </c>
      <c r="D18" s="92">
        <v>2020</v>
      </c>
      <c r="E18" s="92">
        <v>1121</v>
      </c>
      <c r="F18" s="92">
        <f t="shared" si="8"/>
        <v>-0.86602540378443837</v>
      </c>
      <c r="G18" s="92">
        <f t="shared" si="9"/>
        <v>-0.50000000000000044</v>
      </c>
      <c r="H18" s="93">
        <v>26131.666666666668</v>
      </c>
      <c r="I18" s="93">
        <v>28994.166666666668</v>
      </c>
      <c r="J18" s="93">
        <v>28220</v>
      </c>
      <c r="K18" s="92">
        <v>0</v>
      </c>
      <c r="L18" s="92">
        <v>0</v>
      </c>
      <c r="M18" s="93">
        <v>5</v>
      </c>
      <c r="N18" s="92">
        <v>0</v>
      </c>
      <c r="O18" s="92">
        <v>0</v>
      </c>
      <c r="P18" s="93">
        <v>4511148.1919999998</v>
      </c>
      <c r="Q18" s="93">
        <v>30648.961599999995</v>
      </c>
      <c r="R18" s="93">
        <v>4230.3743999999988</v>
      </c>
      <c r="S18" s="93">
        <v>787079.56000000029</v>
      </c>
      <c r="T18" s="93">
        <v>714.86612000000002</v>
      </c>
      <c r="U18" s="93">
        <f t="shared" si="5"/>
        <v>937.7600158429907</v>
      </c>
      <c r="V18" s="93">
        <f t="shared" si="6"/>
        <v>908.25140980665253</v>
      </c>
      <c r="W18" s="93">
        <f t="shared" si="7"/>
        <v>29.508606036338165</v>
      </c>
      <c r="X18" s="93">
        <v>8890.4130000000005</v>
      </c>
      <c r="Y18" s="92">
        <v>4.9000000000000004</v>
      </c>
      <c r="Z18" s="92">
        <v>0</v>
      </c>
      <c r="AA18" s="94">
        <v>0.05</v>
      </c>
      <c r="AB18" s="95">
        <v>-3.9028620988725067E-2</v>
      </c>
    </row>
    <row r="19" spans="1:28" ht="14.4" x14ac:dyDescent="0.3">
      <c r="A19" s="90">
        <v>18</v>
      </c>
      <c r="B19" s="91">
        <v>44075</v>
      </c>
      <c r="C19" s="92">
        <v>9</v>
      </c>
      <c r="D19" s="92">
        <v>2020</v>
      </c>
      <c r="E19" s="92">
        <v>1121</v>
      </c>
      <c r="F19" s="92">
        <v>-1</v>
      </c>
      <c r="G19" s="92">
        <v>-1.83772268236293E-16</v>
      </c>
      <c r="H19" s="93">
        <v>17280</v>
      </c>
      <c r="I19" s="93">
        <v>19960</v>
      </c>
      <c r="J19" s="93">
        <v>18695</v>
      </c>
      <c r="K19" s="92">
        <v>2</v>
      </c>
      <c r="L19" s="92">
        <v>1</v>
      </c>
      <c r="M19" s="93">
        <v>6</v>
      </c>
      <c r="N19" s="93">
        <v>685.89357775095107</v>
      </c>
      <c r="O19" s="92">
        <v>1</v>
      </c>
      <c r="P19" s="93">
        <v>4525185.24</v>
      </c>
      <c r="Q19" s="93">
        <v>30554.951999999994</v>
      </c>
      <c r="R19" s="93">
        <v>4205.4679999999989</v>
      </c>
      <c r="S19" s="93">
        <v>767362.20000000042</v>
      </c>
      <c r="T19" s="93">
        <v>697.76340000000005</v>
      </c>
      <c r="U19" s="93">
        <v>929.34714867053685</v>
      </c>
      <c r="V19" s="93">
        <v>909.30124001416755</v>
      </c>
      <c r="W19" s="93">
        <v>20.045908656369306</v>
      </c>
      <c r="X19" s="93">
        <v>8890.4130000000005</v>
      </c>
      <c r="Y19" s="92">
        <v>4.9000000000000004</v>
      </c>
      <c r="Z19" s="92">
        <v>0</v>
      </c>
      <c r="AA19" s="95">
        <v>3.0338360352428137E-2</v>
      </c>
      <c r="AB19" s="95">
        <v>-3.5559410234171675E-2</v>
      </c>
    </row>
    <row r="20" spans="1:28" ht="14.4" x14ac:dyDescent="0.3">
      <c r="A20" s="90">
        <v>19</v>
      </c>
      <c r="B20" s="91">
        <v>44105</v>
      </c>
      <c r="C20" s="92">
        <v>10</v>
      </c>
      <c r="D20" s="92">
        <v>2020</v>
      </c>
      <c r="E20" s="92">
        <v>1121</v>
      </c>
      <c r="F20" s="92">
        <v>-0.86602540378443915</v>
      </c>
      <c r="G20" s="92">
        <v>0.50000000000000011</v>
      </c>
      <c r="H20" s="93">
        <v>20111.607142857141</v>
      </c>
      <c r="I20" s="93">
        <v>24557.321428571428</v>
      </c>
      <c r="J20" s="93">
        <v>22562.142857142859</v>
      </c>
      <c r="K20" s="92">
        <v>56</v>
      </c>
      <c r="L20" s="92">
        <v>1</v>
      </c>
      <c r="M20" s="93">
        <v>1</v>
      </c>
      <c r="N20" s="93">
        <v>2054.0564870392591</v>
      </c>
      <c r="O20" s="92">
        <v>1</v>
      </c>
      <c r="P20" s="93">
        <v>4537467.6570000034</v>
      </c>
      <c r="Q20" s="93">
        <v>30472.693599999951</v>
      </c>
      <c r="R20" s="93">
        <v>4183.6749000000045</v>
      </c>
      <c r="S20" s="93">
        <v>750109.51000000013</v>
      </c>
      <c r="T20" s="93">
        <v>682.7985199999996</v>
      </c>
      <c r="U20" s="93">
        <v>922.02858868774581</v>
      </c>
      <c r="V20" s="93">
        <v>910.26511582288879</v>
      </c>
      <c r="W20" s="93">
        <v>11.763472864857135</v>
      </c>
      <c r="X20" s="93">
        <v>8890.4130000000005</v>
      </c>
      <c r="Y20" s="92">
        <v>4.900000000000003</v>
      </c>
      <c r="Z20" s="92">
        <v>0</v>
      </c>
      <c r="AA20" s="95">
        <v>3.5732673309755832E-2</v>
      </c>
      <c r="AB20" s="95">
        <v>-3.1222896790980004E-2</v>
      </c>
    </row>
    <row r="21" spans="1:28" ht="14.4" x14ac:dyDescent="0.3">
      <c r="A21" s="90">
        <v>20</v>
      </c>
      <c r="B21" s="91">
        <v>44136</v>
      </c>
      <c r="C21" s="92">
        <v>11</v>
      </c>
      <c r="D21" s="92">
        <v>2020</v>
      </c>
      <c r="E21" s="92">
        <v>1121</v>
      </c>
      <c r="F21" s="92">
        <v>-0.50000000000000011</v>
      </c>
      <c r="G21" s="92">
        <v>0.86602540378443915</v>
      </c>
      <c r="H21" s="93">
        <v>21264.6875</v>
      </c>
      <c r="I21" s="93">
        <v>27434.21875</v>
      </c>
      <c r="J21" s="93">
        <v>25010.9375</v>
      </c>
      <c r="K21" s="92">
        <v>64</v>
      </c>
      <c r="L21" s="92">
        <v>1</v>
      </c>
      <c r="M21" s="93">
        <v>1</v>
      </c>
      <c r="N21" s="93">
        <v>1798.8777089910147</v>
      </c>
      <c r="O21" s="92">
        <v>1</v>
      </c>
      <c r="P21" s="93">
        <v>4549750.074</v>
      </c>
      <c r="Q21" s="93">
        <v>30390.435199999964</v>
      </c>
      <c r="R21" s="93">
        <v>4161.8818000000019</v>
      </c>
      <c r="S21" s="93">
        <v>732856.82000000018</v>
      </c>
      <c r="T21" s="93">
        <v>667.83363999999972</v>
      </c>
      <c r="U21" s="93">
        <v>914.74954278994107</v>
      </c>
      <c r="V21" s="93">
        <v>911.27437416765883</v>
      </c>
      <c r="W21" s="93">
        <v>3.4751686222828084</v>
      </c>
      <c r="X21" s="93">
        <v>8890.4129999999968</v>
      </c>
      <c r="Y21" s="92">
        <v>4.8999999999999995</v>
      </c>
      <c r="Z21" s="92">
        <v>0</v>
      </c>
      <c r="AA21" s="95">
        <v>3.7929213452467178E-2</v>
      </c>
      <c r="AB21" s="95">
        <v>-3.0198446937014675E-2</v>
      </c>
    </row>
    <row r="22" spans="1:28" ht="14.4" x14ac:dyDescent="0.3">
      <c r="A22" s="90">
        <v>21</v>
      </c>
      <c r="B22" s="91">
        <v>44166</v>
      </c>
      <c r="C22" s="92">
        <v>12</v>
      </c>
      <c r="D22" s="92">
        <v>2020</v>
      </c>
      <c r="E22" s="92">
        <v>1121</v>
      </c>
      <c r="F22" s="92">
        <v>-2.45029690981724E-16</v>
      </c>
      <c r="G22" s="92">
        <v>1</v>
      </c>
      <c r="H22" s="93">
        <v>24935.833333333332</v>
      </c>
      <c r="I22" s="93">
        <v>31241.25</v>
      </c>
      <c r="J22" s="93">
        <v>28755.625</v>
      </c>
      <c r="K22" s="92">
        <v>48</v>
      </c>
      <c r="L22" s="92">
        <v>1</v>
      </c>
      <c r="M22" s="93">
        <v>1</v>
      </c>
      <c r="N22" s="93">
        <v>2647.0697619194107</v>
      </c>
      <c r="O22" s="92">
        <v>1</v>
      </c>
      <c r="P22" s="93">
        <v>4562032.4909999976</v>
      </c>
      <c r="Q22" s="93">
        <v>30308.176800000012</v>
      </c>
      <c r="R22" s="93">
        <v>4140.0886999999957</v>
      </c>
      <c r="S22" s="93">
        <v>715604.12999999931</v>
      </c>
      <c r="T22" s="93">
        <v>652.86876000000041</v>
      </c>
      <c r="U22" s="93">
        <v>907.50969182433164</v>
      </c>
      <c r="V22" s="93">
        <v>912.33229746731638</v>
      </c>
      <c r="W22" s="93">
        <v>-4.8226056429843993</v>
      </c>
      <c r="X22" s="93">
        <v>8890.4130000000005</v>
      </c>
      <c r="Y22" s="92">
        <v>4.9000000000000039</v>
      </c>
      <c r="Z22" s="92">
        <v>0</v>
      </c>
      <c r="AA22" s="95">
        <v>3.4634820914995375E-2</v>
      </c>
      <c r="AB22" s="95">
        <v>-1.0434782608695679E-2</v>
      </c>
    </row>
    <row r="23" spans="1:28" ht="14.4" x14ac:dyDescent="0.3">
      <c r="A23" s="90">
        <v>22</v>
      </c>
      <c r="B23" s="91">
        <v>44197</v>
      </c>
      <c r="C23" s="92">
        <v>1</v>
      </c>
      <c r="D23" s="92">
        <v>2021</v>
      </c>
      <c r="E23" s="92">
        <v>1121</v>
      </c>
      <c r="F23" s="92">
        <f t="shared" ref="F23:F31" si="10">SIN(2*PI()*(C23/12))</f>
        <v>0.49999999999999994</v>
      </c>
      <c r="G23" s="92">
        <f t="shared" ref="G23:G31" si="11">COS(2*PI()*(C23/12))</f>
        <v>0.86602540378443871</v>
      </c>
      <c r="H23" s="93">
        <v>24935.833333333332</v>
      </c>
      <c r="I23" s="93">
        <v>31241.25</v>
      </c>
      <c r="J23" s="93">
        <v>28755.625</v>
      </c>
      <c r="K23" s="92">
        <v>0</v>
      </c>
      <c r="L23" s="92">
        <v>0</v>
      </c>
      <c r="M23" s="93">
        <v>1</v>
      </c>
      <c r="N23" s="92">
        <v>0</v>
      </c>
      <c r="O23" s="92">
        <v>0</v>
      </c>
      <c r="P23" s="93">
        <v>4579578.800999999</v>
      </c>
      <c r="Q23" s="93">
        <v>30190.664800000006</v>
      </c>
      <c r="R23" s="93">
        <v>4108.9556999999995</v>
      </c>
      <c r="S23" s="93">
        <v>690957.42999999993</v>
      </c>
      <c r="T23" s="93">
        <v>631.49036000000001</v>
      </c>
      <c r="U23" s="93">
        <f t="shared" ref="U23:U31" si="12">(R23*1000000)/(P23)</f>
        <v>897.23441358903267</v>
      </c>
      <c r="V23" s="93">
        <f t="shared" ref="V23:V31" si="13">(T23*1000000)/S23</f>
        <v>913.93526226355232</v>
      </c>
      <c r="W23" s="93">
        <f t="shared" ref="W23:W31" si="14">U23-V23</f>
        <v>-16.700848674519648</v>
      </c>
      <c r="X23" s="93">
        <v>8890.4130000000005</v>
      </c>
      <c r="Y23" s="92">
        <v>4.9000000000000039</v>
      </c>
      <c r="Z23" s="92">
        <v>0</v>
      </c>
      <c r="AA23" s="94">
        <v>0.03</v>
      </c>
      <c r="AB23" s="95">
        <v>1.1423550087873437E-2</v>
      </c>
    </row>
    <row r="24" spans="1:28" ht="14.4" x14ac:dyDescent="0.3">
      <c r="A24" s="90">
        <v>23</v>
      </c>
      <c r="B24" s="91">
        <v>44228</v>
      </c>
      <c r="C24" s="92">
        <v>2</v>
      </c>
      <c r="D24" s="92">
        <v>2021</v>
      </c>
      <c r="E24" s="92">
        <v>1121</v>
      </c>
      <c r="F24" s="92">
        <f t="shared" si="10"/>
        <v>0.8660254037844386</v>
      </c>
      <c r="G24" s="92">
        <f t="shared" si="11"/>
        <v>0.50000000000000011</v>
      </c>
      <c r="H24" s="93">
        <v>24935.833333333332</v>
      </c>
      <c r="I24" s="93">
        <v>31241.25</v>
      </c>
      <c r="J24" s="93">
        <v>28755.625</v>
      </c>
      <c r="K24" s="92">
        <v>0</v>
      </c>
      <c r="L24" s="92">
        <v>0</v>
      </c>
      <c r="M24" s="93">
        <v>2</v>
      </c>
      <c r="N24" s="92">
        <v>0</v>
      </c>
      <c r="O24" s="92">
        <v>0</v>
      </c>
      <c r="P24" s="93">
        <v>4597125.1109999996</v>
      </c>
      <c r="Q24" s="93">
        <v>30073.152800000007</v>
      </c>
      <c r="R24" s="93">
        <v>4077.8227000000002</v>
      </c>
      <c r="S24" s="93">
        <v>666310.72999999986</v>
      </c>
      <c r="T24" s="93">
        <v>610.11195999999995</v>
      </c>
      <c r="U24" s="93">
        <f t="shared" si="12"/>
        <v>887.03757273052827</v>
      </c>
      <c r="V24" s="93">
        <f t="shared" si="13"/>
        <v>915.65681375114605</v>
      </c>
      <c r="W24" s="93">
        <f t="shared" si="14"/>
        <v>-28.619241020617778</v>
      </c>
      <c r="X24" s="93">
        <v>8890.4130000000005</v>
      </c>
      <c r="Y24" s="92">
        <v>4.9000000000000039</v>
      </c>
      <c r="Z24" s="92">
        <v>0</v>
      </c>
      <c r="AA24" s="94">
        <v>0.02</v>
      </c>
      <c r="AB24" s="95">
        <v>-2.3457862728062457E-2</v>
      </c>
    </row>
    <row r="25" spans="1:28" ht="14.4" x14ac:dyDescent="0.3">
      <c r="A25" s="90">
        <v>24</v>
      </c>
      <c r="B25" s="91">
        <v>44256</v>
      </c>
      <c r="C25" s="92">
        <v>3</v>
      </c>
      <c r="D25" s="92">
        <v>2021</v>
      </c>
      <c r="E25" s="92">
        <v>1121</v>
      </c>
      <c r="F25" s="92">
        <f t="shared" si="10"/>
        <v>1</v>
      </c>
      <c r="G25" s="92">
        <f t="shared" si="11"/>
        <v>6.1257422745431001E-17</v>
      </c>
      <c r="H25" s="93">
        <v>24935.833333333332</v>
      </c>
      <c r="I25" s="93">
        <v>31241.25</v>
      </c>
      <c r="J25" s="93">
        <v>28755.625</v>
      </c>
      <c r="K25" s="92">
        <v>0</v>
      </c>
      <c r="L25" s="92">
        <v>0</v>
      </c>
      <c r="M25" s="93">
        <v>3</v>
      </c>
      <c r="N25" s="92">
        <v>0</v>
      </c>
      <c r="O25" s="92">
        <v>0</v>
      </c>
      <c r="P25" s="93">
        <v>4614671.4209999992</v>
      </c>
      <c r="Q25" s="93">
        <v>29955.640800000008</v>
      </c>
      <c r="R25" s="93">
        <v>4046.6897000000008</v>
      </c>
      <c r="S25" s="93">
        <v>641664.02999999991</v>
      </c>
      <c r="T25" s="93">
        <v>588.73356000000001</v>
      </c>
      <c r="U25" s="93">
        <f t="shared" si="12"/>
        <v>876.91827452431778</v>
      </c>
      <c r="V25" s="93">
        <f t="shared" si="13"/>
        <v>917.51061688778168</v>
      </c>
      <c r="W25" s="93">
        <f t="shared" si="14"/>
        <v>-40.592342363463899</v>
      </c>
      <c r="X25" s="93">
        <v>8890.4130000000005</v>
      </c>
      <c r="Y25" s="92">
        <v>4.9000000000000039</v>
      </c>
      <c r="Z25" s="92">
        <v>0</v>
      </c>
      <c r="AA25" s="94">
        <v>-0.02</v>
      </c>
      <c r="AB25" s="95">
        <v>-1.6903914590747381E-2</v>
      </c>
    </row>
    <row r="26" spans="1:28" ht="14.4" x14ac:dyDescent="0.3">
      <c r="A26" s="90">
        <v>25</v>
      </c>
      <c r="B26" s="91">
        <v>44287</v>
      </c>
      <c r="C26" s="92">
        <v>4</v>
      </c>
      <c r="D26" s="92">
        <v>2021</v>
      </c>
      <c r="E26" s="92">
        <v>1121</v>
      </c>
      <c r="F26" s="92">
        <f t="shared" si="10"/>
        <v>0.86602540378443871</v>
      </c>
      <c r="G26" s="92">
        <f t="shared" si="11"/>
        <v>-0.49999999999999978</v>
      </c>
      <c r="H26" s="93">
        <v>24935.833333333332</v>
      </c>
      <c r="I26" s="93">
        <v>31241.25</v>
      </c>
      <c r="J26" s="93">
        <v>28755.625</v>
      </c>
      <c r="K26" s="92">
        <v>0</v>
      </c>
      <c r="L26" s="92">
        <v>0</v>
      </c>
      <c r="M26" s="93">
        <v>4</v>
      </c>
      <c r="N26" s="92">
        <v>0</v>
      </c>
      <c r="O26" s="92">
        <v>0</v>
      </c>
      <c r="P26" s="93">
        <v>4630463.0999999987</v>
      </c>
      <c r="Q26" s="93">
        <v>29849.880000000008</v>
      </c>
      <c r="R26" s="93">
        <v>4018.6700000000005</v>
      </c>
      <c r="S26" s="93">
        <v>619482</v>
      </c>
      <c r="T26" s="93">
        <v>569.49300000000005</v>
      </c>
      <c r="U26" s="93">
        <f t="shared" si="12"/>
        <v>867.8764765450785</v>
      </c>
      <c r="V26" s="93">
        <f t="shared" si="13"/>
        <v>919.3051614090482</v>
      </c>
      <c r="W26" s="93">
        <f t="shared" si="14"/>
        <v>-51.428684863969693</v>
      </c>
      <c r="X26" s="93">
        <v>7711.0725000000048</v>
      </c>
      <c r="Y26" s="92">
        <v>4.25</v>
      </c>
      <c r="Z26" s="92">
        <v>0</v>
      </c>
      <c r="AA26" s="94">
        <v>-0.02</v>
      </c>
      <c r="AB26" s="95">
        <v>2.1719457013574712E-2</v>
      </c>
    </row>
    <row r="27" spans="1:28" ht="14.4" x14ac:dyDescent="0.3">
      <c r="A27" s="90">
        <v>26</v>
      </c>
      <c r="B27" s="91">
        <v>44317</v>
      </c>
      <c r="C27" s="92">
        <v>5</v>
      </c>
      <c r="D27" s="92">
        <v>2021</v>
      </c>
      <c r="E27" s="92">
        <v>1121</v>
      </c>
      <c r="F27" s="92">
        <f t="shared" si="10"/>
        <v>0.49999999999999994</v>
      </c>
      <c r="G27" s="92">
        <f t="shared" si="11"/>
        <v>-0.86602540378443871</v>
      </c>
      <c r="H27" s="93">
        <v>24935.833333333332</v>
      </c>
      <c r="I27" s="93">
        <v>31241.25</v>
      </c>
      <c r="J27" s="93">
        <v>28755.625</v>
      </c>
      <c r="K27" s="92">
        <v>0</v>
      </c>
      <c r="L27" s="92">
        <v>0</v>
      </c>
      <c r="M27" s="93">
        <v>5</v>
      </c>
      <c r="N27" s="92">
        <v>0</v>
      </c>
      <c r="O27" s="92">
        <v>0</v>
      </c>
      <c r="P27" s="93">
        <v>4575878.9335999992</v>
      </c>
      <c r="Q27" s="93">
        <v>29575.208800000008</v>
      </c>
      <c r="R27" s="93">
        <v>3980.4084000000007</v>
      </c>
      <c r="S27" s="93">
        <v>629964.79999999993</v>
      </c>
      <c r="T27" s="93">
        <v>579.39900000000011</v>
      </c>
      <c r="U27" s="93">
        <f t="shared" si="12"/>
        <v>869.86750693346653</v>
      </c>
      <c r="V27" s="93">
        <f t="shared" si="13"/>
        <v>919.73234060061793</v>
      </c>
      <c r="W27" s="93">
        <f t="shared" si="14"/>
        <v>-49.864833667151402</v>
      </c>
      <c r="X27" s="93">
        <v>7711.0725000000048</v>
      </c>
      <c r="Y27" s="92">
        <v>4.25</v>
      </c>
      <c r="Z27" s="92">
        <v>0</v>
      </c>
      <c r="AA27" s="94">
        <v>-0.03</v>
      </c>
      <c r="AB27" s="95">
        <v>1.8600531443755484E-2</v>
      </c>
    </row>
    <row r="28" spans="1:28" ht="14.4" x14ac:dyDescent="0.3">
      <c r="A28" s="90">
        <v>27</v>
      </c>
      <c r="B28" s="91">
        <v>44348</v>
      </c>
      <c r="C28" s="92">
        <v>6</v>
      </c>
      <c r="D28" s="92">
        <v>2021</v>
      </c>
      <c r="E28" s="92">
        <v>1121</v>
      </c>
      <c r="F28" s="92">
        <f t="shared" si="10"/>
        <v>1.22514845490862E-16</v>
      </c>
      <c r="G28" s="92">
        <f t="shared" si="11"/>
        <v>-1</v>
      </c>
      <c r="H28" s="93">
        <v>24935.833333333332</v>
      </c>
      <c r="I28" s="93">
        <v>31241.25</v>
      </c>
      <c r="J28" s="93">
        <v>28755.625</v>
      </c>
      <c r="K28" s="92">
        <v>0</v>
      </c>
      <c r="L28" s="92">
        <v>0</v>
      </c>
      <c r="M28" s="93">
        <v>6</v>
      </c>
      <c r="N28" s="92">
        <v>0</v>
      </c>
      <c r="O28" s="92">
        <v>0</v>
      </c>
      <c r="P28" s="93">
        <v>4521294.7671999997</v>
      </c>
      <c r="Q28" s="93">
        <v>29300.537600000011</v>
      </c>
      <c r="R28" s="93">
        <v>3942.1468000000004</v>
      </c>
      <c r="S28" s="93">
        <v>640447.6</v>
      </c>
      <c r="T28" s="93">
        <v>589.30500000000006</v>
      </c>
      <c r="U28" s="93">
        <f t="shared" si="12"/>
        <v>871.90661148627987</v>
      </c>
      <c r="V28" s="93">
        <f t="shared" si="13"/>
        <v>920.14553571595889</v>
      </c>
      <c r="W28" s="93">
        <f t="shared" si="14"/>
        <v>-48.238924229679014</v>
      </c>
      <c r="X28" s="93">
        <v>7711.0725000000048</v>
      </c>
      <c r="Y28" s="92">
        <v>4.25</v>
      </c>
      <c r="Z28" s="92">
        <v>0</v>
      </c>
      <c r="AA28" s="94">
        <v>-0.03</v>
      </c>
      <c r="AB28" s="95">
        <v>1.5652173913043455E-2</v>
      </c>
    </row>
    <row r="29" spans="1:28" ht="14.4" x14ac:dyDescent="0.3">
      <c r="A29" s="90">
        <v>28</v>
      </c>
      <c r="B29" s="91">
        <v>44378</v>
      </c>
      <c r="C29" s="92">
        <v>7</v>
      </c>
      <c r="D29" s="92">
        <v>2021</v>
      </c>
      <c r="E29" s="92">
        <v>1121</v>
      </c>
      <c r="F29" s="92">
        <f t="shared" si="10"/>
        <v>-0.50000000000000011</v>
      </c>
      <c r="G29" s="92">
        <f t="shared" si="11"/>
        <v>-0.8660254037844386</v>
      </c>
      <c r="H29" s="93">
        <v>24935.833333333332</v>
      </c>
      <c r="I29" s="93">
        <v>31241.25</v>
      </c>
      <c r="J29" s="93">
        <v>28755.625</v>
      </c>
      <c r="K29" s="92">
        <v>0</v>
      </c>
      <c r="L29" s="92">
        <v>0</v>
      </c>
      <c r="M29" s="93">
        <v>7</v>
      </c>
      <c r="N29" s="92">
        <v>0</v>
      </c>
      <c r="O29" s="92">
        <v>0</v>
      </c>
      <c r="P29" s="93">
        <v>4466710.6008000001</v>
      </c>
      <c r="Q29" s="93">
        <v>29025.86640000001</v>
      </c>
      <c r="R29" s="93">
        <v>3903.8852000000002</v>
      </c>
      <c r="S29" s="93">
        <v>650930.4</v>
      </c>
      <c r="T29" s="93">
        <v>599.21100000000001</v>
      </c>
      <c r="U29" s="93">
        <f t="shared" si="12"/>
        <v>873.99555263347565</v>
      </c>
      <c r="V29" s="93">
        <f t="shared" si="13"/>
        <v>920.54542236773693</v>
      </c>
      <c r="W29" s="93">
        <f t="shared" si="14"/>
        <v>-46.549869734261279</v>
      </c>
      <c r="X29" s="93">
        <v>7711.0725000000048</v>
      </c>
      <c r="Y29" s="92">
        <v>4.25</v>
      </c>
      <c r="Z29" s="92">
        <v>0</v>
      </c>
      <c r="AA29" s="94">
        <v>-0.01</v>
      </c>
      <c r="AB29" s="95">
        <v>5.9931506849315317E-3</v>
      </c>
    </row>
    <row r="30" spans="1:28" ht="14.4" x14ac:dyDescent="0.3">
      <c r="A30" s="90">
        <v>29</v>
      </c>
      <c r="B30" s="91">
        <v>44409</v>
      </c>
      <c r="C30" s="92">
        <v>8</v>
      </c>
      <c r="D30" s="92">
        <v>2021</v>
      </c>
      <c r="E30" s="92">
        <v>1121</v>
      </c>
      <c r="F30" s="92">
        <f t="shared" si="10"/>
        <v>-0.86602540378443837</v>
      </c>
      <c r="G30" s="92">
        <f t="shared" si="11"/>
        <v>-0.50000000000000044</v>
      </c>
      <c r="H30" s="93">
        <v>24935.833333333332</v>
      </c>
      <c r="I30" s="93">
        <v>31241.25</v>
      </c>
      <c r="J30" s="93">
        <v>28755.625</v>
      </c>
      <c r="K30" s="92">
        <v>0</v>
      </c>
      <c r="L30" s="92">
        <v>0</v>
      </c>
      <c r="M30" s="93">
        <v>8</v>
      </c>
      <c r="N30" s="92">
        <v>0</v>
      </c>
      <c r="O30" s="92">
        <v>0</v>
      </c>
      <c r="P30" s="93">
        <v>4412126.4344000006</v>
      </c>
      <c r="Q30" s="93">
        <v>28751.195200000009</v>
      </c>
      <c r="R30" s="93">
        <v>3865.6235999999999</v>
      </c>
      <c r="S30" s="93">
        <v>661413.20000000007</v>
      </c>
      <c r="T30" s="93">
        <v>609.11699999999996</v>
      </c>
      <c r="U30" s="93">
        <f t="shared" si="12"/>
        <v>876.1361800198913</v>
      </c>
      <c r="V30" s="93">
        <f t="shared" si="13"/>
        <v>920.93263333722393</v>
      </c>
      <c r="W30" s="93">
        <f t="shared" si="14"/>
        <v>-44.796453317332634</v>
      </c>
      <c r="X30" s="93">
        <v>7711.0725000000048</v>
      </c>
      <c r="Y30" s="92">
        <v>4.25</v>
      </c>
      <c r="Z30" s="92">
        <v>0</v>
      </c>
      <c r="AA30" s="94">
        <v>-0.01</v>
      </c>
      <c r="AB30" s="95">
        <v>3.4042553191489847E-3</v>
      </c>
    </row>
    <row r="31" spans="1:28" ht="14.4" x14ac:dyDescent="0.3">
      <c r="A31" s="90">
        <v>30</v>
      </c>
      <c r="B31" s="91">
        <v>44440</v>
      </c>
      <c r="C31" s="92">
        <v>9</v>
      </c>
      <c r="D31" s="92">
        <v>2021</v>
      </c>
      <c r="E31" s="92">
        <v>1121</v>
      </c>
      <c r="F31" s="92">
        <f t="shared" si="10"/>
        <v>-1</v>
      </c>
      <c r="G31" s="92">
        <f t="shared" si="11"/>
        <v>-1.83772268236293E-16</v>
      </c>
      <c r="H31" s="93">
        <v>24935.833333333332</v>
      </c>
      <c r="I31" s="93">
        <v>31241.25</v>
      </c>
      <c r="J31" s="93">
        <v>28755.625</v>
      </c>
      <c r="K31" s="92">
        <v>0</v>
      </c>
      <c r="L31" s="92">
        <v>0</v>
      </c>
      <c r="M31" s="93">
        <v>9</v>
      </c>
      <c r="N31" s="92">
        <v>0</v>
      </c>
      <c r="O31" s="92">
        <v>0</v>
      </c>
      <c r="P31" s="93">
        <v>4357542.2680000002</v>
      </c>
      <c r="Q31" s="93">
        <v>28476.524000000012</v>
      </c>
      <c r="R31" s="93">
        <v>3827.3620000000001</v>
      </c>
      <c r="S31" s="93">
        <v>671896</v>
      </c>
      <c r="T31" s="93">
        <v>619.02299999999991</v>
      </c>
      <c r="U31" s="93">
        <f t="shared" si="12"/>
        <v>878.33043596767243</v>
      </c>
      <c r="V31" s="93">
        <f t="shared" si="13"/>
        <v>921.30776191553434</v>
      </c>
      <c r="W31" s="93">
        <f t="shared" si="14"/>
        <v>-42.977325947861914</v>
      </c>
      <c r="X31" s="93">
        <v>7711.0725000000048</v>
      </c>
      <c r="Y31" s="92">
        <v>4.25</v>
      </c>
      <c r="Z31" s="92">
        <v>0</v>
      </c>
      <c r="AA31" s="94">
        <v>0</v>
      </c>
      <c r="AB31" s="95">
        <v>0</v>
      </c>
    </row>
    <row r="32" spans="1:28" ht="14.4" x14ac:dyDescent="0.3">
      <c r="A32" s="90">
        <v>31</v>
      </c>
      <c r="B32" s="91">
        <v>44470</v>
      </c>
      <c r="C32" s="92">
        <v>10</v>
      </c>
      <c r="D32" s="92">
        <v>2021</v>
      </c>
      <c r="E32" s="92">
        <v>1121</v>
      </c>
      <c r="F32" s="92">
        <v>-0.86602540378443826</v>
      </c>
      <c r="G32" s="92">
        <v>0.50000000000000011</v>
      </c>
      <c r="H32" s="93">
        <v>28623.846153846152</v>
      </c>
      <c r="I32" s="93">
        <v>33034.358974358976</v>
      </c>
      <c r="J32" s="93">
        <v>31193.974358974359</v>
      </c>
      <c r="K32" s="92">
        <v>39</v>
      </c>
      <c r="L32" s="92">
        <v>1</v>
      </c>
      <c r="M32" s="93">
        <v>10</v>
      </c>
      <c r="N32" s="93">
        <v>2093.080133844288</v>
      </c>
      <c r="O32" s="92">
        <v>1</v>
      </c>
      <c r="P32" s="93">
        <v>4309781.122399997</v>
      </c>
      <c r="Q32" s="93">
        <v>28236.186699999991</v>
      </c>
      <c r="R32" s="93">
        <v>3793.8831000000032</v>
      </c>
      <c r="S32" s="93">
        <v>681068.44999999949</v>
      </c>
      <c r="T32" s="93">
        <v>627.69075000000032</v>
      </c>
      <c r="U32" s="93">
        <v>880.29600396209605</v>
      </c>
      <c r="V32" s="93">
        <v>921.62652667290649</v>
      </c>
      <c r="W32" s="93">
        <v>-41.330522710809802</v>
      </c>
      <c r="X32" s="93">
        <v>7711.0725000000048</v>
      </c>
      <c r="Y32" s="92">
        <v>4.25</v>
      </c>
      <c r="Z32" s="92">
        <v>0</v>
      </c>
      <c r="AA32" s="95">
        <v>1.897712122227339E-2</v>
      </c>
      <c r="AB32" s="95">
        <v>4.6553267681289194E-2</v>
      </c>
    </row>
    <row r="33" spans="1:28" ht="14.4" x14ac:dyDescent="0.3">
      <c r="A33" s="90">
        <v>32</v>
      </c>
      <c r="B33" s="91">
        <v>44501</v>
      </c>
      <c r="C33" s="92">
        <v>11</v>
      </c>
      <c r="D33" s="92">
        <v>2021</v>
      </c>
      <c r="E33" s="92">
        <v>1121</v>
      </c>
      <c r="F33" s="92">
        <v>-0.50000000000000011</v>
      </c>
      <c r="G33" s="92">
        <v>0.86602540378443782</v>
      </c>
      <c r="H33" s="93">
        <v>30277.450980392157</v>
      </c>
      <c r="I33" s="93">
        <v>37718.137254901958</v>
      </c>
      <c r="J33" s="93">
        <v>34833.333333333336</v>
      </c>
      <c r="K33" s="92">
        <v>102</v>
      </c>
      <c r="L33" s="92">
        <v>1</v>
      </c>
      <c r="M33" s="93">
        <v>1</v>
      </c>
      <c r="N33" s="93">
        <v>2439.8719059597779</v>
      </c>
      <c r="O33" s="92">
        <v>1</v>
      </c>
      <c r="P33" s="93">
        <v>4262019.9768000077</v>
      </c>
      <c r="Q33" s="93">
        <v>27995.849400000043</v>
      </c>
      <c r="R33" s="93">
        <v>3760.404199999994</v>
      </c>
      <c r="S33" s="93">
        <v>690240.89999999921</v>
      </c>
      <c r="T33" s="93">
        <v>636.35850000000062</v>
      </c>
      <c r="U33" s="93">
        <v>882.30562514241751</v>
      </c>
      <c r="V33" s="93">
        <v>921.93681944955802</v>
      </c>
      <c r="W33" s="93">
        <v>-39.631194307138799</v>
      </c>
      <c r="X33" s="93">
        <v>7711.0725000000066</v>
      </c>
      <c r="Y33" s="92">
        <v>4.25</v>
      </c>
      <c r="Z33" s="92">
        <v>0</v>
      </c>
      <c r="AA33" s="95">
        <v>3.6560075425881573E-3</v>
      </c>
      <c r="AB33" s="95">
        <v>4.0035587188612026E-2</v>
      </c>
    </row>
    <row r="34" spans="1:28" ht="14.4" x14ac:dyDescent="0.3">
      <c r="A34" s="90">
        <v>33</v>
      </c>
      <c r="B34" s="91">
        <v>44531</v>
      </c>
      <c r="C34" s="92">
        <v>12</v>
      </c>
      <c r="D34" s="92">
        <v>2021</v>
      </c>
      <c r="E34" s="92">
        <v>1121</v>
      </c>
      <c r="F34" s="92">
        <v>-2.45029690981724E-16</v>
      </c>
      <c r="G34" s="92">
        <v>1</v>
      </c>
      <c r="H34" s="93">
        <v>29690.317460317459</v>
      </c>
      <c r="I34" s="93">
        <v>36270.158730158728</v>
      </c>
      <c r="J34" s="93">
        <v>34368.075396825399</v>
      </c>
      <c r="K34" s="92">
        <v>126</v>
      </c>
      <c r="L34" s="92">
        <v>1</v>
      </c>
      <c r="M34" s="93">
        <v>1</v>
      </c>
      <c r="N34" s="93">
        <v>2211.5377718388118</v>
      </c>
      <c r="O34" s="92">
        <v>1</v>
      </c>
      <c r="P34" s="93">
        <v>4214258.8312000027</v>
      </c>
      <c r="Q34" s="93">
        <v>27755.512099999964</v>
      </c>
      <c r="R34" s="93">
        <v>3726.9253000000022</v>
      </c>
      <c r="S34" s="93">
        <v>699413.34999999939</v>
      </c>
      <c r="T34" s="93">
        <v>645.02624999999989</v>
      </c>
      <c r="U34" s="93">
        <v>884.36079730270683</v>
      </c>
      <c r="V34" s="93">
        <v>922.23897356263092</v>
      </c>
      <c r="W34" s="93">
        <v>-37.878176259923748</v>
      </c>
      <c r="X34" s="93">
        <v>7711.0725000000075</v>
      </c>
      <c r="Y34" s="92">
        <v>4.25</v>
      </c>
      <c r="Z34" s="92">
        <v>0</v>
      </c>
      <c r="AA34" s="95">
        <v>2.3457968924657051E-2</v>
      </c>
      <c r="AB34" s="95">
        <v>3.6028119507908712E-2</v>
      </c>
    </row>
    <row r="35" spans="1:28" ht="14.4" x14ac:dyDescent="0.3">
      <c r="A35" s="90">
        <v>34</v>
      </c>
      <c r="B35" s="91">
        <v>44562</v>
      </c>
      <c r="C35" s="92">
        <v>1</v>
      </c>
      <c r="D35" s="92">
        <v>2022</v>
      </c>
      <c r="E35" s="92">
        <v>1121</v>
      </c>
      <c r="F35" s="92">
        <v>0.49999999999999994</v>
      </c>
      <c r="G35" s="92">
        <v>0.8660254037844396</v>
      </c>
      <c r="H35" s="93">
        <v>29611.928934010153</v>
      </c>
      <c r="I35" s="93">
        <v>35778.426395939088</v>
      </c>
      <c r="J35" s="93">
        <v>33881.979695431473</v>
      </c>
      <c r="K35" s="92">
        <v>197</v>
      </c>
      <c r="L35" s="92">
        <v>1</v>
      </c>
      <c r="M35" s="93">
        <v>1</v>
      </c>
      <c r="N35" s="93">
        <v>2350.6596207547577</v>
      </c>
      <c r="O35" s="92">
        <v>1</v>
      </c>
      <c r="P35" s="93">
        <v>4146028.6232000203</v>
      </c>
      <c r="Q35" s="93">
        <v>27412.173099999975</v>
      </c>
      <c r="R35" s="93">
        <v>3679.0982999999937</v>
      </c>
      <c r="S35" s="93">
        <v>712516.84999999742</v>
      </c>
      <c r="T35" s="93">
        <v>657.40875000000165</v>
      </c>
      <c r="U35" s="93">
        <v>887.37889541157915</v>
      </c>
      <c r="V35" s="93">
        <v>922.65712733671273</v>
      </c>
      <c r="W35" s="93">
        <v>-35.278231925130697</v>
      </c>
      <c r="X35" s="93">
        <v>7711.0725000000084</v>
      </c>
      <c r="Y35" s="92">
        <v>4.25</v>
      </c>
      <c r="Z35" s="92">
        <v>0</v>
      </c>
      <c r="AA35" s="95">
        <v>1.7953268745420498E-2</v>
      </c>
      <c r="AB35" s="95">
        <v>3.4752389226759377E-2</v>
      </c>
    </row>
    <row r="36" spans="1:28" ht="14.4" x14ac:dyDescent="0.3">
      <c r="A36" s="90">
        <v>35</v>
      </c>
      <c r="B36" s="91">
        <v>44593</v>
      </c>
      <c r="C36" s="92">
        <v>2</v>
      </c>
      <c r="D36" s="92">
        <v>2022</v>
      </c>
      <c r="E36" s="92">
        <v>1121</v>
      </c>
      <c r="F36" s="92">
        <v>0.86602540378443993</v>
      </c>
      <c r="G36" s="92">
        <v>0.50000000000000011</v>
      </c>
      <c r="H36" s="93">
        <v>31190.443349753696</v>
      </c>
      <c r="I36" s="93">
        <v>38267.586206896551</v>
      </c>
      <c r="J36" s="93">
        <v>35481.30541871921</v>
      </c>
      <c r="K36" s="92">
        <v>203</v>
      </c>
      <c r="L36" s="92">
        <v>1</v>
      </c>
      <c r="M36" s="93">
        <v>1</v>
      </c>
      <c r="N36" s="93">
        <v>3541.7865723500809</v>
      </c>
      <c r="O36" s="92">
        <v>1</v>
      </c>
      <c r="P36" s="93">
        <v>4077798.4151999955</v>
      </c>
      <c r="Q36" s="93">
        <v>27068.834099999964</v>
      </c>
      <c r="R36" s="93">
        <v>3631.2713000000126</v>
      </c>
      <c r="S36" s="93">
        <v>725620.3499999973</v>
      </c>
      <c r="T36" s="93">
        <v>669.79124999999817</v>
      </c>
      <c r="U36" s="93">
        <v>890.49799187336703</v>
      </c>
      <c r="V36" s="93">
        <v>923.06017878357659</v>
      </c>
      <c r="W36" s="93">
        <v>-32.562186910207593</v>
      </c>
      <c r="X36" s="93">
        <v>7711.0725000000084</v>
      </c>
      <c r="Y36" s="92">
        <v>4.25</v>
      </c>
      <c r="Z36" s="92">
        <v>0</v>
      </c>
      <c r="AA36" s="95">
        <v>2.975016673638348E-2</v>
      </c>
      <c r="AB36" s="95">
        <v>7.4733096085409553E-2</v>
      </c>
    </row>
    <row r="37" spans="1:28" ht="14.4" x14ac:dyDescent="0.3">
      <c r="A37" s="90">
        <v>36</v>
      </c>
      <c r="B37" s="91">
        <v>44621</v>
      </c>
      <c r="C37" s="92">
        <v>3</v>
      </c>
      <c r="D37" s="92">
        <v>2022</v>
      </c>
      <c r="E37" s="92">
        <v>1121</v>
      </c>
      <c r="F37" s="92">
        <v>1</v>
      </c>
      <c r="G37" s="92">
        <v>6.1257422745431001E-17</v>
      </c>
      <c r="H37" s="93">
        <v>33601.290322580644</v>
      </c>
      <c r="I37" s="93">
        <v>38377.31182795699</v>
      </c>
      <c r="J37" s="93">
        <v>36018.494623655912</v>
      </c>
      <c r="K37" s="92">
        <v>93</v>
      </c>
      <c r="L37" s="92">
        <v>1</v>
      </c>
      <c r="M37" s="93">
        <v>1</v>
      </c>
      <c r="N37" s="93">
        <v>4765.3568565302121</v>
      </c>
      <c r="O37" s="92">
        <v>1</v>
      </c>
      <c r="P37" s="93">
        <v>4009568.2071999954</v>
      </c>
      <c r="Q37" s="93">
        <v>26725.495099999982</v>
      </c>
      <c r="R37" s="93">
        <v>3583.4442999999965</v>
      </c>
      <c r="S37" s="93">
        <v>738723.85000000079</v>
      </c>
      <c r="T37" s="93">
        <v>682.17375000000129</v>
      </c>
      <c r="U37" s="93">
        <v>893.72324270857803</v>
      </c>
      <c r="V37" s="93">
        <v>923.44893155947057</v>
      </c>
      <c r="W37" s="93">
        <v>-29.725688850895661</v>
      </c>
      <c r="X37" s="93">
        <v>7711.0725000000066</v>
      </c>
      <c r="Y37" s="92">
        <v>4.25</v>
      </c>
      <c r="Z37" s="92">
        <v>0</v>
      </c>
      <c r="AA37" s="95">
        <v>4.6791597922231129E-2</v>
      </c>
      <c r="AB37" s="95">
        <v>9.3212669683257754E-2</v>
      </c>
    </row>
    <row r="38" spans="1:28" ht="14.4" x14ac:dyDescent="0.3">
      <c r="A38" s="90">
        <v>37</v>
      </c>
      <c r="B38" s="91">
        <v>44652</v>
      </c>
      <c r="C38" s="92">
        <v>4</v>
      </c>
      <c r="D38" s="92">
        <v>2022</v>
      </c>
      <c r="E38" s="92">
        <v>1121</v>
      </c>
      <c r="F38" s="92">
        <f t="shared" ref="F38:F42" si="15">SIN(2*PI()*(C38/12))</f>
        <v>0.86602540378443871</v>
      </c>
      <c r="G38" s="92">
        <f t="shared" ref="G38:G42" si="16">COS(2*PI()*(C38/12))</f>
        <v>-0.49999999999999978</v>
      </c>
      <c r="H38" s="93">
        <v>33601.290322580644</v>
      </c>
      <c r="I38" s="93">
        <v>38377.31182795699</v>
      </c>
      <c r="J38" s="93">
        <v>36018.494623655912</v>
      </c>
      <c r="K38" s="92">
        <v>0</v>
      </c>
      <c r="L38" s="92">
        <v>0</v>
      </c>
      <c r="M38" s="93">
        <v>1</v>
      </c>
      <c r="N38" s="92">
        <v>0</v>
      </c>
      <c r="O38" s="92">
        <v>0</v>
      </c>
      <c r="P38" s="93">
        <v>3948161.02</v>
      </c>
      <c r="Q38" s="93">
        <v>26416.490000000005</v>
      </c>
      <c r="R38" s="93">
        <v>3540.4</v>
      </c>
      <c r="S38" s="93">
        <v>750516.99999999988</v>
      </c>
      <c r="T38" s="93">
        <v>693.31799999999998</v>
      </c>
      <c r="U38" s="93">
        <f t="shared" ref="U38:U42" si="17">(R38*1000000)/(P38)</f>
        <v>896.72127911338328</v>
      </c>
      <c r="V38" s="93">
        <f t="shared" ref="V38:V42" si="18">(T38*1000000)/S38</f>
        <v>923.78720268828033</v>
      </c>
      <c r="W38" s="93">
        <f t="shared" ref="W38:W42" si="19">U38-V38</f>
        <v>-27.065923574897056</v>
      </c>
      <c r="X38" s="93">
        <v>8890.4130000000005</v>
      </c>
      <c r="Y38" s="92">
        <v>4.4549999999999992</v>
      </c>
      <c r="Z38" s="92">
        <v>0</v>
      </c>
      <c r="AA38" s="95">
        <v>0.02</v>
      </c>
      <c r="AB38" s="95">
        <v>1.8211920529801348E-2</v>
      </c>
    </row>
    <row r="39" spans="1:28" ht="14.4" x14ac:dyDescent="0.3">
      <c r="A39" s="90">
        <v>38</v>
      </c>
      <c r="B39" s="91">
        <v>44682</v>
      </c>
      <c r="C39" s="92">
        <v>5</v>
      </c>
      <c r="D39" s="92">
        <v>2022</v>
      </c>
      <c r="E39" s="92">
        <v>1121</v>
      </c>
      <c r="F39" s="92">
        <f t="shared" si="15"/>
        <v>0.49999999999999994</v>
      </c>
      <c r="G39" s="92">
        <f t="shared" si="16"/>
        <v>-0.86602540378443871</v>
      </c>
      <c r="H39" s="93">
        <v>33601.290322580644</v>
      </c>
      <c r="I39" s="93">
        <v>38377.31182795699</v>
      </c>
      <c r="J39" s="93">
        <v>36018.494623655912</v>
      </c>
      <c r="K39" s="92">
        <v>0</v>
      </c>
      <c r="L39" s="92">
        <v>0</v>
      </c>
      <c r="M39" s="93">
        <v>2</v>
      </c>
      <c r="N39" s="92">
        <v>0</v>
      </c>
      <c r="O39" s="92">
        <v>0</v>
      </c>
      <c r="P39" s="93">
        <v>3997025.9144000001</v>
      </c>
      <c r="Q39" s="93">
        <v>27385.102800000008</v>
      </c>
      <c r="R39" s="93">
        <v>3640.1664000000001</v>
      </c>
      <c r="S39" s="93">
        <v>738085.24</v>
      </c>
      <c r="T39" s="93">
        <v>689.88632000000007</v>
      </c>
      <c r="U39" s="93">
        <f t="shared" si="17"/>
        <v>910.71873887173217</v>
      </c>
      <c r="V39" s="93">
        <f t="shared" si="18"/>
        <v>934.69735284233582</v>
      </c>
      <c r="W39" s="93">
        <f t="shared" si="19"/>
        <v>-23.978613970603647</v>
      </c>
      <c r="X39" s="93">
        <v>8890.4130000000005</v>
      </c>
      <c r="Y39" s="92">
        <v>4.4549999999999992</v>
      </c>
      <c r="Z39" s="92">
        <v>0</v>
      </c>
      <c r="AA39" s="95">
        <v>0.06</v>
      </c>
      <c r="AB39" s="95">
        <v>0</v>
      </c>
    </row>
    <row r="40" spans="1:28" ht="14.4" x14ac:dyDescent="0.3">
      <c r="A40" s="90">
        <v>39</v>
      </c>
      <c r="B40" s="91">
        <v>44713</v>
      </c>
      <c r="C40" s="92">
        <v>6</v>
      </c>
      <c r="D40" s="92">
        <v>2022</v>
      </c>
      <c r="E40" s="92">
        <v>1121</v>
      </c>
      <c r="F40" s="92">
        <f t="shared" si="15"/>
        <v>1.22514845490862E-16</v>
      </c>
      <c r="G40" s="92">
        <f t="shared" si="16"/>
        <v>-1</v>
      </c>
      <c r="H40" s="93">
        <v>33601.290322580644</v>
      </c>
      <c r="I40" s="93">
        <v>38377.31182795699</v>
      </c>
      <c r="J40" s="93">
        <v>36018.494623655912</v>
      </c>
      <c r="K40" s="92">
        <v>0</v>
      </c>
      <c r="L40" s="92">
        <v>0</v>
      </c>
      <c r="M40" s="93">
        <v>3</v>
      </c>
      <c r="N40" s="92">
        <v>0</v>
      </c>
      <c r="O40" s="92">
        <v>0</v>
      </c>
      <c r="P40" s="93">
        <v>4045890.8088000002</v>
      </c>
      <c r="Q40" s="93">
        <v>28353.715600000007</v>
      </c>
      <c r="R40" s="93">
        <v>3739.9328</v>
      </c>
      <c r="S40" s="93">
        <v>725653.48</v>
      </c>
      <c r="T40" s="93">
        <v>686.45464000000015</v>
      </c>
      <c r="U40" s="93">
        <f t="shared" si="17"/>
        <v>924.37808550479724</v>
      </c>
      <c r="V40" s="93">
        <f t="shared" si="18"/>
        <v>945.98132430922828</v>
      </c>
      <c r="W40" s="93">
        <f t="shared" si="19"/>
        <v>-21.603238804431044</v>
      </c>
      <c r="X40" s="93">
        <v>8890.4130000000005</v>
      </c>
      <c r="Y40" s="92">
        <v>4.4549999999999992</v>
      </c>
      <c r="Z40" s="92">
        <v>0</v>
      </c>
      <c r="AA40" s="95">
        <v>0.06</v>
      </c>
      <c r="AB40" s="95">
        <v>0</v>
      </c>
    </row>
    <row r="41" spans="1:28" ht="14.4" x14ac:dyDescent="0.3">
      <c r="A41" s="90">
        <v>40</v>
      </c>
      <c r="B41" s="91">
        <v>44743</v>
      </c>
      <c r="C41" s="92">
        <v>7</v>
      </c>
      <c r="D41" s="92">
        <v>2022</v>
      </c>
      <c r="E41" s="92">
        <v>1121</v>
      </c>
      <c r="F41" s="92">
        <f t="shared" si="15"/>
        <v>-0.50000000000000011</v>
      </c>
      <c r="G41" s="92">
        <f t="shared" si="16"/>
        <v>-0.8660254037844386</v>
      </c>
      <c r="H41" s="93">
        <v>33601.290322580644</v>
      </c>
      <c r="I41" s="93">
        <v>38377.31182795699</v>
      </c>
      <c r="J41" s="93">
        <v>36018.494623655912</v>
      </c>
      <c r="K41" s="92">
        <v>0</v>
      </c>
      <c r="L41" s="92">
        <v>0</v>
      </c>
      <c r="M41" s="93">
        <v>4</v>
      </c>
      <c r="N41" s="92">
        <v>0</v>
      </c>
      <c r="O41" s="92">
        <v>0</v>
      </c>
      <c r="P41" s="93">
        <v>4094755.7032000003</v>
      </c>
      <c r="Q41" s="93">
        <v>29322.328400000009</v>
      </c>
      <c r="R41" s="93">
        <v>3839.6992</v>
      </c>
      <c r="S41" s="93">
        <v>713221.72</v>
      </c>
      <c r="T41" s="93">
        <v>683.02296000000001</v>
      </c>
      <c r="U41" s="93">
        <f t="shared" si="17"/>
        <v>937.711423663034</v>
      </c>
      <c r="V41" s="93">
        <f t="shared" si="18"/>
        <v>957.6586646856465</v>
      </c>
      <c r="W41" s="93">
        <f t="shared" si="19"/>
        <v>-19.947241022612502</v>
      </c>
      <c r="X41" s="93">
        <v>8890.4130000000005</v>
      </c>
      <c r="Y41" s="92">
        <v>4.4549999999999992</v>
      </c>
      <c r="Z41" s="92">
        <v>0</v>
      </c>
      <c r="AA41" s="95">
        <v>7.0000000000000007E-2</v>
      </c>
      <c r="AB41" s="95">
        <v>4.227642276422755E-2</v>
      </c>
    </row>
    <row r="42" spans="1:28" ht="14.4" x14ac:dyDescent="0.3">
      <c r="A42" s="90">
        <v>41</v>
      </c>
      <c r="B42" s="91">
        <v>44774</v>
      </c>
      <c r="C42" s="92">
        <v>8</v>
      </c>
      <c r="D42" s="92">
        <v>2022</v>
      </c>
      <c r="E42" s="92">
        <v>1121</v>
      </c>
      <c r="F42" s="92">
        <f t="shared" si="15"/>
        <v>-0.86602540378443837</v>
      </c>
      <c r="G42" s="92">
        <f t="shared" si="16"/>
        <v>-0.50000000000000044</v>
      </c>
      <c r="H42" s="93">
        <v>33601.290322580644</v>
      </c>
      <c r="I42" s="93">
        <v>38377.31182795699</v>
      </c>
      <c r="J42" s="93">
        <v>36018.494623655912</v>
      </c>
      <c r="K42" s="92">
        <v>0</v>
      </c>
      <c r="L42" s="92">
        <v>0</v>
      </c>
      <c r="M42" s="93">
        <v>5</v>
      </c>
      <c r="N42" s="92">
        <v>0</v>
      </c>
      <c r="O42" s="92">
        <v>0</v>
      </c>
      <c r="P42" s="93">
        <v>4143620.5976000004</v>
      </c>
      <c r="Q42" s="93">
        <v>30290.941200000008</v>
      </c>
      <c r="R42" s="93">
        <v>3939.4656</v>
      </c>
      <c r="S42" s="93">
        <v>700789.96</v>
      </c>
      <c r="T42" s="93">
        <v>679.5912800000001</v>
      </c>
      <c r="U42" s="93">
        <f t="shared" si="17"/>
        <v>950.73028700594648</v>
      </c>
      <c r="V42" s="93">
        <f t="shared" si="18"/>
        <v>969.75030863741279</v>
      </c>
      <c r="W42" s="93">
        <f t="shared" si="19"/>
        <v>-19.020021631466307</v>
      </c>
      <c r="X42" s="93">
        <v>8890.4130000000005</v>
      </c>
      <c r="Y42" s="92">
        <v>4.4549999999999992</v>
      </c>
      <c r="Z42" s="92">
        <v>0</v>
      </c>
      <c r="AA42" s="95">
        <v>7.0000000000000007E-2</v>
      </c>
      <c r="AB42" s="95">
        <v>-1.5600624024960112E-3</v>
      </c>
    </row>
    <row r="43" spans="1:28" ht="14.4" x14ac:dyDescent="0.3">
      <c r="A43" s="90">
        <v>42</v>
      </c>
      <c r="B43" s="91">
        <v>44805</v>
      </c>
      <c r="C43" s="92">
        <v>9</v>
      </c>
      <c r="D43" s="92">
        <v>2022</v>
      </c>
      <c r="E43" s="92">
        <v>1121</v>
      </c>
      <c r="F43" s="92">
        <v>-1</v>
      </c>
      <c r="G43" s="92">
        <v>-1.83772268236293E-16</v>
      </c>
      <c r="H43" s="93">
        <v>32060.526315789473</v>
      </c>
      <c r="I43" s="93">
        <v>34606.315789473687</v>
      </c>
      <c r="J43" s="93">
        <v>33934.473684210527</v>
      </c>
      <c r="K43" s="92">
        <v>19</v>
      </c>
      <c r="L43" s="92">
        <v>1</v>
      </c>
      <c r="M43" s="93">
        <v>6</v>
      </c>
      <c r="N43" s="93">
        <v>841.26045434623836</v>
      </c>
      <c r="O43" s="92">
        <v>1</v>
      </c>
      <c r="P43" s="93">
        <v>4192485.4919999996</v>
      </c>
      <c r="Q43" s="93">
        <v>31259.554000000004</v>
      </c>
      <c r="R43" s="93">
        <v>4039.2320000000022</v>
      </c>
      <c r="S43" s="93">
        <v>688358.19999999984</v>
      </c>
      <c r="T43" s="93">
        <v>676.1596000000003</v>
      </c>
      <c r="U43" s="93">
        <v>963.4456714775913</v>
      </c>
      <c r="V43" s="93">
        <v>982.27870315193502</v>
      </c>
      <c r="W43" s="93">
        <v>-18.833031674343488</v>
      </c>
      <c r="X43" s="93">
        <v>8890.4130000000005</v>
      </c>
      <c r="Y43" s="92">
        <v>4.4549999999999992</v>
      </c>
      <c r="Z43" s="92">
        <v>0</v>
      </c>
      <c r="AA43" s="95">
        <v>8.9891504610991893E-2</v>
      </c>
      <c r="AB43" s="95">
        <v>9.075487701441888E-2</v>
      </c>
    </row>
    <row r="44" spans="1:28" ht="14.4" x14ac:dyDescent="0.3">
      <c r="A44" s="90">
        <v>43</v>
      </c>
      <c r="B44" s="91">
        <v>44835</v>
      </c>
      <c r="C44" s="92">
        <v>10</v>
      </c>
      <c r="D44" s="92">
        <v>2022</v>
      </c>
      <c r="E44" s="92">
        <v>1121</v>
      </c>
      <c r="F44" s="92">
        <v>-0.86602540378443882</v>
      </c>
      <c r="G44" s="92">
        <v>0.50000000000000011</v>
      </c>
      <c r="H44" s="93">
        <v>30557.738095238095</v>
      </c>
      <c r="I44" s="93">
        <v>37032.976190476191</v>
      </c>
      <c r="J44" s="93">
        <v>34053.238095238092</v>
      </c>
      <c r="K44" s="92">
        <v>84</v>
      </c>
      <c r="L44" s="92">
        <v>1</v>
      </c>
      <c r="M44" s="93">
        <v>1</v>
      </c>
      <c r="N44" s="93">
        <v>2496.4969511227205</v>
      </c>
      <c r="O44" s="92">
        <v>1</v>
      </c>
      <c r="P44" s="93">
        <v>4235242.2746000066</v>
      </c>
      <c r="Q44" s="93">
        <v>32107.090199999984</v>
      </c>
      <c r="R44" s="93">
        <v>4126.527599999994</v>
      </c>
      <c r="S44" s="93">
        <v>677480.40999999852</v>
      </c>
      <c r="T44" s="93">
        <v>673.15688000000068</v>
      </c>
      <c r="U44" s="93">
        <v>974.33094317838675</v>
      </c>
      <c r="V44" s="93">
        <v>993.61822137410684</v>
      </c>
      <c r="W44" s="93">
        <v>-19.28727819571812</v>
      </c>
      <c r="X44" s="93">
        <v>8890.4129999999841</v>
      </c>
      <c r="Y44" s="92">
        <v>4.4549999999999992</v>
      </c>
      <c r="Z44" s="92">
        <v>0</v>
      </c>
      <c r="AA44" s="95">
        <v>9.7896309058900871E-2</v>
      </c>
      <c r="AB44" s="95">
        <v>0.12232677502138557</v>
      </c>
    </row>
    <row r="45" spans="1:28" ht="14.4" x14ac:dyDescent="0.3">
      <c r="A45" s="90">
        <v>44</v>
      </c>
      <c r="B45" s="91">
        <v>44866</v>
      </c>
      <c r="C45" s="92">
        <v>11</v>
      </c>
      <c r="D45" s="92">
        <v>2022</v>
      </c>
      <c r="E45" s="92">
        <v>1121</v>
      </c>
      <c r="F45" s="92">
        <v>-0.50000000000000011</v>
      </c>
      <c r="G45" s="92">
        <v>0.86602540378444026</v>
      </c>
      <c r="H45" s="93">
        <v>33142.279069767443</v>
      </c>
      <c r="I45" s="93">
        <v>42878.279069767443</v>
      </c>
      <c r="J45" s="93">
        <v>38560.79069767442</v>
      </c>
      <c r="K45" s="92">
        <v>215</v>
      </c>
      <c r="L45" s="92">
        <v>1</v>
      </c>
      <c r="M45" s="93">
        <v>1</v>
      </c>
      <c r="N45" s="93">
        <v>4482.9423152414465</v>
      </c>
      <c r="O45" s="92">
        <v>1</v>
      </c>
      <c r="P45" s="93">
        <v>4277999.0571999876</v>
      </c>
      <c r="Q45" s="93">
        <v>32954.626400000139</v>
      </c>
      <c r="R45" s="93">
        <v>4213.8231999999907</v>
      </c>
      <c r="S45" s="93">
        <v>666602.62000000197</v>
      </c>
      <c r="T45" s="93">
        <v>670.15416000000243</v>
      </c>
      <c r="U45" s="93">
        <v>984.99862754948288</v>
      </c>
      <c r="V45" s="93">
        <v>1005.327821843848</v>
      </c>
      <c r="W45" s="93">
        <v>-20.329194294357848</v>
      </c>
      <c r="X45" s="93">
        <v>8890.4129999999586</v>
      </c>
      <c r="Y45" s="92">
        <v>4.4550000000000169</v>
      </c>
      <c r="Z45" s="92">
        <v>0</v>
      </c>
      <c r="AA45" s="95">
        <v>9.5486512626963699E-2</v>
      </c>
      <c r="AB45" s="95">
        <v>0.12232677502138524</v>
      </c>
    </row>
    <row r="46" spans="1:28" ht="14.4" x14ac:dyDescent="0.3">
      <c r="A46" s="90">
        <v>45</v>
      </c>
      <c r="B46" s="91">
        <v>44896</v>
      </c>
      <c r="C46" s="92">
        <v>12</v>
      </c>
      <c r="D46" s="92">
        <v>2022</v>
      </c>
      <c r="E46" s="92">
        <v>1121</v>
      </c>
      <c r="F46" s="92">
        <v>-2.45029690981724E-16</v>
      </c>
      <c r="G46" s="92">
        <v>1</v>
      </c>
      <c r="H46" s="93">
        <v>36270.920245398775</v>
      </c>
      <c r="I46" s="93">
        <v>44496.871165644174</v>
      </c>
      <c r="J46" s="93">
        <v>40346.380368098158</v>
      </c>
      <c r="K46" s="92">
        <v>163</v>
      </c>
      <c r="L46" s="92">
        <v>1</v>
      </c>
      <c r="M46" s="93">
        <v>1</v>
      </c>
      <c r="N46" s="93">
        <v>5211.2009968658522</v>
      </c>
      <c r="O46" s="92">
        <v>1</v>
      </c>
      <c r="P46" s="93">
        <v>4320755.8398000002</v>
      </c>
      <c r="Q46" s="93">
        <v>33802.162600000054</v>
      </c>
      <c r="R46" s="93">
        <v>4301.118800000012</v>
      </c>
      <c r="S46" s="93">
        <v>655724.82999999844</v>
      </c>
      <c r="T46" s="93">
        <v>667.15144000000123</v>
      </c>
      <c r="U46" s="93">
        <v>995.45518410943066</v>
      </c>
      <c r="V46" s="93">
        <v>1017.4259223949157</v>
      </c>
      <c r="W46" s="93">
        <v>-21.970738285488064</v>
      </c>
      <c r="X46" s="93">
        <v>8890.4129999999641</v>
      </c>
      <c r="Y46" s="92">
        <v>4.455000000000009</v>
      </c>
      <c r="Z46" s="92">
        <v>0</v>
      </c>
      <c r="AA46" s="95">
        <v>9.4410869754838714E-2</v>
      </c>
      <c r="AB46" s="95">
        <v>0.1441899915182355</v>
      </c>
    </row>
    <row r="47" spans="1:28" ht="14.4" x14ac:dyDescent="0.3">
      <c r="A47" s="90">
        <v>46</v>
      </c>
      <c r="B47" s="91">
        <v>44927</v>
      </c>
      <c r="C47" s="92">
        <v>1</v>
      </c>
      <c r="D47" s="92">
        <v>2023</v>
      </c>
      <c r="E47" s="92">
        <v>1121</v>
      </c>
      <c r="F47" s="92">
        <v>0.49999999999999994</v>
      </c>
      <c r="G47" s="92">
        <v>0.8660254037844386</v>
      </c>
      <c r="H47" s="93">
        <v>43160.224719101127</v>
      </c>
      <c r="I47" s="93">
        <v>48505.280898876401</v>
      </c>
      <c r="J47" s="93">
        <v>46172.696629213482</v>
      </c>
      <c r="K47" s="92">
        <v>89</v>
      </c>
      <c r="L47" s="92">
        <v>1</v>
      </c>
      <c r="M47" s="93">
        <v>1</v>
      </c>
      <c r="N47" s="93">
        <v>2951.0128323112726</v>
      </c>
      <c r="O47" s="92">
        <v>0</v>
      </c>
      <c r="P47" s="93">
        <v>4381836.9577999916</v>
      </c>
      <c r="Q47" s="93">
        <v>35012.928600000065</v>
      </c>
      <c r="R47" s="93">
        <v>4425.8267999999962</v>
      </c>
      <c r="S47" s="93">
        <v>640185.1300000007</v>
      </c>
      <c r="T47" s="93">
        <v>662.86183999999935</v>
      </c>
      <c r="U47" s="93">
        <v>1010.0391325883777</v>
      </c>
      <c r="V47" s="93">
        <v>1035.4221129753525</v>
      </c>
      <c r="W47" s="93">
        <v>-25.382980386975809</v>
      </c>
      <c r="X47" s="93">
        <v>8890.4129999999823</v>
      </c>
      <c r="Y47" s="92">
        <v>4.4549999999999983</v>
      </c>
      <c r="Z47" s="92">
        <v>0</v>
      </c>
      <c r="AA47" s="95">
        <v>9.8382593643448188E-2</v>
      </c>
      <c r="AB47" s="95">
        <v>0.18387909319899262</v>
      </c>
    </row>
    <row r="48" spans="1:28" ht="14.4" x14ac:dyDescent="0.3">
      <c r="A48" s="90">
        <v>47</v>
      </c>
      <c r="B48" s="91">
        <v>44958</v>
      </c>
      <c r="C48" s="92">
        <v>2</v>
      </c>
      <c r="D48" s="92">
        <v>2023</v>
      </c>
      <c r="E48" s="92">
        <v>1121</v>
      </c>
      <c r="F48" s="92">
        <v>0.86602540378443882</v>
      </c>
      <c r="G48" s="92">
        <v>0.50000000000000011</v>
      </c>
      <c r="H48" s="93">
        <v>44566</v>
      </c>
      <c r="I48" s="93">
        <v>46548</v>
      </c>
      <c r="J48" s="93">
        <v>45571.333333333336</v>
      </c>
      <c r="K48" s="92">
        <v>15</v>
      </c>
      <c r="L48" s="92">
        <v>1</v>
      </c>
      <c r="M48" s="93">
        <v>1</v>
      </c>
      <c r="N48" s="93">
        <v>1877.7793369017422</v>
      </c>
      <c r="O48" s="92">
        <v>0</v>
      </c>
      <c r="P48" s="93">
        <v>4442918.0758000007</v>
      </c>
      <c r="Q48" s="93">
        <v>36223.694599999995</v>
      </c>
      <c r="R48" s="93">
        <v>4550.5348000000004</v>
      </c>
      <c r="S48" s="93">
        <v>624645.42999999982</v>
      </c>
      <c r="T48" s="93">
        <v>658.57223999999974</v>
      </c>
      <c r="U48" s="93">
        <v>1024.2220816058195</v>
      </c>
      <c r="V48" s="93">
        <v>1054.3137088187775</v>
      </c>
      <c r="W48" s="93">
        <v>-30.091627212957974</v>
      </c>
      <c r="X48" s="93">
        <v>8890.4130000000005</v>
      </c>
      <c r="Y48" s="92">
        <v>4.4549999999999992</v>
      </c>
      <c r="Z48" s="92">
        <v>0</v>
      </c>
      <c r="AA48" s="95">
        <v>0.10198078446962516</v>
      </c>
      <c r="AB48" s="95">
        <v>0.16721854304635769</v>
      </c>
    </row>
    <row r="49" spans="1:28" ht="14.4" x14ac:dyDescent="0.3">
      <c r="A49" s="90">
        <v>48</v>
      </c>
      <c r="B49" s="91">
        <v>44986</v>
      </c>
      <c r="C49" s="92">
        <v>3</v>
      </c>
      <c r="D49" s="92">
        <v>2023</v>
      </c>
      <c r="E49" s="92">
        <v>1121</v>
      </c>
      <c r="F49" s="92">
        <v>1</v>
      </c>
      <c r="G49" s="92">
        <v>6.1257422745431001E-17</v>
      </c>
      <c r="H49" s="93">
        <v>43303.333333333336</v>
      </c>
      <c r="I49" s="93">
        <v>45420</v>
      </c>
      <c r="J49" s="93">
        <v>44653.333333333336</v>
      </c>
      <c r="K49" s="92">
        <v>6</v>
      </c>
      <c r="L49" s="92">
        <v>1</v>
      </c>
      <c r="M49" s="93">
        <v>1</v>
      </c>
      <c r="N49" s="93">
        <v>827.66337762812361</v>
      </c>
      <c r="O49" s="92">
        <v>0</v>
      </c>
      <c r="P49" s="93">
        <v>4503999.1938000014</v>
      </c>
      <c r="Q49" s="93">
        <v>37434.460599999999</v>
      </c>
      <c r="R49" s="93">
        <v>4675.2427999999991</v>
      </c>
      <c r="S49" s="93">
        <v>609105.7300000001</v>
      </c>
      <c r="T49" s="93">
        <v>654.2826399999999</v>
      </c>
      <c r="U49" s="93">
        <v>1038.0203456598581</v>
      </c>
      <c r="V49" s="93">
        <v>1074.1692415206796</v>
      </c>
      <c r="W49" s="93">
        <v>-36.148895860821312</v>
      </c>
      <c r="X49" s="93">
        <v>8890.4130000000005</v>
      </c>
      <c r="Y49" s="92">
        <v>4.4549999999999992</v>
      </c>
      <c r="Z49" s="92">
        <v>0</v>
      </c>
      <c r="AA49" s="95">
        <v>7.911390599882949E-2</v>
      </c>
      <c r="AB49" s="95">
        <v>0.16225165562913915</v>
      </c>
    </row>
    <row r="50" spans="1:28" ht="14.4" x14ac:dyDescent="0.3">
      <c r="A50" s="90">
        <v>49</v>
      </c>
      <c r="B50" s="91">
        <v>45017</v>
      </c>
      <c r="C50" s="92">
        <v>4</v>
      </c>
      <c r="D50" s="92">
        <v>2023</v>
      </c>
      <c r="E50" s="92">
        <v>1121</v>
      </c>
      <c r="F50" s="92">
        <f t="shared" ref="F50:F54" si="20">SIN(2*PI()*(C50/12))</f>
        <v>0.86602540378443871</v>
      </c>
      <c r="G50" s="92">
        <f t="shared" ref="G50:G54" si="21">COS(2*PI()*(C50/12))</f>
        <v>-0.49999999999999978</v>
      </c>
      <c r="H50" s="93">
        <v>43303.333333333336</v>
      </c>
      <c r="I50" s="93">
        <v>45420</v>
      </c>
      <c r="J50" s="93">
        <v>44653.333333333336</v>
      </c>
      <c r="K50" s="92">
        <v>0</v>
      </c>
      <c r="L50" s="92">
        <v>0</v>
      </c>
      <c r="M50" s="93">
        <v>1</v>
      </c>
      <c r="N50" s="92">
        <v>0</v>
      </c>
      <c r="O50" s="92">
        <v>0</v>
      </c>
      <c r="P50" s="93">
        <v>4558972.2000000011</v>
      </c>
      <c r="Q50" s="93">
        <v>38524.15</v>
      </c>
      <c r="R50" s="93">
        <v>4787.4799999999996</v>
      </c>
      <c r="S50" s="93">
        <v>595120.00000000012</v>
      </c>
      <c r="T50" s="93">
        <v>650.42199999999991</v>
      </c>
      <c r="U50" s="93">
        <f t="shared" ref="U50:U54" si="22">(R50*1000000)/(P50)</f>
        <v>1050.1226570322142</v>
      </c>
      <c r="V50" s="93">
        <f t="shared" ref="V50:V54" si="23">(T50*1000000)/S50</f>
        <v>1092.9257964780209</v>
      </c>
      <c r="W50" s="93">
        <f t="shared" ref="W50:W54" si="24">U50-V50</f>
        <v>-42.803139445806664</v>
      </c>
      <c r="X50" s="93">
        <v>8931.2363250000035</v>
      </c>
      <c r="Y50" s="92">
        <v>4.6109999999999953</v>
      </c>
      <c r="Z50" s="92">
        <v>0</v>
      </c>
      <c r="AA50" s="95">
        <v>0.08</v>
      </c>
      <c r="AB50" s="95">
        <v>7.8347578347577936E-3</v>
      </c>
    </row>
    <row r="51" spans="1:28" ht="14.4" x14ac:dyDescent="0.3">
      <c r="A51" s="90">
        <v>50</v>
      </c>
      <c r="B51" s="91">
        <v>45047</v>
      </c>
      <c r="C51" s="92">
        <v>5</v>
      </c>
      <c r="D51" s="92">
        <v>2023</v>
      </c>
      <c r="E51" s="92">
        <v>1121</v>
      </c>
      <c r="F51" s="92">
        <f t="shared" si="20"/>
        <v>0.49999999999999994</v>
      </c>
      <c r="G51" s="92">
        <f t="shared" si="21"/>
        <v>-0.86602540378443871</v>
      </c>
      <c r="H51" s="93">
        <v>43303.333333333336</v>
      </c>
      <c r="I51" s="93">
        <v>45420</v>
      </c>
      <c r="J51" s="93">
        <v>44653.333333333336</v>
      </c>
      <c r="K51" s="92">
        <v>0</v>
      </c>
      <c r="L51" s="92">
        <v>0</v>
      </c>
      <c r="M51" s="93">
        <v>2</v>
      </c>
      <c r="N51" s="92">
        <v>0</v>
      </c>
      <c r="O51" s="92">
        <v>0</v>
      </c>
      <c r="P51" s="93">
        <v>4613618.3040000014</v>
      </c>
      <c r="Q51" s="93">
        <v>39313.358800000002</v>
      </c>
      <c r="R51" s="93">
        <v>4871.4575999999988</v>
      </c>
      <c r="S51" s="93">
        <v>609328.4</v>
      </c>
      <c r="T51" s="93">
        <v>668.54319999999984</v>
      </c>
      <c r="U51" s="93">
        <f t="shared" si="22"/>
        <v>1055.8865686345252</v>
      </c>
      <c r="V51" s="93">
        <f t="shared" si="23"/>
        <v>1097.1804366906251</v>
      </c>
      <c r="W51" s="93">
        <f t="shared" si="24"/>
        <v>-41.293868056099882</v>
      </c>
      <c r="X51" s="93">
        <v>8931.2363250000035</v>
      </c>
      <c r="Y51" s="92">
        <v>4.6109999999999953</v>
      </c>
      <c r="Z51" s="92">
        <v>0</v>
      </c>
      <c r="AA51" s="95">
        <v>0.06</v>
      </c>
      <c r="AB51" s="95">
        <v>4.2402826855123272E-3</v>
      </c>
    </row>
    <row r="52" spans="1:28" ht="14.4" x14ac:dyDescent="0.3">
      <c r="A52" s="90">
        <v>51</v>
      </c>
      <c r="B52" s="91">
        <v>45078</v>
      </c>
      <c r="C52" s="92">
        <v>6</v>
      </c>
      <c r="D52" s="92">
        <v>2023</v>
      </c>
      <c r="E52" s="92">
        <v>1121</v>
      </c>
      <c r="F52" s="92">
        <f t="shared" si="20"/>
        <v>1.22514845490862E-16</v>
      </c>
      <c r="G52" s="92">
        <f t="shared" si="21"/>
        <v>-1</v>
      </c>
      <c r="H52" s="93">
        <v>43303.333333333336</v>
      </c>
      <c r="I52" s="93">
        <v>45420</v>
      </c>
      <c r="J52" s="93">
        <v>44653.333333333336</v>
      </c>
      <c r="K52" s="92">
        <v>0</v>
      </c>
      <c r="L52" s="92">
        <v>0</v>
      </c>
      <c r="M52" s="93">
        <v>3</v>
      </c>
      <c r="N52" s="92">
        <v>0</v>
      </c>
      <c r="O52" s="92">
        <v>0</v>
      </c>
      <c r="P52" s="93">
        <v>4668264.4080000008</v>
      </c>
      <c r="Q52" s="93">
        <v>40102.567600000002</v>
      </c>
      <c r="R52" s="93">
        <v>4955.435199999999</v>
      </c>
      <c r="S52" s="93">
        <v>623536.80000000005</v>
      </c>
      <c r="T52" s="93">
        <v>686.66439999999989</v>
      </c>
      <c r="U52" s="93">
        <f t="shared" si="22"/>
        <v>1061.5155370179705</v>
      </c>
      <c r="V52" s="93">
        <f t="shared" si="23"/>
        <v>1101.2411777460445</v>
      </c>
      <c r="W52" s="93">
        <f t="shared" si="24"/>
        <v>-39.72564072807404</v>
      </c>
      <c r="X52" s="93">
        <v>8931.2363250000035</v>
      </c>
      <c r="Y52" s="92">
        <v>4.6109999999999953</v>
      </c>
      <c r="Z52" s="92">
        <v>0</v>
      </c>
      <c r="AA52" s="95">
        <v>0.05</v>
      </c>
      <c r="AB52" s="95">
        <v>7.0372976776913662E-4</v>
      </c>
    </row>
    <row r="53" spans="1:28" ht="14.4" x14ac:dyDescent="0.3">
      <c r="A53" s="90">
        <v>52</v>
      </c>
      <c r="B53" s="91">
        <v>45108</v>
      </c>
      <c r="C53" s="92">
        <v>7</v>
      </c>
      <c r="D53" s="92">
        <v>2023</v>
      </c>
      <c r="E53" s="92">
        <v>1121</v>
      </c>
      <c r="F53" s="92">
        <f t="shared" si="20"/>
        <v>-0.50000000000000011</v>
      </c>
      <c r="G53" s="92">
        <f t="shared" si="21"/>
        <v>-0.8660254037844386</v>
      </c>
      <c r="H53" s="93">
        <v>43303.333333333336</v>
      </c>
      <c r="I53" s="93">
        <v>45420</v>
      </c>
      <c r="J53" s="93">
        <v>44653.333333333336</v>
      </c>
      <c r="K53" s="92">
        <v>0</v>
      </c>
      <c r="L53" s="92">
        <v>0</v>
      </c>
      <c r="M53" s="93">
        <v>4</v>
      </c>
      <c r="N53" s="92">
        <v>0</v>
      </c>
      <c r="O53" s="92">
        <v>0</v>
      </c>
      <c r="P53" s="93">
        <v>4722910.512000001</v>
      </c>
      <c r="Q53" s="93">
        <v>40891.776400000002</v>
      </c>
      <c r="R53" s="93">
        <v>5039.4127999999992</v>
      </c>
      <c r="S53" s="93">
        <v>637745.19999999995</v>
      </c>
      <c r="T53" s="93">
        <v>704.78559999999993</v>
      </c>
      <c r="U53" s="93">
        <f t="shared" si="22"/>
        <v>1067.0142462356268</v>
      </c>
      <c r="V53" s="93">
        <f t="shared" si="23"/>
        <v>1105.1209793503738</v>
      </c>
      <c r="W53" s="93">
        <f t="shared" si="24"/>
        <v>-38.10673311474693</v>
      </c>
      <c r="X53" s="93">
        <v>8931.2363250000035</v>
      </c>
      <c r="Y53" s="92">
        <v>4.6109999999999953</v>
      </c>
      <c r="Z53" s="92">
        <v>0</v>
      </c>
      <c r="AA53" s="95">
        <v>0.03</v>
      </c>
      <c r="AB53" s="95">
        <v>-3.5161744022503519E-3</v>
      </c>
    </row>
    <row r="54" spans="1:28" ht="14.4" x14ac:dyDescent="0.3">
      <c r="A54" s="90">
        <v>53</v>
      </c>
      <c r="B54" s="91">
        <v>45139</v>
      </c>
      <c r="C54" s="92">
        <v>8</v>
      </c>
      <c r="D54" s="92">
        <v>2023</v>
      </c>
      <c r="E54" s="92">
        <v>1121</v>
      </c>
      <c r="F54" s="92">
        <f t="shared" si="20"/>
        <v>-0.86602540378443837</v>
      </c>
      <c r="G54" s="92">
        <f t="shared" si="21"/>
        <v>-0.50000000000000044</v>
      </c>
      <c r="H54" s="93">
        <v>43303.333333333336</v>
      </c>
      <c r="I54" s="93">
        <v>45420</v>
      </c>
      <c r="J54" s="93">
        <v>44653.333333333336</v>
      </c>
      <c r="K54" s="92">
        <v>0</v>
      </c>
      <c r="L54" s="92">
        <v>0</v>
      </c>
      <c r="M54" s="93">
        <v>5</v>
      </c>
      <c r="N54" s="92">
        <v>0</v>
      </c>
      <c r="O54" s="92">
        <v>0</v>
      </c>
      <c r="P54" s="93">
        <v>4777556.6160000004</v>
      </c>
      <c r="Q54" s="93">
        <v>41680.985200000003</v>
      </c>
      <c r="R54" s="93">
        <v>5123.3903999999993</v>
      </c>
      <c r="S54" s="93">
        <v>651953.6</v>
      </c>
      <c r="T54" s="93">
        <v>722.90679999999986</v>
      </c>
      <c r="U54" s="93">
        <f t="shared" si="22"/>
        <v>1072.3871660341615</v>
      </c>
      <c r="V54" s="93">
        <f t="shared" si="23"/>
        <v>1108.8316714563734</v>
      </c>
      <c r="W54" s="93">
        <f t="shared" si="24"/>
        <v>-36.444505422211932</v>
      </c>
      <c r="X54" s="93">
        <v>8931.2363250000035</v>
      </c>
      <c r="Y54" s="92">
        <v>4.6109999999999953</v>
      </c>
      <c r="Z54" s="92">
        <v>0</v>
      </c>
      <c r="AA54" s="95">
        <v>0.04</v>
      </c>
      <c r="AB54" s="95">
        <v>2.8228652081863496E-3</v>
      </c>
    </row>
    <row r="55" spans="1:28" ht="14.4" x14ac:dyDescent="0.3">
      <c r="A55" s="90">
        <v>54</v>
      </c>
      <c r="B55" s="91">
        <v>45170</v>
      </c>
      <c r="C55" s="92">
        <v>9</v>
      </c>
      <c r="D55" s="92">
        <v>2023</v>
      </c>
      <c r="E55" s="92">
        <v>1121</v>
      </c>
      <c r="F55" s="92">
        <v>-1</v>
      </c>
      <c r="G55" s="92">
        <v>-1.83772268236293E-16</v>
      </c>
      <c r="H55" s="93">
        <v>31657.833333333332</v>
      </c>
      <c r="I55" s="93">
        <v>36478.833333333336</v>
      </c>
      <c r="J55" s="93">
        <v>35092.166666666664</v>
      </c>
      <c r="K55" s="92">
        <v>60</v>
      </c>
      <c r="L55" s="92">
        <v>1</v>
      </c>
      <c r="M55" s="93">
        <v>6</v>
      </c>
      <c r="N55" s="93">
        <v>2574.4323657166897</v>
      </c>
      <c r="O55" s="92">
        <v>0</v>
      </c>
      <c r="P55" s="93">
        <v>4832202.7200000016</v>
      </c>
      <c r="Q55" s="93">
        <v>42470.193999999989</v>
      </c>
      <c r="R55" s="93">
        <v>5207.3679999999986</v>
      </c>
      <c r="S55" s="93">
        <v>666162</v>
      </c>
      <c r="T55" s="93">
        <v>741.02799999999911</v>
      </c>
      <c r="U55" s="93">
        <v>1077.6385639715063</v>
      </c>
      <c r="V55" s="93">
        <v>1112.3840747445806</v>
      </c>
      <c r="W55" s="93">
        <v>-34.74551077307683</v>
      </c>
      <c r="X55" s="93">
        <v>8931.2363250000035</v>
      </c>
      <c r="Y55" s="92">
        <v>4.6109999999999953</v>
      </c>
      <c r="Z55" s="92">
        <v>2</v>
      </c>
      <c r="AA55" s="95">
        <v>3.4946349034238308E-2</v>
      </c>
      <c r="AB55" s="95">
        <v>0.15085536547433892</v>
      </c>
    </row>
    <row r="56" spans="1:28" ht="14.4" x14ac:dyDescent="0.3">
      <c r="A56" s="90">
        <v>55</v>
      </c>
      <c r="B56" s="91">
        <v>45200</v>
      </c>
      <c r="C56" s="92">
        <v>10</v>
      </c>
      <c r="D56" s="92">
        <v>2023</v>
      </c>
      <c r="E56" s="92">
        <v>1121</v>
      </c>
      <c r="F56" s="92">
        <v>-0.86602540378444059</v>
      </c>
      <c r="G56" s="92">
        <v>0.50000000000000011</v>
      </c>
      <c r="H56" s="93">
        <v>33449.864864864867</v>
      </c>
      <c r="I56" s="93">
        <v>41290.855855855858</v>
      </c>
      <c r="J56" s="93">
        <v>38200.135135135133</v>
      </c>
      <c r="K56" s="92">
        <v>222</v>
      </c>
      <c r="L56" s="92">
        <v>1</v>
      </c>
      <c r="M56" s="93">
        <v>1</v>
      </c>
      <c r="N56" s="93">
        <v>4785.0031068732842</v>
      </c>
      <c r="O56" s="92">
        <v>0</v>
      </c>
      <c r="P56" s="93">
        <v>4880018.0609999923</v>
      </c>
      <c r="Q56" s="93">
        <v>43160.75170000003</v>
      </c>
      <c r="R56" s="93">
        <v>5280.8484000000117</v>
      </c>
      <c r="S56" s="93">
        <v>678594.34999999718</v>
      </c>
      <c r="T56" s="93">
        <v>756.88404999999614</v>
      </c>
      <c r="U56" s="93">
        <v>1082.1370605578993</v>
      </c>
      <c r="V56" s="93">
        <v>1115.3703976462484</v>
      </c>
      <c r="W56" s="93">
        <v>-33.233337088353181</v>
      </c>
      <c r="X56" s="93">
        <v>8931.2363249999635</v>
      </c>
      <c r="Y56" s="92">
        <v>4.6109999999999918</v>
      </c>
      <c r="Z56" s="92">
        <v>1</v>
      </c>
      <c r="AA56" s="95">
        <v>1.096470416680146E-2</v>
      </c>
      <c r="AB56" s="95">
        <v>0.12500000000000003</v>
      </c>
    </row>
    <row r="57" spans="1:28" ht="14.4" x14ac:dyDescent="0.3">
      <c r="A57" s="90">
        <v>56</v>
      </c>
      <c r="B57" s="91">
        <v>45231</v>
      </c>
      <c r="C57" s="92">
        <v>11</v>
      </c>
      <c r="D57" s="92">
        <v>2023</v>
      </c>
      <c r="E57" s="92">
        <v>1121</v>
      </c>
      <c r="F57" s="92">
        <v>-0.50000000000000011</v>
      </c>
      <c r="G57" s="92">
        <v>0.86602540378443538</v>
      </c>
      <c r="H57" s="93">
        <v>38066.302325581397</v>
      </c>
      <c r="I57" s="93">
        <v>48920</v>
      </c>
      <c r="J57" s="93">
        <v>44643.046511627908</v>
      </c>
      <c r="K57" s="92">
        <v>430</v>
      </c>
      <c r="L57" s="92">
        <v>1</v>
      </c>
      <c r="M57" s="93">
        <v>1</v>
      </c>
      <c r="N57" s="93">
        <v>6168.4009611415649</v>
      </c>
      <c r="O57" s="92">
        <v>0</v>
      </c>
      <c r="P57" s="93">
        <v>4927833.4019999644</v>
      </c>
      <c r="Q57" s="93">
        <v>43851.309399999765</v>
      </c>
      <c r="R57" s="93">
        <v>5354.3287999999939</v>
      </c>
      <c r="S57" s="93">
        <v>691026.69999999448</v>
      </c>
      <c r="T57" s="93">
        <v>772.74009999999657</v>
      </c>
      <c r="U57" s="93">
        <v>1086.5482582724662</v>
      </c>
      <c r="V57" s="93">
        <v>1118.2492659111317</v>
      </c>
      <c r="W57" s="93">
        <v>-31.701007638672859</v>
      </c>
      <c r="X57" s="93">
        <v>8931.2363249999562</v>
      </c>
      <c r="Y57" s="92">
        <v>4.611000000000046</v>
      </c>
      <c r="Z57" s="92">
        <v>1</v>
      </c>
      <c r="AA57" s="95">
        <v>2.0239701342554938E-2</v>
      </c>
      <c r="AB57" s="95">
        <v>0.14100609756097529</v>
      </c>
    </row>
    <row r="58" spans="1:28" ht="14.4" x14ac:dyDescent="0.3">
      <c r="A58" s="90">
        <v>57</v>
      </c>
      <c r="B58" s="91">
        <v>45261</v>
      </c>
      <c r="C58" s="92">
        <v>12</v>
      </c>
      <c r="D58" s="92">
        <v>2023</v>
      </c>
      <c r="E58" s="92">
        <v>1121</v>
      </c>
      <c r="F58" s="92">
        <v>-2.45029690981724E-16</v>
      </c>
      <c r="G58" s="92">
        <v>1</v>
      </c>
      <c r="H58" s="93">
        <v>43126.727272727272</v>
      </c>
      <c r="I58" s="93">
        <v>49711.272727272728</v>
      </c>
      <c r="J58" s="93">
        <v>47285.818181818184</v>
      </c>
      <c r="K58" s="92">
        <v>220</v>
      </c>
      <c r="L58" s="92">
        <v>1</v>
      </c>
      <c r="M58" s="93">
        <v>1</v>
      </c>
      <c r="N58" s="93">
        <v>6024.1488732564203</v>
      </c>
      <c r="O58" s="92">
        <v>0</v>
      </c>
      <c r="P58" s="93">
        <v>4975648.7430000082</v>
      </c>
      <c r="Q58" s="93">
        <v>44541.867100000192</v>
      </c>
      <c r="R58" s="93">
        <v>5427.8092000000124</v>
      </c>
      <c r="S58" s="93">
        <v>703459.0499999997</v>
      </c>
      <c r="T58" s="93">
        <v>788.59614999999826</v>
      </c>
      <c r="U58" s="93">
        <v>1090.8746739078213</v>
      </c>
      <c r="V58" s="93">
        <v>1121.0263767308147</v>
      </c>
      <c r="W58" s="93">
        <v>-30.151702822988298</v>
      </c>
      <c r="X58" s="93">
        <v>8931.2363249999635</v>
      </c>
      <c r="Y58" s="92">
        <v>4.6109999999999918</v>
      </c>
      <c r="Z58" s="92">
        <v>1</v>
      </c>
      <c r="AA58" s="95">
        <v>9.4277728375431243E-3</v>
      </c>
      <c r="AB58" s="95">
        <v>0.13713862120088988</v>
      </c>
    </row>
    <row r="59" spans="1:28" ht="14.4" x14ac:dyDescent="0.3">
      <c r="A59" s="90">
        <v>58</v>
      </c>
      <c r="B59" s="91">
        <v>45292</v>
      </c>
      <c r="C59" s="92">
        <v>1</v>
      </c>
      <c r="D59" s="92">
        <v>2024</v>
      </c>
      <c r="E59" s="92">
        <v>1121</v>
      </c>
      <c r="F59" s="92">
        <v>0.49999999999999989</v>
      </c>
      <c r="G59" s="92">
        <v>0.86602540378443793</v>
      </c>
      <c r="H59" s="93">
        <v>41723.048780487807</v>
      </c>
      <c r="I59" s="93">
        <v>45975.060975609755</v>
      </c>
      <c r="J59" s="93">
        <v>44401.036585365851</v>
      </c>
      <c r="K59" s="92">
        <v>164</v>
      </c>
      <c r="L59" s="92">
        <v>1</v>
      </c>
      <c r="M59" s="93">
        <v>1</v>
      </c>
      <c r="N59" s="93">
        <v>3667.4878346162773</v>
      </c>
      <c r="O59" s="92">
        <v>0</v>
      </c>
      <c r="P59" s="93">
        <v>5043956.3730000164</v>
      </c>
      <c r="Q59" s="93">
        <v>45528.378100000111</v>
      </c>
      <c r="R59" s="93">
        <v>5532.781199999994</v>
      </c>
      <c r="S59" s="93">
        <v>721219.54999999807</v>
      </c>
      <c r="T59" s="93">
        <v>811.24765000000195</v>
      </c>
      <c r="U59" s="93">
        <v>1096.9129768085741</v>
      </c>
      <c r="V59" s="93">
        <v>1124.8275923746112</v>
      </c>
      <c r="W59" s="93">
        <v>-27.914615566037853</v>
      </c>
      <c r="X59" s="93">
        <v>8931.2363249999689</v>
      </c>
      <c r="Y59" s="92">
        <v>4.6109999999999918</v>
      </c>
      <c r="Z59" s="92">
        <v>1</v>
      </c>
      <c r="AA59" s="95">
        <v>1.6680703682645955E-2</v>
      </c>
      <c r="AB59" s="95">
        <v>9.290780141843949E-2</v>
      </c>
    </row>
    <row r="60" spans="1:28" ht="14.4" x14ac:dyDescent="0.3">
      <c r="A60" s="90">
        <v>59</v>
      </c>
      <c r="B60" s="91">
        <v>45323</v>
      </c>
      <c r="C60" s="92">
        <v>2</v>
      </c>
      <c r="D60" s="92">
        <v>2024</v>
      </c>
      <c r="E60" s="92">
        <v>1121</v>
      </c>
      <c r="F60" s="92">
        <v>0.86602540378443782</v>
      </c>
      <c r="G60" s="92">
        <v>0.50000000000000011</v>
      </c>
      <c r="H60" s="93">
        <v>40907.809523809527</v>
      </c>
      <c r="I60" s="93">
        <v>44606.666666666664</v>
      </c>
      <c r="J60" s="93">
        <v>43681.714285714283</v>
      </c>
      <c r="K60" s="92">
        <v>105</v>
      </c>
      <c r="L60" s="92">
        <v>1</v>
      </c>
      <c r="M60" s="93">
        <v>1</v>
      </c>
      <c r="N60" s="93">
        <v>2665.0550063390929</v>
      </c>
      <c r="O60" s="92">
        <v>0</v>
      </c>
      <c r="P60" s="93">
        <v>5112264.0030000089</v>
      </c>
      <c r="Q60" s="93">
        <v>46514.889099999964</v>
      </c>
      <c r="R60" s="93">
        <v>5637.7531999999965</v>
      </c>
      <c r="S60" s="93">
        <v>738980.04999999853</v>
      </c>
      <c r="T60" s="93">
        <v>833.8991499999986</v>
      </c>
      <c r="U60" s="93">
        <v>1102.7899178703665</v>
      </c>
      <c r="V60" s="93">
        <v>1128.4460926922181</v>
      </c>
      <c r="W60" s="93">
        <v>-25.656174821851717</v>
      </c>
      <c r="X60" s="93">
        <v>8931.2363249999798</v>
      </c>
      <c r="Y60" s="92">
        <v>4.6109999999999935</v>
      </c>
      <c r="Z60" s="92">
        <v>1</v>
      </c>
      <c r="AA60" s="95">
        <v>4.3052433255415003E-3</v>
      </c>
      <c r="AB60" s="95">
        <v>6.737588652482264E-2</v>
      </c>
    </row>
    <row r="61" spans="1:28" ht="14.4" x14ac:dyDescent="0.3">
      <c r="A61" s="90">
        <v>60</v>
      </c>
      <c r="B61" s="91">
        <v>45352</v>
      </c>
      <c r="C61" s="92">
        <v>3</v>
      </c>
      <c r="D61" s="92">
        <v>2024</v>
      </c>
      <c r="E61" s="92">
        <v>1121</v>
      </c>
      <c r="F61" s="92">
        <v>1</v>
      </c>
      <c r="G61" s="92">
        <v>6.1257422745431001E-17</v>
      </c>
      <c r="H61" s="93">
        <v>38988.288288288291</v>
      </c>
      <c r="I61" s="93">
        <v>44248.558558558558</v>
      </c>
      <c r="J61" s="93">
        <v>42874.054054054053</v>
      </c>
      <c r="K61" s="92">
        <v>111</v>
      </c>
      <c r="L61" s="92">
        <v>1</v>
      </c>
      <c r="M61" s="93">
        <v>1</v>
      </c>
      <c r="N61" s="93">
        <v>2903.3251715226766</v>
      </c>
      <c r="O61" s="92">
        <v>0</v>
      </c>
      <c r="P61" s="93">
        <v>5180571.633000005</v>
      </c>
      <c r="Q61" s="93">
        <v>47501.400100000108</v>
      </c>
      <c r="R61" s="93">
        <v>5742.7251999999953</v>
      </c>
      <c r="S61" s="93">
        <v>756740.54999999853</v>
      </c>
      <c r="T61" s="93">
        <v>856.55065000000093</v>
      </c>
      <c r="U61" s="93">
        <v>1108.5118799282927</v>
      </c>
      <c r="V61" s="93">
        <v>1131.8947425243684</v>
      </c>
      <c r="W61" s="93">
        <v>-23.382862596079576</v>
      </c>
      <c r="X61" s="93">
        <v>8931.236324999978</v>
      </c>
      <c r="Y61" s="92">
        <v>4.6109999999999927</v>
      </c>
      <c r="Z61" s="92">
        <v>1</v>
      </c>
      <c r="AA61" s="95">
        <v>9.4407815543793207E-3</v>
      </c>
      <c r="AB61" s="95">
        <v>6.2678062678062682E-2</v>
      </c>
    </row>
    <row r="62" spans="1:28" ht="14.4" x14ac:dyDescent="0.3">
      <c r="A62" s="90">
        <v>61</v>
      </c>
      <c r="B62" s="91">
        <v>45383</v>
      </c>
      <c r="C62" s="92">
        <v>4</v>
      </c>
      <c r="D62" s="92">
        <v>2024</v>
      </c>
      <c r="E62" s="92">
        <v>1121</v>
      </c>
      <c r="F62" s="92">
        <f t="shared" ref="F62:F66" si="25">SIN(2*PI()*(C62/12))</f>
        <v>0.86602540378443871</v>
      </c>
      <c r="G62" s="92">
        <f t="shared" ref="G62:G66" si="26">COS(2*PI()*(C62/12))</f>
        <v>-0.49999999999999978</v>
      </c>
      <c r="H62" s="93">
        <v>38988.288288288291</v>
      </c>
      <c r="I62" s="93">
        <v>44248.558558558558</v>
      </c>
      <c r="J62" s="93">
        <v>42874.054054054053</v>
      </c>
      <c r="K62" s="92">
        <v>0</v>
      </c>
      <c r="L62" s="92">
        <v>0</v>
      </c>
      <c r="M62" s="93">
        <v>1</v>
      </c>
      <c r="N62" s="92">
        <v>0</v>
      </c>
      <c r="O62" s="92">
        <v>0</v>
      </c>
      <c r="P62" s="93">
        <v>5242048.5</v>
      </c>
      <c r="Q62" s="93">
        <v>48389.260000000009</v>
      </c>
      <c r="R62" s="93">
        <v>5837.2000000000016</v>
      </c>
      <c r="S62" s="93">
        <v>772725</v>
      </c>
      <c r="T62" s="93">
        <v>876.93700000000013</v>
      </c>
      <c r="U62" s="93">
        <f t="shared" ref="U62:U66" si="27">(R62*1000000)/(P62)</f>
        <v>1113.5341460499653</v>
      </c>
      <c r="V62" s="93">
        <f t="shared" ref="V62:V66" si="28">(T62*1000000)/S62</f>
        <v>1134.8629848911321</v>
      </c>
      <c r="W62" s="93">
        <f t="shared" ref="W62:W66" si="29">U62-V62</f>
        <v>-21.328838841166771</v>
      </c>
      <c r="X62" s="93">
        <v>10886.219999999988</v>
      </c>
      <c r="Y62" s="92">
        <v>5</v>
      </c>
      <c r="Z62" s="92">
        <v>0</v>
      </c>
      <c r="AA62" s="94">
        <v>0.02</v>
      </c>
      <c r="AB62" s="95">
        <v>1.5415549597855306E-2</v>
      </c>
    </row>
    <row r="63" spans="1:28" ht="14.4" x14ac:dyDescent="0.3">
      <c r="A63" s="90">
        <v>62</v>
      </c>
      <c r="B63" s="91">
        <v>45413</v>
      </c>
      <c r="C63" s="92">
        <v>5</v>
      </c>
      <c r="D63" s="92">
        <v>2024</v>
      </c>
      <c r="E63" s="92">
        <v>1121</v>
      </c>
      <c r="F63" s="92">
        <f t="shared" si="25"/>
        <v>0.49999999999999994</v>
      </c>
      <c r="G63" s="92">
        <f t="shared" si="26"/>
        <v>-0.86602540378443871</v>
      </c>
      <c r="H63" s="93">
        <v>38988.288288288291</v>
      </c>
      <c r="I63" s="93">
        <v>44248.558558558558</v>
      </c>
      <c r="J63" s="93">
        <v>42874.054054054053</v>
      </c>
      <c r="K63" s="92">
        <v>0</v>
      </c>
      <c r="L63" s="92">
        <v>0</v>
      </c>
      <c r="M63" s="93">
        <v>2</v>
      </c>
      <c r="N63" s="92">
        <v>0</v>
      </c>
      <c r="O63" s="92">
        <v>0</v>
      </c>
      <c r="P63" s="93">
        <v>5307884.62</v>
      </c>
      <c r="Q63" s="93">
        <v>48543.079200000007</v>
      </c>
      <c r="R63" s="93">
        <v>5839.8240000000014</v>
      </c>
      <c r="S63" s="93">
        <v>774667</v>
      </c>
      <c r="T63" s="93">
        <v>873.34204</v>
      </c>
      <c r="U63" s="93">
        <f t="shared" si="27"/>
        <v>1100.2168317667767</v>
      </c>
      <c r="V63" s="93">
        <f t="shared" si="28"/>
        <v>1127.3773634348695</v>
      </c>
      <c r="W63" s="93">
        <f t="shared" si="29"/>
        <v>-27.160531668092744</v>
      </c>
      <c r="X63" s="93">
        <v>10886.219999999988</v>
      </c>
      <c r="Y63" s="92">
        <v>5</v>
      </c>
      <c r="Z63" s="92">
        <v>0</v>
      </c>
      <c r="AA63" s="94">
        <v>0.01</v>
      </c>
      <c r="AB63" s="95">
        <v>0</v>
      </c>
    </row>
    <row r="64" spans="1:28" ht="14.4" x14ac:dyDescent="0.3">
      <c r="A64" s="90">
        <v>63</v>
      </c>
      <c r="B64" s="91">
        <v>45444</v>
      </c>
      <c r="C64" s="92">
        <v>6</v>
      </c>
      <c r="D64" s="92">
        <v>2024</v>
      </c>
      <c r="E64" s="92">
        <v>1121</v>
      </c>
      <c r="F64" s="92">
        <f t="shared" si="25"/>
        <v>1.22514845490862E-16</v>
      </c>
      <c r="G64" s="92">
        <f t="shared" si="26"/>
        <v>-1</v>
      </c>
      <c r="H64" s="93">
        <v>38988.288288288291</v>
      </c>
      <c r="I64" s="93">
        <v>44248.558558558558</v>
      </c>
      <c r="J64" s="93">
        <v>42874.054054054053</v>
      </c>
      <c r="K64" s="92">
        <v>0</v>
      </c>
      <c r="L64" s="92">
        <v>0</v>
      </c>
      <c r="M64" s="93">
        <v>3</v>
      </c>
      <c r="N64" s="92">
        <v>0</v>
      </c>
      <c r="O64" s="92">
        <v>0</v>
      </c>
      <c r="P64" s="93">
        <v>5373720.7400000002</v>
      </c>
      <c r="Q64" s="93">
        <v>48696.898399999998</v>
      </c>
      <c r="R64" s="93">
        <v>5842.4480000000012</v>
      </c>
      <c r="S64" s="93">
        <v>776609</v>
      </c>
      <c r="T64" s="93">
        <v>869.74707999999987</v>
      </c>
      <c r="U64" s="93">
        <f t="shared" si="27"/>
        <v>1087.2258315380939</v>
      </c>
      <c r="V64" s="93">
        <f t="shared" si="28"/>
        <v>1119.9291792909944</v>
      </c>
      <c r="W64" s="93">
        <f t="shared" si="29"/>
        <v>-32.703347752900527</v>
      </c>
      <c r="X64" s="93">
        <v>10886.219999999988</v>
      </c>
      <c r="Y64" s="92">
        <v>5</v>
      </c>
      <c r="Z64" s="92">
        <v>0</v>
      </c>
      <c r="AA64" s="94">
        <v>0.02</v>
      </c>
      <c r="AB64" s="95">
        <v>5.2805280528053552E-3</v>
      </c>
    </row>
    <row r="65" spans="1:28" ht="14.4" x14ac:dyDescent="0.3">
      <c r="A65" s="90">
        <v>64</v>
      </c>
      <c r="B65" s="91">
        <v>45474</v>
      </c>
      <c r="C65" s="92">
        <v>7</v>
      </c>
      <c r="D65" s="92">
        <v>2024</v>
      </c>
      <c r="E65" s="92">
        <v>1121</v>
      </c>
      <c r="F65" s="92">
        <f t="shared" si="25"/>
        <v>-0.50000000000000011</v>
      </c>
      <c r="G65" s="92">
        <f t="shared" si="26"/>
        <v>-0.8660254037844386</v>
      </c>
      <c r="H65" s="93">
        <v>38988.288288288291</v>
      </c>
      <c r="I65" s="93">
        <v>44248.558558558558</v>
      </c>
      <c r="J65" s="93">
        <v>42874.054054054053</v>
      </c>
      <c r="K65" s="92">
        <v>0</v>
      </c>
      <c r="L65" s="92">
        <v>0</v>
      </c>
      <c r="M65" s="93">
        <v>4</v>
      </c>
      <c r="N65" s="92">
        <v>0</v>
      </c>
      <c r="O65" s="92">
        <v>0</v>
      </c>
      <c r="P65" s="93">
        <v>5439556.8600000003</v>
      </c>
      <c r="Q65" s="93">
        <v>48850.717599999996</v>
      </c>
      <c r="R65" s="93">
        <v>5845.0720000000019</v>
      </c>
      <c r="S65" s="93">
        <v>778551</v>
      </c>
      <c r="T65" s="93">
        <v>866.15211999999997</v>
      </c>
      <c r="U65" s="93">
        <f t="shared" si="27"/>
        <v>1074.5492970175519</v>
      </c>
      <c r="V65" s="93">
        <f t="shared" si="28"/>
        <v>1112.5181523111523</v>
      </c>
      <c r="W65" s="93">
        <f t="shared" si="29"/>
        <v>-37.968855293600427</v>
      </c>
      <c r="X65" s="93">
        <v>10886.219999999988</v>
      </c>
      <c r="Y65" s="92">
        <v>5</v>
      </c>
      <c r="Z65" s="92">
        <v>0</v>
      </c>
      <c r="AA65" s="94">
        <v>0.02</v>
      </c>
      <c r="AB65" s="95">
        <v>-2.1667760998030278E-2</v>
      </c>
    </row>
    <row r="66" spans="1:28" ht="14.4" x14ac:dyDescent="0.3">
      <c r="A66" s="90">
        <v>65</v>
      </c>
      <c r="B66" s="91">
        <v>45505</v>
      </c>
      <c r="C66" s="92">
        <v>8</v>
      </c>
      <c r="D66" s="92">
        <v>2024</v>
      </c>
      <c r="E66" s="92">
        <v>1121</v>
      </c>
      <c r="F66" s="92">
        <f t="shared" si="25"/>
        <v>-0.86602540378443837</v>
      </c>
      <c r="G66" s="92">
        <f t="shared" si="26"/>
        <v>-0.50000000000000044</v>
      </c>
      <c r="H66" s="93">
        <v>38988.288288288291</v>
      </c>
      <c r="I66" s="93">
        <v>44248.558558558558</v>
      </c>
      <c r="J66" s="93">
        <v>42874.054054054053</v>
      </c>
      <c r="K66" s="92">
        <v>0</v>
      </c>
      <c r="L66" s="92">
        <v>0</v>
      </c>
      <c r="M66" s="93">
        <v>5</v>
      </c>
      <c r="N66" s="92">
        <v>0</v>
      </c>
      <c r="O66" s="92">
        <v>0</v>
      </c>
      <c r="P66" s="93">
        <v>5505392.9800000004</v>
      </c>
      <c r="Q66" s="93">
        <v>49004.536800000002</v>
      </c>
      <c r="R66" s="93">
        <v>5847.6960000000017</v>
      </c>
      <c r="S66" s="93">
        <v>780493</v>
      </c>
      <c r="T66" s="93">
        <v>862.55715999999984</v>
      </c>
      <c r="U66" s="93">
        <f t="shared" si="27"/>
        <v>1062.1759466115354</v>
      </c>
      <c r="V66" s="93">
        <f t="shared" si="28"/>
        <v>1105.1440051352156</v>
      </c>
      <c r="W66" s="93">
        <f t="shared" si="29"/>
        <v>-42.968058523680156</v>
      </c>
      <c r="X66" s="93">
        <v>10886.219999999988</v>
      </c>
      <c r="Y66" s="92">
        <v>5</v>
      </c>
      <c r="Z66" s="92">
        <v>0</v>
      </c>
      <c r="AA66" s="94">
        <v>0.01</v>
      </c>
      <c r="AB66" s="95">
        <v>-4.0939597315436206E-2</v>
      </c>
    </row>
    <row r="67" spans="1:28" ht="14.4" x14ac:dyDescent="0.3">
      <c r="A67" s="90">
        <v>66</v>
      </c>
      <c r="B67" s="91">
        <v>45536</v>
      </c>
      <c r="C67" s="92">
        <v>9</v>
      </c>
      <c r="D67" s="92">
        <v>2024</v>
      </c>
      <c r="E67" s="92">
        <v>1121</v>
      </c>
      <c r="F67" s="92">
        <v>-1</v>
      </c>
      <c r="G67" s="92">
        <v>-1.83772268236293E-16</v>
      </c>
      <c r="H67" s="93">
        <v>24062.093023255813</v>
      </c>
      <c r="I67" s="93">
        <v>28147.674418604653</v>
      </c>
      <c r="J67" s="93">
        <v>26945.116279069767</v>
      </c>
      <c r="K67" s="92">
        <v>43</v>
      </c>
      <c r="L67" s="92">
        <v>1</v>
      </c>
      <c r="M67" s="93">
        <v>6</v>
      </c>
      <c r="N67" s="93">
        <v>2634.5862348790984</v>
      </c>
      <c r="O67" s="92">
        <v>0</v>
      </c>
      <c r="P67" s="93">
        <v>5571229.0999999959</v>
      </c>
      <c r="Q67" s="93">
        <v>49158.355999999971</v>
      </c>
      <c r="R67" s="93">
        <v>5850.3200000000052</v>
      </c>
      <c r="S67" s="93">
        <v>782435</v>
      </c>
      <c r="T67" s="93">
        <v>858.96219999999926</v>
      </c>
      <c r="U67" s="93">
        <v>1050.0950319921324</v>
      </c>
      <c r="V67" s="93">
        <v>1097.8064631566831</v>
      </c>
      <c r="W67" s="93">
        <v>-47.711431164550724</v>
      </c>
      <c r="X67" s="93">
        <v>10886.219999999988</v>
      </c>
      <c r="Y67" s="92">
        <v>5</v>
      </c>
      <c r="Z67" s="92">
        <v>1</v>
      </c>
      <c r="AA67" s="95">
        <v>8.9841751899827314E-3</v>
      </c>
      <c r="AB67" s="95">
        <v>-2.6351351351351381E-2</v>
      </c>
    </row>
    <row r="68" spans="1:28" ht="14.4" x14ac:dyDescent="0.3">
      <c r="A68" s="90">
        <v>67</v>
      </c>
      <c r="B68" s="91">
        <v>45566</v>
      </c>
      <c r="C68" s="92">
        <v>10</v>
      </c>
      <c r="D68" s="92">
        <v>2024</v>
      </c>
      <c r="E68" s="92">
        <v>1121</v>
      </c>
      <c r="F68" s="92">
        <v>-0.86602540378444015</v>
      </c>
      <c r="G68" s="92">
        <v>0.50000000000000011</v>
      </c>
      <c r="H68" s="93">
        <v>30012.464454976303</v>
      </c>
      <c r="I68" s="93">
        <v>35959.431279620854</v>
      </c>
      <c r="J68" s="93">
        <v>33780.805687203792</v>
      </c>
      <c r="K68" s="92">
        <v>211</v>
      </c>
      <c r="L68" s="92">
        <v>1</v>
      </c>
      <c r="M68" s="93">
        <v>1</v>
      </c>
      <c r="N68" s="93">
        <v>5112.7480091355837</v>
      </c>
      <c r="O68" s="92">
        <v>0</v>
      </c>
      <c r="P68" s="93">
        <v>5628835.7050000094</v>
      </c>
      <c r="Q68" s="93">
        <v>49292.947799999973</v>
      </c>
      <c r="R68" s="93">
        <v>5852.6160000000009</v>
      </c>
      <c r="S68" s="93">
        <v>784134.25</v>
      </c>
      <c r="T68" s="93">
        <v>855.81661000000076</v>
      </c>
      <c r="U68" s="93">
        <v>1039.7560537788015</v>
      </c>
      <c r="V68" s="93">
        <v>1091.4159278210361</v>
      </c>
      <c r="W68" s="93">
        <v>-51.659874042234193</v>
      </c>
      <c r="X68" s="93">
        <v>10886.219999999996</v>
      </c>
      <c r="Y68" s="92">
        <v>5</v>
      </c>
      <c r="Z68" s="92">
        <v>0</v>
      </c>
      <c r="AA68" s="95">
        <v>9.9727014771828805E-3</v>
      </c>
      <c r="AB68" s="95">
        <v>-4.5392953929539313E-2</v>
      </c>
    </row>
    <row r="69" spans="1:28" ht="14.4" x14ac:dyDescent="0.3">
      <c r="A69" s="90">
        <v>68</v>
      </c>
      <c r="B69" s="91">
        <v>45597</v>
      </c>
      <c r="C69" s="92">
        <v>11</v>
      </c>
      <c r="D69" s="92">
        <v>2024</v>
      </c>
      <c r="E69" s="92">
        <v>1121</v>
      </c>
      <c r="F69" s="92">
        <v>-0.50000000000000011</v>
      </c>
      <c r="G69" s="92">
        <v>0.86602540378443338</v>
      </c>
      <c r="H69" s="93">
        <v>33134.521384928717</v>
      </c>
      <c r="I69" s="93">
        <v>43886.822810590631</v>
      </c>
      <c r="J69" s="93">
        <v>39628.553971486763</v>
      </c>
      <c r="K69" s="92">
        <v>491</v>
      </c>
      <c r="L69" s="92">
        <v>1</v>
      </c>
      <c r="M69" s="93">
        <v>1</v>
      </c>
      <c r="N69" s="93">
        <v>5342.8254531756347</v>
      </c>
      <c r="O69" s="92">
        <v>0</v>
      </c>
      <c r="P69" s="93">
        <v>5686442.3099999549</v>
      </c>
      <c r="Q69" s="93">
        <v>49427.539599999807</v>
      </c>
      <c r="R69" s="93">
        <v>5854.9120000000103</v>
      </c>
      <c r="S69" s="93">
        <v>785833.5</v>
      </c>
      <c r="T69" s="93">
        <v>852.67102000000534</v>
      </c>
      <c r="U69" s="93">
        <v>1029.6265539709702</v>
      </c>
      <c r="V69" s="93">
        <v>1085.0530296812176</v>
      </c>
      <c r="W69" s="93">
        <v>-55.426475710257435</v>
      </c>
      <c r="X69" s="93">
        <v>10886.220000000014</v>
      </c>
      <c r="Y69" s="92">
        <v>5</v>
      </c>
      <c r="Z69" s="92">
        <v>0</v>
      </c>
      <c r="AA69" s="95">
        <v>1.3225948951547824E-2</v>
      </c>
      <c r="AB69" s="95">
        <v>-3.0060120240481211E-2</v>
      </c>
    </row>
    <row r="70" spans="1:28" ht="14.4" x14ac:dyDescent="0.3">
      <c r="A70" s="90">
        <v>69</v>
      </c>
      <c r="B70" s="91">
        <v>45627</v>
      </c>
      <c r="C70" s="92">
        <v>12</v>
      </c>
      <c r="D70" s="92">
        <v>2024</v>
      </c>
      <c r="E70" s="92">
        <v>1121</v>
      </c>
      <c r="F70" s="92">
        <v>-2.45029690981724E-16</v>
      </c>
      <c r="G70" s="92">
        <v>1</v>
      </c>
      <c r="H70" s="93">
        <v>33984.339080459773</v>
      </c>
      <c r="I70" s="93">
        <v>42812.758620689652</v>
      </c>
      <c r="J70" s="93">
        <v>38958.85057471264</v>
      </c>
      <c r="K70" s="92">
        <v>348</v>
      </c>
      <c r="L70" s="92">
        <v>1</v>
      </c>
      <c r="M70" s="93">
        <v>1</v>
      </c>
      <c r="N70" s="93">
        <v>5179.0097693346888</v>
      </c>
      <c r="O70" s="92">
        <v>0</v>
      </c>
      <c r="P70" s="93">
        <v>5744048.9149999749</v>
      </c>
      <c r="Q70" s="93">
        <v>49562.131400000209</v>
      </c>
      <c r="R70" s="93">
        <v>5857.2080000000415</v>
      </c>
      <c r="S70" s="93">
        <v>787532.75</v>
      </c>
      <c r="T70" s="93">
        <v>849.5254300000006</v>
      </c>
      <c r="U70" s="93">
        <v>1019.7002300423391</v>
      </c>
      <c r="V70" s="93">
        <v>1078.7175898399057</v>
      </c>
      <c r="W70" s="93">
        <v>-59.017359797566321</v>
      </c>
      <c r="X70" s="93">
        <v>10886.220000000078</v>
      </c>
      <c r="Y70" s="92">
        <v>5</v>
      </c>
      <c r="Z70" s="92">
        <v>0</v>
      </c>
      <c r="AA70" s="95">
        <v>2.0700821427780437E-2</v>
      </c>
      <c r="AB70" s="95">
        <v>-8.6701434159061105E-2</v>
      </c>
    </row>
    <row r="71" spans="1:28" ht="14.4" x14ac:dyDescent="0.3">
      <c r="A71" s="90">
        <v>70</v>
      </c>
      <c r="B71" s="91">
        <v>45658</v>
      </c>
      <c r="C71" s="92">
        <v>1</v>
      </c>
      <c r="D71" s="92">
        <v>2025</v>
      </c>
      <c r="E71" s="92">
        <v>1121</v>
      </c>
      <c r="F71" s="92">
        <v>0.49999999999999994</v>
      </c>
      <c r="G71" s="92">
        <v>0.86602540378444115</v>
      </c>
      <c r="H71" s="93">
        <v>31786.68049792531</v>
      </c>
      <c r="I71" s="93">
        <v>39077.01244813278</v>
      </c>
      <c r="J71" s="93">
        <v>36224.605809128632</v>
      </c>
      <c r="K71" s="92">
        <v>241</v>
      </c>
      <c r="L71" s="92">
        <v>1</v>
      </c>
      <c r="M71" s="93">
        <v>1</v>
      </c>
      <c r="N71" s="93">
        <v>4517.3710955377019</v>
      </c>
      <c r="O71" s="92">
        <v>0</v>
      </c>
      <c r="P71" s="93">
        <v>5826344.0650000349</v>
      </c>
      <c r="Q71" s="93">
        <v>49754.405400000018</v>
      </c>
      <c r="R71" s="93">
        <v>5860.4879999999803</v>
      </c>
      <c r="S71" s="93">
        <v>789960.25</v>
      </c>
      <c r="T71" s="93">
        <v>845.03172999999686</v>
      </c>
      <c r="U71" s="93">
        <v>1005.8602675398289</v>
      </c>
      <c r="V71" s="93">
        <v>1069.7142419507784</v>
      </c>
      <c r="W71" s="93">
        <v>-63.85397441095256</v>
      </c>
      <c r="X71" s="93">
        <v>10886.220000000021</v>
      </c>
      <c r="Y71" s="92">
        <v>5</v>
      </c>
      <c r="Z71" s="92">
        <v>0</v>
      </c>
      <c r="AA71" s="95">
        <v>3.7746035316612171E-2</v>
      </c>
      <c r="AB71" s="95">
        <v>-6.878650227125277E-2</v>
      </c>
    </row>
    <row r="72" spans="1:28" ht="14.4" x14ac:dyDescent="0.3">
      <c r="A72" s="90">
        <v>71</v>
      </c>
      <c r="B72" s="91">
        <v>45689</v>
      </c>
      <c r="C72" s="92">
        <v>2</v>
      </c>
      <c r="D72" s="92">
        <v>2025</v>
      </c>
      <c r="E72" s="92">
        <v>1121</v>
      </c>
      <c r="F72" s="92">
        <v>0.86602540378444115</v>
      </c>
      <c r="G72" s="92">
        <v>0.50000000000000011</v>
      </c>
      <c r="H72" s="93">
        <v>30941.589958158995</v>
      </c>
      <c r="I72" s="93">
        <v>37648.075313807531</v>
      </c>
      <c r="J72" s="93">
        <v>35315.397489539748</v>
      </c>
      <c r="K72" s="92">
        <v>239</v>
      </c>
      <c r="L72" s="92">
        <v>1</v>
      </c>
      <c r="M72" s="93">
        <v>1</v>
      </c>
      <c r="N72" s="93">
        <v>4751.5449664534208</v>
      </c>
      <c r="O72" s="92">
        <v>0</v>
      </c>
      <c r="P72" s="93">
        <v>5908639.2149999877</v>
      </c>
      <c r="Q72" s="93">
        <v>49946.679400000103</v>
      </c>
      <c r="R72" s="93">
        <v>5863.7679999999928</v>
      </c>
      <c r="S72" s="93">
        <v>792387.75</v>
      </c>
      <c r="T72" s="93">
        <v>840.53802999999789</v>
      </c>
      <c r="U72" s="93">
        <v>992.40582926673221</v>
      </c>
      <c r="V72" s="93">
        <v>1060.7660580315587</v>
      </c>
      <c r="W72" s="93">
        <v>-68.360228764833309</v>
      </c>
      <c r="X72" s="93">
        <v>10886.220000000019</v>
      </c>
      <c r="Y72" s="92">
        <v>5</v>
      </c>
      <c r="Z72" s="92">
        <v>0</v>
      </c>
      <c r="AA72" s="95">
        <v>4.8958538417958199E-2</v>
      </c>
      <c r="AB72" s="95">
        <v>-4.7176079734219431E-2</v>
      </c>
    </row>
    <row r="73" spans="1:28" ht="14.4" x14ac:dyDescent="0.3">
      <c r="A73" s="90">
        <v>72</v>
      </c>
      <c r="B73" s="91">
        <v>45717</v>
      </c>
      <c r="C73" s="92">
        <v>3</v>
      </c>
      <c r="D73" s="92">
        <v>2025</v>
      </c>
      <c r="E73" s="92">
        <v>1121</v>
      </c>
      <c r="F73" s="92">
        <v>1</v>
      </c>
      <c r="G73" s="92">
        <v>6.1257422745431001E-17</v>
      </c>
      <c r="H73" s="93">
        <v>29792.146892655368</v>
      </c>
      <c r="I73" s="93">
        <v>37136.04519774011</v>
      </c>
      <c r="J73" s="93">
        <v>34637.175141242937</v>
      </c>
      <c r="K73" s="92">
        <v>177</v>
      </c>
      <c r="L73" s="92">
        <v>1</v>
      </c>
      <c r="M73" s="93">
        <v>1</v>
      </c>
      <c r="N73" s="93">
        <v>5260.9293097423179</v>
      </c>
      <c r="O73" s="92">
        <v>0</v>
      </c>
      <c r="P73" s="93">
        <v>5990934.3650000077</v>
      </c>
      <c r="Q73" s="93">
        <v>50138.95339999994</v>
      </c>
      <c r="R73" s="93">
        <v>5867.0479999999789</v>
      </c>
      <c r="S73" s="93">
        <v>794815.25</v>
      </c>
      <c r="T73" s="93">
        <v>836.04433000000176</v>
      </c>
      <c r="U73" s="93">
        <v>979.3210278310263</v>
      </c>
      <c r="V73" s="93">
        <v>1051.8725326420181</v>
      </c>
      <c r="W73" s="93">
        <v>-72.551504810996079</v>
      </c>
      <c r="X73" s="93">
        <v>10886.219999999976</v>
      </c>
      <c r="Y73" s="92">
        <v>5</v>
      </c>
      <c r="Z73" s="92">
        <v>0</v>
      </c>
      <c r="AA73" s="95">
        <v>4.1657776707158818E-2</v>
      </c>
      <c r="AB73" s="95">
        <v>-3.2171581769436956E-2</v>
      </c>
    </row>
    <row r="74" spans="1:28" ht="14.4" x14ac:dyDescent="0.3">
      <c r="A74" s="90">
        <v>73</v>
      </c>
      <c r="B74" s="91">
        <v>45748</v>
      </c>
      <c r="C74" s="92">
        <f>MONTH(B74)</f>
        <v>4</v>
      </c>
      <c r="D74" s="92">
        <f>YEAR(B74)</f>
        <v>2025</v>
      </c>
      <c r="E74" s="92">
        <v>1121</v>
      </c>
      <c r="F74" s="92">
        <f>SIN(2*PI()*(C74/12))</f>
        <v>0.86602540378443871</v>
      </c>
      <c r="G74" s="92">
        <f>COS(2*PI()*(C74/12))</f>
        <v>-0.49999999999999978</v>
      </c>
      <c r="H74" s="93">
        <v>29792.146892655368</v>
      </c>
      <c r="I74" s="93">
        <v>37136.04519774011</v>
      </c>
      <c r="J74" s="93">
        <v>34637.175141242937</v>
      </c>
      <c r="K74" s="92">
        <v>0</v>
      </c>
      <c r="L74" s="92">
        <v>0</v>
      </c>
      <c r="M74" s="93">
        <v>1</v>
      </c>
      <c r="N74" s="93">
        <v>0</v>
      </c>
      <c r="O74" s="93">
        <v>0</v>
      </c>
      <c r="P74" s="93">
        <v>6065000</v>
      </c>
      <c r="Q74" s="93">
        <v>50312</v>
      </c>
      <c r="R74" s="93">
        <v>5870.0000000000009</v>
      </c>
      <c r="S74" s="93">
        <v>797000</v>
      </c>
      <c r="T74" s="93">
        <v>832.00000000000011</v>
      </c>
      <c r="U74" s="93">
        <f>R74*1000000/P74</f>
        <v>967.84830997526808</v>
      </c>
      <c r="V74" s="93">
        <f>T74*1000000/S74</f>
        <v>1043.9146800501883</v>
      </c>
      <c r="W74" s="93">
        <f>U74-V74</f>
        <v>-76.066370074920201</v>
      </c>
      <c r="X74" s="93">
        <v>12000</v>
      </c>
      <c r="Y74" s="92">
        <v>5.2</v>
      </c>
      <c r="Z74" s="92">
        <v>0</v>
      </c>
      <c r="AA74" s="94">
        <v>0.03</v>
      </c>
      <c r="AB74" s="95">
        <v>0</v>
      </c>
    </row>
    <row r="75" spans="1:28" ht="14.4" x14ac:dyDescent="0.3">
      <c r="A75" s="90">
        <v>74</v>
      </c>
      <c r="B75" s="91">
        <v>45778</v>
      </c>
      <c r="C75" s="92">
        <f t="shared" ref="C75:C78" si="30">MONTH(B75)</f>
        <v>5</v>
      </c>
      <c r="D75" s="92">
        <f t="shared" ref="D75:D78" si="31">YEAR(B75)</f>
        <v>2025</v>
      </c>
      <c r="E75" s="92">
        <v>1121</v>
      </c>
      <c r="F75" s="92">
        <f>SIN(2*PI()*(C75/12))</f>
        <v>0.49999999999999994</v>
      </c>
      <c r="G75" s="92">
        <f t="shared" ref="G75:G78" si="32">COS(2*PI()*(C75/12))</f>
        <v>-0.86602540378443871</v>
      </c>
      <c r="H75" s="93">
        <v>29792.146892655368</v>
      </c>
      <c r="I75" s="93">
        <v>37136.04519774011</v>
      </c>
      <c r="J75" s="93">
        <v>34637.175141242937</v>
      </c>
      <c r="K75" s="92">
        <v>0</v>
      </c>
      <c r="L75" s="92">
        <v>0</v>
      </c>
      <c r="M75" s="93">
        <v>2</v>
      </c>
      <c r="N75" s="93">
        <v>0</v>
      </c>
      <c r="O75" s="93">
        <v>0</v>
      </c>
      <c r="P75" s="93">
        <v>5926182.7680000002</v>
      </c>
      <c r="Q75" s="93">
        <v>48920.420000000006</v>
      </c>
      <c r="R75" s="93">
        <v>5699.2220000000007</v>
      </c>
      <c r="S75" s="93">
        <v>789834.4</v>
      </c>
      <c r="T75" s="93">
        <v>827.84000000000015</v>
      </c>
      <c r="U75" s="93">
        <f t="shared" ref="U75:U78" si="33">R75*1000000/P75</f>
        <v>961.70203031443202</v>
      </c>
      <c r="V75" s="93">
        <f t="shared" ref="V75:V78" si="34">T75*1000000/S75</f>
        <v>1048.1184410301705</v>
      </c>
      <c r="W75" s="93">
        <f t="shared" ref="W75:W78" si="35">U75-V75</f>
        <v>-86.416410715738493</v>
      </c>
      <c r="X75" s="93">
        <v>12000</v>
      </c>
      <c r="Y75" s="92">
        <v>5.2</v>
      </c>
      <c r="Z75" s="92">
        <v>0</v>
      </c>
      <c r="AA75" s="94">
        <v>0.02</v>
      </c>
      <c r="AB75" s="95">
        <v>0</v>
      </c>
    </row>
    <row r="76" spans="1:28" ht="14.4" x14ac:dyDescent="0.3">
      <c r="A76" s="90">
        <v>75</v>
      </c>
      <c r="B76" s="91">
        <v>45809</v>
      </c>
      <c r="C76" s="92">
        <f t="shared" si="30"/>
        <v>6</v>
      </c>
      <c r="D76" s="92">
        <f t="shared" si="31"/>
        <v>2025</v>
      </c>
      <c r="E76" s="92">
        <v>1121</v>
      </c>
      <c r="F76" s="92">
        <f t="shared" ref="F76:F78" si="36">SIN(2*PI()*(C76/12))</f>
        <v>1.22514845490862E-16</v>
      </c>
      <c r="G76" s="92">
        <f t="shared" si="32"/>
        <v>-1</v>
      </c>
      <c r="H76" s="93">
        <v>29792.146892655368</v>
      </c>
      <c r="I76" s="93">
        <v>37136.04519774011</v>
      </c>
      <c r="J76" s="93">
        <v>34637.175141242937</v>
      </c>
      <c r="K76" s="92">
        <v>0</v>
      </c>
      <c r="L76" s="92">
        <v>0</v>
      </c>
      <c r="M76" s="93">
        <v>3</v>
      </c>
      <c r="N76" s="93">
        <v>0</v>
      </c>
      <c r="O76" s="93">
        <v>0</v>
      </c>
      <c r="P76" s="93">
        <v>5787365.5360000003</v>
      </c>
      <c r="Q76" s="93">
        <v>47528.84</v>
      </c>
      <c r="R76" s="93">
        <v>5528.4440000000004</v>
      </c>
      <c r="S76" s="93">
        <v>782668.80000000005</v>
      </c>
      <c r="T76" s="93">
        <v>823.68000000000006</v>
      </c>
      <c r="U76" s="93">
        <f t="shared" si="33"/>
        <v>955.26089817734987</v>
      </c>
      <c r="V76" s="93">
        <f t="shared" si="34"/>
        <v>1052.399175743303</v>
      </c>
      <c r="W76" s="93">
        <f t="shared" si="35"/>
        <v>-97.138277565953103</v>
      </c>
      <c r="X76" s="93">
        <v>12000</v>
      </c>
      <c r="Y76" s="92">
        <v>5.2</v>
      </c>
      <c r="Z76" s="92">
        <v>0</v>
      </c>
      <c r="AA76" s="94">
        <v>0.03</v>
      </c>
      <c r="AB76" s="95">
        <v>0</v>
      </c>
    </row>
    <row r="77" spans="1:28" ht="14.4" x14ac:dyDescent="0.3">
      <c r="A77" s="90">
        <v>76</v>
      </c>
      <c r="B77" s="91">
        <v>45839</v>
      </c>
      <c r="C77" s="92">
        <f t="shared" si="30"/>
        <v>7</v>
      </c>
      <c r="D77" s="92">
        <f t="shared" si="31"/>
        <v>2025</v>
      </c>
      <c r="E77" s="92">
        <v>1121</v>
      </c>
      <c r="F77" s="92">
        <f t="shared" si="36"/>
        <v>-0.50000000000000011</v>
      </c>
      <c r="G77" s="92">
        <f t="shared" si="32"/>
        <v>-0.8660254037844386</v>
      </c>
      <c r="H77" s="93">
        <v>29792.146892655368</v>
      </c>
      <c r="I77" s="93">
        <v>37136.04519774011</v>
      </c>
      <c r="J77" s="93">
        <v>34637.175141242937</v>
      </c>
      <c r="K77" s="92">
        <v>0</v>
      </c>
      <c r="L77" s="92">
        <v>0</v>
      </c>
      <c r="M77" s="93">
        <v>4</v>
      </c>
      <c r="N77" s="93">
        <v>0</v>
      </c>
      <c r="O77" s="93">
        <v>0</v>
      </c>
      <c r="P77" s="93">
        <v>5648548.3040000005</v>
      </c>
      <c r="Q77" s="93">
        <v>46137.26</v>
      </c>
      <c r="R77" s="93">
        <v>5357.6660000000002</v>
      </c>
      <c r="S77" s="93">
        <v>775503.20000000007</v>
      </c>
      <c r="T77" s="93">
        <v>819.52</v>
      </c>
      <c r="U77" s="93">
        <f t="shared" si="33"/>
        <v>948.50317491416104</v>
      </c>
      <c r="V77" s="93">
        <f t="shared" si="34"/>
        <v>1056.7590178867088</v>
      </c>
      <c r="W77" s="93">
        <f t="shared" si="35"/>
        <v>-108.25584297254773</v>
      </c>
      <c r="X77" s="93">
        <v>12000</v>
      </c>
      <c r="Y77" s="92">
        <v>5.2</v>
      </c>
      <c r="Z77" s="92">
        <v>0</v>
      </c>
      <c r="AA77" s="94">
        <v>0.03</v>
      </c>
      <c r="AB77" s="95">
        <v>0</v>
      </c>
    </row>
    <row r="78" spans="1:28" ht="14.4" x14ac:dyDescent="0.3">
      <c r="A78" s="90">
        <v>77</v>
      </c>
      <c r="B78" s="91">
        <v>45870</v>
      </c>
      <c r="C78" s="92">
        <f t="shared" si="30"/>
        <v>8</v>
      </c>
      <c r="D78" s="92">
        <f t="shared" si="31"/>
        <v>2025</v>
      </c>
      <c r="E78" s="92">
        <v>1121</v>
      </c>
      <c r="F78" s="92">
        <f t="shared" si="36"/>
        <v>-0.86602540378443837</v>
      </c>
      <c r="G78" s="92">
        <f t="shared" si="32"/>
        <v>-0.50000000000000044</v>
      </c>
      <c r="H78" s="93">
        <v>29792.146892655368</v>
      </c>
      <c r="I78" s="93">
        <v>37136.04519774011</v>
      </c>
      <c r="J78" s="93">
        <v>34637.175141242937</v>
      </c>
      <c r="K78" s="92">
        <v>0</v>
      </c>
      <c r="L78" s="92">
        <v>0</v>
      </c>
      <c r="M78" s="93">
        <v>5</v>
      </c>
      <c r="N78" s="93">
        <v>0</v>
      </c>
      <c r="O78" s="93">
        <v>0</v>
      </c>
      <c r="P78" s="93">
        <v>5509731.0720000006</v>
      </c>
      <c r="Q78" s="93">
        <v>44745.679999999993</v>
      </c>
      <c r="R78" s="93">
        <v>5186.8880000000008</v>
      </c>
      <c r="S78" s="93">
        <v>768337.60000000009</v>
      </c>
      <c r="T78" s="93">
        <v>815.3599999999999</v>
      </c>
      <c r="U78" s="93">
        <f t="shared" si="33"/>
        <v>941.40493106085307</v>
      </c>
      <c r="V78" s="93">
        <f t="shared" si="34"/>
        <v>1061.2001807538766</v>
      </c>
      <c r="W78" s="93">
        <f t="shared" si="35"/>
        <v>-119.79524969302349</v>
      </c>
      <c r="X78" s="93">
        <v>12000</v>
      </c>
      <c r="Y78" s="92">
        <v>5.2</v>
      </c>
      <c r="Z78" s="92">
        <v>0</v>
      </c>
      <c r="AA78" s="94">
        <v>0.04</v>
      </c>
      <c r="AB78" s="95">
        <v>0.05</v>
      </c>
    </row>
    <row r="79" spans="1:28" x14ac:dyDescent="0.25">
      <c r="A79" s="87"/>
      <c r="B79" s="88"/>
      <c r="M79" s="89"/>
    </row>
    <row r="80" spans="1:28" x14ac:dyDescent="0.25">
      <c r="A80" s="87"/>
      <c r="B80" s="88"/>
      <c r="M80" s="89"/>
    </row>
    <row r="81" spans="1:13" x14ac:dyDescent="0.25">
      <c r="A81" s="87"/>
      <c r="B81" s="88"/>
      <c r="M81" s="89"/>
    </row>
    <row r="82" spans="1:13" x14ac:dyDescent="0.25">
      <c r="A82" s="87"/>
      <c r="B82" s="88"/>
      <c r="M82" s="89"/>
    </row>
    <row r="83" spans="1:13" x14ac:dyDescent="0.25">
      <c r="A83" s="87"/>
      <c r="B83" s="88"/>
      <c r="M83" s="89"/>
    </row>
    <row r="84" spans="1:13" x14ac:dyDescent="0.25">
      <c r="A84" s="87"/>
      <c r="B84" s="88"/>
      <c r="M84" s="89"/>
    </row>
    <row r="85" spans="1:13" x14ac:dyDescent="0.25">
      <c r="A85" s="87"/>
      <c r="B85" s="88"/>
      <c r="M85" s="89"/>
    </row>
  </sheetData>
  <autoFilter ref="B1:AB78" xr:uid="{9646F65B-AA96-48B1-957D-0150376747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501F-6CAB-4C74-B6FE-8BEFFD09155E}">
  <dimension ref="A1:AO41"/>
  <sheetViews>
    <sheetView zoomScale="90" zoomScaleNormal="90" workbookViewId="0">
      <pane xSplit="1" topLeftCell="B1" activePane="topRight" state="frozen"/>
      <selection pane="topRight" activeCell="AO2" sqref="AO2:AO8"/>
    </sheetView>
  </sheetViews>
  <sheetFormatPr defaultRowHeight="13.2" x14ac:dyDescent="0.25"/>
  <cols>
    <col min="1" max="1" width="7.5546875" bestFit="1" customWidth="1"/>
    <col min="2" max="2" width="18.109375" customWidth="1"/>
    <col min="3" max="3" width="13.88671875" hidden="1" customWidth="1"/>
    <col min="4" max="5" width="9" hidden="1" customWidth="1"/>
    <col min="6" max="6" width="17.33203125" customWidth="1"/>
    <col min="7" max="7" width="10.6640625" customWidth="1"/>
    <col min="8" max="8" width="13.88671875" hidden="1" customWidth="1"/>
    <col min="9" max="10" width="9.77734375" hidden="1" customWidth="1"/>
    <col min="11" max="11" width="12.77734375" hidden="1" customWidth="1"/>
    <col min="12" max="12" width="9.77734375" hidden="1" customWidth="1"/>
    <col min="13" max="14" width="17.33203125" hidden="1" customWidth="1"/>
    <col min="15" max="15" width="9.33203125" hidden="1" customWidth="1"/>
    <col min="16" max="16" width="7.44140625" hidden="1" customWidth="1"/>
    <col min="17" max="17" width="9.33203125" hidden="1" customWidth="1"/>
    <col min="18" max="18" width="9.109375" hidden="1" customWidth="1"/>
    <col min="19" max="23" width="12.88671875" hidden="1" customWidth="1"/>
    <col min="24" max="24" width="10.6640625" customWidth="1"/>
    <col min="25" max="25" width="10.6640625" hidden="1" customWidth="1"/>
    <col min="26" max="27" width="13.109375" hidden="1" customWidth="1"/>
    <col min="28" max="28" width="10.5546875" hidden="1" customWidth="1"/>
    <col min="29" max="30" width="12.6640625" customWidth="1"/>
    <col min="31" max="32" width="11.6640625" customWidth="1"/>
    <col min="33" max="34" width="12.6640625" customWidth="1"/>
  </cols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6</v>
      </c>
      <c r="Z1" s="24" t="s">
        <v>24</v>
      </c>
      <c r="AA1" s="24" t="s">
        <v>25</v>
      </c>
      <c r="AB1" s="24" t="s">
        <v>26</v>
      </c>
      <c r="AC1" s="24" t="s">
        <v>27</v>
      </c>
      <c r="AD1" s="24" t="s">
        <v>28</v>
      </c>
      <c r="AE1" s="24" t="s">
        <v>29</v>
      </c>
      <c r="AF1" s="24" t="s">
        <v>30</v>
      </c>
      <c r="AG1" s="24" t="s">
        <v>31</v>
      </c>
      <c r="AH1" s="24" t="s">
        <v>32</v>
      </c>
      <c r="AI1" s="24" t="s">
        <v>33</v>
      </c>
      <c r="AJ1" s="24" t="s">
        <v>34</v>
      </c>
      <c r="AK1" s="24" t="s">
        <v>35</v>
      </c>
      <c r="AL1" s="24" t="s">
        <v>36</v>
      </c>
      <c r="AM1" s="24" t="s">
        <v>37</v>
      </c>
      <c r="AN1" s="24" t="s">
        <v>38</v>
      </c>
      <c r="AO1" s="24" t="s">
        <v>39</v>
      </c>
    </row>
    <row r="2" spans="1:41" x14ac:dyDescent="0.25">
      <c r="A2" s="25">
        <v>2007</v>
      </c>
      <c r="B2" s="26">
        <v>0.91989865245298597</v>
      </c>
      <c r="C2" s="26">
        <v>0.87797988963154461</v>
      </c>
      <c r="D2" s="26">
        <f>B2-C2</f>
        <v>4.1918762821441358E-2</v>
      </c>
      <c r="E2" s="26">
        <v>0.34488449892505435</v>
      </c>
      <c r="F2" s="26">
        <v>1.0442940994491656</v>
      </c>
      <c r="G2" s="27"/>
      <c r="H2" s="26">
        <v>0.89283863078223757</v>
      </c>
      <c r="I2" s="28">
        <f t="shared" ref="I2:I18" si="0">F2-H2</f>
        <v>0.15145546866692805</v>
      </c>
      <c r="J2" s="29">
        <f>I2/H2</f>
        <v>0.16963364201012923</v>
      </c>
      <c r="K2" s="28">
        <v>0.35974312761268545</v>
      </c>
      <c r="L2" s="28">
        <f t="shared" ref="L2:L18" si="1">D2/I2</f>
        <v>0.27677285733159385</v>
      </c>
      <c r="M2" s="26">
        <v>0.69</v>
      </c>
      <c r="N2" s="26">
        <v>0.61</v>
      </c>
      <c r="O2" s="26">
        <f>M2-N2</f>
        <v>7.999999999999996E-2</v>
      </c>
      <c r="P2" s="27">
        <v>4.77445592051466E-2</v>
      </c>
      <c r="Q2" s="27">
        <v>0.16963364201012923</v>
      </c>
      <c r="R2" s="27">
        <v>0.13114754098360648</v>
      </c>
      <c r="S2" s="26">
        <v>-0.12439544699617966</v>
      </c>
      <c r="T2" s="26">
        <f>POWER(S2, 2)</f>
        <v>1.5474227233379344E-2</v>
      </c>
      <c r="U2" s="26">
        <v>-1.4858741150692967E-2</v>
      </c>
      <c r="V2" s="26">
        <v>-0.35429409944916568</v>
      </c>
      <c r="W2" s="26">
        <v>0.22989865245298602</v>
      </c>
      <c r="X2" s="27">
        <v>0.11442686490749124</v>
      </c>
      <c r="Y2" s="27"/>
      <c r="Z2" s="27">
        <f>X2-AI2</f>
        <v>2.2914574460683027E-2</v>
      </c>
      <c r="AA2" s="30">
        <v>-4.4781998586561969E-2</v>
      </c>
      <c r="AB2" s="27">
        <f>AC2-1.42%</f>
        <v>2.3494551183483297E-3</v>
      </c>
      <c r="AC2" s="27">
        <v>1.6549455118348329E-2</v>
      </c>
      <c r="AD2" s="27"/>
      <c r="AE2" s="27">
        <v>0.15657176263180492</v>
      </c>
      <c r="AF2" s="27"/>
      <c r="AG2" s="27">
        <v>2.5707034621018698E-2</v>
      </c>
      <c r="AH2" s="27"/>
      <c r="AI2" s="31">
        <v>9.1512290446808212E-2</v>
      </c>
      <c r="AJ2" s="31">
        <v>1.4223991066699117E-2</v>
      </c>
      <c r="AK2" s="31">
        <v>2.3161946562740066E-2</v>
      </c>
      <c r="AL2" s="27"/>
      <c r="AM2" s="31">
        <v>0.13546812231414326</v>
      </c>
      <c r="AN2" s="31">
        <v>2.141250912754173E-2</v>
      </c>
      <c r="AO2" s="27"/>
    </row>
    <row r="3" spans="1:41" x14ac:dyDescent="0.25">
      <c r="A3" s="32">
        <v>2008</v>
      </c>
      <c r="B3" s="26">
        <v>1.5807941690528429</v>
      </c>
      <c r="C3" s="26">
        <v>0.91989865245298597</v>
      </c>
      <c r="D3" s="26">
        <f t="shared" ref="D3:D18" si="2">B3-C3</f>
        <v>0.6608955165998569</v>
      </c>
      <c r="E3" s="26">
        <f>D2</f>
        <v>4.1918762821441358E-2</v>
      </c>
      <c r="F3" s="26">
        <v>1.6746848687975149</v>
      </c>
      <c r="G3" s="33">
        <v>0.18134852680771024</v>
      </c>
      <c r="H3" s="26">
        <v>1.0442940994491656</v>
      </c>
      <c r="I3" s="28">
        <f t="shared" si="0"/>
        <v>0.63039076934834926</v>
      </c>
      <c r="J3" s="29">
        <f>I3/H3</f>
        <v>0.60365252439984274</v>
      </c>
      <c r="K3" s="28">
        <f>I2</f>
        <v>0.15145546866692805</v>
      </c>
      <c r="L3" s="28">
        <f t="shared" si="1"/>
        <v>1.0483902187892775</v>
      </c>
      <c r="M3" s="26">
        <v>0.95</v>
      </c>
      <c r="N3" s="26">
        <v>0.69</v>
      </c>
      <c r="O3" s="26">
        <f t="shared" ref="O3:O18" si="3">M3-N3</f>
        <v>0.26</v>
      </c>
      <c r="P3" s="27">
        <v>0.71844383600032924</v>
      </c>
      <c r="Q3" s="27">
        <v>0.60365252439984274</v>
      </c>
      <c r="R3" s="27">
        <v>0.37681159420289861</v>
      </c>
      <c r="S3" s="26">
        <v>-9.3890699744672013E-2</v>
      </c>
      <c r="T3" s="26">
        <f t="shared" ref="T3:T18" si="4">POWER(S3, 2)</f>
        <v>8.815463498544153E-3</v>
      </c>
      <c r="U3" s="26">
        <v>-0.12439544699617966</v>
      </c>
      <c r="V3" s="26">
        <v>-0.72468486879751493</v>
      </c>
      <c r="W3" s="26">
        <v>0.63079416905284291</v>
      </c>
      <c r="X3" s="27">
        <v>0.12623199535836535</v>
      </c>
      <c r="Y3" s="33">
        <f t="shared" ref="Y3:Y18" si="5">(LN(X3/X2))/(LN(B3/B2))</f>
        <v>0.18134852680771024</v>
      </c>
      <c r="Z3" s="27">
        <f t="shared" ref="Z3:Z18" si="6">X3-AI3</f>
        <v>1.1805130450874113E-2</v>
      </c>
      <c r="AA3" s="27">
        <f>Z2</f>
        <v>2.2914574460683027E-2</v>
      </c>
      <c r="AB3" s="27">
        <f>AC3-AC2</f>
        <v>6.4202522070599261E-3</v>
      </c>
      <c r="AC3" s="27">
        <v>2.2969707325408255E-2</v>
      </c>
      <c r="AD3" s="27"/>
      <c r="AE3" s="27">
        <v>0.19970913565482343</v>
      </c>
      <c r="AF3" s="27">
        <f>AE3-AE2</f>
        <v>4.313737302301851E-2</v>
      </c>
      <c r="AG3" s="27">
        <v>3.8498314629228765E-2</v>
      </c>
      <c r="AH3" s="27"/>
      <c r="AI3" s="31">
        <v>0.11442686490749124</v>
      </c>
      <c r="AJ3" s="31">
        <v>1.6549455118348329E-2</v>
      </c>
      <c r="AK3" s="31">
        <f>AJ2</f>
        <v>1.4223991066699117E-2</v>
      </c>
      <c r="AL3" s="27"/>
      <c r="AM3" s="31">
        <v>0.15657176263180492</v>
      </c>
      <c r="AN3" s="31">
        <v>2.5707034621018698E-2</v>
      </c>
      <c r="AO3" s="27"/>
    </row>
    <row r="4" spans="1:41" x14ac:dyDescent="0.25">
      <c r="A4" s="25">
        <v>2009</v>
      </c>
      <c r="B4" s="26">
        <v>1.4120017621417222</v>
      </c>
      <c r="C4" s="26">
        <v>1.5807941690528429</v>
      </c>
      <c r="D4" s="26">
        <f t="shared" si="2"/>
        <v>-0.16879240691112063</v>
      </c>
      <c r="E4" s="26">
        <f t="shared" ref="E4:E18" si="7">D3</f>
        <v>0.6608955165998569</v>
      </c>
      <c r="F4" s="26">
        <v>1.3733781857066476</v>
      </c>
      <c r="G4" s="33">
        <v>1.363405512176489</v>
      </c>
      <c r="H4" s="26">
        <v>1.6746848687975149</v>
      </c>
      <c r="I4" s="28">
        <f t="shared" si="0"/>
        <v>-0.30130668309086728</v>
      </c>
      <c r="J4" s="29">
        <f t="shared" ref="J4:J18" si="8">I4/H4</f>
        <v>-0.17991843642034966</v>
      </c>
      <c r="K4" s="28">
        <f t="shared" ref="K4:K18" si="9">I3</f>
        <v>0.63039076934834926</v>
      </c>
      <c r="L4" s="28">
        <f t="shared" si="1"/>
        <v>0.56020133765242985</v>
      </c>
      <c r="M4" s="26">
        <v>0.98</v>
      </c>
      <c r="N4" s="26">
        <v>0.95</v>
      </c>
      <c r="O4" s="26">
        <f t="shared" si="3"/>
        <v>3.0000000000000027E-2</v>
      </c>
      <c r="P4" s="27">
        <v>-0.10677696705590406</v>
      </c>
      <c r="Q4" s="27">
        <v>-0.17991843642034966</v>
      </c>
      <c r="R4" s="27">
        <v>3.1578947368421081E-2</v>
      </c>
      <c r="S4" s="26">
        <v>3.8623576435074636E-2</v>
      </c>
      <c r="T4" s="26">
        <f t="shared" si="4"/>
        <v>1.4917806566360527E-3</v>
      </c>
      <c r="U4" s="26">
        <v>-9.3890699744672013E-2</v>
      </c>
      <c r="V4" s="26">
        <v>-0.39337818570664762</v>
      </c>
      <c r="W4" s="26">
        <v>0.43200176214172226</v>
      </c>
      <c r="X4" s="27">
        <v>0.10822009798374604</v>
      </c>
      <c r="Y4" s="33">
        <f t="shared" si="5"/>
        <v>1.363405512176489</v>
      </c>
      <c r="Z4" s="27">
        <f t="shared" si="6"/>
        <v>-1.8011897374619307E-2</v>
      </c>
      <c r="AA4" s="27">
        <f t="shared" ref="AA4:AA18" si="10">Z3</f>
        <v>1.1805130450874113E-2</v>
      </c>
      <c r="AB4" s="27">
        <f t="shared" ref="AB4:AB18" si="11">AC4-AC3</f>
        <v>-6.315809586899826E-3</v>
      </c>
      <c r="AC4" s="27">
        <v>1.6653897738508429E-2</v>
      </c>
      <c r="AD4" s="27"/>
      <c r="AE4" s="27">
        <v>0.14983490575690286</v>
      </c>
      <c r="AF4" s="27">
        <f t="shared" ref="AF4:AF18" si="12">AE4-AE3</f>
        <v>-4.9874229897920563E-2</v>
      </c>
      <c r="AG4" s="27">
        <v>2.2427242346343666E-2</v>
      </c>
      <c r="AH4" s="27"/>
      <c r="AI4" s="31">
        <v>0.12623199535836535</v>
      </c>
      <c r="AJ4" s="31">
        <v>2.2969707325408255E-2</v>
      </c>
      <c r="AK4" s="31">
        <f t="shared" ref="AK4:AK18" si="13">AJ3</f>
        <v>1.6549455118348329E-2</v>
      </c>
      <c r="AL4" s="27"/>
      <c r="AM4" s="31">
        <v>0.19970913565482343</v>
      </c>
      <c r="AN4" s="31">
        <v>3.8498314629228765E-2</v>
      </c>
      <c r="AO4" s="27"/>
    </row>
    <row r="5" spans="1:41" x14ac:dyDescent="0.25">
      <c r="A5" s="25">
        <v>2010</v>
      </c>
      <c r="B5" s="26">
        <v>1.337504968982006</v>
      </c>
      <c r="C5" s="26">
        <v>1.4120017621417222</v>
      </c>
      <c r="D5" s="26">
        <f t="shared" si="2"/>
        <v>-7.4496793159716246E-2</v>
      </c>
      <c r="E5" s="26">
        <f t="shared" si="7"/>
        <v>-0.16879240691112063</v>
      </c>
      <c r="F5" s="26">
        <v>1.2610083301046107</v>
      </c>
      <c r="G5" s="33">
        <v>-2.4922577001241537</v>
      </c>
      <c r="H5" s="26">
        <v>1.3733781857066476</v>
      </c>
      <c r="I5" s="28">
        <f t="shared" si="0"/>
        <v>-0.11236985560203694</v>
      </c>
      <c r="J5" s="29">
        <f t="shared" si="8"/>
        <v>-8.1820038188693822E-2</v>
      </c>
      <c r="K5" s="28">
        <f t="shared" si="9"/>
        <v>-0.30130668309086728</v>
      </c>
      <c r="L5" s="28">
        <f t="shared" si="1"/>
        <v>0.66296065577898489</v>
      </c>
      <c r="M5" s="26">
        <v>1.1299999999999999</v>
      </c>
      <c r="N5" s="26">
        <v>0.98</v>
      </c>
      <c r="O5" s="26">
        <f t="shared" si="3"/>
        <v>0.14999999999999991</v>
      </c>
      <c r="P5" s="27">
        <v>-5.2759702683883067E-2</v>
      </c>
      <c r="Q5" s="27">
        <v>-8.1820038188693822E-2</v>
      </c>
      <c r="R5" s="27">
        <v>0.15306122448979584</v>
      </c>
      <c r="S5" s="26">
        <v>7.6496638877395329E-2</v>
      </c>
      <c r="T5" s="26">
        <f t="shared" si="4"/>
        <v>5.8517357595386302E-3</v>
      </c>
      <c r="U5" s="26">
        <v>3.8623576435074636E-2</v>
      </c>
      <c r="V5" s="26">
        <v>-0.13100833010461077</v>
      </c>
      <c r="W5" s="26">
        <v>0.2075049689820061</v>
      </c>
      <c r="X5" s="27">
        <v>0.12387260100158759</v>
      </c>
      <c r="Y5" s="33">
        <f t="shared" si="5"/>
        <v>-2.4922577001241537</v>
      </c>
      <c r="Z5" s="27">
        <f t="shared" si="6"/>
        <v>1.5652503017841546E-2</v>
      </c>
      <c r="AA5" s="27">
        <f t="shared" si="10"/>
        <v>-1.8011897374619307E-2</v>
      </c>
      <c r="AB5" s="27">
        <f t="shared" si="11"/>
        <v>4.4403295454565651E-3</v>
      </c>
      <c r="AC5" s="27">
        <v>2.1094227283964994E-2</v>
      </c>
      <c r="AD5" s="27"/>
      <c r="AE5" s="27">
        <v>0.14313475844669848</v>
      </c>
      <c r="AF5" s="27">
        <f t="shared" si="12"/>
        <v>-6.7001473102043796E-3</v>
      </c>
      <c r="AG5" s="27">
        <v>2.2980317523483038E-2</v>
      </c>
      <c r="AH5" s="27"/>
      <c r="AI5" s="31">
        <v>0.10822009798374604</v>
      </c>
      <c r="AJ5" s="31">
        <v>1.6653897738508429E-2</v>
      </c>
      <c r="AK5" s="31">
        <f t="shared" si="13"/>
        <v>2.2969707325408255E-2</v>
      </c>
      <c r="AL5" s="27"/>
      <c r="AM5" s="31">
        <v>0.14983490575690286</v>
      </c>
      <c r="AN5" s="31">
        <v>2.2427242346343666E-2</v>
      </c>
      <c r="AO5" s="27"/>
    </row>
    <row r="6" spans="1:41" x14ac:dyDescent="0.25">
      <c r="A6" s="32">
        <v>2011</v>
      </c>
      <c r="B6" s="26">
        <v>1.2856314066547638</v>
      </c>
      <c r="C6" s="26">
        <v>1.337504968982006</v>
      </c>
      <c r="D6" s="26">
        <f t="shared" si="2"/>
        <v>-5.1873562327242162E-2</v>
      </c>
      <c r="E6" s="26">
        <f t="shared" si="7"/>
        <v>-7.4496793159716246E-2</v>
      </c>
      <c r="F6" s="26">
        <v>1.2897656971389961</v>
      </c>
      <c r="G6" s="33">
        <v>0.4641110727788767</v>
      </c>
      <c r="H6" s="26">
        <v>1.2610083301046107</v>
      </c>
      <c r="I6" s="28">
        <f t="shared" si="0"/>
        <v>2.8757367034385473E-2</v>
      </c>
      <c r="J6" s="29">
        <f t="shared" si="8"/>
        <v>2.2805057149780938E-2</v>
      </c>
      <c r="K6" s="28">
        <f t="shared" si="9"/>
        <v>-0.11236985560203694</v>
      </c>
      <c r="L6" s="28">
        <f t="shared" si="1"/>
        <v>-1.8038355968130331</v>
      </c>
      <c r="M6" s="26">
        <v>1.1599999999999999</v>
      </c>
      <c r="N6" s="26">
        <v>1.1299999999999999</v>
      </c>
      <c r="O6" s="26">
        <f t="shared" si="3"/>
        <v>3.0000000000000027E-2</v>
      </c>
      <c r="P6" s="27">
        <v>-3.8783827746616796E-2</v>
      </c>
      <c r="Q6" s="27">
        <v>2.2805057149780938E-2</v>
      </c>
      <c r="R6" s="27">
        <v>2.6548672566371709E-2</v>
      </c>
      <c r="S6" s="26">
        <v>-4.1342904842323058E-3</v>
      </c>
      <c r="T6" s="26">
        <f t="shared" si="4"/>
        <v>1.7092357808013793E-5</v>
      </c>
      <c r="U6" s="26">
        <v>7.6496638877395329E-2</v>
      </c>
      <c r="V6" s="26">
        <v>-0.12976569713899622</v>
      </c>
      <c r="W6" s="26">
        <v>0.12563140665476391</v>
      </c>
      <c r="X6" s="27">
        <v>0.1216192510671755</v>
      </c>
      <c r="Y6" s="33">
        <f t="shared" si="5"/>
        <v>0.4641110727788767</v>
      </c>
      <c r="Z6" s="27">
        <f t="shared" si="6"/>
        <v>-2.2533499344120911E-3</v>
      </c>
      <c r="AA6" s="27">
        <f t="shared" si="10"/>
        <v>1.5652503017841546E-2</v>
      </c>
      <c r="AB6" s="27">
        <f t="shared" si="11"/>
        <v>-5.9723597361136232E-3</v>
      </c>
      <c r="AC6" s="27">
        <v>1.5121867547851371E-2</v>
      </c>
      <c r="AD6" s="27"/>
      <c r="AE6" s="27">
        <v>0.138347554341165</v>
      </c>
      <c r="AF6" s="27">
        <f t="shared" si="12"/>
        <v>-4.787204105533488E-3</v>
      </c>
      <c r="AG6" s="27">
        <v>1.7257144683535335E-2</v>
      </c>
      <c r="AH6" s="27"/>
      <c r="AI6" s="31">
        <v>0.12387260100158759</v>
      </c>
      <c r="AJ6" s="31">
        <v>2.1094227283964994E-2</v>
      </c>
      <c r="AK6" s="31">
        <f t="shared" si="13"/>
        <v>1.6653897738508429E-2</v>
      </c>
      <c r="AL6" s="27"/>
      <c r="AM6" s="31">
        <v>0.14313475844669848</v>
      </c>
      <c r="AN6" s="31">
        <v>2.2980317523483038E-2</v>
      </c>
      <c r="AO6" s="27"/>
    </row>
    <row r="7" spans="1:41" x14ac:dyDescent="0.25">
      <c r="A7" s="25">
        <v>2012</v>
      </c>
      <c r="B7" s="26">
        <v>1.1710505763573134</v>
      </c>
      <c r="C7" s="26">
        <v>1.2856314066547638</v>
      </c>
      <c r="D7" s="26">
        <f t="shared" si="2"/>
        <v>-0.11458083029745048</v>
      </c>
      <c r="E7" s="26">
        <f t="shared" si="7"/>
        <v>-5.1873562327242162E-2</v>
      </c>
      <c r="F7" s="26">
        <v>1.4325959604594765</v>
      </c>
      <c r="G7" s="33">
        <v>-3.4743011594237201</v>
      </c>
      <c r="H7" s="26">
        <v>1.2897656971389961</v>
      </c>
      <c r="I7" s="28">
        <f t="shared" si="0"/>
        <v>0.14283026332048032</v>
      </c>
      <c r="J7" s="29">
        <f t="shared" si="8"/>
        <v>0.11074124830371242</v>
      </c>
      <c r="K7" s="28">
        <f t="shared" si="9"/>
        <v>2.8757367034385473E-2</v>
      </c>
      <c r="L7" s="28">
        <f t="shared" si="1"/>
        <v>-0.80221675458481645</v>
      </c>
      <c r="M7" s="26">
        <v>1.2339835082784423</v>
      </c>
      <c r="N7" s="26">
        <v>1.1599999999999999</v>
      </c>
      <c r="O7" s="26">
        <f t="shared" si="3"/>
        <v>7.3983508278442356E-2</v>
      </c>
      <c r="P7" s="27">
        <v>-8.9124168641455226E-2</v>
      </c>
      <c r="Q7" s="27">
        <v>0.11074124830371242</v>
      </c>
      <c r="R7" s="27">
        <v>6.3778886446933067E-2</v>
      </c>
      <c r="S7" s="26">
        <v>-0.2615453841021631</v>
      </c>
      <c r="T7" s="26">
        <f t="shared" si="4"/>
        <v>6.8405987945148031E-2</v>
      </c>
      <c r="U7" s="26">
        <v>-4.1342904842323058E-3</v>
      </c>
      <c r="V7" s="26">
        <v>-0.19861245218103418</v>
      </c>
      <c r="W7" s="26">
        <v>-6.2932931921128921E-2</v>
      </c>
      <c r="X7" s="27">
        <v>0.16821059475737457</v>
      </c>
      <c r="Y7" s="33">
        <f t="shared" si="5"/>
        <v>-3.4743011594237201</v>
      </c>
      <c r="Z7" s="27">
        <f t="shared" si="6"/>
        <v>4.6591343690199072E-2</v>
      </c>
      <c r="AA7" s="27">
        <f t="shared" si="10"/>
        <v>-2.2533499344120911E-3</v>
      </c>
      <c r="AB7" s="27">
        <f t="shared" si="11"/>
        <v>1.7796298019383625E-3</v>
      </c>
      <c r="AC7" s="27">
        <v>1.6901497349789733E-2</v>
      </c>
      <c r="AD7" s="27"/>
      <c r="AE7" s="27">
        <v>0.16452538645367717</v>
      </c>
      <c r="AF7" s="27">
        <f t="shared" si="12"/>
        <v>2.6177832112512178E-2</v>
      </c>
      <c r="AG7" s="27">
        <v>2.0223337276603179E-2</v>
      </c>
      <c r="AH7" s="27"/>
      <c r="AI7" s="31">
        <v>0.1216192510671755</v>
      </c>
      <c r="AJ7" s="31">
        <v>1.5121867547851371E-2</v>
      </c>
      <c r="AK7" s="31">
        <f t="shared" si="13"/>
        <v>2.1094227283964994E-2</v>
      </c>
      <c r="AL7" s="27"/>
      <c r="AM7" s="31">
        <v>0.138347554341165</v>
      </c>
      <c r="AN7" s="31">
        <v>1.7257144683535335E-2</v>
      </c>
      <c r="AO7" s="27"/>
    </row>
    <row r="8" spans="1:41" x14ac:dyDescent="0.25">
      <c r="A8" s="25">
        <v>2013</v>
      </c>
      <c r="B8" s="26">
        <v>1.3315401271523346</v>
      </c>
      <c r="C8" s="26">
        <v>1.1710505763573134</v>
      </c>
      <c r="D8" s="26">
        <f t="shared" si="2"/>
        <v>0.16048955079502125</v>
      </c>
      <c r="E8" s="26">
        <f t="shared" si="7"/>
        <v>-0.11458083029745048</v>
      </c>
      <c r="F8" s="26">
        <v>1.6401195859151609</v>
      </c>
      <c r="G8" s="33">
        <v>8.8023533843900631E-2</v>
      </c>
      <c r="H8" s="26">
        <v>1.4325959604594765</v>
      </c>
      <c r="I8" s="28">
        <f t="shared" si="0"/>
        <v>0.20752362545568448</v>
      </c>
      <c r="J8" s="29">
        <f t="shared" si="8"/>
        <v>0.14485844661262723</v>
      </c>
      <c r="K8" s="28">
        <f t="shared" si="9"/>
        <v>0.14283026332048032</v>
      </c>
      <c r="L8" s="28">
        <f t="shared" si="1"/>
        <v>0.77335556586685072</v>
      </c>
      <c r="M8" s="34">
        <v>1.2941073525346443</v>
      </c>
      <c r="N8" s="26">
        <v>1.2339835082784423</v>
      </c>
      <c r="O8" s="26">
        <f t="shared" si="3"/>
        <v>6.0123844256201986E-2</v>
      </c>
      <c r="P8" s="27">
        <v>0.13704749737986752</v>
      </c>
      <c r="Q8" s="27">
        <v>0.14485844661262723</v>
      </c>
      <c r="R8" s="27">
        <v>4.8723377462379619E-2</v>
      </c>
      <c r="S8" s="26">
        <v>-0.30857945876282633</v>
      </c>
      <c r="T8" s="26">
        <f t="shared" si="4"/>
        <v>9.5221282370358831E-2</v>
      </c>
      <c r="U8" s="26">
        <v>-0.2615453841021631</v>
      </c>
      <c r="V8" s="26">
        <v>-0.34601223338051668</v>
      </c>
      <c r="W8" s="26">
        <v>3.7432774617690345E-2</v>
      </c>
      <c r="X8" s="27">
        <v>0.17012305635999109</v>
      </c>
      <c r="Y8" s="33">
        <f t="shared" si="5"/>
        <v>8.8023533843900631E-2</v>
      </c>
      <c r="Z8" s="27">
        <f t="shared" si="6"/>
        <v>1.9124616026165164E-3</v>
      </c>
      <c r="AA8" s="27">
        <f t="shared" si="10"/>
        <v>4.6591343690199072E-2</v>
      </c>
      <c r="AB8" s="27">
        <f t="shared" si="11"/>
        <v>1.1830603340787234E-2</v>
      </c>
      <c r="AC8" s="27">
        <v>2.8732100690576967E-2</v>
      </c>
      <c r="AD8" s="27">
        <v>0.65111517041657385</v>
      </c>
      <c r="AE8" s="27">
        <v>0.18144762000743869</v>
      </c>
      <c r="AF8" s="27">
        <f t="shared" si="12"/>
        <v>1.6922233553761518E-2</v>
      </c>
      <c r="AG8" s="27">
        <v>3.774650408559424E-2</v>
      </c>
      <c r="AH8" s="27">
        <v>0.67493501513036336</v>
      </c>
      <c r="AI8" s="31">
        <v>0.16821059475737457</v>
      </c>
      <c r="AJ8" s="31">
        <v>1.6901497349789733E-2</v>
      </c>
      <c r="AK8" s="31">
        <f t="shared" si="13"/>
        <v>1.5121867547851371E-2</v>
      </c>
      <c r="AL8" s="35"/>
      <c r="AM8" s="31">
        <v>0.16452538645367717</v>
      </c>
      <c r="AN8" s="31">
        <v>2.0223337276603179E-2</v>
      </c>
      <c r="AO8" s="35"/>
    </row>
    <row r="9" spans="1:41" x14ac:dyDescent="0.25">
      <c r="A9" s="32">
        <v>2014</v>
      </c>
      <c r="B9" s="34">
        <v>1.4677215813965199</v>
      </c>
      <c r="C9" s="26">
        <v>1.3315401271523346</v>
      </c>
      <c r="D9" s="26">
        <f t="shared" si="2"/>
        <v>0.13618145424418526</v>
      </c>
      <c r="E9" s="26">
        <f t="shared" si="7"/>
        <v>0.16048955079502125</v>
      </c>
      <c r="F9" s="34">
        <v>1.7107925885649755</v>
      </c>
      <c r="G9" s="33">
        <v>-0.4944865789952243</v>
      </c>
      <c r="H9" s="26">
        <v>1.6401195859151609</v>
      </c>
      <c r="I9" s="28">
        <f t="shared" si="0"/>
        <v>7.0673002649814576E-2</v>
      </c>
      <c r="J9" s="29">
        <f t="shared" si="8"/>
        <v>4.3090152240563701E-2</v>
      </c>
      <c r="K9" s="28">
        <f t="shared" si="9"/>
        <v>0.20752362545568448</v>
      </c>
      <c r="L9" s="28">
        <f t="shared" si="1"/>
        <v>1.92692328241614</v>
      </c>
      <c r="M9" s="34">
        <v>1.1606425139045076</v>
      </c>
      <c r="N9" s="34">
        <v>1.2941073525346443</v>
      </c>
      <c r="O9" s="26">
        <f t="shared" si="3"/>
        <v>-0.1334648386301367</v>
      </c>
      <c r="P9" s="36">
        <v>0.1022736389743104</v>
      </c>
      <c r="Q9" s="36">
        <v>4.3090152240563645E-2</v>
      </c>
      <c r="R9" s="27">
        <v>-0.1031327411661265</v>
      </c>
      <c r="S9" s="26">
        <f t="shared" ref="S9:S18" si="14">B9-F9</f>
        <v>-0.24307100716845564</v>
      </c>
      <c r="T9" s="26">
        <f t="shared" si="4"/>
        <v>5.9083514525887414E-2</v>
      </c>
      <c r="U9" s="26">
        <v>-0.30857945876282633</v>
      </c>
      <c r="V9" s="26">
        <v>-0.55015007466046795</v>
      </c>
      <c r="W9" s="26">
        <v>0.3070790674920123</v>
      </c>
      <c r="X9" s="36">
        <v>0.16212561076615117</v>
      </c>
      <c r="Y9" s="33">
        <f t="shared" si="5"/>
        <v>-0.4944865789952243</v>
      </c>
      <c r="Z9" s="27">
        <f t="shared" si="6"/>
        <v>-7.9974455938399136E-3</v>
      </c>
      <c r="AA9" s="27">
        <f t="shared" si="10"/>
        <v>1.9124616026165164E-3</v>
      </c>
      <c r="AB9" s="27">
        <f t="shared" si="11"/>
        <v>-8.401007187445117E-3</v>
      </c>
      <c r="AC9" s="36">
        <v>2.033109350313185E-2</v>
      </c>
      <c r="AD9" s="36">
        <v>0.66997113901403249</v>
      </c>
      <c r="AE9" s="36">
        <v>0.19763920707995761</v>
      </c>
      <c r="AF9" s="27">
        <f t="shared" si="12"/>
        <v>1.6191587072518915E-2</v>
      </c>
      <c r="AG9" s="36">
        <v>2.8889225266676623E-2</v>
      </c>
      <c r="AH9" s="36">
        <v>0.64585104507879532</v>
      </c>
      <c r="AI9" s="30">
        <v>0.17012305635999109</v>
      </c>
      <c r="AJ9" s="30">
        <v>2.8732100690576967E-2</v>
      </c>
      <c r="AK9" s="31">
        <f t="shared" si="13"/>
        <v>1.6901497349789733E-2</v>
      </c>
      <c r="AL9" s="30">
        <v>0.65111517041657385</v>
      </c>
      <c r="AM9" s="30">
        <v>0.18144762000743869</v>
      </c>
      <c r="AN9" s="30">
        <v>3.7746504085594199E-2</v>
      </c>
      <c r="AO9" s="30">
        <v>0.67493501513036336</v>
      </c>
    </row>
    <row r="10" spans="1:41" x14ac:dyDescent="0.25">
      <c r="A10" s="25">
        <v>2015</v>
      </c>
      <c r="B10" s="34">
        <v>1.1980621814806975</v>
      </c>
      <c r="C10" s="26">
        <v>1.4677215813965199</v>
      </c>
      <c r="D10" s="26">
        <f t="shared" si="2"/>
        <v>-0.26965939991582233</v>
      </c>
      <c r="E10" s="26">
        <f t="shared" si="7"/>
        <v>0.13618145424418526</v>
      </c>
      <c r="F10" s="34">
        <v>1.3886332123077416</v>
      </c>
      <c r="G10" s="33">
        <v>-0.81240269560629719</v>
      </c>
      <c r="H10" s="26">
        <v>1.7107925885649755</v>
      </c>
      <c r="I10" s="28">
        <f t="shared" si="0"/>
        <v>-0.3221593762572339</v>
      </c>
      <c r="J10" s="29">
        <f t="shared" si="8"/>
        <v>-0.18831001397280039</v>
      </c>
      <c r="K10" s="28">
        <f t="shared" si="9"/>
        <v>7.0673002649814576E-2</v>
      </c>
      <c r="L10" s="28">
        <f t="shared" si="1"/>
        <v>0.83703725481672142</v>
      </c>
      <c r="M10" s="34">
        <v>1.0791730743913677</v>
      </c>
      <c r="N10" s="34">
        <v>1.1606425139045076</v>
      </c>
      <c r="O10" s="26">
        <f t="shared" si="3"/>
        <v>-8.1469439513139896E-2</v>
      </c>
      <c r="P10" s="36">
        <v>-0.18372653460559238</v>
      </c>
      <c r="Q10" s="36">
        <v>-0.18831001397280037</v>
      </c>
      <c r="R10" s="27">
        <v>-7.0193395931249541E-2</v>
      </c>
      <c r="S10" s="26">
        <f t="shared" si="14"/>
        <v>-0.19057103082704407</v>
      </c>
      <c r="T10" s="26">
        <f t="shared" si="4"/>
        <v>3.6317317790482181E-2</v>
      </c>
      <c r="U10" s="26">
        <v>-0.24307100716845564</v>
      </c>
      <c r="V10" s="26">
        <v>-0.30946013791637395</v>
      </c>
      <c r="W10" s="26">
        <v>0.11888910708932987</v>
      </c>
      <c r="X10" s="36">
        <v>0.19119501162729161</v>
      </c>
      <c r="Y10" s="33">
        <f t="shared" si="5"/>
        <v>-0.81240269560629719</v>
      </c>
      <c r="Z10" s="27">
        <f t="shared" si="6"/>
        <v>2.9069400861140432E-2</v>
      </c>
      <c r="AA10" s="27">
        <f t="shared" si="10"/>
        <v>-7.9974455938399136E-3</v>
      </c>
      <c r="AB10" s="27">
        <f t="shared" si="11"/>
        <v>-9.1071476784496466E-4</v>
      </c>
      <c r="AC10" s="36">
        <v>1.9420378735286885E-2</v>
      </c>
      <c r="AD10" s="36">
        <v>0.63846127504848593</v>
      </c>
      <c r="AE10" s="36">
        <v>0.21016584895229454</v>
      </c>
      <c r="AF10" s="27">
        <f t="shared" si="12"/>
        <v>1.252664187233693E-2</v>
      </c>
      <c r="AG10" s="36">
        <v>2.4742949768979727E-2</v>
      </c>
      <c r="AH10" s="36">
        <v>0.63216710286874844</v>
      </c>
      <c r="AI10" s="30">
        <v>0.16212561076615117</v>
      </c>
      <c r="AJ10" s="30">
        <v>2.033109350313185E-2</v>
      </c>
      <c r="AK10" s="31">
        <f t="shared" si="13"/>
        <v>2.8732100690576967E-2</v>
      </c>
      <c r="AL10" s="30">
        <v>0.66997113901403249</v>
      </c>
      <c r="AM10" s="30">
        <v>0.19763920707995761</v>
      </c>
      <c r="AN10" s="30">
        <v>2.8889225266676623E-2</v>
      </c>
      <c r="AO10" s="30">
        <v>0.64585104507879532</v>
      </c>
    </row>
    <row r="11" spans="1:41" x14ac:dyDescent="0.25">
      <c r="A11" s="25">
        <v>2016</v>
      </c>
      <c r="B11" s="34">
        <v>1.0828780637489932</v>
      </c>
      <c r="C11" s="26">
        <v>1.1980621814806975</v>
      </c>
      <c r="D11" s="26">
        <f t="shared" si="2"/>
        <v>-0.11518411773170434</v>
      </c>
      <c r="E11" s="26">
        <f t="shared" si="7"/>
        <v>-0.26965939991582233</v>
      </c>
      <c r="F11" s="34">
        <v>1.2548134036450034</v>
      </c>
      <c r="G11" s="33">
        <v>-0.17138648736299561</v>
      </c>
      <c r="H11" s="26">
        <v>1.3886332123077416</v>
      </c>
      <c r="I11" s="28">
        <f t="shared" si="0"/>
        <v>-0.13381980866273824</v>
      </c>
      <c r="J11" s="29">
        <f t="shared" si="8"/>
        <v>-9.6368002346959414E-2</v>
      </c>
      <c r="K11" s="28">
        <f t="shared" si="9"/>
        <v>-0.3221593762572339</v>
      </c>
      <c r="L11" s="28">
        <f t="shared" si="1"/>
        <v>0.86074041565848569</v>
      </c>
      <c r="M11" s="34">
        <v>0.91307025574058864</v>
      </c>
      <c r="N11" s="34">
        <v>1.0791730743913677</v>
      </c>
      <c r="O11" s="26">
        <f t="shared" si="3"/>
        <v>-0.16610281865077903</v>
      </c>
      <c r="P11" s="36">
        <v>-9.6142019598137313E-2</v>
      </c>
      <c r="Q11" s="36">
        <v>-9.6368002346959372E-2</v>
      </c>
      <c r="R11" s="27">
        <v>-0.1539167558868699</v>
      </c>
      <c r="S11" s="26">
        <f t="shared" si="14"/>
        <v>-0.17193533989601018</v>
      </c>
      <c r="T11" s="26">
        <f t="shared" si="4"/>
        <v>2.9561761105156549E-2</v>
      </c>
      <c r="U11" s="26">
        <v>-0.19057103082704407</v>
      </c>
      <c r="V11" s="26">
        <v>-0.34174314790441473</v>
      </c>
      <c r="W11" s="26">
        <v>0.16980780800840456</v>
      </c>
      <c r="X11" s="36">
        <v>0.19453618293907751</v>
      </c>
      <c r="Y11" s="33">
        <f t="shared" si="5"/>
        <v>-0.17138648736299561</v>
      </c>
      <c r="Z11" s="27">
        <f t="shared" si="6"/>
        <v>3.3411713117859065E-3</v>
      </c>
      <c r="AA11" s="27">
        <f t="shared" si="10"/>
        <v>2.9069400861140432E-2</v>
      </c>
      <c r="AB11" s="27">
        <f t="shared" si="11"/>
        <v>1.1819066600608427E-3</v>
      </c>
      <c r="AC11" s="36">
        <v>2.0602285395347728E-2</v>
      </c>
      <c r="AD11" s="36">
        <v>0.66512257473350234</v>
      </c>
      <c r="AE11" s="36">
        <v>0.21926785293495851</v>
      </c>
      <c r="AF11" s="27">
        <f t="shared" si="12"/>
        <v>9.1020039826639754E-3</v>
      </c>
      <c r="AG11" s="36">
        <v>2.6908504761699127E-2</v>
      </c>
      <c r="AH11" s="36">
        <v>0.6321219940652929</v>
      </c>
      <c r="AI11" s="30">
        <v>0.19119501162729161</v>
      </c>
      <c r="AJ11" s="30">
        <v>1.9420378735286885E-2</v>
      </c>
      <c r="AK11" s="31">
        <f t="shared" si="13"/>
        <v>2.033109350313185E-2</v>
      </c>
      <c r="AL11" s="30">
        <v>0.63846127504848593</v>
      </c>
      <c r="AM11" s="30">
        <v>0.21016584895229454</v>
      </c>
      <c r="AN11" s="30">
        <v>2.4742949768979727E-2</v>
      </c>
      <c r="AO11" s="30">
        <v>0.63216710286874844</v>
      </c>
    </row>
    <row r="12" spans="1:41" x14ac:dyDescent="0.25">
      <c r="A12" s="25">
        <v>2017</v>
      </c>
      <c r="B12" s="34">
        <v>1.1462157071783938</v>
      </c>
      <c r="C12" s="26">
        <v>1.0828780637489932</v>
      </c>
      <c r="D12" s="26">
        <f t="shared" si="2"/>
        <v>6.3337643429400625E-2</v>
      </c>
      <c r="E12" s="26">
        <f t="shared" si="7"/>
        <v>-0.11518411773170434</v>
      </c>
      <c r="F12" s="34">
        <v>1.3674960439577917</v>
      </c>
      <c r="G12" s="33">
        <v>0.21235003417609696</v>
      </c>
      <c r="H12" s="26">
        <v>1.2548134036450034</v>
      </c>
      <c r="I12" s="28">
        <f t="shared" si="0"/>
        <v>0.1126826403127883</v>
      </c>
      <c r="J12" s="29">
        <f t="shared" si="8"/>
        <v>8.9800316115101933E-2</v>
      </c>
      <c r="K12" s="28">
        <f t="shared" si="9"/>
        <v>-0.13381980866273824</v>
      </c>
      <c r="L12" s="28">
        <f t="shared" si="1"/>
        <v>0.56208874103043593</v>
      </c>
      <c r="M12" s="34">
        <v>0.8673444921632778</v>
      </c>
      <c r="N12" s="34">
        <v>0.91307025574058864</v>
      </c>
      <c r="O12" s="26">
        <f t="shared" si="3"/>
        <v>-4.5725763577310841E-2</v>
      </c>
      <c r="P12" s="36">
        <v>5.8490097407755876E-2</v>
      </c>
      <c r="Q12" s="36">
        <v>8.9800316115101933E-2</v>
      </c>
      <c r="R12" s="27">
        <v>-5.0079129497239847E-2</v>
      </c>
      <c r="S12" s="26">
        <f t="shared" si="14"/>
        <v>-0.22128033677939785</v>
      </c>
      <c r="T12" s="26">
        <f t="shared" si="4"/>
        <v>4.896498744520373E-2</v>
      </c>
      <c r="U12" s="26">
        <v>-0.17193533989601018</v>
      </c>
      <c r="V12" s="26">
        <v>-0.50015155179451387</v>
      </c>
      <c r="W12" s="26">
        <v>0.27887121501511603</v>
      </c>
      <c r="X12" s="36">
        <v>0.19689860211788446</v>
      </c>
      <c r="Y12" s="33">
        <f t="shared" si="5"/>
        <v>0.21235003417609696</v>
      </c>
      <c r="Z12" s="27">
        <f t="shared" si="6"/>
        <v>2.362419178806946E-3</v>
      </c>
      <c r="AA12" s="27">
        <f t="shared" si="10"/>
        <v>3.3411713117859065E-3</v>
      </c>
      <c r="AB12" s="27">
        <f t="shared" si="11"/>
        <v>-3.0035806998688387E-3</v>
      </c>
      <c r="AC12" s="36">
        <v>1.7598704695478889E-2</v>
      </c>
      <c r="AD12" s="36">
        <v>0.67027110992315775</v>
      </c>
      <c r="AE12" s="36">
        <v>0.24067479387537924</v>
      </c>
      <c r="AF12" s="27">
        <f t="shared" si="12"/>
        <v>2.1406940940420727E-2</v>
      </c>
      <c r="AG12" s="36">
        <v>2.5664239690694726E-2</v>
      </c>
      <c r="AH12" s="36">
        <v>0.61996010893664033</v>
      </c>
      <c r="AI12" s="30">
        <v>0.19453618293907751</v>
      </c>
      <c r="AJ12" s="30">
        <v>2.0602285395347728E-2</v>
      </c>
      <c r="AK12" s="31">
        <f t="shared" si="13"/>
        <v>1.9420378735286885E-2</v>
      </c>
      <c r="AL12" s="30">
        <v>0.66512257473350234</v>
      </c>
      <c r="AM12" s="30">
        <v>0.21926785293495851</v>
      </c>
      <c r="AN12" s="30">
        <v>2.6908504761699127E-2</v>
      </c>
      <c r="AO12" s="30">
        <v>0.6321219940652929</v>
      </c>
    </row>
    <row r="13" spans="1:41" x14ac:dyDescent="0.25">
      <c r="A13" s="25">
        <v>2018</v>
      </c>
      <c r="B13" s="34">
        <v>1.2425686845973141</v>
      </c>
      <c r="C13" s="26">
        <v>1.1462157071783938</v>
      </c>
      <c r="D13" s="26">
        <f t="shared" si="2"/>
        <v>9.6352977418920238E-2</v>
      </c>
      <c r="E13" s="26">
        <f t="shared" si="7"/>
        <v>6.3337643429400625E-2</v>
      </c>
      <c r="F13" s="34">
        <v>1.553181924295481</v>
      </c>
      <c r="G13" s="33">
        <v>-3.3634030785130945E-3</v>
      </c>
      <c r="H13" s="26">
        <v>1.3674960439577917</v>
      </c>
      <c r="I13" s="28">
        <f t="shared" si="0"/>
        <v>0.18568588033768929</v>
      </c>
      <c r="J13" s="29">
        <f t="shared" si="8"/>
        <v>0.13578531444981684</v>
      </c>
      <c r="K13" s="28">
        <f t="shared" si="9"/>
        <v>0.1126826403127883</v>
      </c>
      <c r="L13" s="28">
        <f t="shared" si="1"/>
        <v>0.51890309184355976</v>
      </c>
      <c r="M13" s="34">
        <v>1.1635182257888796</v>
      </c>
      <c r="N13" s="34">
        <v>0.8673444921632778</v>
      </c>
      <c r="O13" s="26">
        <f t="shared" si="3"/>
        <v>0.29617373362560184</v>
      </c>
      <c r="P13" s="36">
        <v>8.4061819093466841E-2</v>
      </c>
      <c r="Q13" s="36">
        <v>0.13578531444981679</v>
      </c>
      <c r="R13" s="27">
        <v>0.3414718561097948</v>
      </c>
      <c r="S13" s="26">
        <f t="shared" si="14"/>
        <v>-0.3106132396981669</v>
      </c>
      <c r="T13" s="26">
        <f t="shared" si="4"/>
        <v>9.648058467579089E-2</v>
      </c>
      <c r="U13" s="26">
        <v>-0.22128033677939785</v>
      </c>
      <c r="V13" s="26">
        <v>-0.38966369850660132</v>
      </c>
      <c r="W13" s="26">
        <v>7.9050458808434421E-2</v>
      </c>
      <c r="X13" s="36">
        <v>0.19684515596176005</v>
      </c>
      <c r="Y13" s="33">
        <f t="shared" si="5"/>
        <v>-3.3634030785130945E-3</v>
      </c>
      <c r="Z13" s="27">
        <f t="shared" si="6"/>
        <v>-5.3446156124403732E-5</v>
      </c>
      <c r="AA13" s="27">
        <f t="shared" si="10"/>
        <v>2.362419178806946E-3</v>
      </c>
      <c r="AB13" s="27">
        <f t="shared" si="11"/>
        <v>9.3829140238606279E-4</v>
      </c>
      <c r="AC13" s="36">
        <v>1.8536996097864952E-2</v>
      </c>
      <c r="AD13" s="36">
        <v>0.60149384016577889</v>
      </c>
      <c r="AE13" s="36">
        <v>0.22115558304393437</v>
      </c>
      <c r="AF13" s="27">
        <f t="shared" si="12"/>
        <v>-1.9519210831444866E-2</v>
      </c>
      <c r="AG13" s="36">
        <v>2.6032414907017781E-2</v>
      </c>
      <c r="AH13" s="36">
        <v>0.6327864137689112</v>
      </c>
      <c r="AI13" s="30">
        <v>0.19689860211788446</v>
      </c>
      <c r="AJ13" s="30">
        <v>1.7598704695478889E-2</v>
      </c>
      <c r="AK13" s="31">
        <f t="shared" si="13"/>
        <v>2.0602285395347728E-2</v>
      </c>
      <c r="AL13" s="30">
        <v>0.67027110992315775</v>
      </c>
      <c r="AM13" s="30">
        <v>0.24067479387537924</v>
      </c>
      <c r="AN13" s="30">
        <v>2.5664239690694726E-2</v>
      </c>
      <c r="AO13" s="30">
        <v>0.61996010893664033</v>
      </c>
    </row>
    <row r="14" spans="1:41" x14ac:dyDescent="0.25">
      <c r="A14" s="25">
        <v>2019</v>
      </c>
      <c r="B14" s="34">
        <v>1.275044927553572</v>
      </c>
      <c r="C14" s="26">
        <v>1.2425686845973141</v>
      </c>
      <c r="D14" s="26">
        <f t="shared" si="2"/>
        <v>3.247624295625795E-2</v>
      </c>
      <c r="E14" s="26">
        <f t="shared" si="7"/>
        <v>9.6352977418920238E-2</v>
      </c>
      <c r="F14" s="34">
        <v>1.4790882876505553</v>
      </c>
      <c r="G14" s="33">
        <v>-1.7835484316652674</v>
      </c>
      <c r="H14" s="26">
        <v>1.553181924295481</v>
      </c>
      <c r="I14" s="28">
        <f t="shared" si="0"/>
        <v>-7.4093636644925631E-2</v>
      </c>
      <c r="J14" s="29">
        <f t="shared" si="8"/>
        <v>-4.770441600299611E-2</v>
      </c>
      <c r="K14" s="28">
        <f t="shared" si="9"/>
        <v>0.18568588033768929</v>
      </c>
      <c r="L14" s="28">
        <f t="shared" si="1"/>
        <v>-0.43831352362810655</v>
      </c>
      <c r="M14" s="34">
        <v>1.1890782308122629</v>
      </c>
      <c r="N14" s="34">
        <v>1.1635182257888796</v>
      </c>
      <c r="O14" s="26">
        <f t="shared" si="3"/>
        <v>2.5560005023383292E-2</v>
      </c>
      <c r="P14" s="36">
        <v>2.6136376490755328E-2</v>
      </c>
      <c r="Q14" s="36">
        <v>-4.7704416002996179E-2</v>
      </c>
      <c r="R14" s="27">
        <v>2.1967859597603893E-2</v>
      </c>
      <c r="S14" s="26">
        <f t="shared" si="14"/>
        <v>-0.20404336009698332</v>
      </c>
      <c r="T14" s="26">
        <f t="shared" si="4"/>
        <v>4.16336927996672E-2</v>
      </c>
      <c r="U14" s="26">
        <v>-0.3106132396981669</v>
      </c>
      <c r="V14" s="26">
        <v>-0.2900100568382924</v>
      </c>
      <c r="W14" s="26">
        <v>8.5966696741309079E-2</v>
      </c>
      <c r="X14" s="36">
        <v>0.18799223999775072</v>
      </c>
      <c r="Y14" s="33">
        <f t="shared" si="5"/>
        <v>-1.7835484316652674</v>
      </c>
      <c r="Z14" s="27">
        <f t="shared" si="6"/>
        <v>-8.8529159640093336E-3</v>
      </c>
      <c r="AA14" s="27">
        <f t="shared" si="10"/>
        <v>-5.3446156124403732E-5</v>
      </c>
      <c r="AB14" s="27">
        <f t="shared" si="11"/>
        <v>3.0697742229380404E-3</v>
      </c>
      <c r="AC14" s="36">
        <v>2.1606770320802993E-2</v>
      </c>
      <c r="AD14" s="36">
        <v>0.62924733601372063</v>
      </c>
      <c r="AE14" s="36">
        <v>0.21065042310910709</v>
      </c>
      <c r="AF14" s="27">
        <f t="shared" si="12"/>
        <v>-1.0505159934827285E-2</v>
      </c>
      <c r="AG14" s="36">
        <v>2.8085417144676834E-2</v>
      </c>
      <c r="AH14" s="36">
        <v>0.65754993490001901</v>
      </c>
      <c r="AI14" s="30">
        <v>0.19684515596176005</v>
      </c>
      <c r="AJ14" s="30">
        <v>1.8536996097864952E-2</v>
      </c>
      <c r="AK14" s="31">
        <f t="shared" si="13"/>
        <v>1.7598704695478889E-2</v>
      </c>
      <c r="AL14" s="30">
        <v>0.60149384016577889</v>
      </c>
      <c r="AM14" s="30">
        <v>0.22115558304393437</v>
      </c>
      <c r="AN14" s="30">
        <v>2.6032414907017781E-2</v>
      </c>
      <c r="AO14" s="30">
        <v>0.6327864137689112</v>
      </c>
    </row>
    <row r="15" spans="1:41" x14ac:dyDescent="0.25">
      <c r="A15" s="25">
        <v>2020</v>
      </c>
      <c r="B15" s="34">
        <v>1.1567565389405818</v>
      </c>
      <c r="C15" s="26">
        <v>1.275044927553572</v>
      </c>
      <c r="D15" s="26">
        <f t="shared" si="2"/>
        <v>-0.11828838861299018</v>
      </c>
      <c r="E15" s="26">
        <f t="shared" si="7"/>
        <v>3.247624295625795E-2</v>
      </c>
      <c r="F15" s="34">
        <v>1.4372072603089339</v>
      </c>
      <c r="G15" s="33">
        <v>-1.2777355955409573</v>
      </c>
      <c r="H15" s="26">
        <v>1.4790882876505553</v>
      </c>
      <c r="I15" s="28">
        <f t="shared" si="0"/>
        <v>-4.1881027341621468E-2</v>
      </c>
      <c r="J15" s="29">
        <f t="shared" si="8"/>
        <v>-2.8315434373526828E-2</v>
      </c>
      <c r="K15" s="28">
        <f t="shared" si="9"/>
        <v>-7.4093636644925631E-2</v>
      </c>
      <c r="L15" s="28">
        <f t="shared" si="1"/>
        <v>2.824390807038176</v>
      </c>
      <c r="M15" s="34">
        <v>1.1710447955952323</v>
      </c>
      <c r="N15" s="34">
        <v>1.1890782308122629</v>
      </c>
      <c r="O15" s="26">
        <f t="shared" si="3"/>
        <v>-1.8033435217030602E-2</v>
      </c>
      <c r="P15" s="36">
        <v>-9.2771937722971112E-2</v>
      </c>
      <c r="Q15" s="36">
        <v>-2.8315434373526759E-2</v>
      </c>
      <c r="R15" s="27">
        <v>-1.516589468189314E-2</v>
      </c>
      <c r="S15" s="26">
        <f t="shared" si="14"/>
        <v>-0.28045072136835203</v>
      </c>
      <c r="T15" s="26">
        <f t="shared" si="4"/>
        <v>7.8652607116029019E-2</v>
      </c>
      <c r="U15" s="26">
        <v>-0.20404336009698332</v>
      </c>
      <c r="V15" s="26">
        <v>-0.26616246471370153</v>
      </c>
      <c r="W15" s="26">
        <v>-1.42882566546505E-2</v>
      </c>
      <c r="X15" s="36">
        <v>0.21289579682353266</v>
      </c>
      <c r="Y15" s="33">
        <f t="shared" si="5"/>
        <v>-1.2777355955409573</v>
      </c>
      <c r="Z15" s="27">
        <f t="shared" si="6"/>
        <v>2.4903556825781936E-2</v>
      </c>
      <c r="AA15" s="27">
        <f t="shared" si="10"/>
        <v>-8.8529159640093336E-3</v>
      </c>
      <c r="AB15" s="27">
        <f t="shared" si="11"/>
        <v>8.5918735790401109E-3</v>
      </c>
      <c r="AC15" s="36">
        <v>3.0198643899843104E-2</v>
      </c>
      <c r="AD15" s="36">
        <v>0.57658112286561025</v>
      </c>
      <c r="AE15" s="36">
        <v>0.22447203085518427</v>
      </c>
      <c r="AF15" s="27">
        <f t="shared" si="12"/>
        <v>1.3821607746077186E-2</v>
      </c>
      <c r="AG15" s="36">
        <v>3.9560341205976512E-2</v>
      </c>
      <c r="AH15" s="36">
        <v>0.61544197509722953</v>
      </c>
      <c r="AI15" s="30">
        <v>0.18799223999775072</v>
      </c>
      <c r="AJ15" s="30">
        <v>2.1606770320802993E-2</v>
      </c>
      <c r="AK15" s="31">
        <f t="shared" si="13"/>
        <v>1.8536996097864952E-2</v>
      </c>
      <c r="AL15" s="30">
        <v>0.62924733601372063</v>
      </c>
      <c r="AM15" s="30">
        <v>0.21065042310910709</v>
      </c>
      <c r="AN15" s="30">
        <v>2.8085417144676834E-2</v>
      </c>
      <c r="AO15" s="30">
        <v>0.65754993490001901</v>
      </c>
    </row>
    <row r="16" spans="1:41" x14ac:dyDescent="0.25">
      <c r="A16" s="25">
        <v>2021</v>
      </c>
      <c r="B16" s="34">
        <v>1.1102033176172053</v>
      </c>
      <c r="C16" s="26">
        <v>1.1567565389405818</v>
      </c>
      <c r="D16" s="26">
        <f t="shared" si="2"/>
        <v>-4.6553221323376581E-2</v>
      </c>
      <c r="E16" s="26">
        <f t="shared" si="7"/>
        <v>-0.11828838861299018</v>
      </c>
      <c r="F16" s="34">
        <v>1.5225374564899359</v>
      </c>
      <c r="G16" s="33">
        <v>-0.45077109043415248</v>
      </c>
      <c r="H16" s="26">
        <v>1.4372072603089339</v>
      </c>
      <c r="I16" s="28">
        <f t="shared" si="0"/>
        <v>8.5330196181002016E-2</v>
      </c>
      <c r="J16" s="29">
        <f t="shared" si="8"/>
        <v>5.9372227331122671E-2</v>
      </c>
      <c r="K16" s="28">
        <f t="shared" si="9"/>
        <v>-4.1881027341621468E-2</v>
      </c>
      <c r="L16" s="28">
        <f t="shared" si="1"/>
        <v>-0.54556561928708225</v>
      </c>
      <c r="M16" s="34">
        <v>1.1152248334167891</v>
      </c>
      <c r="N16" s="34">
        <v>1.1710447955952323</v>
      </c>
      <c r="O16" s="26">
        <f t="shared" si="3"/>
        <v>-5.5819962178443205E-2</v>
      </c>
      <c r="P16" s="36">
        <v>-4.0244614796828747E-2</v>
      </c>
      <c r="Q16" s="36">
        <v>5.9372227331122712E-2</v>
      </c>
      <c r="R16" s="27">
        <v>-4.7666803514608835E-2</v>
      </c>
      <c r="S16" s="26">
        <f t="shared" si="14"/>
        <v>-0.41233413887273063</v>
      </c>
      <c r="T16" s="26">
        <f t="shared" si="4"/>
        <v>0.17001944207991632</v>
      </c>
      <c r="U16" s="26">
        <v>-0.28045072136835203</v>
      </c>
      <c r="V16" s="26">
        <v>-0.40731262307314675</v>
      </c>
      <c r="W16" s="26">
        <v>-5.0215157995838755E-3</v>
      </c>
      <c r="X16" s="36">
        <v>0.21687455059137928</v>
      </c>
      <c r="Y16" s="33">
        <f t="shared" si="5"/>
        <v>-0.45077109043415248</v>
      </c>
      <c r="Z16" s="27">
        <f t="shared" si="6"/>
        <v>3.9787537678466212E-3</v>
      </c>
      <c r="AA16" s="27">
        <f t="shared" si="10"/>
        <v>2.4903556825781936E-2</v>
      </c>
      <c r="AB16" s="27">
        <f t="shared" si="11"/>
        <v>-7.7517095035935062E-3</v>
      </c>
      <c r="AC16" s="36">
        <v>2.2446934396249597E-2</v>
      </c>
      <c r="AD16" s="36">
        <v>0.60379796286964749</v>
      </c>
      <c r="AE16" s="36">
        <v>0.22330057343431939</v>
      </c>
      <c r="AF16" s="27">
        <f t="shared" si="12"/>
        <v>-1.1714574208648854E-3</v>
      </c>
      <c r="AG16" s="36">
        <v>3.1695948190861245E-2</v>
      </c>
      <c r="AH16" s="36">
        <v>0.62450051429202313</v>
      </c>
      <c r="AI16" s="30">
        <v>0.21289579682353266</v>
      </c>
      <c r="AJ16" s="30">
        <v>3.0198643899843104E-2</v>
      </c>
      <c r="AK16" s="31">
        <f t="shared" si="13"/>
        <v>2.1606770320802993E-2</v>
      </c>
      <c r="AL16" s="30">
        <v>0.57658112286561025</v>
      </c>
      <c r="AM16" s="30">
        <v>0.22447203085518427</v>
      </c>
      <c r="AN16" s="30">
        <v>3.9560341205976512E-2</v>
      </c>
      <c r="AO16" s="30">
        <v>0.61544197509722953</v>
      </c>
    </row>
    <row r="17" spans="1:41" x14ac:dyDescent="0.25">
      <c r="A17" s="25">
        <v>2022</v>
      </c>
      <c r="B17" s="34">
        <v>1.3012022440131883</v>
      </c>
      <c r="C17" s="26">
        <v>1.1102033176172053</v>
      </c>
      <c r="D17" s="26">
        <f t="shared" si="2"/>
        <v>0.19099892639598304</v>
      </c>
      <c r="E17" s="26">
        <f t="shared" si="7"/>
        <v>-4.6553221323376581E-2</v>
      </c>
      <c r="F17" s="34">
        <v>1.8070479232908885</v>
      </c>
      <c r="G17" s="33">
        <v>6.0099204719249545E-2</v>
      </c>
      <c r="H17" s="26">
        <v>1.5225374564899359</v>
      </c>
      <c r="I17" s="28">
        <f t="shared" si="0"/>
        <v>0.2845104668009526</v>
      </c>
      <c r="J17" s="29">
        <f t="shared" si="8"/>
        <v>0.18686598847746197</v>
      </c>
      <c r="K17" s="28">
        <f t="shared" si="9"/>
        <v>8.5330196181002016E-2</v>
      </c>
      <c r="L17" s="28">
        <f t="shared" si="1"/>
        <v>0.67132477951894998</v>
      </c>
      <c r="M17" s="34">
        <v>1.0789282902822062</v>
      </c>
      <c r="N17" s="34">
        <v>1.1152248334167891</v>
      </c>
      <c r="O17" s="26">
        <f t="shared" si="3"/>
        <v>-3.629654313458297E-2</v>
      </c>
      <c r="P17" s="36">
        <v>0.17203959253690385</v>
      </c>
      <c r="Q17" s="36">
        <v>0.18686598847746189</v>
      </c>
      <c r="R17" s="27">
        <v>-3.2546390689112269E-2</v>
      </c>
      <c r="S17" s="26">
        <f t="shared" si="14"/>
        <v>-0.50584567927770019</v>
      </c>
      <c r="T17" s="26">
        <f t="shared" si="4"/>
        <v>0.25587985124391793</v>
      </c>
      <c r="U17" s="26">
        <v>-0.41233413887273063</v>
      </c>
      <c r="V17" s="26">
        <v>-0.72811963300868232</v>
      </c>
      <c r="W17" s="26">
        <v>0.22227395373098213</v>
      </c>
      <c r="X17" s="36">
        <v>0.2189535386781809</v>
      </c>
      <c r="Y17" s="33">
        <f t="shared" si="5"/>
        <v>6.0099204719249545E-2</v>
      </c>
      <c r="Z17" s="27">
        <f t="shared" si="6"/>
        <v>2.0789880868016253E-3</v>
      </c>
      <c r="AA17" s="27">
        <f t="shared" si="10"/>
        <v>3.9787537678466212E-3</v>
      </c>
      <c r="AB17" s="27">
        <f t="shared" si="11"/>
        <v>-5.3989291707293788E-3</v>
      </c>
      <c r="AC17" s="36">
        <v>1.7048005225520219E-2</v>
      </c>
      <c r="AD17" s="36">
        <v>0.59914661147069548</v>
      </c>
      <c r="AE17" s="36">
        <v>0.25579440550022997</v>
      </c>
      <c r="AF17" s="27">
        <f t="shared" si="12"/>
        <v>3.2493832065910583E-2</v>
      </c>
      <c r="AG17" s="36">
        <v>2.765906594343354E-2</v>
      </c>
      <c r="AH17" s="36">
        <v>0.58039004921314763</v>
      </c>
      <c r="AI17" s="30">
        <v>0.21687455059137928</v>
      </c>
      <c r="AJ17" s="30">
        <v>2.2446934396249597E-2</v>
      </c>
      <c r="AK17" s="31">
        <f t="shared" si="13"/>
        <v>3.0198643899843104E-2</v>
      </c>
      <c r="AL17" s="30">
        <v>0.60379796286964749</v>
      </c>
      <c r="AM17" s="30">
        <v>0.22330057343431939</v>
      </c>
      <c r="AN17" s="30">
        <v>3.1695948190861245E-2</v>
      </c>
      <c r="AO17" s="30">
        <v>0.62450051429202313</v>
      </c>
    </row>
    <row r="18" spans="1:41" x14ac:dyDescent="0.25">
      <c r="A18" s="25">
        <v>2023</v>
      </c>
      <c r="B18" s="34">
        <v>1.3052328235976229</v>
      </c>
      <c r="C18" s="26">
        <v>1.3012022440131883</v>
      </c>
      <c r="D18" s="26">
        <f t="shared" si="2"/>
        <v>4.0305795844346459E-3</v>
      </c>
      <c r="E18" s="26">
        <f t="shared" si="7"/>
        <v>0.19099892639598304</v>
      </c>
      <c r="F18" s="34">
        <v>1.7693430091841806</v>
      </c>
      <c r="G18" s="33">
        <v>4.5569956596351284</v>
      </c>
      <c r="H18" s="26">
        <v>1.8070479232908885</v>
      </c>
      <c r="I18" s="28">
        <f t="shared" si="0"/>
        <v>-3.7704914106707843E-2</v>
      </c>
      <c r="J18" s="29">
        <f t="shared" si="8"/>
        <v>-2.0865475464558733E-2</v>
      </c>
      <c r="K18" s="28">
        <f t="shared" si="9"/>
        <v>0.2845104668009526</v>
      </c>
      <c r="L18" s="28">
        <f t="shared" si="1"/>
        <v>-0.10689799141373965</v>
      </c>
      <c r="M18" s="34">
        <v>0.98091474613668395</v>
      </c>
      <c r="N18" s="34">
        <v>1.0789282902822062</v>
      </c>
      <c r="O18" s="26">
        <f t="shared" si="3"/>
        <v>-9.8013544145522213E-2</v>
      </c>
      <c r="P18" s="36">
        <v>3.0975811815414792E-3</v>
      </c>
      <c r="Q18" s="36">
        <v>-2.0865475464558744E-2</v>
      </c>
      <c r="R18" s="27">
        <v>-9.0843427712777494E-2</v>
      </c>
      <c r="S18" s="26">
        <f t="shared" si="14"/>
        <v>-0.4641101855865577</v>
      </c>
      <c r="T18" s="26">
        <f t="shared" si="4"/>
        <v>0.21539826436518902</v>
      </c>
      <c r="U18" s="26">
        <v>-0.50584567927770019</v>
      </c>
      <c r="V18" s="26">
        <v>-0.78842826304749669</v>
      </c>
      <c r="W18" s="26">
        <v>0.32431807746093899</v>
      </c>
      <c r="X18" s="36">
        <v>0.22206128492339386</v>
      </c>
      <c r="Y18" s="33">
        <f t="shared" si="5"/>
        <v>4.5569956596351284</v>
      </c>
      <c r="Z18" s="27">
        <f t="shared" si="6"/>
        <v>3.1077462452129556E-3</v>
      </c>
      <c r="AA18" s="27">
        <f t="shared" si="10"/>
        <v>2.0789880868016253E-3</v>
      </c>
      <c r="AB18" s="27">
        <f t="shared" si="11"/>
        <v>2.7007716510086856E-3</v>
      </c>
      <c r="AC18" s="36">
        <v>1.9748776876528904E-2</v>
      </c>
      <c r="AD18" s="36">
        <v>0.58753138277327155</v>
      </c>
      <c r="AE18" s="36">
        <v>0.26988482527014518</v>
      </c>
      <c r="AF18" s="27">
        <f t="shared" si="12"/>
        <v>1.4090419769915208E-2</v>
      </c>
      <c r="AG18" s="36">
        <v>3.253642772530909E-2</v>
      </c>
      <c r="AH18" s="36">
        <v>0.53663619758085257</v>
      </c>
      <c r="AI18" s="30">
        <v>0.2189535386781809</v>
      </c>
      <c r="AJ18" s="30">
        <v>1.7048005225520219E-2</v>
      </c>
      <c r="AK18" s="31">
        <f t="shared" si="13"/>
        <v>2.2446934396249597E-2</v>
      </c>
      <c r="AL18" s="30">
        <v>0.59914661147069548</v>
      </c>
      <c r="AM18" s="30">
        <v>0.25579440550022997</v>
      </c>
      <c r="AN18" s="30">
        <v>2.765906594343354E-2</v>
      </c>
      <c r="AO18" s="30">
        <v>0.58039004921314763</v>
      </c>
    </row>
    <row r="20" spans="1:41" ht="13.8" thickBot="1" x14ac:dyDescent="0.3">
      <c r="F20" s="6"/>
      <c r="I20" s="7"/>
      <c r="P20" s="8"/>
      <c r="Q20" s="9"/>
      <c r="R20" s="9"/>
    </row>
    <row r="21" spans="1:41" ht="13.8" thickBot="1" x14ac:dyDescent="0.3">
      <c r="F21" s="6"/>
      <c r="M21" s="10"/>
      <c r="N21" s="11"/>
      <c r="O21" s="11"/>
      <c r="P21" s="12"/>
      <c r="Q21" s="8"/>
      <c r="R21" s="8"/>
    </row>
    <row r="22" spans="1:41" x14ac:dyDescent="0.25">
      <c r="C22" s="13"/>
      <c r="D22" s="13"/>
      <c r="E22" s="13"/>
      <c r="F22" s="13"/>
      <c r="G22" s="14"/>
      <c r="H22" s="13"/>
      <c r="I22" s="13"/>
      <c r="J22" s="13"/>
      <c r="K22" s="13"/>
      <c r="L22" s="13"/>
      <c r="M22" s="15"/>
      <c r="N22" s="13"/>
      <c r="O22" s="13"/>
      <c r="P22" s="8"/>
      <c r="Q22" s="8"/>
      <c r="R22" s="8"/>
      <c r="Y22" s="14"/>
      <c r="Z22" s="9"/>
    </row>
    <row r="23" spans="1:41" x14ac:dyDescent="0.25">
      <c r="G23" s="14"/>
      <c r="P23" s="8"/>
      <c r="Q23" s="8"/>
      <c r="R23" s="8"/>
      <c r="Y23" s="14"/>
    </row>
    <row r="24" spans="1:41" x14ac:dyDescent="0.25">
      <c r="K24" s="2"/>
    </row>
    <row r="25" spans="1:41" x14ac:dyDescent="0.25">
      <c r="C25" s="2"/>
      <c r="D25" s="2"/>
      <c r="E25" s="2"/>
      <c r="F25" s="4"/>
      <c r="G25" s="9"/>
      <c r="H25" s="4"/>
      <c r="I25" s="16"/>
      <c r="J25" s="16"/>
      <c r="K25" s="4"/>
      <c r="L25" s="17"/>
      <c r="M25" s="7"/>
      <c r="N25" s="18"/>
      <c r="O25" s="2"/>
      <c r="P25" s="4"/>
      <c r="Q25" s="4"/>
      <c r="R25" s="4"/>
      <c r="S25" s="4"/>
      <c r="T25" s="4"/>
      <c r="U25" s="4"/>
      <c r="V25" s="4"/>
      <c r="W25" s="4"/>
      <c r="X25" s="9"/>
      <c r="Y25" s="4"/>
      <c r="Z25" s="4"/>
      <c r="AA25" s="4"/>
      <c r="AB25" s="4"/>
      <c r="AC25" s="3"/>
      <c r="AD25" s="14"/>
    </row>
    <row r="26" spans="1:41" x14ac:dyDescent="0.25">
      <c r="C26" s="2"/>
      <c r="D26" s="2"/>
      <c r="E26" s="5"/>
      <c r="F26" s="19"/>
      <c r="G26" s="4"/>
      <c r="H26" s="4"/>
      <c r="I26" s="16"/>
      <c r="J26" s="16"/>
      <c r="K26" s="4"/>
      <c r="L26" s="17"/>
      <c r="M26" s="7"/>
      <c r="N26" s="7"/>
      <c r="O26" s="2"/>
      <c r="P26" s="4"/>
      <c r="Q26" s="4"/>
      <c r="R26" s="4"/>
      <c r="S26" s="4"/>
      <c r="T26" s="4"/>
      <c r="U26" s="4"/>
      <c r="V26" s="4"/>
      <c r="W26" s="4"/>
      <c r="X26" s="9"/>
      <c r="Y26" s="4"/>
      <c r="Z26" s="4"/>
      <c r="AA26" s="4"/>
      <c r="AB26" s="4"/>
      <c r="AC26" s="3"/>
      <c r="AD26" s="14"/>
    </row>
    <row r="27" spans="1:41" x14ac:dyDescent="0.25">
      <c r="C27" s="2"/>
      <c r="D27" s="2"/>
      <c r="E27" s="2"/>
      <c r="F27" s="4"/>
      <c r="G27" s="4"/>
      <c r="H27" s="20"/>
      <c r="I27" s="21"/>
      <c r="J27" s="16"/>
      <c r="K27" s="4"/>
      <c r="L27" s="17"/>
      <c r="M27" s="7"/>
      <c r="N27" s="7"/>
      <c r="O27" s="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4"/>
      <c r="AD27" s="14"/>
    </row>
    <row r="28" spans="1:41" x14ac:dyDescent="0.25">
      <c r="C28" s="2"/>
      <c r="D28" s="2"/>
      <c r="E28" s="2"/>
      <c r="F28" s="19"/>
      <c r="G28" s="4"/>
      <c r="H28" s="22"/>
      <c r="I28" s="23"/>
      <c r="J28" s="16"/>
      <c r="K28" s="4"/>
      <c r="L28" s="17"/>
      <c r="M28" s="7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4"/>
      <c r="AD28" s="14"/>
    </row>
    <row r="29" spans="1:41" x14ac:dyDescent="0.25">
      <c r="C29" s="2"/>
      <c r="D29" s="2"/>
      <c r="E29" s="5"/>
      <c r="F29" s="4"/>
      <c r="G29" s="4"/>
      <c r="H29" s="4"/>
      <c r="I29" s="16"/>
      <c r="J29" s="16"/>
      <c r="K29" s="4"/>
      <c r="L29" s="17"/>
      <c r="M29" s="7"/>
      <c r="N29" s="2"/>
      <c r="O29" s="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4"/>
      <c r="AD29" s="14"/>
    </row>
    <row r="30" spans="1:41" x14ac:dyDescent="0.25">
      <c r="C30" s="2"/>
      <c r="D30" s="2"/>
      <c r="E30" s="2"/>
      <c r="F30" s="4"/>
      <c r="G30" s="4"/>
      <c r="H30" s="4"/>
      <c r="I30" s="16"/>
      <c r="J30" s="16"/>
      <c r="K30" s="4"/>
      <c r="L30" s="17"/>
      <c r="M30" s="7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4"/>
      <c r="AD30" s="14"/>
    </row>
    <row r="31" spans="1:41" x14ac:dyDescent="0.25">
      <c r="C31" s="2"/>
      <c r="D31" s="2"/>
      <c r="E31" s="2"/>
      <c r="F31" s="19"/>
      <c r="G31" s="4"/>
      <c r="H31" s="22"/>
      <c r="I31" s="23"/>
      <c r="J31" s="16"/>
      <c r="K31" s="4"/>
      <c r="L31" s="17"/>
      <c r="M31" s="7"/>
      <c r="N31" s="2"/>
      <c r="O31" s="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4"/>
      <c r="AD31" s="14"/>
    </row>
    <row r="32" spans="1:41" x14ac:dyDescent="0.25">
      <c r="C32" s="2"/>
      <c r="D32" s="2"/>
      <c r="E32" s="5"/>
      <c r="F32" s="4"/>
      <c r="G32" s="4"/>
      <c r="H32" s="20"/>
      <c r="I32" s="21"/>
      <c r="J32" s="16"/>
      <c r="K32" s="4"/>
      <c r="L32" s="17"/>
      <c r="M32" s="7"/>
      <c r="N32" s="2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4"/>
      <c r="AD32" s="14"/>
    </row>
    <row r="33" spans="3:30" x14ac:dyDescent="0.25">
      <c r="C33" s="2"/>
      <c r="D33" s="2"/>
      <c r="E33" s="2"/>
      <c r="F33" s="4"/>
      <c r="G33" s="4"/>
      <c r="H33" s="4"/>
      <c r="I33" s="16"/>
      <c r="J33" s="16"/>
      <c r="K33" s="4"/>
      <c r="L33" s="17"/>
      <c r="M33" s="7"/>
      <c r="N33" s="2"/>
      <c r="O33" s="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4"/>
      <c r="AD33" s="14"/>
    </row>
    <row r="34" spans="3:30" x14ac:dyDescent="0.25">
      <c r="E34" s="2"/>
      <c r="F34" s="4"/>
      <c r="H34" s="20"/>
      <c r="I34" s="21"/>
      <c r="J34" s="16"/>
      <c r="K34" s="4"/>
      <c r="L34" s="17"/>
      <c r="M34" s="7"/>
    </row>
    <row r="35" spans="3:30" x14ac:dyDescent="0.25">
      <c r="E35" s="2"/>
      <c r="F35" s="4"/>
      <c r="H35" s="20"/>
      <c r="I35" s="21"/>
      <c r="J35" s="16"/>
      <c r="K35" s="4"/>
      <c r="L35" s="17"/>
      <c r="M35" s="7"/>
    </row>
    <row r="36" spans="3:30" x14ac:dyDescent="0.25">
      <c r="E36" s="2"/>
      <c r="F36" s="4"/>
      <c r="H36" s="20"/>
      <c r="I36" s="21"/>
      <c r="J36" s="16"/>
      <c r="K36" s="4"/>
      <c r="L36" s="17"/>
      <c r="M36" s="7"/>
    </row>
    <row r="37" spans="3:30" x14ac:dyDescent="0.25">
      <c r="E37" s="2"/>
      <c r="F37" s="19"/>
      <c r="H37" s="22"/>
      <c r="I37" s="23"/>
      <c r="J37" s="16"/>
      <c r="K37" s="4"/>
      <c r="L37" s="17"/>
      <c r="M37" s="7"/>
    </row>
    <row r="38" spans="3:30" x14ac:dyDescent="0.25">
      <c r="E38" s="2"/>
      <c r="F38" s="19"/>
      <c r="H38" s="22"/>
      <c r="I38" s="23"/>
      <c r="J38" s="16"/>
      <c r="K38" s="4"/>
      <c r="L38" s="17"/>
      <c r="M38" s="7"/>
    </row>
    <row r="39" spans="3:30" x14ac:dyDescent="0.25">
      <c r="E39" s="2"/>
      <c r="F39" s="19"/>
      <c r="H39" s="22"/>
      <c r="I39" s="23"/>
      <c r="J39" s="16"/>
      <c r="K39" s="4"/>
      <c r="L39" s="17"/>
      <c r="M39" s="7"/>
    </row>
    <row r="40" spans="3:30" x14ac:dyDescent="0.25">
      <c r="E40" s="2"/>
      <c r="F40" s="4"/>
      <c r="H40" s="20"/>
      <c r="I40" s="21"/>
      <c r="J40" s="16"/>
      <c r="K40" s="4"/>
      <c r="L40" s="17"/>
      <c r="M40" s="7"/>
    </row>
    <row r="41" spans="3:30" x14ac:dyDescent="0.25">
      <c r="E41" s="2"/>
      <c r="F41" s="4"/>
      <c r="H41" s="22"/>
      <c r="I41" s="23"/>
      <c r="J41" s="16"/>
      <c r="K41" s="4"/>
      <c r="L41" s="17"/>
      <c r="M41" s="7"/>
    </row>
  </sheetData>
  <autoFilter ref="A1:AG1" xr:uid="{EF7651B9-46F9-4F12-B8C1-A9CF0774C7FE}">
    <sortState xmlns:xlrd2="http://schemas.microsoft.com/office/spreadsheetml/2017/richdata2" ref="A2:AG12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FEC-822A-4A35-906F-32EB169669F7}">
  <dimension ref="B1:T38"/>
  <sheetViews>
    <sheetView topLeftCell="A21" zoomScaleNormal="100" workbookViewId="0">
      <selection activeCell="H34" sqref="H34"/>
    </sheetView>
  </sheetViews>
  <sheetFormatPr defaultRowHeight="13.2" x14ac:dyDescent="0.25"/>
  <cols>
    <col min="1" max="1" width="3.5546875" customWidth="1"/>
    <col min="2" max="2" width="17" bestFit="1" customWidth="1"/>
    <col min="3" max="3" width="12.6640625" bestFit="1" customWidth="1"/>
    <col min="4" max="4" width="12" bestFit="1" customWidth="1"/>
    <col min="5" max="5" width="12.6640625" bestFit="1" customWidth="1"/>
    <col min="6" max="6" width="4.5546875" bestFit="1" customWidth="1"/>
    <col min="7" max="7" width="10.109375" bestFit="1" customWidth="1"/>
    <col min="8" max="8" width="7.6640625" bestFit="1" customWidth="1"/>
    <col min="9" max="9" width="12.6640625" bestFit="1" customWidth="1"/>
    <col min="11" max="11" width="4.109375" customWidth="1"/>
    <col min="12" max="12" width="8.109375" bestFit="1" customWidth="1"/>
    <col min="13" max="13" width="7.21875" bestFit="1" customWidth="1"/>
    <col min="14" max="14" width="12" bestFit="1" customWidth="1"/>
    <col min="15" max="15" width="3.5546875" customWidth="1"/>
    <col min="16" max="16" width="2.5546875" customWidth="1"/>
    <col min="17" max="17" width="19.88671875" hidden="1" customWidth="1"/>
    <col min="18" max="18" width="7.5546875" hidden="1" customWidth="1"/>
    <col min="19" max="19" width="12.6640625" hidden="1" customWidth="1"/>
    <col min="20" max="20" width="9.88671875" bestFit="1" customWidth="1"/>
  </cols>
  <sheetData>
    <row r="1" spans="2:20" x14ac:dyDescent="0.25">
      <c r="B1" s="55">
        <v>2024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6"/>
      <c r="P1" s="56"/>
      <c r="Q1" s="56"/>
      <c r="R1" s="56"/>
      <c r="S1" s="57"/>
    </row>
    <row r="2" spans="2:20" x14ac:dyDescent="0.25">
      <c r="B2" s="58" t="s">
        <v>59</v>
      </c>
      <c r="C2">
        <f>C4+(C5*D5)+(C6*D6)</f>
        <v>1.7390682464840603</v>
      </c>
      <c r="G2" s="1" t="s">
        <v>23</v>
      </c>
      <c r="H2" s="59">
        <f>H4+(H5*I5)+(H6*I6)+(H7*I7)</f>
        <v>0.22533974303610416</v>
      </c>
      <c r="L2" s="1" t="s">
        <v>29</v>
      </c>
      <c r="M2" s="59">
        <f>M4+(M5*N5)+(M6*N6)+(M7*N7)</f>
        <v>0.26049252644708537</v>
      </c>
      <c r="N2" s="60"/>
      <c r="P2" s="1"/>
      <c r="Q2" s="1" t="s">
        <v>27</v>
      </c>
      <c r="R2" s="59">
        <f>(R4+R5*S5+R6*S6)*R7</f>
        <v>1.8134501018112169E-2</v>
      </c>
      <c r="S2" s="60"/>
      <c r="T2" s="14"/>
    </row>
    <row r="3" spans="2:20" x14ac:dyDescent="0.25">
      <c r="B3" s="61" t="s">
        <v>60</v>
      </c>
      <c r="C3" t="s">
        <v>61</v>
      </c>
      <c r="D3" t="s">
        <v>62</v>
      </c>
      <c r="G3" t="s">
        <v>60</v>
      </c>
      <c r="H3" t="s">
        <v>61</v>
      </c>
      <c r="I3" t="s">
        <v>62</v>
      </c>
      <c r="L3" t="s">
        <v>60</v>
      </c>
      <c r="M3" t="s">
        <v>61</v>
      </c>
      <c r="N3" s="60" t="s">
        <v>62</v>
      </c>
      <c r="Q3" t="s">
        <v>60</v>
      </c>
      <c r="R3" t="s">
        <v>61</v>
      </c>
      <c r="S3" s="60" t="s">
        <v>62</v>
      </c>
    </row>
    <row r="4" spans="2:20" x14ac:dyDescent="0.25">
      <c r="B4" s="61" t="s">
        <v>63</v>
      </c>
      <c r="C4">
        <v>0.39539999999999997</v>
      </c>
      <c r="G4" t="s">
        <v>63</v>
      </c>
      <c r="H4">
        <v>6.59E-2</v>
      </c>
      <c r="L4" t="s">
        <v>63</v>
      </c>
      <c r="M4">
        <v>1.4800000000000001E-2</v>
      </c>
      <c r="N4" s="60"/>
      <c r="Q4" s="13" t="s">
        <v>63</v>
      </c>
      <c r="R4" s="13">
        <f>0.0188</f>
        <v>1.8800000000000001E-2</v>
      </c>
      <c r="S4" s="60"/>
    </row>
    <row r="5" spans="2:20" x14ac:dyDescent="0.25">
      <c r="B5" s="58" t="s">
        <v>3</v>
      </c>
      <c r="C5">
        <v>0.8609</v>
      </c>
      <c r="D5">
        <v>3.4767176402377142E-2</v>
      </c>
      <c r="G5" t="s">
        <v>33</v>
      </c>
      <c r="H5">
        <v>0.52810000000000001</v>
      </c>
      <c r="I5" s="62">
        <v>0.22206128492339386</v>
      </c>
      <c r="L5" t="s">
        <v>37</v>
      </c>
      <c r="M5">
        <v>0.39579999999999999</v>
      </c>
      <c r="N5" s="63">
        <v>0.26988482527014518</v>
      </c>
      <c r="P5" s="1"/>
      <c r="Q5" s="13" t="s">
        <v>64</v>
      </c>
      <c r="R5" s="6">
        <v>2.3999999999999998E-3</v>
      </c>
      <c r="S5" s="60">
        <f>D5/R10</f>
        <v>-1.1483880731537157</v>
      </c>
    </row>
    <row r="6" spans="2:20" x14ac:dyDescent="0.25">
      <c r="B6" s="61" t="s">
        <v>7</v>
      </c>
      <c r="C6">
        <v>0.74250000000000005</v>
      </c>
      <c r="D6">
        <v>1.76934300918418</v>
      </c>
      <c r="G6" t="s">
        <v>18</v>
      </c>
      <c r="H6">
        <v>-0.1024</v>
      </c>
      <c r="I6">
        <f>1.34-C2</f>
        <v>-0.39906824648406025</v>
      </c>
      <c r="L6" t="s">
        <v>23</v>
      </c>
      <c r="M6">
        <v>0.62590000000000001</v>
      </c>
      <c r="N6" s="63">
        <f>H2</f>
        <v>0.22533974303610416</v>
      </c>
      <c r="Q6" s="13" t="s">
        <v>25</v>
      </c>
      <c r="R6" s="6">
        <v>7.8600000000000003E-2</v>
      </c>
      <c r="S6" s="64">
        <f>R9-R8</f>
        <v>3.1077462452129556E-3</v>
      </c>
    </row>
    <row r="7" spans="2:20" x14ac:dyDescent="0.25">
      <c r="B7" s="61"/>
      <c r="G7" t="s">
        <v>10</v>
      </c>
      <c r="H7">
        <v>-3.4599999999999999E-2</v>
      </c>
      <c r="I7" s="67">
        <v>-3.7704914106707843E-2</v>
      </c>
      <c r="L7" t="s">
        <v>3</v>
      </c>
      <c r="M7">
        <v>5.7500000000000002E-2</v>
      </c>
      <c r="N7" s="65">
        <f>I7</f>
        <v>-3.7704914106707843E-2</v>
      </c>
      <c r="Q7" s="13" t="s">
        <v>65</v>
      </c>
      <c r="R7" s="7">
        <v>1.1133563331690488</v>
      </c>
      <c r="S7" s="60"/>
    </row>
    <row r="8" spans="2:20" x14ac:dyDescent="0.25">
      <c r="B8" s="66"/>
      <c r="I8" s="67"/>
      <c r="N8" s="60"/>
      <c r="Q8" s="13" t="s">
        <v>66</v>
      </c>
      <c r="R8" s="62">
        <v>0.2189535386781809</v>
      </c>
      <c r="S8" s="60"/>
    </row>
    <row r="9" spans="2:20" x14ac:dyDescent="0.25">
      <c r="B9" s="61"/>
      <c r="N9" s="60"/>
      <c r="Q9" s="13" t="s">
        <v>67</v>
      </c>
      <c r="R9" s="62">
        <v>0.22206128492339386</v>
      </c>
      <c r="S9" s="60"/>
    </row>
    <row r="10" spans="2:20" x14ac:dyDescent="0.25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0"/>
      <c r="O10" s="69"/>
      <c r="P10" s="69"/>
      <c r="Q10" s="71" t="s">
        <v>8</v>
      </c>
      <c r="R10" s="72">
        <f>C2-[1]DF3!F18</f>
        <v>-3.0274762700120306E-2</v>
      </c>
      <c r="S10" s="70"/>
    </row>
    <row r="12" spans="2:20" x14ac:dyDescent="0.25">
      <c r="B12" s="55">
        <v>2025</v>
      </c>
      <c r="C12" s="73"/>
      <c r="D12" s="74"/>
      <c r="E12" s="75"/>
      <c r="F12" s="76"/>
      <c r="G12" s="56"/>
      <c r="H12" s="56"/>
      <c r="I12" s="56"/>
      <c r="J12" s="56"/>
      <c r="K12" s="56"/>
      <c r="L12" s="56"/>
      <c r="M12" s="56"/>
      <c r="N12" s="57"/>
      <c r="O12" s="56"/>
      <c r="P12" s="56"/>
      <c r="Q12" s="56"/>
      <c r="R12" s="56"/>
      <c r="S12" s="57"/>
    </row>
    <row r="13" spans="2:20" x14ac:dyDescent="0.25">
      <c r="B13" s="77" t="s">
        <v>68</v>
      </c>
      <c r="C13">
        <f>C15+(C16*D16)+(C17*D17)</f>
        <v>1.6129651330144146</v>
      </c>
      <c r="G13" s="1" t="s">
        <v>23</v>
      </c>
      <c r="H13" s="59">
        <f>H15+(H16*I16)+(H17*I17)+(H18*I18)</f>
        <v>0.20271268503979289</v>
      </c>
      <c r="L13" s="1" t="s">
        <v>29</v>
      </c>
      <c r="M13" s="59">
        <f>M15+(M16*N16)+(M17*N17)+(M18*N18)</f>
        <v>0.24304001267890585</v>
      </c>
      <c r="N13" s="60"/>
      <c r="P13" s="1"/>
      <c r="Q13" s="1" t="s">
        <v>27</v>
      </c>
      <c r="R13" s="59">
        <f>(R15+R16*S16+R17*S17)*R18</f>
        <v>3.5251297292024517E-2</v>
      </c>
      <c r="S13" s="60"/>
    </row>
    <row r="14" spans="2:20" x14ac:dyDescent="0.25">
      <c r="B14" s="61" t="s">
        <v>60</v>
      </c>
      <c r="C14" t="s">
        <v>61</v>
      </c>
      <c r="D14" t="s">
        <v>62</v>
      </c>
      <c r="G14" t="s">
        <v>60</v>
      </c>
      <c r="H14" t="s">
        <v>61</v>
      </c>
      <c r="I14" t="s">
        <v>62</v>
      </c>
      <c r="L14" t="s">
        <v>60</v>
      </c>
      <c r="M14" t="s">
        <v>61</v>
      </c>
      <c r="N14" s="60" t="s">
        <v>62</v>
      </c>
      <c r="Q14" t="s">
        <v>60</v>
      </c>
      <c r="R14" t="s">
        <v>61</v>
      </c>
      <c r="S14" s="60" t="s">
        <v>62</v>
      </c>
    </row>
    <row r="15" spans="2:20" x14ac:dyDescent="0.25">
      <c r="B15" s="61" t="s">
        <v>63</v>
      </c>
      <c r="C15">
        <v>0.39539999999999997</v>
      </c>
      <c r="G15" t="s">
        <v>63</v>
      </c>
      <c r="H15">
        <v>6.59E-2</v>
      </c>
      <c r="L15" t="s">
        <v>63</v>
      </c>
      <c r="M15">
        <v>1.4800000000000001E-2</v>
      </c>
      <c r="N15" s="60"/>
      <c r="Q15" s="13" t="s">
        <v>63</v>
      </c>
      <c r="R15" s="13">
        <f>0.0188</f>
        <v>1.8800000000000001E-2</v>
      </c>
      <c r="S15" s="60"/>
    </row>
    <row r="16" spans="2:20" x14ac:dyDescent="0.25">
      <c r="B16" s="78" t="s">
        <v>69</v>
      </c>
      <c r="C16">
        <v>0.8609</v>
      </c>
      <c r="D16" s="3">
        <v>-8.560000000000012E-2</v>
      </c>
      <c r="G16" t="s">
        <v>33</v>
      </c>
      <c r="H16">
        <v>0.52810000000000001</v>
      </c>
      <c r="I16" s="62">
        <f>H2</f>
        <v>0.22533974303610416</v>
      </c>
      <c r="L16" t="s">
        <v>37</v>
      </c>
      <c r="M16">
        <v>0.39579999999999999</v>
      </c>
      <c r="N16" s="63">
        <f>M2</f>
        <v>0.26049252644708537</v>
      </c>
      <c r="P16" s="1"/>
      <c r="Q16" s="13" t="s">
        <v>64</v>
      </c>
      <c r="R16" s="6">
        <v>2.3999999999999998E-3</v>
      </c>
      <c r="S16" s="60">
        <f>F20/F21</f>
        <v>5.2518754070783551</v>
      </c>
    </row>
    <row r="17" spans="2:19" x14ac:dyDescent="0.25">
      <c r="B17" s="61" t="s">
        <v>7</v>
      </c>
      <c r="C17">
        <v>0.74250000000000005</v>
      </c>
      <c r="D17">
        <f>C2</f>
        <v>1.7390682464840603</v>
      </c>
      <c r="G17" t="s">
        <v>18</v>
      </c>
      <c r="H17">
        <v>-0.1024</v>
      </c>
      <c r="I17">
        <f>C20-C21</f>
        <v>-0.16370371047853638</v>
      </c>
      <c r="L17" t="s">
        <v>23</v>
      </c>
      <c r="M17">
        <v>0.62590000000000001</v>
      </c>
      <c r="N17" s="63">
        <f>H13</f>
        <v>0.20271268503979289</v>
      </c>
      <c r="Q17" s="13" t="s">
        <v>25</v>
      </c>
      <c r="R17" s="6">
        <v>7.8600000000000003E-2</v>
      </c>
      <c r="S17" s="64">
        <f>H2-R9</f>
        <v>3.2784581127102974E-3</v>
      </c>
    </row>
    <row r="18" spans="2:19" x14ac:dyDescent="0.25">
      <c r="B18" s="61"/>
      <c r="G18" t="s">
        <v>10</v>
      </c>
      <c r="H18">
        <v>-3.4599999999999999E-2</v>
      </c>
      <c r="I18" s="3">
        <v>-3.0274762700120306E-2</v>
      </c>
      <c r="L18" t="s">
        <v>3</v>
      </c>
      <c r="M18">
        <v>5.7500000000000002E-2</v>
      </c>
      <c r="N18" s="79">
        <f>I18</f>
        <v>-3.0274762700120306E-2</v>
      </c>
      <c r="Q18" s="13" t="s">
        <v>65</v>
      </c>
      <c r="R18" s="7">
        <v>1.1133563331690488</v>
      </c>
      <c r="S18" s="60"/>
    </row>
    <row r="19" spans="2:19" x14ac:dyDescent="0.25">
      <c r="B19" s="61"/>
      <c r="I19" s="3"/>
      <c r="N19" s="60"/>
      <c r="Q19" s="13"/>
      <c r="R19" s="62"/>
      <c r="S19" s="60"/>
    </row>
    <row r="20" spans="2:19" ht="26.4" x14ac:dyDescent="0.25">
      <c r="B20" s="80" t="s">
        <v>70</v>
      </c>
      <c r="C20">
        <f>1.2544*1.3</f>
        <v>1.6307199999999999</v>
      </c>
      <c r="E20" s="81" t="s">
        <v>71</v>
      </c>
      <c r="F20" s="3">
        <f>C20-1.34</f>
        <v>0.29071999999999987</v>
      </c>
      <c r="N20" s="60"/>
      <c r="Q20" s="13"/>
      <c r="R20" s="62"/>
      <c r="S20" s="60"/>
    </row>
    <row r="21" spans="2:19" ht="26.4" x14ac:dyDescent="0.25">
      <c r="B21" s="82" t="s">
        <v>72</v>
      </c>
      <c r="C21" s="69">
        <f>C13*1.1125</f>
        <v>1.7944237104785363</v>
      </c>
      <c r="D21" s="69"/>
      <c r="E21" s="83" t="s">
        <v>73</v>
      </c>
      <c r="F21" s="72">
        <f>C21-C2</f>
        <v>5.5355463994475995E-2</v>
      </c>
      <c r="G21" s="69"/>
      <c r="H21" s="69"/>
      <c r="I21" s="69"/>
      <c r="J21" s="69"/>
      <c r="K21" s="69"/>
      <c r="L21" s="69"/>
      <c r="M21" s="69"/>
      <c r="N21" s="70"/>
      <c r="O21" s="69"/>
      <c r="P21" s="69"/>
      <c r="Q21" s="71"/>
      <c r="R21" s="72"/>
      <c r="S21" s="70"/>
    </row>
    <row r="22" spans="2:19" x14ac:dyDescent="0.25">
      <c r="E22" s="84"/>
    </row>
    <row r="23" spans="2:19" x14ac:dyDescent="0.25">
      <c r="B23" s="55">
        <v>2026</v>
      </c>
      <c r="C23" s="73"/>
      <c r="D23" s="74"/>
      <c r="E23" s="75"/>
      <c r="F23" s="76"/>
      <c r="G23" s="56"/>
      <c r="H23" s="56"/>
      <c r="I23" s="56"/>
      <c r="J23" s="56"/>
      <c r="K23" s="56"/>
      <c r="L23" s="56"/>
      <c r="M23" s="56"/>
      <c r="N23" s="57"/>
      <c r="P23" s="56"/>
      <c r="Q23" s="56"/>
      <c r="R23" s="56"/>
      <c r="S23" s="57"/>
    </row>
    <row r="24" spans="2:19" x14ac:dyDescent="0.25">
      <c r="B24" s="77" t="s">
        <v>68</v>
      </c>
      <c r="C24">
        <f>C26+(C27*D27)+(C28*D28)+(C29*D29)</f>
        <v>1.6839376512632029</v>
      </c>
      <c r="G24" s="1" t="s">
        <v>23</v>
      </c>
      <c r="H24" s="59">
        <f>H26+(H27*I27)+(H28*I28)+(H29*I29)</f>
        <v>0.17580176772806055</v>
      </c>
      <c r="L24" s="1" t="s">
        <v>29</v>
      </c>
      <c r="M24" s="59">
        <f>M26+(M27*N27)+(M28*N28)+(M29*N29)</f>
        <v>0.2242125026189864</v>
      </c>
      <c r="N24" s="60"/>
      <c r="P24" s="1"/>
      <c r="Q24" s="1" t="s">
        <v>27</v>
      </c>
      <c r="R24" s="59">
        <f>(R26+R27*S27+R28*S28)*R29</f>
        <v>2.3826365666818311E-2</v>
      </c>
      <c r="S24" s="60"/>
    </row>
    <row r="25" spans="2:19" x14ac:dyDescent="0.25">
      <c r="B25" s="61" t="s">
        <v>60</v>
      </c>
      <c r="C25" t="s">
        <v>61</v>
      </c>
      <c r="D25" t="s">
        <v>62</v>
      </c>
      <c r="G25" t="s">
        <v>60</v>
      </c>
      <c r="H25" t="s">
        <v>61</v>
      </c>
      <c r="I25" t="s">
        <v>62</v>
      </c>
      <c r="L25" t="s">
        <v>60</v>
      </c>
      <c r="M25" t="s">
        <v>61</v>
      </c>
      <c r="N25" s="60" t="s">
        <v>62</v>
      </c>
      <c r="Q25" t="s">
        <v>60</v>
      </c>
      <c r="R25" t="s">
        <v>61</v>
      </c>
      <c r="S25" s="60" t="s">
        <v>62</v>
      </c>
    </row>
    <row r="26" spans="2:19" x14ac:dyDescent="0.25">
      <c r="B26" s="61" t="s">
        <v>63</v>
      </c>
      <c r="C26">
        <v>0.39539999999999997</v>
      </c>
      <c r="G26" t="s">
        <v>63</v>
      </c>
      <c r="H26">
        <v>6.59E-2</v>
      </c>
      <c r="L26" t="s">
        <v>63</v>
      </c>
      <c r="M26">
        <v>1.4800000000000001E-2</v>
      </c>
      <c r="N26" s="60"/>
      <c r="Q26" s="13" t="s">
        <v>63</v>
      </c>
      <c r="R26" s="13">
        <f>0.0188</f>
        <v>1.8800000000000001E-2</v>
      </c>
      <c r="S26" s="60"/>
    </row>
    <row r="27" spans="2:19" x14ac:dyDescent="0.25">
      <c r="B27" s="78" t="s">
        <v>69</v>
      </c>
      <c r="C27">
        <v>0.8609</v>
      </c>
      <c r="D27" s="3">
        <f>1.36-1.2544</f>
        <v>0.10560000000000014</v>
      </c>
      <c r="G27" t="s">
        <v>33</v>
      </c>
      <c r="H27">
        <v>0.52810000000000001</v>
      </c>
      <c r="I27" s="62">
        <f>H13</f>
        <v>0.20271268503979289</v>
      </c>
      <c r="L27" t="s">
        <v>37</v>
      </c>
      <c r="M27">
        <v>0.39579999999999999</v>
      </c>
      <c r="N27" s="63">
        <f>M13</f>
        <v>0.24304001267890585</v>
      </c>
      <c r="P27" s="1"/>
      <c r="Q27" s="13" t="s">
        <v>64</v>
      </c>
      <c r="R27" s="6">
        <v>2.3999999999999998E-3</v>
      </c>
      <c r="S27" s="60">
        <f>F31/F32</f>
        <v>1.824571625617639</v>
      </c>
    </row>
    <row r="28" spans="2:19" x14ac:dyDescent="0.25">
      <c r="B28" s="61" t="s">
        <v>7</v>
      </c>
      <c r="C28">
        <v>0.74250000000000005</v>
      </c>
      <c r="D28">
        <f>C13</f>
        <v>1.6129651330144146</v>
      </c>
      <c r="G28" t="s">
        <v>18</v>
      </c>
      <c r="H28">
        <v>-0.1024</v>
      </c>
      <c r="I28" s="3">
        <f>C31-C32</f>
        <v>-4.65282989526834E-2</v>
      </c>
      <c r="L28" t="s">
        <v>23</v>
      </c>
      <c r="M28">
        <v>0.62590000000000001</v>
      </c>
      <c r="N28" s="63">
        <f>H24</f>
        <v>0.17580176772806055</v>
      </c>
      <c r="Q28" s="13" t="s">
        <v>25</v>
      </c>
      <c r="R28" s="6">
        <v>7.8600000000000003E-2</v>
      </c>
      <c r="S28" s="64">
        <f>H13-H2</f>
        <v>-2.2627057996311262E-2</v>
      </c>
    </row>
    <row r="29" spans="2:19" x14ac:dyDescent="0.25">
      <c r="B29" s="61"/>
      <c r="G29" t="s">
        <v>10</v>
      </c>
      <c r="H29">
        <v>-3.4599999999999999E-2</v>
      </c>
      <c r="I29" s="3">
        <f>F21</f>
        <v>5.5355463994475995E-2</v>
      </c>
      <c r="L29" t="s">
        <v>3</v>
      </c>
      <c r="M29">
        <v>5.7500000000000002E-2</v>
      </c>
      <c r="N29" s="79">
        <f>I29</f>
        <v>5.5355463994475995E-2</v>
      </c>
      <c r="Q29" s="13" t="s">
        <v>65</v>
      </c>
      <c r="R29" s="7">
        <v>1.1133563331690488</v>
      </c>
      <c r="S29" s="60"/>
    </row>
    <row r="30" spans="2:19" x14ac:dyDescent="0.25">
      <c r="B30" s="61"/>
      <c r="I30" s="3"/>
      <c r="N30" s="60"/>
      <c r="S30" s="60"/>
    </row>
    <row r="31" spans="2:19" ht="26.4" x14ac:dyDescent="0.25">
      <c r="B31" s="80" t="s">
        <v>74</v>
      </c>
      <c r="C31">
        <f>1.35*1.4</f>
        <v>1.89</v>
      </c>
      <c r="E31" s="81" t="s">
        <v>71</v>
      </c>
      <c r="F31" s="3">
        <f>C31-C20</f>
        <v>0.25927999999999995</v>
      </c>
      <c r="N31" s="60"/>
      <c r="S31" s="60"/>
    </row>
    <row r="32" spans="2:19" ht="26.4" x14ac:dyDescent="0.25">
      <c r="B32" s="82" t="s">
        <v>75</v>
      </c>
      <c r="C32" s="69">
        <f>C24*1.15</f>
        <v>1.9365282989526833</v>
      </c>
      <c r="D32" s="69"/>
      <c r="E32" s="83" t="s">
        <v>73</v>
      </c>
      <c r="F32" s="72">
        <f>C32-C21</f>
        <v>0.14210458847414698</v>
      </c>
      <c r="G32" s="69"/>
      <c r="H32" s="69"/>
      <c r="I32" s="69"/>
      <c r="J32" s="69"/>
      <c r="K32" s="69"/>
      <c r="L32" s="69"/>
      <c r="M32" s="69"/>
      <c r="N32" s="70"/>
      <c r="P32" s="69"/>
      <c r="Q32" s="69"/>
      <c r="R32" s="69"/>
      <c r="S32" s="70"/>
    </row>
    <row r="33" spans="7:12" x14ac:dyDescent="0.25">
      <c r="H33" s="4"/>
    </row>
    <row r="34" spans="7:12" x14ac:dyDescent="0.25">
      <c r="H34" s="14"/>
    </row>
    <row r="35" spans="7:12" x14ac:dyDescent="0.25">
      <c r="L35" s="4"/>
    </row>
    <row r="36" spans="7:12" x14ac:dyDescent="0.25">
      <c r="H36" s="9"/>
    </row>
    <row r="38" spans="7:12" x14ac:dyDescent="0.25">
      <c r="G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AD01-BD6A-4DBB-A710-FE489F80FD65}">
  <dimension ref="A1:AK36"/>
  <sheetViews>
    <sheetView workbookViewId="0">
      <pane xSplit="1" topLeftCell="B1" activePane="topRight" state="frozen"/>
      <selection pane="topRight" activeCell="F2" sqref="F2"/>
    </sheetView>
  </sheetViews>
  <sheetFormatPr defaultRowHeight="13.8" x14ac:dyDescent="0.25"/>
  <cols>
    <col min="1" max="1" width="6.33203125" style="86" customWidth="1"/>
    <col min="2" max="2" width="8.5546875" style="86" customWidth="1"/>
    <col min="3" max="3" width="9.109375" style="86" customWidth="1"/>
    <col min="4" max="4" width="14.88671875" style="86" customWidth="1"/>
    <col min="5" max="5" width="9" style="86" customWidth="1"/>
    <col min="6" max="6" width="11.109375" style="86" customWidth="1"/>
    <col min="7" max="7" width="12" style="86" customWidth="1"/>
    <col min="8" max="12" width="9" style="86" customWidth="1"/>
    <col min="13" max="13" width="10.88671875" style="86" customWidth="1"/>
    <col min="14" max="14" width="9" style="86" customWidth="1"/>
    <col min="15" max="15" width="16.33203125" style="86" customWidth="1"/>
    <col min="16" max="16" width="9" style="86" customWidth="1"/>
    <col min="17" max="17" width="13.109375" style="86" customWidth="1"/>
    <col min="18" max="18" width="16.21875" style="86" customWidth="1"/>
    <col min="19" max="19" width="17.109375" style="86" customWidth="1"/>
    <col min="20" max="20" width="18.21875" style="86" customWidth="1"/>
    <col min="21" max="21" width="11" style="86" customWidth="1"/>
    <col min="22" max="23" width="8.88671875" style="86" customWidth="1"/>
    <col min="24" max="24" width="8.33203125" style="86" customWidth="1"/>
    <col min="25" max="29" width="8.88671875" style="86" customWidth="1"/>
    <col min="30" max="30" width="10.77734375" style="86" customWidth="1"/>
    <col min="31" max="32" width="8.88671875" style="86" customWidth="1"/>
    <col min="33" max="37" width="9" style="86" bestFit="1" customWidth="1"/>
    <col min="38" max="16384" width="8.88671875" style="86"/>
  </cols>
  <sheetData>
    <row r="1" spans="1:37" ht="39.6" customHeight="1" x14ac:dyDescent="0.25">
      <c r="A1" s="106" t="s">
        <v>79</v>
      </c>
      <c r="B1" s="106" t="s">
        <v>104</v>
      </c>
      <c r="C1" s="106" t="s">
        <v>105</v>
      </c>
      <c r="D1" s="115" t="s">
        <v>106</v>
      </c>
      <c r="E1" s="106" t="s">
        <v>107</v>
      </c>
      <c r="F1" s="106" t="s">
        <v>108</v>
      </c>
      <c r="G1" s="106" t="s">
        <v>109</v>
      </c>
      <c r="H1" s="106" t="s">
        <v>110</v>
      </c>
      <c r="I1" s="106" t="s">
        <v>111</v>
      </c>
      <c r="J1" s="106" t="s">
        <v>112</v>
      </c>
      <c r="K1" s="106" t="s">
        <v>113</v>
      </c>
      <c r="L1" s="106" t="s">
        <v>114</v>
      </c>
      <c r="M1" s="116" t="s">
        <v>115</v>
      </c>
      <c r="N1" s="106" t="s">
        <v>116</v>
      </c>
      <c r="O1" s="106" t="s">
        <v>117</v>
      </c>
      <c r="P1" s="106" t="s">
        <v>16</v>
      </c>
      <c r="Q1" s="106" t="s">
        <v>118</v>
      </c>
      <c r="R1" s="106" t="s">
        <v>119</v>
      </c>
      <c r="S1" s="106" t="s">
        <v>120</v>
      </c>
      <c r="T1" s="106" t="s">
        <v>121</v>
      </c>
      <c r="U1" s="116" t="s">
        <v>122</v>
      </c>
      <c r="V1" s="106" t="s">
        <v>123</v>
      </c>
      <c r="W1" s="106" t="s">
        <v>124</v>
      </c>
      <c r="X1" s="106" t="s">
        <v>125</v>
      </c>
      <c r="Y1" s="106" t="s">
        <v>126</v>
      </c>
      <c r="Z1" s="106" t="s">
        <v>111</v>
      </c>
      <c r="AA1" s="106" t="s">
        <v>127</v>
      </c>
      <c r="AB1" s="106" t="s">
        <v>128</v>
      </c>
      <c r="AC1" s="106" t="s">
        <v>129</v>
      </c>
      <c r="AD1" s="116" t="s">
        <v>130</v>
      </c>
      <c r="AE1" s="106" t="s">
        <v>131</v>
      </c>
      <c r="AF1" s="106" t="s">
        <v>132</v>
      </c>
      <c r="AG1" s="106" t="s">
        <v>133</v>
      </c>
      <c r="AH1" s="106" t="s">
        <v>134</v>
      </c>
      <c r="AI1" s="106" t="s">
        <v>135</v>
      </c>
      <c r="AJ1" s="106" t="s">
        <v>136</v>
      </c>
      <c r="AK1" s="107" t="s">
        <v>137</v>
      </c>
    </row>
    <row r="2" spans="1:37" x14ac:dyDescent="0.25">
      <c r="A2" s="108">
        <v>2012</v>
      </c>
      <c r="B2" s="109">
        <v>105.09</v>
      </c>
      <c r="C2" s="109">
        <v>1.1445600468122772</v>
      </c>
      <c r="D2" s="109">
        <v>11.68</v>
      </c>
      <c r="E2" s="109">
        <v>1.4398352867879456</v>
      </c>
      <c r="F2" s="109"/>
      <c r="G2" s="110"/>
      <c r="H2" s="98">
        <v>8.8350135479903114E-2</v>
      </c>
      <c r="I2" s="98"/>
      <c r="J2" s="110">
        <v>0.30463221798631257</v>
      </c>
      <c r="K2" s="110"/>
      <c r="L2" s="110"/>
      <c r="M2" s="109">
        <v>1.37</v>
      </c>
      <c r="N2" s="109">
        <v>1.0980793230060442</v>
      </c>
      <c r="O2" s="109"/>
      <c r="P2" s="110">
        <v>-1.1003986531658461E-2</v>
      </c>
      <c r="Q2" s="98">
        <v>1.3588266104144466E-2</v>
      </c>
      <c r="R2" s="110">
        <v>2.5441393291442734E-2</v>
      </c>
      <c r="S2" s="110"/>
      <c r="T2" s="110">
        <f t="shared" ref="T2:T15" si="0">Q2-R2</f>
        <v>-1.1853127187298269E-2</v>
      </c>
      <c r="U2" s="109">
        <v>2.23</v>
      </c>
      <c r="V2" s="109">
        <v>1.5709978301913377</v>
      </c>
      <c r="W2" s="109"/>
      <c r="X2" s="110">
        <v>0.44327401339189065</v>
      </c>
      <c r="Y2" s="96">
        <v>1.545989242791028E-2</v>
      </c>
      <c r="Z2" s="96"/>
      <c r="AA2" s="111">
        <v>2.3153635688925946E-2</v>
      </c>
      <c r="AB2" s="111"/>
      <c r="AC2" s="110">
        <f t="shared" ref="AC2:AC15" si="1">Y2-AA2</f>
        <v>-7.6937432610156668E-3</v>
      </c>
      <c r="AD2" s="97">
        <v>18.079999999999998</v>
      </c>
      <c r="AE2" s="97">
        <v>1.247317198696664</v>
      </c>
      <c r="AF2" s="97">
        <v>7.7843432925966294E-2</v>
      </c>
      <c r="AG2" s="111">
        <v>0.15786967152106868</v>
      </c>
      <c r="AH2" s="111">
        <v>0.11631676016547071</v>
      </c>
      <c r="AI2" s="111"/>
      <c r="AJ2" s="111"/>
      <c r="AK2" s="112">
        <f t="shared" ref="AK2:AK15" si="2">Y2+Q2+H2</f>
        <v>0.11739829401195787</v>
      </c>
    </row>
    <row r="3" spans="1:37" x14ac:dyDescent="0.25">
      <c r="A3" s="108">
        <v>2013</v>
      </c>
      <c r="B3" s="109">
        <v>103.17</v>
      </c>
      <c r="C3" s="109">
        <v>1.1269698131353625</v>
      </c>
      <c r="D3" s="109">
        <v>13.709999999999999</v>
      </c>
      <c r="E3" s="109">
        <v>1.1754538486468133</v>
      </c>
      <c r="F3" s="109">
        <f t="shared" ref="F3:F15" si="3">E2</f>
        <v>1.4398352867879456</v>
      </c>
      <c r="G3" s="110">
        <f t="shared" ref="G3:G15" si="4">E3-E2</f>
        <v>-0.26438143814113224</v>
      </c>
      <c r="H3" s="98">
        <v>0.1274062476794548</v>
      </c>
      <c r="I3" s="113">
        <f t="shared" ref="I3:I15" si="5">L3/G3</f>
        <v>-0.14772637774480496</v>
      </c>
      <c r="J3" s="110">
        <f t="shared" ref="J3:J15" si="6">H2</f>
        <v>8.8350135479903114E-2</v>
      </c>
      <c r="K3" s="110">
        <f t="shared" ref="K3:K15" si="7">J3-J2</f>
        <v>-0.21628208250640946</v>
      </c>
      <c r="L3" s="110">
        <f t="shared" ref="L3:L15" si="8">H3-H2</f>
        <v>3.9056112199551685E-2</v>
      </c>
      <c r="M3" s="109">
        <v>12.94</v>
      </c>
      <c r="N3" s="109">
        <v>1.2238674969545182</v>
      </c>
      <c r="O3" s="109">
        <f t="shared" ref="O3:O15" si="9">N2</f>
        <v>1.0980793230060442</v>
      </c>
      <c r="P3" s="110">
        <f t="shared" ref="P3:P15" si="10">N3-N2</f>
        <v>0.12578817394847408</v>
      </c>
      <c r="Q3" s="98">
        <v>0.11549381518922858</v>
      </c>
      <c r="R3" s="110">
        <f t="shared" ref="R3:R15" si="11">Q2</f>
        <v>1.3588266104144466E-2</v>
      </c>
      <c r="S3" s="110">
        <f t="shared" ref="S3:S15" si="12">R3-R2</f>
        <v>-1.1853127187298269E-2</v>
      </c>
      <c r="T3" s="110">
        <f t="shared" si="0"/>
        <v>0.10190554908508412</v>
      </c>
      <c r="U3" s="109">
        <v>14.2</v>
      </c>
      <c r="V3" s="109">
        <v>1.0839363683551648</v>
      </c>
      <c r="W3" s="109">
        <f t="shared" ref="W3:W15" si="13">V2</f>
        <v>1.5709978301913377</v>
      </c>
      <c r="X3" s="110">
        <f t="shared" ref="X3:X15" si="14">V3-V2</f>
        <v>-0.48706146183617283</v>
      </c>
      <c r="Y3" s="96">
        <v>0.14310124396625473</v>
      </c>
      <c r="Z3" s="114">
        <f t="shared" ref="Z3:Z15" si="15">AC3/X3</f>
        <v>-0.26206415727729587</v>
      </c>
      <c r="AA3" s="111">
        <f t="shared" ref="AA3:AA15" si="16">Y2</f>
        <v>1.545989242791028E-2</v>
      </c>
      <c r="AB3" s="111">
        <f t="shared" ref="AB3:AB15" si="17">AA3-AA2</f>
        <v>-7.6937432610156668E-3</v>
      </c>
      <c r="AC3" s="110">
        <f t="shared" si="1"/>
        <v>0.12764135153834444</v>
      </c>
      <c r="AD3" s="97">
        <v>12.91</v>
      </c>
      <c r="AE3" s="97">
        <v>1.0189665106513965</v>
      </c>
      <c r="AF3" s="97">
        <v>-0.22835068804526748</v>
      </c>
      <c r="AG3" s="111">
        <v>0.13839652458545218</v>
      </c>
      <c r="AH3" s="111">
        <f>AG2</f>
        <v>0.15786967152106868</v>
      </c>
      <c r="AI3" s="111">
        <f>AH3-AH2</f>
        <v>4.1552911355597966E-2</v>
      </c>
      <c r="AJ3" s="111">
        <f>AG3-AG2</f>
        <v>-1.9473146935616498E-2</v>
      </c>
      <c r="AK3" s="112">
        <f t="shared" si="2"/>
        <v>0.38600130683493811</v>
      </c>
    </row>
    <row r="4" spans="1:37" x14ac:dyDescent="0.25">
      <c r="A4" s="108">
        <v>2014</v>
      </c>
      <c r="B4" s="109">
        <v>143.87</v>
      </c>
      <c r="C4" s="109">
        <v>1.3916936541284421</v>
      </c>
      <c r="D4" s="109">
        <v>17.279999999999998</v>
      </c>
      <c r="E4" s="109">
        <v>1.3565116799737738</v>
      </c>
      <c r="F4" s="109">
        <f t="shared" si="3"/>
        <v>1.1754538486468133</v>
      </c>
      <c r="G4" s="110">
        <f t="shared" si="4"/>
        <v>0.18105783132696041</v>
      </c>
      <c r="H4" s="98">
        <v>0.12322351809244313</v>
      </c>
      <c r="I4" s="113">
        <f t="shared" si="5"/>
        <v>-2.3101622041735138E-2</v>
      </c>
      <c r="J4" s="110">
        <f t="shared" si="6"/>
        <v>0.1274062476794548</v>
      </c>
      <c r="K4" s="110">
        <f t="shared" si="7"/>
        <v>3.9056112199551685E-2</v>
      </c>
      <c r="L4" s="110">
        <f t="shared" si="8"/>
        <v>-4.1827295870116715E-3</v>
      </c>
      <c r="M4" s="109">
        <v>21.84</v>
      </c>
      <c r="N4" s="109">
        <v>1.4076609238741613</v>
      </c>
      <c r="O4" s="109">
        <f t="shared" si="9"/>
        <v>1.2238674969545182</v>
      </c>
      <c r="P4" s="110">
        <f t="shared" si="10"/>
        <v>0.18379342691964307</v>
      </c>
      <c r="Q4" s="98">
        <v>0.15008178364612632</v>
      </c>
      <c r="R4" s="110">
        <f t="shared" si="11"/>
        <v>0.11549381518922858</v>
      </c>
      <c r="S4" s="110">
        <f t="shared" si="12"/>
        <v>0.10190554908508412</v>
      </c>
      <c r="T4" s="110">
        <f t="shared" si="0"/>
        <v>3.4587968456897739E-2</v>
      </c>
      <c r="U4" s="109">
        <v>48.72</v>
      </c>
      <c r="V4" s="109">
        <v>1.3598022525995124</v>
      </c>
      <c r="W4" s="109">
        <f t="shared" si="13"/>
        <v>1.0839363683551648</v>
      </c>
      <c r="X4" s="110">
        <f t="shared" si="14"/>
        <v>0.27586588424434755</v>
      </c>
      <c r="Y4" s="96">
        <v>0.34658114062503809</v>
      </c>
      <c r="Z4" s="114">
        <f t="shared" si="15"/>
        <v>0.7376044240343671</v>
      </c>
      <c r="AA4" s="111">
        <f t="shared" si="16"/>
        <v>0.14310124396625473</v>
      </c>
      <c r="AB4" s="111">
        <f t="shared" si="17"/>
        <v>0.12764135153834444</v>
      </c>
      <c r="AC4" s="110">
        <f t="shared" si="1"/>
        <v>0.20347989665878335</v>
      </c>
      <c r="AD4" s="97">
        <v>1.24</v>
      </c>
      <c r="AE4" s="97">
        <v>1.3586137756862917</v>
      </c>
      <c r="AF4" s="97">
        <v>0.33964726503489517</v>
      </c>
      <c r="AG4" s="111">
        <v>8.828747060921377E-3</v>
      </c>
      <c r="AH4" s="111">
        <f t="shared" ref="AH4:AH15" si="18">AG3</f>
        <v>0.13839652458545218</v>
      </c>
      <c r="AI4" s="111">
        <f t="shared" ref="AI4:AI15" si="19">AH4-AH3</f>
        <v>-1.9473146935616498E-2</v>
      </c>
      <c r="AJ4" s="111">
        <f t="shared" ref="AJ4:AJ15" si="20">AG4-AG3</f>
        <v>-0.1295677775245308</v>
      </c>
      <c r="AK4" s="112">
        <f t="shared" si="2"/>
        <v>0.61988644236360757</v>
      </c>
    </row>
    <row r="5" spans="1:37" x14ac:dyDescent="0.25">
      <c r="A5" s="108">
        <v>2015</v>
      </c>
      <c r="B5" s="109">
        <v>132.30000000000001</v>
      </c>
      <c r="C5" s="109">
        <v>1.4827987277923154</v>
      </c>
      <c r="D5" s="109">
        <v>24.949999999999996</v>
      </c>
      <c r="E5" s="109">
        <v>1.5088867077059658</v>
      </c>
      <c r="F5" s="109">
        <f t="shared" si="3"/>
        <v>1.3565116799737738</v>
      </c>
      <c r="G5" s="110">
        <f t="shared" si="4"/>
        <v>0.15237502773219203</v>
      </c>
      <c r="H5" s="98">
        <v>0.18532596825075748</v>
      </c>
      <c r="I5" s="113">
        <f t="shared" si="5"/>
        <v>0.40756317542703269</v>
      </c>
      <c r="J5" s="110">
        <f t="shared" si="6"/>
        <v>0.12322351809244313</v>
      </c>
      <c r="K5" s="110">
        <f t="shared" si="7"/>
        <v>-4.1827295870116715E-3</v>
      </c>
      <c r="L5" s="110">
        <f t="shared" si="8"/>
        <v>6.2102450158314351E-2</v>
      </c>
      <c r="M5" s="109">
        <v>15.93</v>
      </c>
      <c r="N5" s="109">
        <v>1.4798066311686477</v>
      </c>
      <c r="O5" s="109">
        <f t="shared" si="9"/>
        <v>1.4076609238741613</v>
      </c>
      <c r="P5" s="110">
        <f t="shared" si="10"/>
        <v>7.2145707294486439E-2</v>
      </c>
      <c r="Q5" s="98">
        <v>0.12065162268167837</v>
      </c>
      <c r="R5" s="110">
        <f t="shared" si="11"/>
        <v>0.15008178364612632</v>
      </c>
      <c r="S5" s="110">
        <f t="shared" si="12"/>
        <v>3.4587968456897739E-2</v>
      </c>
      <c r="T5" s="110">
        <f t="shared" si="0"/>
        <v>-2.9430160964447949E-2</v>
      </c>
      <c r="U5" s="109">
        <v>38.17</v>
      </c>
      <c r="V5" s="109">
        <v>1.4293771952286587</v>
      </c>
      <c r="W5" s="109">
        <f t="shared" si="13"/>
        <v>1.3598022525995124</v>
      </c>
      <c r="X5" s="110">
        <f t="shared" si="14"/>
        <v>6.9574942629146319E-2</v>
      </c>
      <c r="Y5" s="96">
        <v>0.29929376639036176</v>
      </c>
      <c r="Z5" s="114">
        <f t="shared" si="15"/>
        <v>-0.67966098781756967</v>
      </c>
      <c r="AA5" s="111">
        <f t="shared" si="16"/>
        <v>0.34658114062503809</v>
      </c>
      <c r="AB5" s="111">
        <f t="shared" si="17"/>
        <v>0.20347989665878335</v>
      </c>
      <c r="AC5" s="110">
        <f t="shared" si="1"/>
        <v>-4.7287374234676327E-2</v>
      </c>
      <c r="AD5" s="97">
        <v>1.32</v>
      </c>
      <c r="AE5" s="97">
        <v>1.2525893964511865</v>
      </c>
      <c r="AF5" s="97">
        <v>-0.10602437923510522</v>
      </c>
      <c r="AG5" s="111">
        <v>1.1811024239802828E-2</v>
      </c>
      <c r="AH5" s="111">
        <f t="shared" si="18"/>
        <v>8.828747060921377E-3</v>
      </c>
      <c r="AI5" s="111">
        <f t="shared" si="19"/>
        <v>-0.1295677775245308</v>
      </c>
      <c r="AJ5" s="111">
        <f t="shared" si="20"/>
        <v>2.9822771788814515E-3</v>
      </c>
      <c r="AK5" s="112">
        <f t="shared" si="2"/>
        <v>0.60527135732279769</v>
      </c>
    </row>
    <row r="6" spans="1:37" x14ac:dyDescent="0.25">
      <c r="A6" s="108">
        <v>2016</v>
      </c>
      <c r="B6" s="109">
        <v>131.51</v>
      </c>
      <c r="C6" s="109">
        <v>1.0896761097474117</v>
      </c>
      <c r="D6" s="109">
        <v>17.27</v>
      </c>
      <c r="E6" s="109">
        <v>1.0936475101249468</v>
      </c>
      <c r="F6" s="109">
        <f t="shared" si="3"/>
        <v>1.5088867077059658</v>
      </c>
      <c r="G6" s="110">
        <f t="shared" si="4"/>
        <v>-0.41523919758101902</v>
      </c>
      <c r="H6" s="98">
        <v>0.13084394225676124</v>
      </c>
      <c r="I6" s="113">
        <f t="shared" si="5"/>
        <v>0.13120636565955704</v>
      </c>
      <c r="J6" s="110">
        <f t="shared" si="6"/>
        <v>0.18532596825075748</v>
      </c>
      <c r="K6" s="110">
        <f t="shared" si="7"/>
        <v>6.2102450158314351E-2</v>
      </c>
      <c r="L6" s="110">
        <f t="shared" si="8"/>
        <v>-5.4482025993996236E-2</v>
      </c>
      <c r="M6" s="109">
        <v>17.989999999999998</v>
      </c>
      <c r="N6" s="109">
        <v>1.1055787787871449</v>
      </c>
      <c r="O6" s="109">
        <f t="shared" si="9"/>
        <v>1.4798066311686477</v>
      </c>
      <c r="P6" s="110">
        <f t="shared" si="10"/>
        <v>-0.3742278523815028</v>
      </c>
      <c r="Q6" s="98">
        <v>0.13482800890679095</v>
      </c>
      <c r="R6" s="110">
        <f t="shared" si="11"/>
        <v>0.12065162268167837</v>
      </c>
      <c r="S6" s="110">
        <f t="shared" si="12"/>
        <v>-2.9430160964447949E-2</v>
      </c>
      <c r="T6" s="110">
        <f t="shared" si="0"/>
        <v>1.4176386225112581E-2</v>
      </c>
      <c r="U6" s="109">
        <v>51.4</v>
      </c>
      <c r="V6" s="109">
        <v>1.0449863577437606</v>
      </c>
      <c r="W6" s="109">
        <f t="shared" si="13"/>
        <v>1.4293771952286587</v>
      </c>
      <c r="X6" s="110">
        <f t="shared" si="14"/>
        <v>-0.38439083748489811</v>
      </c>
      <c r="Y6" s="96">
        <v>0.40755962117552147</v>
      </c>
      <c r="Z6" s="114">
        <f t="shared" si="15"/>
        <v>-0.28165565936366327</v>
      </c>
      <c r="AA6" s="111">
        <f t="shared" si="16"/>
        <v>0.29929376639036176</v>
      </c>
      <c r="AB6" s="111">
        <f t="shared" si="17"/>
        <v>-4.7287374234676327E-2</v>
      </c>
      <c r="AC6" s="110">
        <f t="shared" si="1"/>
        <v>0.10826585478515971</v>
      </c>
      <c r="AD6" s="97">
        <v>1.99</v>
      </c>
      <c r="AE6" s="97">
        <v>0.9900088702804809</v>
      </c>
      <c r="AF6" s="97">
        <v>-0.2625805261707056</v>
      </c>
      <c r="AG6" s="111">
        <v>1.6655307001060046E-2</v>
      </c>
      <c r="AH6" s="111">
        <f t="shared" si="18"/>
        <v>1.1811024239802828E-2</v>
      </c>
      <c r="AI6" s="111">
        <f t="shared" si="19"/>
        <v>2.9822771788814515E-3</v>
      </c>
      <c r="AJ6" s="111">
        <f t="shared" si="20"/>
        <v>4.8442827612572171E-3</v>
      </c>
      <c r="AK6" s="112">
        <f t="shared" si="2"/>
        <v>0.6732315723390736</v>
      </c>
    </row>
    <row r="7" spans="1:37" x14ac:dyDescent="0.25">
      <c r="A7" s="108">
        <v>2017</v>
      </c>
      <c r="B7" s="109">
        <v>112.39</v>
      </c>
      <c r="C7" s="109">
        <v>1.0311867897476197</v>
      </c>
      <c r="D7" s="109">
        <v>12.989999999999998</v>
      </c>
      <c r="E7" s="109">
        <v>0.95570670942896252</v>
      </c>
      <c r="F7" s="109">
        <f t="shared" si="3"/>
        <v>1.0936475101249468</v>
      </c>
      <c r="G7" s="110">
        <f t="shared" si="4"/>
        <v>-0.13794080069598424</v>
      </c>
      <c r="H7" s="98">
        <v>0.12470796306587843</v>
      </c>
      <c r="I7" s="113">
        <f t="shared" si="5"/>
        <v>4.4482699534318715E-2</v>
      </c>
      <c r="J7" s="110">
        <f t="shared" si="6"/>
        <v>0.13084394225676124</v>
      </c>
      <c r="K7" s="110">
        <f t="shared" si="7"/>
        <v>-5.4482025993996236E-2</v>
      </c>
      <c r="L7" s="110">
        <f t="shared" si="8"/>
        <v>-6.1359791908828093E-3</v>
      </c>
      <c r="M7" s="109">
        <v>14.389999999999999</v>
      </c>
      <c r="N7" s="109">
        <v>0.98475450836558864</v>
      </c>
      <c r="O7" s="109">
        <f t="shared" si="9"/>
        <v>1.1055787787871449</v>
      </c>
      <c r="P7" s="110">
        <f t="shared" si="10"/>
        <v>-0.1208242704215563</v>
      </c>
      <c r="Q7" s="98">
        <v>0.13407335765015954</v>
      </c>
      <c r="R7" s="110">
        <f t="shared" si="11"/>
        <v>0.13482800890679095</v>
      </c>
      <c r="S7" s="110">
        <f t="shared" si="12"/>
        <v>1.4176386225112581E-2</v>
      </c>
      <c r="T7" s="110">
        <f t="shared" si="0"/>
        <v>-7.5465125663140564E-4</v>
      </c>
      <c r="U7" s="109">
        <v>47.04</v>
      </c>
      <c r="V7" s="109">
        <v>1.015723328020939</v>
      </c>
      <c r="W7" s="109">
        <f t="shared" si="13"/>
        <v>1.0449863577437606</v>
      </c>
      <c r="X7" s="110">
        <f t="shared" si="14"/>
        <v>-2.9263029722821576E-2</v>
      </c>
      <c r="Y7" s="96">
        <v>0.42491450411884302</v>
      </c>
      <c r="Z7" s="114">
        <f t="shared" si="15"/>
        <v>-0.59306514423511203</v>
      </c>
      <c r="AA7" s="111">
        <f t="shared" si="16"/>
        <v>0.40755962117552147</v>
      </c>
      <c r="AB7" s="111">
        <f t="shared" si="17"/>
        <v>0.10826585478515971</v>
      </c>
      <c r="AC7" s="110">
        <f t="shared" si="1"/>
        <v>1.7354882943321548E-2</v>
      </c>
      <c r="AD7" s="97">
        <v>3.78</v>
      </c>
      <c r="AE7" s="97">
        <v>0.90739200414807775</v>
      </c>
      <c r="AF7" s="97">
        <v>-8.2616866132403155E-2</v>
      </c>
      <c r="AG7" s="111">
        <v>3.8221393904518085E-2</v>
      </c>
      <c r="AH7" s="111">
        <f t="shared" si="18"/>
        <v>1.6655307001060046E-2</v>
      </c>
      <c r="AI7" s="111">
        <f t="shared" si="19"/>
        <v>4.8442827612572171E-3</v>
      </c>
      <c r="AJ7" s="111">
        <f t="shared" si="20"/>
        <v>2.1566086903458039E-2</v>
      </c>
      <c r="AK7" s="112">
        <f t="shared" si="2"/>
        <v>0.68369582483488089</v>
      </c>
    </row>
    <row r="8" spans="1:37" x14ac:dyDescent="0.25">
      <c r="A8" s="108">
        <v>2018</v>
      </c>
      <c r="B8" s="109">
        <v>148.97</v>
      </c>
      <c r="C8" s="109">
        <v>1.1749238858800224</v>
      </c>
      <c r="D8" s="109">
        <v>23.37</v>
      </c>
      <c r="E8" s="109">
        <v>1.2315050287772742</v>
      </c>
      <c r="F8" s="109">
        <f t="shared" si="3"/>
        <v>0.95570670942896252</v>
      </c>
      <c r="G8" s="110">
        <f t="shared" si="4"/>
        <v>0.27579831934831167</v>
      </c>
      <c r="H8" s="98">
        <v>0.14966954486870035</v>
      </c>
      <c r="I8" s="113">
        <f t="shared" si="5"/>
        <v>9.0506649430656588E-2</v>
      </c>
      <c r="J8" s="110">
        <f t="shared" si="6"/>
        <v>0.12470796306587843</v>
      </c>
      <c r="K8" s="110">
        <f t="shared" si="7"/>
        <v>-6.1359791908828093E-3</v>
      </c>
      <c r="L8" s="110">
        <f t="shared" si="8"/>
        <v>2.4961581802821917E-2</v>
      </c>
      <c r="M8" s="109">
        <v>16.560000000000002</v>
      </c>
      <c r="N8" s="109">
        <v>1.2125732422429178</v>
      </c>
      <c r="O8" s="109">
        <f t="shared" si="9"/>
        <v>0.98475450836558864</v>
      </c>
      <c r="P8" s="110">
        <f t="shared" si="10"/>
        <v>0.2278187338773292</v>
      </c>
      <c r="Q8" s="98">
        <v>0.10771179594241846</v>
      </c>
      <c r="R8" s="110">
        <f t="shared" si="11"/>
        <v>0.13407335765015954</v>
      </c>
      <c r="S8" s="110">
        <f t="shared" si="12"/>
        <v>-7.5465125663140564E-4</v>
      </c>
      <c r="T8" s="110">
        <f t="shared" si="0"/>
        <v>-2.636156170774108E-2</v>
      </c>
      <c r="U8" s="109">
        <v>61.49</v>
      </c>
      <c r="V8" s="109">
        <v>1.0901100303773545</v>
      </c>
      <c r="W8" s="109">
        <f t="shared" si="13"/>
        <v>1.015723328020939</v>
      </c>
      <c r="X8" s="110">
        <f t="shared" si="14"/>
        <v>7.4386702356415535E-2</v>
      </c>
      <c r="Y8" s="96">
        <v>0.44488224387069408</v>
      </c>
      <c r="Z8" s="114">
        <f t="shared" si="15"/>
        <v>0.26843157606554302</v>
      </c>
      <c r="AA8" s="111">
        <f t="shared" si="16"/>
        <v>0.42491450411884302</v>
      </c>
      <c r="AB8" s="111">
        <f t="shared" si="17"/>
        <v>1.7354882943321548E-2</v>
      </c>
      <c r="AC8" s="110">
        <f t="shared" si="1"/>
        <v>1.9967739751851066E-2</v>
      </c>
      <c r="AD8" s="97">
        <v>5.75</v>
      </c>
      <c r="AE8" s="97">
        <v>1.1246571995957493</v>
      </c>
      <c r="AF8" s="97">
        <v>0.21726519544767153</v>
      </c>
      <c r="AG8" s="111">
        <v>4.0323534461289709E-2</v>
      </c>
      <c r="AH8" s="111">
        <f t="shared" si="18"/>
        <v>3.8221393904518085E-2</v>
      </c>
      <c r="AI8" s="111">
        <f t="shared" si="19"/>
        <v>2.1566086903458039E-2</v>
      </c>
      <c r="AJ8" s="111">
        <f t="shared" si="20"/>
        <v>2.1021405567716242E-3</v>
      </c>
      <c r="AK8" s="112">
        <f t="shared" si="2"/>
        <v>0.70226358468181282</v>
      </c>
    </row>
    <row r="9" spans="1:37" x14ac:dyDescent="0.25">
      <c r="A9" s="108">
        <v>2019</v>
      </c>
      <c r="B9" s="109">
        <v>169.18</v>
      </c>
      <c r="C9" s="109">
        <v>1.247569045200043</v>
      </c>
      <c r="D9" s="109">
        <v>43.370000000000005</v>
      </c>
      <c r="E9" s="109">
        <v>1.2797366144477869</v>
      </c>
      <c r="F9" s="109">
        <f t="shared" si="3"/>
        <v>1.2315050287772742</v>
      </c>
      <c r="G9" s="110">
        <f t="shared" si="4"/>
        <v>4.8231585670512667E-2</v>
      </c>
      <c r="H9" s="98">
        <v>0.24991043836182636</v>
      </c>
      <c r="I9" s="113">
        <f t="shared" si="5"/>
        <v>2.0783246517729617</v>
      </c>
      <c r="J9" s="110">
        <f t="shared" si="6"/>
        <v>0.14966954486870035</v>
      </c>
      <c r="K9" s="110">
        <f t="shared" si="7"/>
        <v>2.4961581802821917E-2</v>
      </c>
      <c r="L9" s="110">
        <f t="shared" si="8"/>
        <v>0.10024089349312601</v>
      </c>
      <c r="M9" s="109">
        <v>25.209999999999997</v>
      </c>
      <c r="N9" s="109">
        <v>1.2816262632419673</v>
      </c>
      <c r="O9" s="109">
        <f t="shared" si="9"/>
        <v>1.2125732422429178</v>
      </c>
      <c r="P9" s="110">
        <f t="shared" si="10"/>
        <v>6.9053020999049419E-2</v>
      </c>
      <c r="Q9" s="98">
        <v>0.14505310077283576</v>
      </c>
      <c r="R9" s="110">
        <f t="shared" si="11"/>
        <v>0.10771179594241846</v>
      </c>
      <c r="S9" s="110">
        <f t="shared" si="12"/>
        <v>-2.636156170774108E-2</v>
      </c>
      <c r="T9" s="110">
        <f t="shared" si="0"/>
        <v>3.7341304830417296E-2</v>
      </c>
      <c r="U9" s="109">
        <v>63.01</v>
      </c>
      <c r="V9" s="109">
        <v>1.2119309242841876</v>
      </c>
      <c r="W9" s="109">
        <f t="shared" si="13"/>
        <v>1.0901100303773545</v>
      </c>
      <c r="X9" s="110">
        <f t="shared" si="14"/>
        <v>0.12182089390683304</v>
      </c>
      <c r="Y9" s="96">
        <v>0.38339565094835121</v>
      </c>
      <c r="Z9" s="114">
        <f t="shared" si="15"/>
        <v>-0.50472945116760504</v>
      </c>
      <c r="AA9" s="111">
        <f t="shared" si="16"/>
        <v>0.44488224387069408</v>
      </c>
      <c r="AB9" s="111">
        <f t="shared" si="17"/>
        <v>1.9967739751851066E-2</v>
      </c>
      <c r="AC9" s="110">
        <f t="shared" si="1"/>
        <v>-6.1486592922342875E-2</v>
      </c>
      <c r="AD9" s="97">
        <v>12.59</v>
      </c>
      <c r="AE9" s="97">
        <v>1.1628436450040625</v>
      </c>
      <c r="AF9" s="97">
        <v>3.8186445408313174E-2</v>
      </c>
      <c r="AG9" s="111">
        <v>7.9839898501357504E-2</v>
      </c>
      <c r="AH9" s="111">
        <f t="shared" si="18"/>
        <v>4.0323534461289709E-2</v>
      </c>
      <c r="AI9" s="111">
        <f t="shared" si="19"/>
        <v>2.1021405567716242E-3</v>
      </c>
      <c r="AJ9" s="111">
        <f t="shared" si="20"/>
        <v>3.9516364040067795E-2</v>
      </c>
      <c r="AK9" s="112">
        <f t="shared" si="2"/>
        <v>0.77835919008301335</v>
      </c>
    </row>
    <row r="10" spans="1:37" x14ac:dyDescent="0.25">
      <c r="A10" s="108">
        <v>2020</v>
      </c>
      <c r="B10" s="109">
        <v>179.66</v>
      </c>
      <c r="C10" s="109">
        <v>1.2107182543251505</v>
      </c>
      <c r="D10" s="109">
        <v>61.069999999999993</v>
      </c>
      <c r="E10" s="109">
        <v>1.2039633598483246</v>
      </c>
      <c r="F10" s="109">
        <f t="shared" si="3"/>
        <v>1.2797366144477869</v>
      </c>
      <c r="G10" s="110">
        <f t="shared" si="4"/>
        <v>-7.577325459946227E-2</v>
      </c>
      <c r="H10" s="98">
        <v>0.34182698530197742</v>
      </c>
      <c r="I10" s="113">
        <f t="shared" si="5"/>
        <v>-1.213047366462247</v>
      </c>
      <c r="J10" s="110">
        <f t="shared" si="6"/>
        <v>0.24991043836182636</v>
      </c>
      <c r="K10" s="110">
        <f t="shared" si="7"/>
        <v>0.10024089349312601</v>
      </c>
      <c r="L10" s="110">
        <f t="shared" si="8"/>
        <v>9.1916546940151056E-2</v>
      </c>
      <c r="M10" s="109">
        <v>29.46</v>
      </c>
      <c r="N10" s="109">
        <v>1.2104577136705421</v>
      </c>
      <c r="O10" s="109">
        <f t="shared" si="9"/>
        <v>1.2816262632419673</v>
      </c>
      <c r="P10" s="110">
        <f t="shared" si="10"/>
        <v>-7.1168549571425155E-2</v>
      </c>
      <c r="Q10" s="98">
        <v>0.16401169438193439</v>
      </c>
      <c r="R10" s="110">
        <f t="shared" si="11"/>
        <v>0.14505310077283576</v>
      </c>
      <c r="S10" s="110">
        <f t="shared" si="12"/>
        <v>3.7341304830417296E-2</v>
      </c>
      <c r="T10" s="110">
        <f t="shared" si="0"/>
        <v>1.8958593609098628E-2</v>
      </c>
      <c r="U10" s="109">
        <v>59.22</v>
      </c>
      <c r="V10" s="109">
        <v>1.1962045049158612</v>
      </c>
      <c r="W10" s="109">
        <f t="shared" si="13"/>
        <v>1.2119309242841876</v>
      </c>
      <c r="X10" s="110">
        <f t="shared" si="14"/>
        <v>-1.5726419368326416E-2</v>
      </c>
      <c r="Y10" s="96">
        <v>0.33362198691305622</v>
      </c>
      <c r="Z10" s="114">
        <f t="shared" si="15"/>
        <v>3.1649711780890799</v>
      </c>
      <c r="AA10" s="111">
        <f t="shared" si="16"/>
        <v>0.38339565094835121</v>
      </c>
      <c r="AB10" s="111">
        <f t="shared" si="17"/>
        <v>-6.1486592922342875E-2</v>
      </c>
      <c r="AC10" s="110">
        <f t="shared" si="1"/>
        <v>-4.9773664035294984E-2</v>
      </c>
      <c r="AD10" s="97">
        <v>10.319999999999999</v>
      </c>
      <c r="AE10" s="97">
        <v>1.1135462141640702</v>
      </c>
      <c r="AF10" s="97">
        <v>-4.9297430839992273E-2</v>
      </c>
      <c r="AG10" s="111">
        <v>6.2454415271670928E-2</v>
      </c>
      <c r="AH10" s="111">
        <f t="shared" si="18"/>
        <v>7.9839898501357504E-2</v>
      </c>
      <c r="AI10" s="111">
        <f t="shared" si="19"/>
        <v>3.9516364040067795E-2</v>
      </c>
      <c r="AJ10" s="111">
        <f t="shared" si="20"/>
        <v>-1.7385483229686576E-2</v>
      </c>
      <c r="AK10" s="112">
        <f t="shared" si="2"/>
        <v>0.83946066659696805</v>
      </c>
    </row>
    <row r="11" spans="1:37" x14ac:dyDescent="0.25">
      <c r="A11" s="108">
        <v>2021</v>
      </c>
      <c r="B11" s="109">
        <v>194.58</v>
      </c>
      <c r="C11" s="109">
        <v>1.0758661995998529</v>
      </c>
      <c r="D11" s="109">
        <v>75.95</v>
      </c>
      <c r="E11" s="109">
        <v>1.1318578814505615</v>
      </c>
      <c r="F11" s="109">
        <f t="shared" si="3"/>
        <v>1.2039633598483246</v>
      </c>
      <c r="G11" s="110">
        <f t="shared" si="4"/>
        <v>-7.2105478397763045E-2</v>
      </c>
      <c r="H11" s="98">
        <v>0.37101882300845973</v>
      </c>
      <c r="I11" s="113">
        <f t="shared" si="5"/>
        <v>-0.40484909545219722</v>
      </c>
      <c r="J11" s="110">
        <f t="shared" si="6"/>
        <v>0.34182698530197742</v>
      </c>
      <c r="K11" s="110">
        <f t="shared" si="7"/>
        <v>9.1916546940151056E-2</v>
      </c>
      <c r="L11" s="110">
        <f t="shared" si="8"/>
        <v>2.9191837706482315E-2</v>
      </c>
      <c r="M11" s="109">
        <v>23.07</v>
      </c>
      <c r="N11" s="109">
        <v>1.115739579127748</v>
      </c>
      <c r="O11" s="109">
        <f t="shared" si="9"/>
        <v>1.2104577136705421</v>
      </c>
      <c r="P11" s="110">
        <f t="shared" si="10"/>
        <v>-9.4718134542794097E-2</v>
      </c>
      <c r="Q11" s="98">
        <v>0.11432595022503755</v>
      </c>
      <c r="R11" s="110">
        <f t="shared" si="11"/>
        <v>0.16401169438193439</v>
      </c>
      <c r="S11" s="110">
        <f t="shared" si="12"/>
        <v>1.8958593609098628E-2</v>
      </c>
      <c r="T11" s="110">
        <f t="shared" si="0"/>
        <v>-4.9685744156896833E-2</v>
      </c>
      <c r="U11" s="109">
        <v>62.62</v>
      </c>
      <c r="V11" s="109">
        <v>0.99491674126159002</v>
      </c>
      <c r="W11" s="109">
        <f t="shared" si="13"/>
        <v>1.1962045049158612</v>
      </c>
      <c r="X11" s="110">
        <f t="shared" si="14"/>
        <v>-0.20128776365427115</v>
      </c>
      <c r="Y11" s="96">
        <v>0.34800572541290348</v>
      </c>
      <c r="Z11" s="114">
        <f t="shared" si="15"/>
        <v>-7.1458583665088296E-2</v>
      </c>
      <c r="AA11" s="111">
        <f t="shared" si="16"/>
        <v>0.33362198691305622</v>
      </c>
      <c r="AB11" s="111">
        <f t="shared" si="17"/>
        <v>-4.9773664035294984E-2</v>
      </c>
      <c r="AC11" s="110">
        <f t="shared" si="1"/>
        <v>1.4383738499847254E-2</v>
      </c>
      <c r="AD11" s="97">
        <v>15.35</v>
      </c>
      <c r="AE11" s="97">
        <v>0.99964117114963946</v>
      </c>
      <c r="AF11" s="97">
        <v>-0.11390504301443072</v>
      </c>
      <c r="AG11" s="111">
        <v>8.490324898045809E-2</v>
      </c>
      <c r="AH11" s="111">
        <f t="shared" si="18"/>
        <v>6.2454415271670928E-2</v>
      </c>
      <c r="AI11" s="111">
        <f t="shared" si="19"/>
        <v>-1.7385483229686576E-2</v>
      </c>
      <c r="AJ11" s="111">
        <f t="shared" si="20"/>
        <v>2.2448833708787162E-2</v>
      </c>
      <c r="AK11" s="112">
        <f t="shared" si="2"/>
        <v>0.83335049864640076</v>
      </c>
    </row>
    <row r="12" spans="1:37" x14ac:dyDescent="0.25">
      <c r="A12" s="108">
        <v>2022</v>
      </c>
      <c r="B12" s="109">
        <v>183.93</v>
      </c>
      <c r="C12" s="109">
        <v>1.1423898908314258</v>
      </c>
      <c r="D12" s="109">
        <v>65.81</v>
      </c>
      <c r="E12" s="109">
        <v>1.1760780401139292</v>
      </c>
      <c r="F12" s="109">
        <f t="shared" si="3"/>
        <v>1.1318578814505615</v>
      </c>
      <c r="G12" s="110">
        <f t="shared" si="4"/>
        <v>4.4220158663367704E-2</v>
      </c>
      <c r="H12" s="98">
        <v>0.3475501901262732</v>
      </c>
      <c r="I12" s="113">
        <f t="shared" si="5"/>
        <v>-0.53072249380299308</v>
      </c>
      <c r="J12" s="110">
        <f t="shared" si="6"/>
        <v>0.37101882300845973</v>
      </c>
      <c r="K12" s="110">
        <f t="shared" si="7"/>
        <v>2.9191837706482315E-2</v>
      </c>
      <c r="L12" s="110">
        <f t="shared" si="8"/>
        <v>-2.3468632882186535E-2</v>
      </c>
      <c r="M12" s="109">
        <v>24.46</v>
      </c>
      <c r="N12" s="109">
        <v>1.153201390310157</v>
      </c>
      <c r="O12" s="109">
        <f t="shared" si="9"/>
        <v>1.115739579127748</v>
      </c>
      <c r="P12" s="110">
        <f t="shared" si="10"/>
        <v>3.7461811182408988E-2</v>
      </c>
      <c r="Q12" s="98">
        <v>0.13173860971504314</v>
      </c>
      <c r="R12" s="110">
        <f t="shared" si="11"/>
        <v>0.11432595022503755</v>
      </c>
      <c r="S12" s="110">
        <f t="shared" si="12"/>
        <v>-4.9685744156896833E-2</v>
      </c>
      <c r="T12" s="110">
        <f t="shared" si="0"/>
        <v>1.7412659490005589E-2</v>
      </c>
      <c r="U12" s="109">
        <v>75.290000000000006</v>
      </c>
      <c r="V12" s="109">
        <v>1.1018423084382243</v>
      </c>
      <c r="W12" s="109">
        <f t="shared" si="13"/>
        <v>0.99491674126159002</v>
      </c>
      <c r="X12" s="110">
        <f t="shared" si="14"/>
        <v>0.10692556717663426</v>
      </c>
      <c r="Y12" s="96">
        <v>0.4244041610345286</v>
      </c>
      <c r="Z12" s="114">
        <f t="shared" si="15"/>
        <v>0.71450110239228148</v>
      </c>
      <c r="AA12" s="111">
        <f t="shared" si="16"/>
        <v>0.34800572541290348</v>
      </c>
      <c r="AB12" s="111">
        <f t="shared" si="17"/>
        <v>1.4383738499847254E-2</v>
      </c>
      <c r="AC12" s="110">
        <f t="shared" si="1"/>
        <v>7.6398435621625127E-2</v>
      </c>
      <c r="AD12" s="97">
        <v>10.059999999999999</v>
      </c>
      <c r="AE12" s="97">
        <v>1.0271818245587736</v>
      </c>
      <c r="AF12" s="97">
        <v>2.7540653409134142E-2</v>
      </c>
      <c r="AG12" s="111">
        <v>6.0829246244529102E-2</v>
      </c>
      <c r="AH12" s="111">
        <f t="shared" si="18"/>
        <v>8.490324898045809E-2</v>
      </c>
      <c r="AI12" s="111">
        <f t="shared" si="19"/>
        <v>2.2448833708787162E-2</v>
      </c>
      <c r="AJ12" s="111">
        <f t="shared" si="20"/>
        <v>-2.4074002735928988E-2</v>
      </c>
      <c r="AK12" s="112">
        <f t="shared" si="2"/>
        <v>0.90369296087584494</v>
      </c>
    </row>
    <row r="13" spans="1:37" x14ac:dyDescent="0.25">
      <c r="A13" s="108">
        <v>2023</v>
      </c>
      <c r="B13" s="109">
        <v>239.33</v>
      </c>
      <c r="C13" s="109">
        <v>1.1730378047249117</v>
      </c>
      <c r="D13" s="109">
        <v>76.02</v>
      </c>
      <c r="E13" s="109">
        <v>1.2639599866381372</v>
      </c>
      <c r="F13" s="109">
        <f t="shared" si="3"/>
        <v>1.1760780401139292</v>
      </c>
      <c r="G13" s="110">
        <f t="shared" si="4"/>
        <v>8.7881946524207999E-2</v>
      </c>
      <c r="H13" s="98">
        <v>0.29478773323886165</v>
      </c>
      <c r="I13" s="113">
        <f t="shared" si="5"/>
        <v>-0.60037879193854193</v>
      </c>
      <c r="J13" s="110">
        <f t="shared" si="6"/>
        <v>0.3475501901262732</v>
      </c>
      <c r="K13" s="110">
        <f t="shared" si="7"/>
        <v>-2.3468632882186535E-2</v>
      </c>
      <c r="L13" s="110">
        <f t="shared" si="8"/>
        <v>-5.2762456887411546E-2</v>
      </c>
      <c r="M13" s="109">
        <v>33.64</v>
      </c>
      <c r="N13" s="109">
        <v>1.2456570485452252</v>
      </c>
      <c r="O13" s="109">
        <f t="shared" si="9"/>
        <v>1.153201390310157</v>
      </c>
      <c r="P13" s="110">
        <f t="shared" si="10"/>
        <v>9.2455658235068183E-2</v>
      </c>
      <c r="Q13" s="98">
        <v>0.13236475657835856</v>
      </c>
      <c r="R13" s="110">
        <f t="shared" si="11"/>
        <v>0.13173860971504314</v>
      </c>
      <c r="S13" s="110">
        <f t="shared" si="12"/>
        <v>1.7412659490005589E-2</v>
      </c>
      <c r="T13" s="110">
        <f t="shared" si="0"/>
        <v>6.2614686331541325E-4</v>
      </c>
      <c r="U13" s="109">
        <v>94.07</v>
      </c>
      <c r="V13" s="109">
        <v>1.0586759586461612</v>
      </c>
      <c r="W13" s="109">
        <f t="shared" si="13"/>
        <v>1.1018423084382243</v>
      </c>
      <c r="X13" s="110">
        <f t="shared" si="14"/>
        <v>-4.316634979206313E-2</v>
      </c>
      <c r="Y13" s="96">
        <v>0.43551484317033989</v>
      </c>
      <c r="Z13" s="114">
        <f t="shared" si="15"/>
        <v>-0.25739220919379607</v>
      </c>
      <c r="AA13" s="111">
        <f t="shared" si="16"/>
        <v>0.4244041610345286</v>
      </c>
      <c r="AB13" s="111">
        <f t="shared" si="17"/>
        <v>7.6398435621625127E-2</v>
      </c>
      <c r="AC13" s="110">
        <f t="shared" si="1"/>
        <v>1.1110682135811289E-2</v>
      </c>
      <c r="AD13" s="97">
        <v>23.5</v>
      </c>
      <c r="AE13" s="97">
        <v>1.1968518213410904</v>
      </c>
      <c r="AF13" s="97">
        <v>0.16966999678231676</v>
      </c>
      <c r="AG13" s="111">
        <v>9.62370596035345E-2</v>
      </c>
      <c r="AH13" s="111">
        <f t="shared" si="18"/>
        <v>6.0829246244529102E-2</v>
      </c>
      <c r="AI13" s="111">
        <f t="shared" si="19"/>
        <v>-2.4074002735928988E-2</v>
      </c>
      <c r="AJ13" s="111">
        <f t="shared" si="20"/>
        <v>3.5407813359005398E-2</v>
      </c>
      <c r="AK13" s="112">
        <f t="shared" si="2"/>
        <v>0.86266733298756015</v>
      </c>
    </row>
    <row r="14" spans="1:37" x14ac:dyDescent="0.25">
      <c r="A14" s="108">
        <v>2024</v>
      </c>
      <c r="B14" s="109">
        <v>304.77999999999997</v>
      </c>
      <c r="C14" s="109">
        <v>1.299872477042332</v>
      </c>
      <c r="D14" s="109">
        <v>93.33</v>
      </c>
      <c r="E14" s="109">
        <f>1.33145805984862</f>
        <v>1.3314580598486201</v>
      </c>
      <c r="F14" s="109">
        <f t="shared" si="3"/>
        <v>1.2639599866381372</v>
      </c>
      <c r="G14" s="110">
        <f t="shared" si="4"/>
        <v>6.7498073210482845E-2</v>
      </c>
      <c r="H14" s="98">
        <v>0.29895653992934185</v>
      </c>
      <c r="I14" s="113">
        <f t="shared" si="5"/>
        <v>6.1761862112424834E-2</v>
      </c>
      <c r="J14" s="110">
        <f t="shared" si="6"/>
        <v>0.29478773323886165</v>
      </c>
      <c r="K14" s="110">
        <f t="shared" si="7"/>
        <v>-5.2762456887411546E-2</v>
      </c>
      <c r="L14" s="110">
        <f t="shared" si="8"/>
        <v>4.1688066904801979E-3</v>
      </c>
      <c r="M14" s="109">
        <v>39.779999999999994</v>
      </c>
      <c r="N14" s="109">
        <v>1.3519247340203633</v>
      </c>
      <c r="O14" s="109">
        <f t="shared" si="9"/>
        <v>1.2456570485452252</v>
      </c>
      <c r="P14" s="110">
        <f t="shared" si="10"/>
        <v>0.1062676854751381</v>
      </c>
      <c r="Q14" s="98">
        <v>0.1254950363321565</v>
      </c>
      <c r="R14" s="110">
        <f t="shared" si="11"/>
        <v>0.13236475657835856</v>
      </c>
      <c r="S14" s="110">
        <f t="shared" si="12"/>
        <v>6.2614686331541325E-4</v>
      </c>
      <c r="T14" s="110">
        <f t="shared" si="0"/>
        <v>-6.8697202462020546E-3</v>
      </c>
      <c r="U14" s="109">
        <v>128.61000000000001</v>
      </c>
      <c r="V14" s="109">
        <v>1.257428726322471</v>
      </c>
      <c r="W14" s="109">
        <f t="shared" si="13"/>
        <v>1.0586759586461612</v>
      </c>
      <c r="X14" s="110">
        <f t="shared" si="14"/>
        <v>0.19875276767630989</v>
      </c>
      <c r="Y14" s="96">
        <v>0.43622007097786519</v>
      </c>
      <c r="Z14" s="114">
        <f t="shared" si="15"/>
        <v>3.5482666016195463E-3</v>
      </c>
      <c r="AA14" s="111">
        <f t="shared" si="16"/>
        <v>0.43551484317033989</v>
      </c>
      <c r="AB14" s="111">
        <f t="shared" si="17"/>
        <v>1.1110682135811289E-2</v>
      </c>
      <c r="AC14" s="110">
        <f t="shared" si="1"/>
        <v>7.0522780752529934E-4</v>
      </c>
      <c r="AD14" s="97">
        <v>30.46</v>
      </c>
      <c r="AE14" s="97">
        <v>1.2529108273419365</v>
      </c>
      <c r="AF14" s="97">
        <v>5.6059006000846123E-2</v>
      </c>
      <c r="AG14" s="111">
        <v>0.10368693103230116</v>
      </c>
      <c r="AH14" s="111">
        <f t="shared" si="18"/>
        <v>9.62370596035345E-2</v>
      </c>
      <c r="AI14" s="111">
        <f t="shared" si="19"/>
        <v>3.5407813359005398E-2</v>
      </c>
      <c r="AJ14" s="111">
        <f t="shared" si="20"/>
        <v>7.4498714287666579E-3</v>
      </c>
      <c r="AK14" s="112">
        <f t="shared" si="2"/>
        <v>0.86067164723936362</v>
      </c>
    </row>
    <row r="15" spans="1:37" x14ac:dyDescent="0.25">
      <c r="A15" s="108">
        <v>2025</v>
      </c>
      <c r="B15" s="109">
        <v>337.12</v>
      </c>
      <c r="C15" s="109">
        <v>1.2294086406224951</v>
      </c>
      <c r="D15" s="109">
        <v>91.149999999999991</v>
      </c>
      <c r="E15" s="109">
        <v>1.2671730094456728</v>
      </c>
      <c r="F15" s="109">
        <f t="shared" si="3"/>
        <v>1.3314580598486201</v>
      </c>
      <c r="G15" s="110">
        <f t="shared" si="4"/>
        <v>-6.4285050402947297E-2</v>
      </c>
      <c r="H15" s="98">
        <v>0.26232066336048665</v>
      </c>
      <c r="I15" s="113">
        <f t="shared" si="5"/>
        <v>0.56989729865990024</v>
      </c>
      <c r="J15" s="110">
        <f t="shared" si="6"/>
        <v>0.29895653992934185</v>
      </c>
      <c r="K15" s="110">
        <f t="shared" si="7"/>
        <v>4.1688066904801979E-3</v>
      </c>
      <c r="L15" s="110">
        <f t="shared" si="8"/>
        <v>-3.6635876568855197E-2</v>
      </c>
      <c r="M15" s="109">
        <v>48.069999999999993</v>
      </c>
      <c r="N15" s="109">
        <v>1.2860247791586186</v>
      </c>
      <c r="O15" s="109">
        <f t="shared" si="9"/>
        <v>1.3519247340203633</v>
      </c>
      <c r="P15" s="110">
        <f t="shared" si="10"/>
        <v>-6.5899954861744714E-2</v>
      </c>
      <c r="Q15" s="98">
        <v>0.13631276535084458</v>
      </c>
      <c r="R15" s="110">
        <f t="shared" si="11"/>
        <v>0.1254950363321565</v>
      </c>
      <c r="S15" s="110">
        <f t="shared" si="12"/>
        <v>-6.8697202462020546E-3</v>
      </c>
      <c r="T15" s="110">
        <f t="shared" si="0"/>
        <v>1.0817729018688077E-2</v>
      </c>
      <c r="U15" s="109">
        <v>152.19</v>
      </c>
      <c r="V15" s="109">
        <v>1.200740155830178</v>
      </c>
      <c r="W15" s="109">
        <f t="shared" si="13"/>
        <v>1.257428726322471</v>
      </c>
      <c r="X15" s="110">
        <f t="shared" si="14"/>
        <v>-5.6688570492293033E-2</v>
      </c>
      <c r="Y15" s="96">
        <v>0.46222009779203249</v>
      </c>
      <c r="Z15" s="114">
        <f t="shared" si="15"/>
        <v>-0.45864671817226499</v>
      </c>
      <c r="AA15" s="111">
        <f t="shared" si="16"/>
        <v>0.43622007097786519</v>
      </c>
      <c r="AB15" s="111">
        <f t="shared" si="17"/>
        <v>7.0522780752529934E-4</v>
      </c>
      <c r="AC15" s="110">
        <f t="shared" si="1"/>
        <v>2.6000026814167299E-2</v>
      </c>
      <c r="AD15" s="97">
        <v>34.61</v>
      </c>
      <c r="AE15" s="97">
        <v>1.1476803278207428</v>
      </c>
      <c r="AF15" s="97">
        <v>-0.10523049952119368</v>
      </c>
      <c r="AG15" s="111">
        <v>0.10997460344140988</v>
      </c>
      <c r="AH15" s="111">
        <f t="shared" si="18"/>
        <v>0.10368693103230116</v>
      </c>
      <c r="AI15" s="111">
        <f t="shared" si="19"/>
        <v>7.4498714287666579E-3</v>
      </c>
      <c r="AJ15" s="111">
        <f t="shared" si="20"/>
        <v>6.2876724091087272E-3</v>
      </c>
      <c r="AK15" s="112">
        <f t="shared" si="2"/>
        <v>0.86085352650336366</v>
      </c>
    </row>
    <row r="32" spans="11:13" x14ac:dyDescent="0.25">
      <c r="K32" s="86">
        <v>0.26232066336048665</v>
      </c>
      <c r="L32" s="86">
        <v>0.20922973927303723</v>
      </c>
      <c r="M32" s="86">
        <f>L32-K32</f>
        <v>-5.309092408744942E-2</v>
      </c>
    </row>
    <row r="33" spans="11:17" x14ac:dyDescent="0.25">
      <c r="K33" s="86">
        <v>1.2671730094456728</v>
      </c>
      <c r="L33" s="86">
        <v>1.3522727272727273</v>
      </c>
      <c r="M33" s="86">
        <f>L33-K33</f>
        <v>8.50997178270545E-2</v>
      </c>
    </row>
    <row r="35" spans="11:17" x14ac:dyDescent="0.25">
      <c r="K35" s="86">
        <v>0.20922973927303723</v>
      </c>
      <c r="L35" s="101">
        <v>0.21376047790940084</v>
      </c>
      <c r="M35" s="86">
        <f>L35-K35</f>
        <v>4.5307386363636071E-3</v>
      </c>
    </row>
    <row r="36" spans="11:17" x14ac:dyDescent="0.25">
      <c r="K36" s="86">
        <v>1.3522727272727273</v>
      </c>
      <c r="L36" s="86">
        <v>1.2215909090909092</v>
      </c>
      <c r="M36" s="86">
        <f>L36-K36</f>
        <v>-0.13068181818181812</v>
      </c>
      <c r="Q36" s="86">
        <f>47.22+22.18</f>
        <v>69.400000000000006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90A-3572-4D43-A70B-FC8868F16E37}">
  <dimension ref="D2:V22"/>
  <sheetViews>
    <sheetView topLeftCell="C8" zoomScale="80" zoomScaleNormal="80" workbookViewId="0">
      <selection activeCell="M22" sqref="M22"/>
    </sheetView>
  </sheetViews>
  <sheetFormatPr defaultRowHeight="13.8" x14ac:dyDescent="0.25"/>
  <cols>
    <col min="1" max="3" width="8.88671875" style="86"/>
    <col min="4" max="4" width="5.5546875" style="86" bestFit="1" customWidth="1"/>
    <col min="5" max="5" width="14.88671875" style="86" bestFit="1" customWidth="1"/>
    <col min="6" max="6" width="19.109375" style="86" customWidth="1"/>
    <col min="7" max="7" width="18.109375" style="86" customWidth="1"/>
    <col min="8" max="8" width="20.6640625" style="86" customWidth="1"/>
    <col min="9" max="12" width="8.88671875" style="86"/>
    <col min="13" max="13" width="11.77734375" style="86" customWidth="1"/>
    <col min="14" max="14" width="15.33203125" style="86" customWidth="1"/>
    <col min="15" max="15" width="14.21875" style="86" customWidth="1"/>
    <col min="16" max="21" width="8.88671875" style="86"/>
    <col min="22" max="22" width="15.109375" style="86" customWidth="1"/>
    <col min="23" max="16384" width="8.88671875" style="86"/>
  </cols>
  <sheetData>
    <row r="2" spans="4:22" x14ac:dyDescent="0.25">
      <c r="D2" s="118"/>
      <c r="E2" s="119" t="s">
        <v>156</v>
      </c>
      <c r="F2" s="119"/>
      <c r="G2" s="119"/>
      <c r="H2" s="119"/>
    </row>
    <row r="3" spans="4:22" x14ac:dyDescent="0.25">
      <c r="D3" s="118"/>
      <c r="E3" s="119" t="s">
        <v>138</v>
      </c>
      <c r="F3" s="119"/>
      <c r="G3" s="119"/>
      <c r="H3" s="119"/>
    </row>
    <row r="4" spans="4:22" ht="41.4" x14ac:dyDescent="0.25">
      <c r="D4" s="117" t="s">
        <v>139</v>
      </c>
      <c r="E4" s="102" t="s">
        <v>157</v>
      </c>
      <c r="F4" s="103" t="s">
        <v>141</v>
      </c>
      <c r="G4" s="103" t="s">
        <v>142</v>
      </c>
      <c r="H4" s="103" t="s">
        <v>143</v>
      </c>
    </row>
    <row r="5" spans="4:22" ht="41.4" x14ac:dyDescent="0.25">
      <c r="D5" s="117"/>
      <c r="E5" s="103" t="s">
        <v>144</v>
      </c>
      <c r="F5" s="104" t="s">
        <v>145</v>
      </c>
      <c r="G5" s="104" t="s">
        <v>146</v>
      </c>
      <c r="H5" s="104" t="s">
        <v>147</v>
      </c>
    </row>
    <row r="6" spans="4:22" ht="55.2" x14ac:dyDescent="0.25">
      <c r="D6" s="117"/>
      <c r="E6" s="103" t="s">
        <v>148</v>
      </c>
      <c r="F6" s="104" t="s">
        <v>149</v>
      </c>
      <c r="G6" s="104" t="s">
        <v>150</v>
      </c>
      <c r="H6" s="104" t="s">
        <v>151</v>
      </c>
    </row>
    <row r="7" spans="4:22" ht="55.2" x14ac:dyDescent="0.25">
      <c r="D7" s="117"/>
      <c r="E7" s="103" t="s">
        <v>152</v>
      </c>
      <c r="F7" s="104" t="s">
        <v>153</v>
      </c>
      <c r="G7" s="104" t="s">
        <v>154</v>
      </c>
      <c r="H7" s="104" t="s">
        <v>155</v>
      </c>
    </row>
    <row r="10" spans="4:22" x14ac:dyDescent="0.25">
      <c r="D10" s="118"/>
      <c r="E10" s="119" t="s">
        <v>158</v>
      </c>
      <c r="F10" s="119"/>
      <c r="G10" s="119"/>
      <c r="H10" s="119"/>
      <c r="J10" s="100"/>
      <c r="K10" s="99" t="s">
        <v>159</v>
      </c>
      <c r="L10" s="100">
        <v>0.5</v>
      </c>
      <c r="M10" s="99" t="s">
        <v>160</v>
      </c>
      <c r="N10" s="100">
        <v>0.5</v>
      </c>
      <c r="O10" s="100"/>
      <c r="Q10" s="100"/>
      <c r="R10" s="99" t="s">
        <v>159</v>
      </c>
      <c r="S10" s="100">
        <v>0.3</v>
      </c>
      <c r="T10" s="99" t="s">
        <v>160</v>
      </c>
      <c r="U10" s="100">
        <v>0.7</v>
      </c>
      <c r="V10" s="100"/>
    </row>
    <row r="11" spans="4:22" x14ac:dyDescent="0.25">
      <c r="D11" s="118"/>
      <c r="E11" s="119" t="s">
        <v>139</v>
      </c>
      <c r="F11" s="119"/>
      <c r="G11" s="119"/>
      <c r="H11" s="119"/>
      <c r="J11" s="99" t="s">
        <v>139</v>
      </c>
      <c r="K11" s="99" t="s">
        <v>161</v>
      </c>
      <c r="L11" s="99" t="s">
        <v>162</v>
      </c>
      <c r="M11" s="99" t="s">
        <v>163</v>
      </c>
      <c r="N11" s="99" t="s">
        <v>164</v>
      </c>
      <c r="O11" s="99" t="s">
        <v>165</v>
      </c>
      <c r="Q11" s="99" t="s">
        <v>140</v>
      </c>
      <c r="R11" s="99" t="s">
        <v>161</v>
      </c>
      <c r="S11" s="99" t="s">
        <v>162</v>
      </c>
      <c r="T11" s="99" t="s">
        <v>163</v>
      </c>
      <c r="U11" s="99" t="s">
        <v>164</v>
      </c>
      <c r="V11" s="99" t="s">
        <v>165</v>
      </c>
    </row>
    <row r="12" spans="4:22" ht="41.4" x14ac:dyDescent="0.25">
      <c r="D12" s="117" t="s">
        <v>140</v>
      </c>
      <c r="E12" s="102" t="s">
        <v>157</v>
      </c>
      <c r="F12" s="103" t="s">
        <v>144</v>
      </c>
      <c r="G12" s="103" t="s">
        <v>148</v>
      </c>
      <c r="H12" s="103" t="s">
        <v>152</v>
      </c>
      <c r="J12" s="103" t="s">
        <v>166</v>
      </c>
      <c r="K12" s="100">
        <v>51.52</v>
      </c>
      <c r="L12" s="105">
        <v>0.48139999999999999</v>
      </c>
      <c r="M12" s="97">
        <f>(K12-$K$13)/($K$20-$K$13)</f>
        <v>4.4532409698170034E-3</v>
      </c>
      <c r="N12" s="97">
        <f>(L12-$L$19)/($L$14-$L$19)</f>
        <v>0.94366197183098688</v>
      </c>
      <c r="O12" s="97">
        <f>M12*$L$10+N12*$N$10</f>
        <v>0.47405760640040195</v>
      </c>
      <c r="Q12" s="103" t="s">
        <v>166</v>
      </c>
      <c r="R12" s="100">
        <v>118.49</v>
      </c>
      <c r="S12" s="105">
        <v>0.2092</v>
      </c>
      <c r="T12" s="97">
        <f>(R12-$KR$13)/($R$20-$R$13)</f>
        <v>1.2793133232563161</v>
      </c>
      <c r="U12" s="97">
        <f>(S12-$S$12)/($S$19-$S$12)</f>
        <v>0</v>
      </c>
      <c r="V12" s="97">
        <f>T12*$S$10+U12*$U$10</f>
        <v>0.38379399697689481</v>
      </c>
    </row>
    <row r="13" spans="4:22" ht="54.6" x14ac:dyDescent="0.25">
      <c r="D13" s="117"/>
      <c r="E13" s="103" t="s">
        <v>141</v>
      </c>
      <c r="F13" s="104" t="s">
        <v>145</v>
      </c>
      <c r="G13" s="104" t="s">
        <v>149</v>
      </c>
      <c r="H13" s="104" t="s">
        <v>153</v>
      </c>
      <c r="J13" s="104" t="s">
        <v>167</v>
      </c>
      <c r="K13" s="100">
        <v>51.16</v>
      </c>
      <c r="L13" s="105">
        <v>0.47810000000000002</v>
      </c>
      <c r="M13" s="97">
        <f t="shared" ref="M13:M20" si="0">(K13-$K$13)/($K$20-$K$13)</f>
        <v>0</v>
      </c>
      <c r="N13" s="97">
        <f t="shared" ref="N13:N20" si="1">(L13-$L$19)/($L$14-$L$19)</f>
        <v>0.78873239436619946</v>
      </c>
      <c r="O13" s="97">
        <f t="shared" ref="O13:O20" si="2">M13*$L$10+N13*$N$10</f>
        <v>0.39436619718309973</v>
      </c>
      <c r="Q13" s="104" t="s">
        <v>167</v>
      </c>
      <c r="R13" s="100">
        <v>60.57</v>
      </c>
      <c r="S13" s="105">
        <v>0.2137</v>
      </c>
      <c r="T13" s="97">
        <f t="shared" ref="T13:T20" si="3">(R13-$KR$13)/($R$20-$R$13)</f>
        <v>0.65396242712157193</v>
      </c>
      <c r="U13" s="97">
        <f t="shared" ref="U13:U20" si="4">(S13-$S$12)/($S$19-$S$12)</f>
        <v>0.16423357664233587</v>
      </c>
      <c r="V13" s="97">
        <f t="shared" ref="V13:V20" si="5">T13*$S$10+U13*$U$10</f>
        <v>0.31115223178610668</v>
      </c>
    </row>
    <row r="14" spans="4:22" ht="41.4" x14ac:dyDescent="0.25">
      <c r="D14" s="117"/>
      <c r="E14" s="103" t="s">
        <v>142</v>
      </c>
      <c r="F14" s="104" t="s">
        <v>146</v>
      </c>
      <c r="G14" s="104" t="s">
        <v>150</v>
      </c>
      <c r="H14" s="104" t="s">
        <v>154</v>
      </c>
      <c r="J14" s="104" t="s">
        <v>168</v>
      </c>
      <c r="K14" s="100">
        <v>51.65</v>
      </c>
      <c r="L14" s="105">
        <v>0.48259999999999997</v>
      </c>
      <c r="M14" s="97">
        <f t="shared" si="0"/>
        <v>6.0613557644730578E-3</v>
      </c>
      <c r="N14" s="97">
        <f t="shared" si="1"/>
        <v>1</v>
      </c>
      <c r="O14" s="97">
        <f t="shared" si="2"/>
        <v>0.50303067788223654</v>
      </c>
      <c r="Q14" s="104" t="s">
        <v>168</v>
      </c>
      <c r="R14" s="100">
        <v>138.07</v>
      </c>
      <c r="S14" s="105">
        <v>0.20760000000000001</v>
      </c>
      <c r="T14" s="97">
        <f t="shared" si="3"/>
        <v>1.4907147484344632</v>
      </c>
      <c r="U14" s="97">
        <f t="shared" si="4"/>
        <v>-5.8394160583941236E-2</v>
      </c>
      <c r="V14" s="97">
        <f t="shared" si="5"/>
        <v>0.40633851212158006</v>
      </c>
    </row>
    <row r="15" spans="4:22" ht="41.4" x14ac:dyDescent="0.25">
      <c r="D15" s="117"/>
      <c r="E15" s="103" t="s">
        <v>143</v>
      </c>
      <c r="F15" s="104" t="s">
        <v>147</v>
      </c>
      <c r="G15" s="104" t="s">
        <v>151</v>
      </c>
      <c r="H15" s="104" t="s">
        <v>155</v>
      </c>
      <c r="J15" s="104" t="s">
        <v>169</v>
      </c>
      <c r="K15" s="100">
        <v>96.89</v>
      </c>
      <c r="L15" s="105">
        <v>0.47220000000000001</v>
      </c>
      <c r="M15" s="97">
        <f t="shared" si="0"/>
        <v>0.56568530430479957</v>
      </c>
      <c r="N15" s="97">
        <f t="shared" si="1"/>
        <v>0.51173708920187921</v>
      </c>
      <c r="O15" s="97">
        <f t="shared" si="2"/>
        <v>0.53871119675333934</v>
      </c>
      <c r="Q15" s="104" t="s">
        <v>169</v>
      </c>
      <c r="R15" s="100">
        <v>125.6</v>
      </c>
      <c r="S15" s="105">
        <v>0.2218</v>
      </c>
      <c r="T15" s="97">
        <f t="shared" si="3"/>
        <v>1.3560786007341825</v>
      </c>
      <c r="U15" s="97">
        <f t="shared" si="4"/>
        <v>0.45985401459854003</v>
      </c>
      <c r="V15" s="97">
        <f t="shared" si="5"/>
        <v>0.72872139043923267</v>
      </c>
    </row>
    <row r="16" spans="4:22" ht="27.6" x14ac:dyDescent="0.25">
      <c r="J16" s="104" t="s">
        <v>170</v>
      </c>
      <c r="K16" s="100">
        <v>96.21</v>
      </c>
      <c r="L16" s="105">
        <v>0.46879999999999999</v>
      </c>
      <c r="M16" s="97">
        <f t="shared" si="0"/>
        <v>0.55727362691736759</v>
      </c>
      <c r="N16" s="97">
        <f t="shared" si="1"/>
        <v>0.35211267605633856</v>
      </c>
      <c r="O16" s="97">
        <f t="shared" si="2"/>
        <v>0.45469315148685308</v>
      </c>
      <c r="Q16" s="104" t="s">
        <v>170</v>
      </c>
      <c r="R16" s="100">
        <v>64.12</v>
      </c>
      <c r="S16" s="105">
        <v>0.2263</v>
      </c>
      <c r="T16" s="97">
        <f t="shared" si="3"/>
        <v>0.69229108183977539</v>
      </c>
      <c r="U16" s="97">
        <f t="shared" si="4"/>
        <v>0.62408759124087587</v>
      </c>
      <c r="V16" s="97">
        <f t="shared" si="5"/>
        <v>0.64454863842054566</v>
      </c>
    </row>
    <row r="17" spans="4:22" ht="27.6" x14ac:dyDescent="0.25">
      <c r="D17" s="118"/>
      <c r="E17" s="119" t="s">
        <v>156</v>
      </c>
      <c r="F17" s="119"/>
      <c r="G17" s="119"/>
      <c r="H17" s="119"/>
      <c r="J17" s="104" t="s">
        <v>171</v>
      </c>
      <c r="K17" s="100">
        <v>97.14</v>
      </c>
      <c r="L17" s="105">
        <v>0.47339999999999999</v>
      </c>
      <c r="M17" s="97">
        <f t="shared" si="0"/>
        <v>0.56877783275606142</v>
      </c>
      <c r="N17" s="97">
        <f t="shared" si="1"/>
        <v>0.56807511737089234</v>
      </c>
      <c r="O17" s="97">
        <f t="shared" si="2"/>
        <v>0.56842647506347688</v>
      </c>
      <c r="Q17" s="104" t="s">
        <v>171</v>
      </c>
      <c r="R17" s="100">
        <v>146.31</v>
      </c>
      <c r="S17" s="105">
        <v>0.22009999999999999</v>
      </c>
      <c r="T17" s="97">
        <f t="shared" si="3"/>
        <v>1.5796804145972791</v>
      </c>
      <c r="U17" s="97">
        <f t="shared" si="4"/>
        <v>0.39781021897810181</v>
      </c>
      <c r="V17" s="97">
        <f t="shared" si="5"/>
        <v>0.75237127766385492</v>
      </c>
    </row>
    <row r="18" spans="4:22" x14ac:dyDescent="0.25">
      <c r="D18" s="118"/>
      <c r="E18" s="119" t="s">
        <v>139</v>
      </c>
      <c r="F18" s="119"/>
      <c r="G18" s="119"/>
      <c r="H18" s="119"/>
      <c r="J18" s="104" t="s">
        <v>172</v>
      </c>
      <c r="K18" s="100">
        <v>131</v>
      </c>
      <c r="L18" s="105">
        <v>0.46460000000000001</v>
      </c>
      <c r="M18" s="97">
        <f t="shared" si="0"/>
        <v>0.98762988619495296</v>
      </c>
      <c r="N18" s="97">
        <f t="shared" si="1"/>
        <v>0.15492957746479002</v>
      </c>
      <c r="O18" s="97">
        <f t="shared" si="2"/>
        <v>0.57127973182987146</v>
      </c>
      <c r="Q18" s="104" t="s">
        <v>172</v>
      </c>
      <c r="R18" s="100">
        <v>131.41</v>
      </c>
      <c r="S18" s="105">
        <v>0.23200000000000001</v>
      </c>
      <c r="T18" s="97">
        <f t="shared" si="3"/>
        <v>1.4188080328222845</v>
      </c>
      <c r="U18" s="97">
        <f t="shared" si="4"/>
        <v>0.8321167883211682</v>
      </c>
      <c r="V18" s="97">
        <f t="shared" si="5"/>
        <v>1.0081241616715029</v>
      </c>
    </row>
    <row r="19" spans="4:22" ht="41.4" x14ac:dyDescent="0.25">
      <c r="D19" s="117" t="s">
        <v>140</v>
      </c>
      <c r="E19" s="102" t="s">
        <v>157</v>
      </c>
      <c r="F19" s="103" t="s">
        <v>144</v>
      </c>
      <c r="G19" s="103" t="s">
        <v>148</v>
      </c>
      <c r="H19" s="103" t="s">
        <v>152</v>
      </c>
      <c r="J19" s="104" t="s">
        <v>173</v>
      </c>
      <c r="K19" s="100">
        <v>130</v>
      </c>
      <c r="L19" s="105">
        <v>0.46129999999999999</v>
      </c>
      <c r="M19" s="97">
        <f t="shared" si="0"/>
        <v>0.97525977238990602</v>
      </c>
      <c r="N19" s="97">
        <f t="shared" si="1"/>
        <v>0</v>
      </c>
      <c r="O19" s="97">
        <f t="shared" si="2"/>
        <v>0.48762988619495301</v>
      </c>
      <c r="Q19" s="104" t="s">
        <v>173</v>
      </c>
      <c r="R19" s="100">
        <v>67.03</v>
      </c>
      <c r="S19" s="105">
        <v>0.2366</v>
      </c>
      <c r="T19" s="97">
        <f t="shared" si="3"/>
        <v>0.72370978190455626</v>
      </c>
      <c r="U19" s="97">
        <f t="shared" si="4"/>
        <v>1</v>
      </c>
      <c r="V19" s="97">
        <f t="shared" si="5"/>
        <v>0.91711293457136689</v>
      </c>
    </row>
    <row r="20" spans="4:22" ht="42.6" customHeight="1" x14ac:dyDescent="0.25">
      <c r="D20" s="117"/>
      <c r="E20" s="103" t="s">
        <v>141</v>
      </c>
      <c r="F20" s="104" t="s">
        <v>174</v>
      </c>
      <c r="G20" s="104" t="s">
        <v>175</v>
      </c>
      <c r="H20" s="104" t="s">
        <v>176</v>
      </c>
      <c r="J20" s="104" t="s">
        <v>177</v>
      </c>
      <c r="K20" s="100">
        <v>132</v>
      </c>
      <c r="L20" s="105">
        <v>0.46579999999999999</v>
      </c>
      <c r="M20" s="97">
        <f t="shared" si="0"/>
        <v>1</v>
      </c>
      <c r="N20" s="97">
        <f t="shared" si="1"/>
        <v>0.21126760563380315</v>
      </c>
      <c r="O20" s="97">
        <f t="shared" si="2"/>
        <v>0.6056338028169016</v>
      </c>
      <c r="Q20" s="104" t="s">
        <v>177</v>
      </c>
      <c r="R20" s="100">
        <v>153.19</v>
      </c>
      <c r="S20" s="105">
        <v>0.23039999999999999</v>
      </c>
      <c r="T20" s="97">
        <f t="shared" si="3"/>
        <v>1.6539624271215718</v>
      </c>
      <c r="U20" s="97">
        <f t="shared" si="4"/>
        <v>0.77372262773722589</v>
      </c>
      <c r="V20" s="97">
        <f t="shared" si="5"/>
        <v>1.0377945675525297</v>
      </c>
    </row>
    <row r="21" spans="4:22" ht="41.4" x14ac:dyDescent="0.25">
      <c r="D21" s="117"/>
      <c r="E21" s="103" t="s">
        <v>142</v>
      </c>
      <c r="F21" s="104" t="s">
        <v>178</v>
      </c>
      <c r="G21" s="104" t="s">
        <v>179</v>
      </c>
      <c r="H21" s="104" t="s">
        <v>180</v>
      </c>
    </row>
    <row r="22" spans="4:22" ht="41.4" x14ac:dyDescent="0.25">
      <c r="D22" s="117"/>
      <c r="E22" s="103" t="s">
        <v>143</v>
      </c>
      <c r="F22" s="104" t="s">
        <v>181</v>
      </c>
      <c r="G22" s="104" t="s">
        <v>182</v>
      </c>
      <c r="H22" s="104" t="s">
        <v>183</v>
      </c>
    </row>
  </sheetData>
  <mergeCells count="12">
    <mergeCell ref="D2:D3"/>
    <mergeCell ref="E2:H2"/>
    <mergeCell ref="E3:H3"/>
    <mergeCell ref="D4:D7"/>
    <mergeCell ref="D10:D11"/>
    <mergeCell ref="E10:H10"/>
    <mergeCell ref="E11:H11"/>
    <mergeCell ref="D12:D15"/>
    <mergeCell ref="D17:D18"/>
    <mergeCell ref="E17:H17"/>
    <mergeCell ref="E18:H18"/>
    <mergeCell ref="D19:D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A06B-77DF-4907-A4B3-1669F9E198BB}">
  <dimension ref="B1:M24"/>
  <sheetViews>
    <sheetView workbookViewId="0">
      <selection activeCell="F8" sqref="F8"/>
    </sheetView>
  </sheetViews>
  <sheetFormatPr defaultRowHeight="13.8" x14ac:dyDescent="0.25"/>
  <cols>
    <col min="1" max="1" width="4.5546875" style="121" customWidth="1"/>
    <col min="2" max="2" width="28.44140625" style="121" customWidth="1"/>
    <col min="3" max="3" width="10.5546875" style="121" customWidth="1"/>
    <col min="4" max="4" width="5.21875" style="121" customWidth="1"/>
    <col min="5" max="5" width="22.44140625" style="121" customWidth="1"/>
    <col min="6" max="6" width="12.6640625" style="121" customWidth="1"/>
    <col min="7" max="7" width="8.88671875" style="121"/>
    <col min="8" max="8" width="18.5546875" style="121" customWidth="1"/>
    <col min="9" max="9" width="8.88671875" style="121"/>
    <col min="10" max="10" width="6.109375" style="121" customWidth="1"/>
    <col min="11" max="11" width="21.44140625" style="121" customWidth="1"/>
    <col min="12" max="12" width="14.21875" style="121" customWidth="1"/>
    <col min="13" max="16384" width="8.88671875" style="121"/>
  </cols>
  <sheetData>
    <row r="1" spans="2:13" ht="14.4" x14ac:dyDescent="0.3">
      <c r="B1" s="162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2:13" ht="14.4" x14ac:dyDescent="0.3">
      <c r="B2" s="164" t="s">
        <v>184</v>
      </c>
      <c r="C2" s="165" t="s">
        <v>185</v>
      </c>
      <c r="D2" s="166"/>
      <c r="E2" s="165" t="s">
        <v>186</v>
      </c>
      <c r="F2" s="165" t="s">
        <v>185</v>
      </c>
      <c r="G2" s="166"/>
      <c r="H2" s="165" t="s">
        <v>187</v>
      </c>
      <c r="I2" s="165" t="s">
        <v>188</v>
      </c>
      <c r="J2" s="166"/>
      <c r="K2" s="167" t="s">
        <v>189</v>
      </c>
      <c r="L2" s="165" t="s">
        <v>190</v>
      </c>
      <c r="M2" s="163"/>
    </row>
    <row r="3" spans="2:13" ht="27.6" x14ac:dyDescent="0.3">
      <c r="B3" s="168" t="s">
        <v>191</v>
      </c>
      <c r="C3" s="169">
        <v>3372.9697890000002</v>
      </c>
      <c r="D3" s="163"/>
      <c r="E3" s="168" t="s">
        <v>192</v>
      </c>
      <c r="F3" s="170">
        <f>C14*3%</f>
        <v>2.1387309246987689</v>
      </c>
      <c r="G3" s="163"/>
      <c r="H3" s="171" t="s">
        <v>193</v>
      </c>
      <c r="I3" s="172">
        <v>0.25</v>
      </c>
      <c r="J3" s="173"/>
      <c r="K3" s="171" t="s">
        <v>194</v>
      </c>
      <c r="L3" s="174">
        <v>98</v>
      </c>
      <c r="M3" s="163"/>
    </row>
    <row r="4" spans="2:13" ht="41.4" x14ac:dyDescent="0.3">
      <c r="B4" s="175" t="s">
        <v>195</v>
      </c>
      <c r="C4" s="169">
        <f>C3/0.65</f>
        <v>5189.1842907692308</v>
      </c>
      <c r="D4" s="163"/>
      <c r="E4" s="168" t="s">
        <v>196</v>
      </c>
      <c r="F4" s="170">
        <f>0.63%*96</f>
        <v>0.6048</v>
      </c>
      <c r="G4" s="163"/>
      <c r="H4" s="171" t="s">
        <v>197</v>
      </c>
      <c r="I4" s="174" t="s">
        <v>198</v>
      </c>
      <c r="J4" s="173"/>
      <c r="K4" s="176" t="s">
        <v>199</v>
      </c>
      <c r="L4" s="177">
        <f>6000*88/25000</f>
        <v>21.12</v>
      </c>
      <c r="M4" s="163"/>
    </row>
    <row r="5" spans="2:13" ht="14.4" x14ac:dyDescent="0.3">
      <c r="B5" s="175" t="s">
        <v>200</v>
      </c>
      <c r="C5" s="169">
        <f>C4/100</f>
        <v>51.891842907692308</v>
      </c>
      <c r="D5" s="163"/>
      <c r="E5" s="178" t="s">
        <v>104</v>
      </c>
      <c r="F5" s="179">
        <f>SUM(F3:F4)</f>
        <v>2.7435309246987689</v>
      </c>
      <c r="G5" s="163"/>
      <c r="H5" s="163"/>
      <c r="I5" s="163"/>
      <c r="J5" s="163"/>
      <c r="K5" s="176" t="s">
        <v>201</v>
      </c>
      <c r="L5" s="177">
        <f>L3*0.5%</f>
        <v>0.49</v>
      </c>
      <c r="M5" s="163"/>
    </row>
    <row r="6" spans="2:13" ht="27.6" x14ac:dyDescent="0.3">
      <c r="B6" s="175" t="s">
        <v>202</v>
      </c>
      <c r="C6" s="174">
        <v>0.55000000000000004</v>
      </c>
      <c r="D6" s="163"/>
      <c r="E6" s="163"/>
      <c r="F6" s="163"/>
      <c r="G6" s="163"/>
      <c r="H6" s="163"/>
      <c r="I6" s="163"/>
      <c r="J6" s="163"/>
      <c r="K6" s="176" t="s">
        <v>203</v>
      </c>
      <c r="L6" s="177">
        <f>L3+L4+L5</f>
        <v>119.61</v>
      </c>
      <c r="M6" s="163"/>
    </row>
    <row r="7" spans="2:13" ht="14.4" x14ac:dyDescent="0.3">
      <c r="B7" s="175" t="s">
        <v>204</v>
      </c>
      <c r="C7" s="169">
        <f>C3*0.02/100</f>
        <v>0.67459395780000009</v>
      </c>
      <c r="D7" s="163"/>
      <c r="E7" s="180" t="s">
        <v>161</v>
      </c>
      <c r="F7" s="180" t="s">
        <v>205</v>
      </c>
      <c r="G7" s="162"/>
      <c r="H7" s="163"/>
      <c r="I7" s="163"/>
      <c r="J7" s="163"/>
      <c r="K7" s="176" t="s">
        <v>206</v>
      </c>
      <c r="L7" s="177">
        <f>L6/88</f>
        <v>1.3592045454545454</v>
      </c>
      <c r="M7" s="163"/>
    </row>
    <row r="8" spans="2:13" ht="41.4" x14ac:dyDescent="0.3">
      <c r="B8" s="175" t="s">
        <v>207</v>
      </c>
      <c r="C8" s="169">
        <f>C3*0.02/100</f>
        <v>0.67459395780000009</v>
      </c>
      <c r="D8" s="163"/>
      <c r="E8" s="184" t="s">
        <v>208</v>
      </c>
      <c r="F8" s="169">
        <f>L3-C14</f>
        <v>26.708969176707697</v>
      </c>
      <c r="G8" s="181"/>
      <c r="H8" s="163"/>
      <c r="I8" s="163"/>
      <c r="J8" s="163"/>
      <c r="K8" s="164" t="s">
        <v>209</v>
      </c>
      <c r="L8" s="177">
        <f>L7*1.4</f>
        <v>1.9028863636363633</v>
      </c>
      <c r="M8" s="163"/>
    </row>
    <row r="9" spans="2:13" ht="41.4" x14ac:dyDescent="0.3">
      <c r="B9" s="175" t="s">
        <v>210</v>
      </c>
      <c r="C9" s="174">
        <v>12</v>
      </c>
      <c r="D9" s="163"/>
      <c r="E9" s="185" t="s">
        <v>211</v>
      </c>
      <c r="F9" s="157">
        <f>F8/C14</f>
        <v>0.3746469768814355</v>
      </c>
      <c r="G9" s="158"/>
      <c r="H9" s="163"/>
      <c r="I9" s="163"/>
      <c r="J9" s="163"/>
      <c r="K9" s="163"/>
      <c r="L9" s="163"/>
      <c r="M9" s="163"/>
    </row>
    <row r="10" spans="2:13" ht="27.6" x14ac:dyDescent="0.3">
      <c r="B10" s="175" t="s">
        <v>212</v>
      </c>
      <c r="C10" s="174">
        <v>3</v>
      </c>
      <c r="D10" s="163"/>
      <c r="E10" s="186" t="s">
        <v>213</v>
      </c>
      <c r="F10" s="169">
        <f>F8*0.75-F5</f>
        <v>17.288195957832002</v>
      </c>
      <c r="G10" s="181"/>
      <c r="H10" s="163"/>
      <c r="I10" s="163"/>
      <c r="J10" s="159"/>
      <c r="K10" s="163"/>
      <c r="L10" s="163"/>
      <c r="M10" s="163"/>
    </row>
    <row r="11" spans="2:13" ht="14.4" x14ac:dyDescent="0.3">
      <c r="B11" s="175" t="s">
        <v>214</v>
      </c>
      <c r="C11" s="174">
        <v>0.5</v>
      </c>
      <c r="D11" s="163"/>
      <c r="E11" s="184" t="s">
        <v>215</v>
      </c>
      <c r="F11" s="160">
        <f>F10/L3</f>
        <v>0.17641016283502042</v>
      </c>
      <c r="G11" s="158"/>
      <c r="H11" s="163"/>
      <c r="I11" s="163"/>
      <c r="J11" s="159"/>
      <c r="K11" s="163"/>
      <c r="L11" s="163"/>
      <c r="M11" s="163"/>
    </row>
    <row r="12" spans="2:13" ht="27.6" x14ac:dyDescent="0.3">
      <c r="B12" s="175" t="s">
        <v>216</v>
      </c>
      <c r="C12" s="174">
        <v>1</v>
      </c>
      <c r="D12" s="163"/>
      <c r="E12" s="163"/>
      <c r="F12" s="163"/>
      <c r="G12" s="163"/>
      <c r="H12" s="163"/>
      <c r="I12" s="163"/>
      <c r="J12" s="161"/>
      <c r="K12" s="163"/>
      <c r="L12" s="163"/>
      <c r="M12" s="163"/>
    </row>
    <row r="13" spans="2:13" ht="14.4" x14ac:dyDescent="0.3">
      <c r="B13" s="175" t="s">
        <v>217</v>
      </c>
      <c r="C13" s="174">
        <v>1</v>
      </c>
      <c r="D13" s="163"/>
      <c r="E13" s="163"/>
      <c r="F13" s="182"/>
      <c r="G13" s="182"/>
      <c r="H13" s="163"/>
      <c r="I13" s="163"/>
      <c r="J13" s="163"/>
      <c r="K13" s="163"/>
      <c r="L13" s="163"/>
      <c r="M13" s="163"/>
    </row>
    <row r="14" spans="2:13" ht="14.4" x14ac:dyDescent="0.3">
      <c r="B14" s="183" t="s">
        <v>218</v>
      </c>
      <c r="C14" s="179">
        <f>SUM(C5:C13)</f>
        <v>71.291030823292303</v>
      </c>
      <c r="D14" s="163"/>
      <c r="E14" s="163"/>
      <c r="F14" s="163"/>
      <c r="G14" s="182"/>
      <c r="H14" s="163"/>
      <c r="I14" s="163"/>
      <c r="J14" s="163"/>
      <c r="K14" s="163"/>
      <c r="L14" s="163"/>
      <c r="M14" s="163"/>
    </row>
    <row r="15" spans="2:13" ht="14.4" x14ac:dyDescent="0.3">
      <c r="B15" s="163"/>
      <c r="C15" s="163"/>
      <c r="D15" s="163"/>
      <c r="E15" s="163"/>
      <c r="F15" s="182"/>
      <c r="G15" s="163"/>
      <c r="H15" s="163"/>
      <c r="I15" s="163"/>
      <c r="J15" s="163"/>
      <c r="K15" s="163"/>
      <c r="L15" s="163"/>
      <c r="M15" s="163"/>
    </row>
    <row r="16" spans="2:13" ht="14.4" x14ac:dyDescent="0.3"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</row>
    <row r="19" spans="5:6" x14ac:dyDescent="0.25">
      <c r="F19" s="140"/>
    </row>
    <row r="24" spans="5:6" x14ac:dyDescent="0.25">
      <c r="E24" s="1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AA7E-3229-46DA-85F6-CAD52F835488}">
  <dimension ref="D1:J25"/>
  <sheetViews>
    <sheetView topLeftCell="B1" workbookViewId="0">
      <selection activeCell="E2" sqref="E2"/>
    </sheetView>
  </sheetViews>
  <sheetFormatPr defaultRowHeight="13.8" x14ac:dyDescent="0.3"/>
  <cols>
    <col min="1" max="3" width="8.88671875" style="163"/>
    <col min="4" max="4" width="31.5546875" style="163" customWidth="1"/>
    <col min="5" max="5" width="12" style="163" bestFit="1" customWidth="1"/>
    <col min="6" max="6" width="8.88671875" style="163"/>
    <col min="7" max="7" width="31.44140625" style="163" bestFit="1" customWidth="1"/>
    <col min="8" max="8" width="12" style="163" bestFit="1" customWidth="1"/>
    <col min="9" max="16384" width="8.88671875" style="163"/>
  </cols>
  <sheetData>
    <row r="1" spans="4:10" x14ac:dyDescent="0.3">
      <c r="D1" s="162" t="s">
        <v>238</v>
      </c>
      <c r="G1" s="162" t="s">
        <v>239</v>
      </c>
    </row>
    <row r="2" spans="4:10" x14ac:dyDescent="0.3">
      <c r="D2" s="163" t="s">
        <v>240</v>
      </c>
      <c r="E2" s="163">
        <v>98</v>
      </c>
      <c r="G2" s="163" t="s">
        <v>240</v>
      </c>
      <c r="H2" s="188">
        <f>'pak 26'!$L$3</f>
        <v>358.96199999999999</v>
      </c>
    </row>
    <row r="3" spans="4:10" x14ac:dyDescent="0.3">
      <c r="D3" s="163" t="s">
        <v>241</v>
      </c>
      <c r="E3" s="182">
        <f>'India 26'!C14</f>
        <v>71.291030823292303</v>
      </c>
      <c r="G3" s="163" t="s">
        <v>241</v>
      </c>
      <c r="H3" s="182">
        <f>'pak 26'!C11</f>
        <v>252.61538461538461</v>
      </c>
    </row>
    <row r="4" spans="4:10" x14ac:dyDescent="0.3">
      <c r="D4" s="163" t="s">
        <v>242</v>
      </c>
      <c r="E4" s="182">
        <f>E2-E3</f>
        <v>26.708969176707697</v>
      </c>
      <c r="G4" s="163" t="s">
        <v>242</v>
      </c>
      <c r="H4" s="182">
        <f>H2-H3</f>
        <v>106.34661538461538</v>
      </c>
    </row>
    <row r="5" spans="4:10" x14ac:dyDescent="0.3">
      <c r="D5" s="163" t="s">
        <v>243</v>
      </c>
      <c r="E5" s="182">
        <f>'India 26'!F5</f>
        <v>2.7435309246987689</v>
      </c>
      <c r="G5" s="163" t="s">
        <v>243</v>
      </c>
      <c r="H5" s="182">
        <f>'pak 26'!F5</f>
        <v>9.7708615384615385</v>
      </c>
    </row>
    <row r="6" spans="4:10" x14ac:dyDescent="0.3">
      <c r="D6" s="163" t="s">
        <v>244</v>
      </c>
      <c r="E6" s="187">
        <f>((E4*0.75)-E5)/E2</f>
        <v>0.17641016283502042</v>
      </c>
      <c r="G6" s="163" t="s">
        <v>244</v>
      </c>
      <c r="H6" s="187">
        <f>((H4*0.75)-H5)/H2</f>
        <v>0.19497634847142598</v>
      </c>
    </row>
    <row r="8" spans="4:10" x14ac:dyDescent="0.3">
      <c r="D8" s="162" t="s">
        <v>245</v>
      </c>
      <c r="G8" s="162" t="s">
        <v>246</v>
      </c>
    </row>
    <row r="9" spans="4:10" x14ac:dyDescent="0.3">
      <c r="D9" s="163" t="s">
        <v>247</v>
      </c>
      <c r="E9" s="163">
        <f>E2</f>
        <v>98</v>
      </c>
      <c r="G9" s="163" t="s">
        <v>247</v>
      </c>
      <c r="H9" s="163">
        <f>H2</f>
        <v>358.96199999999999</v>
      </c>
    </row>
    <row r="10" spans="4:10" x14ac:dyDescent="0.3">
      <c r="D10" s="163" t="s">
        <v>248</v>
      </c>
      <c r="E10" s="188">
        <v>21</v>
      </c>
      <c r="G10" s="163" t="s">
        <v>248</v>
      </c>
      <c r="H10" s="163">
        <v>86.738</v>
      </c>
    </row>
    <row r="11" spans="4:10" x14ac:dyDescent="0.3">
      <c r="D11" s="163" t="s">
        <v>249</v>
      </c>
      <c r="E11" s="163">
        <f>SUM(E9:E10)</f>
        <v>119</v>
      </c>
      <c r="G11" s="163" t="s">
        <v>249</v>
      </c>
      <c r="H11" s="163">
        <f>SUM(H9:H10)</f>
        <v>445.7</v>
      </c>
    </row>
    <row r="12" spans="4:10" x14ac:dyDescent="0.3">
      <c r="D12" s="163" t="s">
        <v>250</v>
      </c>
      <c r="E12" s="189">
        <v>0.4</v>
      </c>
      <c r="G12" s="163" t="s">
        <v>250</v>
      </c>
      <c r="H12" s="189">
        <v>0.15</v>
      </c>
    </row>
    <row r="13" spans="4:10" x14ac:dyDescent="0.3">
      <c r="D13" s="163" t="s">
        <v>251</v>
      </c>
      <c r="E13" s="163">
        <f>E11/87*(1+E12)</f>
        <v>1.9149425287356321</v>
      </c>
      <c r="G13" s="163" t="s">
        <v>251</v>
      </c>
      <c r="H13" s="163">
        <f>H11/282.46*(1+H12)</f>
        <v>1.8146109183601218</v>
      </c>
    </row>
    <row r="14" spans="4:10" x14ac:dyDescent="0.3">
      <c r="J14" s="163">
        <f>88*0.6</f>
        <v>52.8</v>
      </c>
    </row>
    <row r="15" spans="4:10" x14ac:dyDescent="0.3">
      <c r="E15" s="188">
        <v>96</v>
      </c>
    </row>
    <row r="16" spans="4:10" x14ac:dyDescent="0.3">
      <c r="E16" s="161">
        <f>(1.3314*88)-E10</f>
        <v>96.163199999999989</v>
      </c>
      <c r="H16" s="187"/>
    </row>
    <row r="17" spans="4:9" x14ac:dyDescent="0.3">
      <c r="E17" s="163">
        <f>96*0.95</f>
        <v>91.199999999999989</v>
      </c>
      <c r="H17" s="190"/>
    </row>
    <row r="19" spans="4:9" x14ac:dyDescent="0.3">
      <c r="D19" s="163" t="s">
        <v>252</v>
      </c>
      <c r="E19" s="163">
        <f>(1.33*88)-E10</f>
        <v>96.04</v>
      </c>
    </row>
    <row r="20" spans="4:9" x14ac:dyDescent="0.3">
      <c r="D20" s="163" t="s">
        <v>253</v>
      </c>
      <c r="E20" s="163">
        <f>(1.4*88)-E10</f>
        <v>102.19999999999999</v>
      </c>
      <c r="I20" s="188"/>
    </row>
    <row r="22" spans="4:9" x14ac:dyDescent="0.3">
      <c r="E22" s="191">
        <f>(E2+21)/88</f>
        <v>1.3522727272727273</v>
      </c>
    </row>
    <row r="23" spans="4:9" x14ac:dyDescent="0.3">
      <c r="E23" s="163">
        <f>1.2*88-21</f>
        <v>84.6</v>
      </c>
    </row>
    <row r="24" spans="4:9" x14ac:dyDescent="0.3">
      <c r="E24" s="163">
        <f>1.25*88-21</f>
        <v>89</v>
      </c>
    </row>
    <row r="25" spans="4:9" x14ac:dyDescent="0.3">
      <c r="E25" s="190"/>
      <c r="F25" s="18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F48A-8980-4716-9B80-795A7EDAAFF5}">
  <dimension ref="B1:N14"/>
  <sheetViews>
    <sheetView topLeftCell="B1" workbookViewId="0">
      <selection activeCell="L7" sqref="L7"/>
    </sheetView>
  </sheetViews>
  <sheetFormatPr defaultRowHeight="13.8" x14ac:dyDescent="0.25"/>
  <cols>
    <col min="1" max="1" width="4.5546875" style="121" customWidth="1"/>
    <col min="2" max="2" width="28.44140625" style="121" customWidth="1"/>
    <col min="3" max="3" width="10.5546875" style="121" customWidth="1"/>
    <col min="4" max="4" width="5.21875" style="121" customWidth="1"/>
    <col min="5" max="5" width="24.109375" style="121" customWidth="1"/>
    <col min="6" max="6" width="13.109375" style="121" customWidth="1"/>
    <col min="7" max="7" width="8.6640625" style="121" customWidth="1"/>
    <col min="8" max="8" width="18.5546875" style="121" customWidth="1"/>
    <col min="9" max="9" width="8.88671875" style="121"/>
    <col min="10" max="10" width="6.109375" style="121" customWidth="1"/>
    <col min="11" max="11" width="21.44140625" style="121" customWidth="1"/>
    <col min="12" max="12" width="14.21875" style="121" customWidth="1"/>
    <col min="13" max="13" width="20.33203125" style="121" customWidth="1"/>
    <col min="14" max="14" width="19.88671875" style="121" customWidth="1"/>
    <col min="15" max="16384" width="8.88671875" style="121"/>
  </cols>
  <sheetData>
    <row r="1" spans="2:14" x14ac:dyDescent="0.25">
      <c r="B1" s="120" t="s">
        <v>219</v>
      </c>
    </row>
    <row r="2" spans="2:14" ht="41.4" x14ac:dyDescent="0.25">
      <c r="B2" s="122" t="s">
        <v>184</v>
      </c>
      <c r="C2" s="123" t="s">
        <v>220</v>
      </c>
      <c r="D2" s="124"/>
      <c r="E2" s="123" t="s">
        <v>186</v>
      </c>
      <c r="F2" s="123" t="s">
        <v>220</v>
      </c>
      <c r="G2" s="124"/>
      <c r="H2" s="123" t="s">
        <v>187</v>
      </c>
      <c r="I2" s="123" t="s">
        <v>188</v>
      </c>
      <c r="J2" s="124"/>
      <c r="K2" s="125" t="s">
        <v>189</v>
      </c>
      <c r="L2" s="123" t="s">
        <v>221</v>
      </c>
      <c r="M2" s="122" t="s">
        <v>222</v>
      </c>
      <c r="N2" s="122" t="s">
        <v>223</v>
      </c>
    </row>
    <row r="3" spans="2:14" ht="41.4" x14ac:dyDescent="0.25">
      <c r="B3" s="126" t="s">
        <v>224</v>
      </c>
      <c r="C3" s="127">
        <v>12000</v>
      </c>
      <c r="E3" s="126" t="s">
        <v>192</v>
      </c>
      <c r="F3" s="128">
        <f>C11*3%</f>
        <v>7.5784615384615384</v>
      </c>
      <c r="H3" s="129" t="s">
        <v>193</v>
      </c>
      <c r="I3" s="130">
        <v>0.25</v>
      </c>
      <c r="J3" s="131"/>
      <c r="K3" s="126" t="s">
        <v>225</v>
      </c>
      <c r="L3" s="132">
        <f>L7-L5-L6</f>
        <v>358.96199999999999</v>
      </c>
      <c r="M3" s="142">
        <f>L3*1.15</f>
        <v>412.80629999999996</v>
      </c>
      <c r="N3" s="143">
        <f>M3/282.46</f>
        <v>1.4614681724845995</v>
      </c>
    </row>
    <row r="4" spans="2:14" ht="41.4" x14ac:dyDescent="0.25">
      <c r="B4" s="133" t="s">
        <v>226</v>
      </c>
      <c r="C4" s="127">
        <f>C3/0.65</f>
        <v>18461.538461538461</v>
      </c>
      <c r="E4" s="126" t="s">
        <v>196</v>
      </c>
      <c r="F4" s="128">
        <f>0.63%*348</f>
        <v>2.1924000000000001</v>
      </c>
      <c r="H4" s="129" t="s">
        <v>197</v>
      </c>
      <c r="I4" s="132" t="s">
        <v>198</v>
      </c>
      <c r="J4" s="131"/>
      <c r="K4" s="144" t="s">
        <v>227</v>
      </c>
      <c r="L4" s="144"/>
      <c r="M4" s="144"/>
      <c r="N4" s="144"/>
    </row>
    <row r="5" spans="2:14" ht="27.6" x14ac:dyDescent="0.25">
      <c r="B5" s="133" t="s">
        <v>228</v>
      </c>
      <c r="C5" s="127">
        <f>C4/100</f>
        <v>184.61538461538461</v>
      </c>
      <c r="E5" s="134" t="s">
        <v>104</v>
      </c>
      <c r="F5" s="135">
        <f>SUM(F3:F4)</f>
        <v>9.7708615384615385</v>
      </c>
      <c r="K5" s="121" t="s">
        <v>199</v>
      </c>
      <c r="L5" s="121">
        <f>7500*282.46/25000</f>
        <v>84.738</v>
      </c>
    </row>
    <row r="6" spans="2:14" x14ac:dyDescent="0.25">
      <c r="B6" s="133" t="s">
        <v>229</v>
      </c>
      <c r="C6" s="132">
        <v>1</v>
      </c>
      <c r="K6" s="121" t="s">
        <v>201</v>
      </c>
      <c r="L6" s="121">
        <v>2</v>
      </c>
    </row>
    <row r="7" spans="2:14" x14ac:dyDescent="0.25">
      <c r="B7" s="133" t="s">
        <v>230</v>
      </c>
      <c r="C7" s="127">
        <f>C3*0.05/100</f>
        <v>6</v>
      </c>
      <c r="E7" s="145" t="s">
        <v>161</v>
      </c>
      <c r="F7" s="146" t="s">
        <v>188</v>
      </c>
      <c r="G7" s="120"/>
      <c r="K7" s="121" t="s">
        <v>231</v>
      </c>
      <c r="L7" s="121">
        <v>445.7</v>
      </c>
    </row>
    <row r="8" spans="2:14" ht="50.4" customHeight="1" x14ac:dyDescent="0.25">
      <c r="B8" s="147" t="s">
        <v>232</v>
      </c>
      <c r="C8" s="132">
        <v>50</v>
      </c>
      <c r="E8" s="148" t="s">
        <v>233</v>
      </c>
      <c r="F8" s="149">
        <f>L3-C11</f>
        <v>106.34661538461538</v>
      </c>
      <c r="G8" s="136"/>
      <c r="K8" s="121" t="s">
        <v>234</v>
      </c>
      <c r="L8" s="138">
        <f>L7/282.46</f>
        <v>1.5779225377044539</v>
      </c>
      <c r="N8" s="138">
        <f>L8*1.15</f>
        <v>1.8146109183601218</v>
      </c>
    </row>
    <row r="9" spans="2:14" ht="27.6" x14ac:dyDescent="0.25">
      <c r="B9" s="133" t="s">
        <v>235</v>
      </c>
      <c r="C9" s="132">
        <v>10</v>
      </c>
      <c r="E9" s="150" t="s">
        <v>211</v>
      </c>
      <c r="F9" s="151">
        <f>F8/C11</f>
        <v>0.4209823386114494</v>
      </c>
      <c r="G9" s="136"/>
    </row>
    <row r="10" spans="2:14" ht="27.6" x14ac:dyDescent="0.25">
      <c r="B10" s="133" t="s">
        <v>236</v>
      </c>
      <c r="C10" s="132">
        <v>1</v>
      </c>
      <c r="E10" s="152" t="s">
        <v>237</v>
      </c>
      <c r="F10" s="153">
        <f>F8*0.75-F5</f>
        <v>69.989100000000008</v>
      </c>
      <c r="G10" s="154"/>
      <c r="J10" s="137"/>
    </row>
    <row r="11" spans="2:14" x14ac:dyDescent="0.25">
      <c r="B11" s="139" t="s">
        <v>218</v>
      </c>
      <c r="C11" s="135">
        <f>SUM(C5:C10)</f>
        <v>252.61538461538461</v>
      </c>
      <c r="E11" s="155" t="s">
        <v>215</v>
      </c>
      <c r="F11" s="156">
        <f>F10/L3</f>
        <v>0.19497634847142598</v>
      </c>
      <c r="J11" s="137"/>
    </row>
    <row r="14" spans="2:14" x14ac:dyDescent="0.25">
      <c r="F14" s="141"/>
    </row>
  </sheetData>
  <mergeCells count="1">
    <mergeCell ref="K4:N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1897-A446-4297-9392-E05A7367D132}">
  <dimension ref="A1:Q58"/>
  <sheetViews>
    <sheetView topLeftCell="A11" workbookViewId="0">
      <selection activeCell="J1" sqref="J1:K1048576"/>
    </sheetView>
  </sheetViews>
  <sheetFormatPr defaultRowHeight="13.2" x14ac:dyDescent="0.25"/>
  <cols>
    <col min="2" max="2" width="5" bestFit="1" customWidth="1"/>
    <col min="3" max="3" width="13.88671875" customWidth="1"/>
    <col min="4" max="4" width="13.44140625" customWidth="1"/>
    <col min="5" max="5" width="16.44140625" customWidth="1"/>
    <col min="6" max="6" width="14.6640625" customWidth="1"/>
    <col min="7" max="7" width="14.77734375" customWidth="1"/>
    <col min="8" max="8" width="16.88671875" customWidth="1"/>
    <col min="9" max="9" width="16" customWidth="1"/>
    <col min="10" max="11" width="15.33203125" customWidth="1"/>
    <col min="12" max="12" width="20" customWidth="1"/>
    <col min="13" max="13" width="13.88671875" customWidth="1"/>
    <col min="14" max="14" width="13.6640625" customWidth="1"/>
    <col min="15" max="15" width="13.44140625" customWidth="1"/>
    <col min="16" max="16" width="13.6640625" customWidth="1"/>
  </cols>
  <sheetData>
    <row r="1" spans="1:16" ht="13.8" thickBot="1" x14ac:dyDescent="0.3">
      <c r="F1" s="12"/>
      <c r="M1" s="37"/>
    </row>
    <row r="2" spans="1:16" ht="24" x14ac:dyDescent="0.25">
      <c r="B2" s="38" t="s">
        <v>0</v>
      </c>
      <c r="C2" s="39" t="s">
        <v>41</v>
      </c>
      <c r="D2" s="39" t="s">
        <v>42</v>
      </c>
      <c r="E2" s="39" t="s">
        <v>43</v>
      </c>
      <c r="F2" s="39" t="s">
        <v>44</v>
      </c>
      <c r="G2" s="39" t="s">
        <v>45</v>
      </c>
      <c r="H2" s="39" t="s">
        <v>46</v>
      </c>
      <c r="I2" s="39" t="s">
        <v>47</v>
      </c>
      <c r="J2" s="39" t="s">
        <v>48</v>
      </c>
      <c r="K2" s="39" t="s">
        <v>49</v>
      </c>
      <c r="L2" s="39" t="s">
        <v>50</v>
      </c>
      <c r="M2" s="39" t="s">
        <v>51</v>
      </c>
      <c r="N2" s="39" t="s">
        <v>52</v>
      </c>
      <c r="O2" s="39" t="s">
        <v>53</v>
      </c>
      <c r="P2" s="39" t="s">
        <v>54</v>
      </c>
    </row>
    <row r="3" spans="1:16" x14ac:dyDescent="0.25">
      <c r="B3" s="40">
        <v>1998</v>
      </c>
      <c r="C3" s="41">
        <v>22793400</v>
      </c>
      <c r="D3" s="41">
        <v>2258500</v>
      </c>
      <c r="E3" s="41"/>
      <c r="F3" s="42">
        <f t="shared" ref="F3:G18" si="0">C3/$I3</f>
        <v>9.2306757758240154E-2</v>
      </c>
      <c r="G3" s="42">
        <f t="shared" si="0"/>
        <v>9.1462797299650504E-3</v>
      </c>
      <c r="H3" s="42"/>
      <c r="I3" s="41">
        <v>246931000</v>
      </c>
      <c r="J3" s="43">
        <v>29243.62</v>
      </c>
      <c r="K3" s="43">
        <v>2032.24</v>
      </c>
      <c r="L3" s="43"/>
      <c r="M3" s="42">
        <f t="shared" ref="M3:N18" si="1">J3/$P3</f>
        <v>0.16520028139322068</v>
      </c>
      <c r="N3" s="42">
        <f t="shared" si="1"/>
        <v>1.1480337244792499E-2</v>
      </c>
      <c r="O3" s="42"/>
      <c r="P3" s="43">
        <v>177019.19</v>
      </c>
    </row>
    <row r="4" spans="1:16" x14ac:dyDescent="0.25">
      <c r="B4" s="40">
        <v>1999</v>
      </c>
      <c r="C4" s="41">
        <v>24523500</v>
      </c>
      <c r="D4" s="41">
        <v>1505880</v>
      </c>
      <c r="E4" s="41"/>
      <c r="F4" s="42">
        <f t="shared" si="0"/>
        <v>8.0169141900705135E-2</v>
      </c>
      <c r="G4" s="42">
        <f t="shared" si="0"/>
        <v>4.9228335027803475E-3</v>
      </c>
      <c r="H4" s="42"/>
      <c r="I4" s="41">
        <v>305897000</v>
      </c>
      <c r="J4" s="43">
        <v>31160.32</v>
      </c>
      <c r="K4" s="43">
        <v>1377.7</v>
      </c>
      <c r="L4" s="43"/>
      <c r="M4" s="42">
        <f t="shared" si="1"/>
        <v>0.16763156037342505</v>
      </c>
      <c r="N4" s="42">
        <f t="shared" si="1"/>
        <v>7.4115413682037824E-3</v>
      </c>
      <c r="O4" s="42"/>
      <c r="P4" s="43">
        <v>185885.76</v>
      </c>
    </row>
    <row r="5" spans="1:16" x14ac:dyDescent="0.25">
      <c r="B5" s="40">
        <v>2000</v>
      </c>
      <c r="C5" s="41">
        <v>68844400</v>
      </c>
      <c r="D5" s="41">
        <v>5384380</v>
      </c>
      <c r="E5" s="41"/>
      <c r="F5" s="42">
        <f t="shared" si="0"/>
        <v>0.19387709698586003</v>
      </c>
      <c r="G5" s="42">
        <f t="shared" si="0"/>
        <v>1.5163295249413533E-2</v>
      </c>
      <c r="H5" s="42"/>
      <c r="I5" s="41">
        <v>355093000</v>
      </c>
      <c r="J5" s="43">
        <v>30143.54</v>
      </c>
      <c r="K5" s="43">
        <v>2357.5500000000002</v>
      </c>
      <c r="L5" s="43"/>
      <c r="M5" s="42">
        <f t="shared" si="1"/>
        <v>0.19387727209023201</v>
      </c>
      <c r="N5" s="42">
        <f t="shared" si="1"/>
        <v>1.5163294119281495E-2</v>
      </c>
      <c r="O5" s="42"/>
      <c r="P5" s="43">
        <v>155477.43</v>
      </c>
    </row>
    <row r="6" spans="1:16" x14ac:dyDescent="0.25">
      <c r="B6" s="40">
        <v>2001</v>
      </c>
      <c r="C6" s="41">
        <v>61563600</v>
      </c>
      <c r="D6" s="44">
        <v>6115100</v>
      </c>
      <c r="E6" s="44"/>
      <c r="F6" s="42">
        <f t="shared" si="0"/>
        <v>0.17470501098227512</v>
      </c>
      <c r="G6" s="42">
        <f t="shared" si="0"/>
        <v>1.735341358623782E-2</v>
      </c>
      <c r="H6" s="42"/>
      <c r="I6" s="41">
        <v>352386000</v>
      </c>
      <c r="J6" s="43">
        <v>25691.94</v>
      </c>
      <c r="K6" s="45">
        <v>2551.9699999999998</v>
      </c>
      <c r="L6" s="45"/>
      <c r="M6" s="42">
        <f t="shared" si="1"/>
        <v>0.17470492295441867</v>
      </c>
      <c r="N6" s="42">
        <f t="shared" si="1"/>
        <v>1.7353369275811315E-2</v>
      </c>
      <c r="O6" s="42"/>
      <c r="P6" s="43">
        <v>147059.04999999999</v>
      </c>
    </row>
    <row r="7" spans="1:16" x14ac:dyDescent="0.25">
      <c r="B7" s="40">
        <v>2002</v>
      </c>
      <c r="C7" s="41">
        <v>84883500</v>
      </c>
      <c r="D7" s="44">
        <v>10339400</v>
      </c>
      <c r="E7" s="44"/>
      <c r="F7" s="42">
        <f t="shared" si="0"/>
        <v>0.19739201209232021</v>
      </c>
      <c r="G7" s="42">
        <f t="shared" si="0"/>
        <v>2.4043718388465786E-2</v>
      </c>
      <c r="H7" s="42"/>
      <c r="I7" s="41">
        <v>430025000</v>
      </c>
      <c r="J7" s="43">
        <v>33757.56</v>
      </c>
      <c r="K7" s="45">
        <v>4111.91</v>
      </c>
      <c r="L7" s="45"/>
      <c r="M7" s="42">
        <f t="shared" si="1"/>
        <v>0.19739219975476219</v>
      </c>
      <c r="N7" s="42">
        <f t="shared" si="1"/>
        <v>2.4043768568984377E-2</v>
      </c>
      <c r="O7" s="42"/>
      <c r="P7" s="43">
        <v>171017.7</v>
      </c>
    </row>
    <row r="8" spans="1:16" x14ac:dyDescent="0.25">
      <c r="B8" s="40">
        <v>2003</v>
      </c>
      <c r="C8" s="41">
        <v>68366600</v>
      </c>
      <c r="D8" s="41">
        <v>15203000</v>
      </c>
      <c r="E8" s="41"/>
      <c r="F8" s="42">
        <f t="shared" si="0"/>
        <v>0.13707341621905569</v>
      </c>
      <c r="G8" s="42">
        <f t="shared" si="0"/>
        <v>3.0481655468873745E-2</v>
      </c>
      <c r="H8" s="42"/>
      <c r="I8" s="41">
        <v>498759000</v>
      </c>
      <c r="J8" s="43">
        <v>30868.67</v>
      </c>
      <c r="K8" s="43">
        <v>6864.44</v>
      </c>
      <c r="L8" s="43"/>
      <c r="M8" s="42">
        <f t="shared" si="1"/>
        <v>0.13707347032715522</v>
      </c>
      <c r="N8" s="42">
        <f t="shared" si="1"/>
        <v>3.0481799593326742E-2</v>
      </c>
      <c r="O8" s="42"/>
      <c r="P8" s="43">
        <v>225197.99</v>
      </c>
    </row>
    <row r="9" spans="1:16" x14ac:dyDescent="0.25">
      <c r="B9" s="40">
        <v>2004</v>
      </c>
      <c r="C9" s="41">
        <v>54518100</v>
      </c>
      <c r="D9" s="41">
        <v>15260200</v>
      </c>
      <c r="E9" s="41"/>
      <c r="F9" s="42">
        <f t="shared" si="0"/>
        <v>0.11500495728298703</v>
      </c>
      <c r="G9" s="42">
        <f t="shared" si="0"/>
        <v>3.2191119080265798E-2</v>
      </c>
      <c r="H9" s="42"/>
      <c r="I9" s="41">
        <v>474050000</v>
      </c>
      <c r="J9" s="43">
        <v>29063.35</v>
      </c>
      <c r="K9" s="43">
        <v>8135.14</v>
      </c>
      <c r="L9" s="43"/>
      <c r="M9" s="42">
        <f t="shared" si="1"/>
        <v>0.11500489763092685</v>
      </c>
      <c r="N9" s="42">
        <f t="shared" si="1"/>
        <v>3.2191090941452324E-2</v>
      </c>
      <c r="O9" s="42"/>
      <c r="P9" s="43">
        <v>252714.02</v>
      </c>
    </row>
    <row r="10" spans="1:16" x14ac:dyDescent="0.25">
      <c r="A10" s="17"/>
      <c r="B10" s="40">
        <v>2005</v>
      </c>
      <c r="C10" s="41">
        <v>58193300</v>
      </c>
      <c r="D10" s="41">
        <v>9889410</v>
      </c>
      <c r="E10" s="41"/>
      <c r="F10" s="42">
        <f t="shared" si="0"/>
        <v>0.13629428903337018</v>
      </c>
      <c r="G10" s="42">
        <f t="shared" si="0"/>
        <v>2.3161946562740066E-2</v>
      </c>
      <c r="H10" s="42"/>
      <c r="I10" s="41">
        <v>426968000</v>
      </c>
      <c r="J10" s="43">
        <v>31022.58</v>
      </c>
      <c r="K10" s="43">
        <v>5272</v>
      </c>
      <c r="L10" s="43"/>
      <c r="M10" s="42">
        <f t="shared" si="1"/>
        <v>0.13629435057694242</v>
      </c>
      <c r="N10" s="42">
        <f t="shared" si="1"/>
        <v>2.3161961907798782E-2</v>
      </c>
      <c r="O10" s="42"/>
      <c r="P10" s="43">
        <v>227614.57</v>
      </c>
    </row>
    <row r="11" spans="1:16" x14ac:dyDescent="0.25">
      <c r="B11" s="40">
        <v>2006</v>
      </c>
      <c r="C11" s="41">
        <v>51137800</v>
      </c>
      <c r="D11" s="41">
        <v>7948480</v>
      </c>
      <c r="E11" s="41"/>
      <c r="F11" s="42">
        <f t="shared" si="0"/>
        <v>9.1512290446808212E-2</v>
      </c>
      <c r="G11" s="42">
        <f t="shared" si="0"/>
        <v>1.4223991066699117E-2</v>
      </c>
      <c r="H11" s="42"/>
      <c r="I11" s="41">
        <v>558808000</v>
      </c>
      <c r="J11" s="43">
        <v>44897.96</v>
      </c>
      <c r="K11" s="43">
        <v>7096.71</v>
      </c>
      <c r="L11" s="43"/>
      <c r="M11" s="42">
        <f t="shared" si="1"/>
        <v>0.13546812231414326</v>
      </c>
      <c r="N11" s="42">
        <f t="shared" si="1"/>
        <v>2.141250912754173E-2</v>
      </c>
      <c r="O11" s="42"/>
      <c r="P11" s="43">
        <v>331428.23</v>
      </c>
    </row>
    <row r="12" spans="1:16" x14ac:dyDescent="0.25">
      <c r="B12" s="40">
        <v>2007</v>
      </c>
      <c r="C12" s="41">
        <v>66602500</v>
      </c>
      <c r="D12" s="41">
        <v>9632660</v>
      </c>
      <c r="E12" s="41"/>
      <c r="F12" s="42">
        <f t="shared" si="0"/>
        <v>0.11442686490749124</v>
      </c>
      <c r="G12" s="42">
        <f t="shared" si="0"/>
        <v>1.6549455118348329E-2</v>
      </c>
      <c r="H12" s="42"/>
      <c r="I12" s="41">
        <v>582053000</v>
      </c>
      <c r="J12" s="43">
        <v>61267.55</v>
      </c>
      <c r="K12" s="43">
        <v>10059.33</v>
      </c>
      <c r="L12" s="43"/>
      <c r="M12" s="42">
        <f t="shared" si="1"/>
        <v>0.15657176263180492</v>
      </c>
      <c r="N12" s="42">
        <f t="shared" si="1"/>
        <v>2.5707034621018698E-2</v>
      </c>
      <c r="O12" s="42"/>
      <c r="P12" s="43">
        <v>391306.51</v>
      </c>
    </row>
    <row r="13" spans="1:16" x14ac:dyDescent="0.25">
      <c r="B13" s="40">
        <v>2008</v>
      </c>
      <c r="C13" s="41">
        <v>67227500</v>
      </c>
      <c r="D13" s="41">
        <v>12233000</v>
      </c>
      <c r="E13" s="41"/>
      <c r="F13" s="42">
        <f t="shared" si="0"/>
        <v>0.12623199535836535</v>
      </c>
      <c r="G13" s="42">
        <f t="shared" si="0"/>
        <v>2.2969707325408255E-2</v>
      </c>
      <c r="H13" s="42"/>
      <c r="I13" s="41">
        <v>532571000</v>
      </c>
      <c r="J13" s="43">
        <v>106272.84</v>
      </c>
      <c r="K13" s="43">
        <v>20486.419999999998</v>
      </c>
      <c r="L13" s="43"/>
      <c r="M13" s="42">
        <f t="shared" si="1"/>
        <v>0.19970913565482343</v>
      </c>
      <c r="N13" s="42">
        <f t="shared" si="1"/>
        <v>3.8498314629228765E-2</v>
      </c>
      <c r="O13" s="42"/>
      <c r="P13" s="43">
        <v>532138.1</v>
      </c>
    </row>
    <row r="14" spans="1:16" x14ac:dyDescent="0.25">
      <c r="B14" s="40">
        <v>2009</v>
      </c>
      <c r="C14" s="41">
        <v>58338100</v>
      </c>
      <c r="D14" s="41">
        <v>8977600</v>
      </c>
      <c r="E14" s="41"/>
      <c r="F14" s="42">
        <f t="shared" si="0"/>
        <v>0.10822009798374604</v>
      </c>
      <c r="G14" s="42">
        <f t="shared" si="0"/>
        <v>1.6653897738508429E-2</v>
      </c>
      <c r="H14" s="42"/>
      <c r="I14" s="41">
        <v>539069000</v>
      </c>
      <c r="J14" s="43">
        <v>82373.5</v>
      </c>
      <c r="K14" s="43">
        <v>12329.64</v>
      </c>
      <c r="L14" s="43"/>
      <c r="M14" s="42">
        <f t="shared" si="1"/>
        <v>0.14983490575690286</v>
      </c>
      <c r="N14" s="42">
        <f t="shared" si="1"/>
        <v>2.2427242346343666E-2</v>
      </c>
      <c r="O14" s="42"/>
      <c r="P14" s="43">
        <v>549761.75</v>
      </c>
    </row>
    <row r="15" spans="1:16" x14ac:dyDescent="0.25">
      <c r="B15" s="40">
        <v>2010</v>
      </c>
      <c r="C15" s="41">
        <v>60626100</v>
      </c>
      <c r="D15" s="44">
        <v>10324000</v>
      </c>
      <c r="E15" s="44"/>
      <c r="F15" s="42">
        <f t="shared" si="0"/>
        <v>0.12387260100158759</v>
      </c>
      <c r="G15" s="42">
        <f t="shared" si="0"/>
        <v>2.1094227283964994E-2</v>
      </c>
      <c r="H15" s="42"/>
      <c r="I15" s="41">
        <v>489423000</v>
      </c>
      <c r="J15" s="43">
        <v>81087.710000000006</v>
      </c>
      <c r="K15" s="45">
        <v>13018.65</v>
      </c>
      <c r="L15" s="45"/>
      <c r="M15" s="42">
        <f t="shared" si="1"/>
        <v>0.14313475844669848</v>
      </c>
      <c r="N15" s="42">
        <f t="shared" si="1"/>
        <v>2.2980317523483038E-2</v>
      </c>
      <c r="O15" s="42"/>
      <c r="P15" s="43">
        <v>566513.06000000006</v>
      </c>
    </row>
    <row r="16" spans="1:16" x14ac:dyDescent="0.25">
      <c r="B16" s="40">
        <v>2011</v>
      </c>
      <c r="C16" s="41">
        <v>65586100</v>
      </c>
      <c r="D16" s="44">
        <v>8154830</v>
      </c>
      <c r="E16" s="44"/>
      <c r="F16" s="42">
        <f t="shared" si="0"/>
        <v>0.1216192510671755</v>
      </c>
      <c r="G16" s="42">
        <f t="shared" si="0"/>
        <v>1.5121867547851371E-2</v>
      </c>
      <c r="H16" s="42"/>
      <c r="I16" s="41">
        <v>539274000</v>
      </c>
      <c r="J16" s="43">
        <v>84319.55</v>
      </c>
      <c r="K16" s="45">
        <v>10517.82</v>
      </c>
      <c r="L16" s="45"/>
      <c r="M16" s="42">
        <f t="shared" si="1"/>
        <v>0.138347554341165</v>
      </c>
      <c r="N16" s="42">
        <f t="shared" si="1"/>
        <v>1.7257144683535335E-2</v>
      </c>
      <c r="O16" s="42"/>
      <c r="P16" s="43">
        <v>609476.26</v>
      </c>
    </row>
    <row r="17" spans="2:17" ht="13.8" thickBot="1" x14ac:dyDescent="0.3">
      <c r="B17" s="40">
        <v>2012</v>
      </c>
      <c r="C17" s="41">
        <v>88478100</v>
      </c>
      <c r="D17" s="44">
        <v>8890120</v>
      </c>
      <c r="E17" s="44"/>
      <c r="F17" s="42">
        <f t="shared" si="0"/>
        <v>0.16821059475737457</v>
      </c>
      <c r="G17" s="42">
        <f t="shared" si="0"/>
        <v>1.6901497349789733E-2</v>
      </c>
      <c r="H17" s="42"/>
      <c r="I17" s="41">
        <v>525996000</v>
      </c>
      <c r="J17" s="46">
        <v>103612.33</v>
      </c>
      <c r="K17" s="45">
        <v>12735.95</v>
      </c>
      <c r="L17" s="45"/>
      <c r="M17" s="42">
        <f t="shared" si="1"/>
        <v>0.16452538645367717</v>
      </c>
      <c r="N17" s="42">
        <f t="shared" si="1"/>
        <v>2.0223337276603179E-2</v>
      </c>
      <c r="O17" s="42"/>
      <c r="P17" s="43">
        <v>629765</v>
      </c>
    </row>
    <row r="18" spans="2:17" ht="13.8" thickBot="1" x14ac:dyDescent="0.3">
      <c r="B18" s="40">
        <v>2013</v>
      </c>
      <c r="C18" s="41">
        <v>95460300</v>
      </c>
      <c r="D18" s="41">
        <v>16122300</v>
      </c>
      <c r="E18" s="11">
        <v>365357000</v>
      </c>
      <c r="F18" s="42">
        <f t="shared" si="0"/>
        <v>0.17012305635999109</v>
      </c>
      <c r="G18" s="42">
        <f t="shared" si="0"/>
        <v>2.8732100690576967E-2</v>
      </c>
      <c r="H18" s="42">
        <f>E18/I18</f>
        <v>0.65111517041657385</v>
      </c>
      <c r="I18" s="41">
        <v>561125000</v>
      </c>
      <c r="J18" s="47">
        <v>127109.22</v>
      </c>
      <c r="K18" s="47">
        <v>26442.5</v>
      </c>
      <c r="L18" s="10">
        <v>472811.18</v>
      </c>
      <c r="M18" s="42">
        <f t="shared" si="1"/>
        <v>0.18144762000743869</v>
      </c>
      <c r="N18" s="42">
        <f t="shared" si="1"/>
        <v>3.774650408559424E-2</v>
      </c>
      <c r="O18" s="42">
        <f>L18/P18</f>
        <v>0.67493501513036336</v>
      </c>
      <c r="P18" s="43">
        <v>700528.45</v>
      </c>
      <c r="Q18" s="48"/>
    </row>
    <row r="19" spans="2:17" ht="13.8" thickBot="1" x14ac:dyDescent="0.3">
      <c r="B19" s="40">
        <v>2014</v>
      </c>
      <c r="C19" s="41">
        <v>95328400</v>
      </c>
      <c r="D19" s="41">
        <v>11954500</v>
      </c>
      <c r="E19" s="49">
        <v>393937000</v>
      </c>
      <c r="F19" s="42">
        <f t="shared" ref="F19:G28" si="2">C19/$I19</f>
        <v>0.16212561076615117</v>
      </c>
      <c r="G19" s="42">
        <f t="shared" si="2"/>
        <v>2.033109350313185E-2</v>
      </c>
      <c r="H19" s="42">
        <f>E19/I19</f>
        <v>0.66997113901403249</v>
      </c>
      <c r="I19" s="50">
        <v>587991000</v>
      </c>
      <c r="J19" s="43">
        <v>139915.54999999999</v>
      </c>
      <c r="K19" s="47">
        <v>20451.669999999998</v>
      </c>
      <c r="L19" s="10">
        <v>457220.03</v>
      </c>
      <c r="M19" s="42">
        <f t="shared" ref="M19:N28" si="3">J19/$P19</f>
        <v>0.19763920707995761</v>
      </c>
      <c r="N19" s="42">
        <f t="shared" si="3"/>
        <v>2.8889225266676623E-2</v>
      </c>
      <c r="O19" s="42">
        <f>L19/P19</f>
        <v>0.64585104507879532</v>
      </c>
      <c r="P19" s="43">
        <v>707934.18</v>
      </c>
      <c r="Q19" s="48"/>
    </row>
    <row r="20" spans="2:17" ht="13.8" thickBot="1" x14ac:dyDescent="0.3">
      <c r="B20" s="40">
        <v>2015</v>
      </c>
      <c r="C20" s="50">
        <v>122834000</v>
      </c>
      <c r="D20" s="41">
        <v>12476700</v>
      </c>
      <c r="E20" s="51">
        <v>410182000</v>
      </c>
      <c r="F20" s="42">
        <f t="shared" si="2"/>
        <v>0.19119501162729161</v>
      </c>
      <c r="G20" s="42">
        <f t="shared" si="2"/>
        <v>1.9420378735286885E-2</v>
      </c>
      <c r="H20" s="42">
        <f t="shared" ref="H20:H28" si="4">E20/I20</f>
        <v>0.63846127504848593</v>
      </c>
      <c r="I20" s="41">
        <v>642454000</v>
      </c>
      <c r="J20" s="47">
        <v>147162.76999999999</v>
      </c>
      <c r="K20" s="43">
        <v>17325.560000000001</v>
      </c>
      <c r="L20" s="10">
        <v>442657.37</v>
      </c>
      <c r="M20" s="42">
        <f t="shared" si="3"/>
        <v>0.21016584895229454</v>
      </c>
      <c r="N20" s="42">
        <f t="shared" si="3"/>
        <v>2.4742949768979727E-2</v>
      </c>
      <c r="O20" s="42">
        <f t="shared" ref="O20:O28" si="5">L20/P20</f>
        <v>0.63216710286874844</v>
      </c>
      <c r="P20" s="43">
        <v>700222.09</v>
      </c>
      <c r="Q20" s="48"/>
    </row>
    <row r="21" spans="2:17" ht="13.8" thickBot="1" x14ac:dyDescent="0.3">
      <c r="B21" s="40">
        <v>2016</v>
      </c>
      <c r="C21" s="41">
        <v>130355000</v>
      </c>
      <c r="D21" s="41">
        <v>13805200</v>
      </c>
      <c r="E21" s="49">
        <v>445686000</v>
      </c>
      <c r="F21" s="42">
        <f t="shared" si="2"/>
        <v>0.19453618293907751</v>
      </c>
      <c r="G21" s="42">
        <f t="shared" si="2"/>
        <v>2.0602285395347728E-2</v>
      </c>
      <c r="H21" s="42">
        <f t="shared" si="4"/>
        <v>0.66512257473350234</v>
      </c>
      <c r="I21" s="41">
        <v>670081000</v>
      </c>
      <c r="J21" s="47">
        <v>141158.57</v>
      </c>
      <c r="K21" s="47">
        <v>17322.95</v>
      </c>
      <c r="L21" s="10">
        <v>406942.63</v>
      </c>
      <c r="M21" s="42">
        <f t="shared" si="3"/>
        <v>0.21926785293495851</v>
      </c>
      <c r="N21" s="42">
        <f t="shared" si="3"/>
        <v>2.6908504761699127E-2</v>
      </c>
      <c r="O21" s="42">
        <f t="shared" si="5"/>
        <v>0.6321219940652929</v>
      </c>
      <c r="P21" s="43">
        <v>643772.30000000005</v>
      </c>
      <c r="Q21" s="48"/>
    </row>
    <row r="22" spans="2:17" ht="13.8" thickBot="1" x14ac:dyDescent="0.3">
      <c r="B22" s="40">
        <v>2017</v>
      </c>
      <c r="C22" s="41">
        <v>140700000</v>
      </c>
      <c r="D22" s="44">
        <v>12575700</v>
      </c>
      <c r="E22" s="51">
        <v>478963000</v>
      </c>
      <c r="F22" s="42">
        <f t="shared" si="2"/>
        <v>0.19689860211788446</v>
      </c>
      <c r="G22" s="42">
        <f t="shared" si="2"/>
        <v>1.7598704695478889E-2</v>
      </c>
      <c r="H22" s="42">
        <f t="shared" si="4"/>
        <v>0.67027110992315775</v>
      </c>
      <c r="I22" s="41">
        <v>714581000</v>
      </c>
      <c r="J22" s="43">
        <v>161272.54999999999</v>
      </c>
      <c r="K22" s="45">
        <v>17197.22</v>
      </c>
      <c r="L22" s="10">
        <v>415425.92</v>
      </c>
      <c r="M22" s="42">
        <f t="shared" si="3"/>
        <v>0.24067479387537924</v>
      </c>
      <c r="N22" s="42">
        <f t="shared" si="3"/>
        <v>2.5664239690694726E-2</v>
      </c>
      <c r="O22" s="42">
        <f t="shared" si="5"/>
        <v>0.61996010893664033</v>
      </c>
      <c r="P22" s="43">
        <v>670084.92000000004</v>
      </c>
      <c r="Q22" s="48"/>
    </row>
    <row r="23" spans="2:17" ht="13.8" thickBot="1" x14ac:dyDescent="0.3">
      <c r="B23" s="40">
        <v>2018</v>
      </c>
      <c r="C23" s="41">
        <v>159206000</v>
      </c>
      <c r="D23" s="41">
        <v>14992500</v>
      </c>
      <c r="E23" s="51">
        <v>486481000</v>
      </c>
      <c r="F23" s="42">
        <f t="shared" si="2"/>
        <v>0.19684515596176005</v>
      </c>
      <c r="G23" s="42">
        <f t="shared" si="2"/>
        <v>1.8536996097864952E-2</v>
      </c>
      <c r="H23" s="42">
        <f t="shared" si="4"/>
        <v>0.60149384016577889</v>
      </c>
      <c r="I23" s="41">
        <v>808788000</v>
      </c>
      <c r="J23" s="43">
        <v>197824.39</v>
      </c>
      <c r="K23" s="43">
        <v>23286.080000000002</v>
      </c>
      <c r="L23" s="10">
        <v>566029.51</v>
      </c>
      <c r="M23" s="42">
        <f t="shared" si="3"/>
        <v>0.22115558304393437</v>
      </c>
      <c r="N23" s="42">
        <f t="shared" si="3"/>
        <v>2.6032414907017781E-2</v>
      </c>
      <c r="O23" s="42">
        <f t="shared" si="5"/>
        <v>0.6327864137689112</v>
      </c>
      <c r="P23" s="43">
        <v>894503.26</v>
      </c>
    </row>
    <row r="24" spans="2:17" ht="13.8" thickBot="1" x14ac:dyDescent="0.3">
      <c r="B24" s="40">
        <v>2019</v>
      </c>
      <c r="C24" s="41">
        <v>167158000</v>
      </c>
      <c r="D24" s="44">
        <v>19212200</v>
      </c>
      <c r="E24" s="49">
        <v>559511000</v>
      </c>
      <c r="F24" s="42">
        <f t="shared" si="2"/>
        <v>0.18799223999775072</v>
      </c>
      <c r="G24" s="42">
        <f t="shared" si="2"/>
        <v>2.1606770320802993E-2</v>
      </c>
      <c r="H24" s="42">
        <f t="shared" si="4"/>
        <v>0.62924733601372063</v>
      </c>
      <c r="I24" s="41">
        <v>889175000</v>
      </c>
      <c r="J24" s="43">
        <v>213133.96</v>
      </c>
      <c r="K24" s="45">
        <v>28416.54</v>
      </c>
      <c r="L24" s="10">
        <v>665302.35</v>
      </c>
      <c r="M24" s="42">
        <f t="shared" si="3"/>
        <v>0.21065042310910709</v>
      </c>
      <c r="N24" s="42">
        <f t="shared" si="3"/>
        <v>2.8085417144676834E-2</v>
      </c>
      <c r="O24" s="42">
        <f t="shared" si="5"/>
        <v>0.65754993490001901</v>
      </c>
      <c r="P24" s="43">
        <v>1011789.85</v>
      </c>
    </row>
    <row r="25" spans="2:17" ht="13.8" thickBot="1" x14ac:dyDescent="0.3">
      <c r="B25" s="40">
        <v>2020</v>
      </c>
      <c r="C25" s="41">
        <v>232033000</v>
      </c>
      <c r="D25" s="44">
        <v>32913200</v>
      </c>
      <c r="E25" s="51">
        <v>628410000</v>
      </c>
      <c r="F25" s="42">
        <f t="shared" si="2"/>
        <v>0.21289579682353266</v>
      </c>
      <c r="G25" s="42">
        <f t="shared" si="2"/>
        <v>3.0198643899843104E-2</v>
      </c>
      <c r="H25" s="42">
        <f t="shared" si="4"/>
        <v>0.57658112286561025</v>
      </c>
      <c r="I25" s="41">
        <v>1089890000</v>
      </c>
      <c r="J25" s="43">
        <v>268405.69</v>
      </c>
      <c r="K25" s="45">
        <v>47303.09</v>
      </c>
      <c r="L25" s="10">
        <v>735896.26</v>
      </c>
      <c r="M25" s="42">
        <f t="shared" si="3"/>
        <v>0.22447203085518427</v>
      </c>
      <c r="N25" s="42">
        <f t="shared" si="3"/>
        <v>3.9560341205976512E-2</v>
      </c>
      <c r="O25" s="42">
        <f t="shared" si="5"/>
        <v>0.61544197509722953</v>
      </c>
      <c r="P25" s="43">
        <v>1195719.97</v>
      </c>
    </row>
    <row r="26" spans="2:17" ht="13.8" thickBot="1" x14ac:dyDescent="0.3">
      <c r="B26" s="40">
        <v>2021</v>
      </c>
      <c r="C26" s="41">
        <v>191523000</v>
      </c>
      <c r="D26" s="44">
        <v>19823000</v>
      </c>
      <c r="E26" s="51">
        <v>533217000</v>
      </c>
      <c r="F26" s="42">
        <f t="shared" si="2"/>
        <v>0.21687455059137928</v>
      </c>
      <c r="G26" s="42">
        <f t="shared" si="2"/>
        <v>2.2446934396249597E-2</v>
      </c>
      <c r="H26" s="42">
        <f t="shared" si="4"/>
        <v>0.60379796286964749</v>
      </c>
      <c r="I26" s="41">
        <v>883105000</v>
      </c>
      <c r="J26" s="43">
        <v>212629.47</v>
      </c>
      <c r="K26" s="45">
        <v>30181.26</v>
      </c>
      <c r="L26" s="10">
        <v>594656.84</v>
      </c>
      <c r="M26" s="42">
        <f t="shared" si="3"/>
        <v>0.22330057343431939</v>
      </c>
      <c r="N26" s="42">
        <f t="shared" si="3"/>
        <v>3.1695948190861245E-2</v>
      </c>
      <c r="O26" s="42">
        <f t="shared" si="5"/>
        <v>0.62450051429202313</v>
      </c>
      <c r="P26" s="43">
        <v>952211.93</v>
      </c>
    </row>
    <row r="27" spans="2:17" ht="13.8" thickBot="1" x14ac:dyDescent="0.3">
      <c r="B27" s="40">
        <v>2022</v>
      </c>
      <c r="C27" s="41">
        <v>258109000</v>
      </c>
      <c r="D27" s="44">
        <v>20096700</v>
      </c>
      <c r="E27" s="51">
        <v>706292000</v>
      </c>
      <c r="F27" s="42">
        <f t="shared" si="2"/>
        <v>0.2189535386781809</v>
      </c>
      <c r="G27" s="42">
        <f t="shared" si="2"/>
        <v>1.7048005225520219E-2</v>
      </c>
      <c r="H27" s="42">
        <f t="shared" si="4"/>
        <v>0.59914661147069548</v>
      </c>
      <c r="I27" s="41">
        <v>1178830000</v>
      </c>
      <c r="J27" s="43">
        <v>335852.01</v>
      </c>
      <c r="K27" s="45">
        <v>36315.699999999997</v>
      </c>
      <c r="L27" s="10">
        <v>762038.42</v>
      </c>
      <c r="M27" s="42">
        <f t="shared" si="3"/>
        <v>0.25579440550022997</v>
      </c>
      <c r="N27" s="42">
        <f t="shared" si="3"/>
        <v>2.765906594343354E-2</v>
      </c>
      <c r="O27" s="42">
        <f t="shared" si="5"/>
        <v>0.58039004921314763</v>
      </c>
      <c r="P27" s="43">
        <v>1312976.3700000001</v>
      </c>
    </row>
    <row r="28" spans="2:17" ht="13.8" thickBot="1" x14ac:dyDescent="0.3">
      <c r="B28" s="40">
        <v>2023</v>
      </c>
      <c r="C28" s="41">
        <v>275960000</v>
      </c>
      <c r="D28" s="41">
        <v>24542200</v>
      </c>
      <c r="E28" s="51">
        <v>730137000</v>
      </c>
      <c r="F28" s="42">
        <f t="shared" si="2"/>
        <v>0.22206128492339386</v>
      </c>
      <c r="G28" s="42">
        <f t="shared" si="2"/>
        <v>1.9748776876528904E-2</v>
      </c>
      <c r="H28" s="42">
        <f t="shared" si="4"/>
        <v>0.58753138277327155</v>
      </c>
      <c r="I28" s="41">
        <v>1242720000</v>
      </c>
      <c r="J28" s="43">
        <v>360192.05</v>
      </c>
      <c r="K28" s="43">
        <v>43423.57</v>
      </c>
      <c r="L28" s="52">
        <v>716202.15</v>
      </c>
      <c r="M28" s="42">
        <f t="shared" si="3"/>
        <v>0.26988482527014518</v>
      </c>
      <c r="N28" s="42">
        <f t="shared" si="3"/>
        <v>3.253642772530909E-2</v>
      </c>
      <c r="O28" s="42">
        <f t="shared" si="5"/>
        <v>0.53663619758085257</v>
      </c>
      <c r="P28" s="43">
        <v>1334613.94</v>
      </c>
    </row>
    <row r="29" spans="2:17" x14ac:dyDescent="0.25">
      <c r="B29" s="13" t="s">
        <v>55</v>
      </c>
    </row>
    <row r="30" spans="2:17" x14ac:dyDescent="0.25">
      <c r="B30" s="24" t="s">
        <v>0</v>
      </c>
      <c r="C30" s="24" t="s">
        <v>1</v>
      </c>
      <c r="D30" s="24" t="s">
        <v>5</v>
      </c>
      <c r="E30" s="24" t="s">
        <v>12</v>
      </c>
      <c r="F30" s="24" t="s">
        <v>56</v>
      </c>
      <c r="G30" s="24" t="s">
        <v>57</v>
      </c>
      <c r="H30" s="24" t="s">
        <v>58</v>
      </c>
      <c r="I30" s="24" t="s">
        <v>18</v>
      </c>
      <c r="J30" s="24" t="s">
        <v>44</v>
      </c>
      <c r="K30" s="24" t="s">
        <v>45</v>
      </c>
      <c r="L30" s="24" t="s">
        <v>46</v>
      </c>
      <c r="M30" s="24" t="s">
        <v>51</v>
      </c>
      <c r="N30" s="24" t="s">
        <v>52</v>
      </c>
      <c r="O30" s="24" t="s">
        <v>53</v>
      </c>
    </row>
    <row r="31" spans="2:17" x14ac:dyDescent="0.25">
      <c r="B31" s="40">
        <v>1998</v>
      </c>
      <c r="C31" s="34">
        <f t="shared" ref="C31:C56" si="6">J3*1000/C3</f>
        <v>1.2829863030526381</v>
      </c>
      <c r="D31" s="34">
        <f t="shared" ref="D31:D56" si="7">K3*1000/D3</f>
        <v>0.89981846358202344</v>
      </c>
      <c r="E31" s="34"/>
      <c r="F31" s="27" t="s">
        <v>40</v>
      </c>
      <c r="G31" s="27" t="s">
        <v>40</v>
      </c>
      <c r="H31" s="27"/>
      <c r="I31" s="34">
        <f t="shared" ref="I31:I56" si="8">C31-D31</f>
        <v>0.38316783947061461</v>
      </c>
      <c r="J31" s="27">
        <v>9.2306757758240154E-2</v>
      </c>
      <c r="K31" s="27">
        <v>9.1462797299650504E-3</v>
      </c>
      <c r="L31" s="27"/>
      <c r="M31" s="27">
        <v>0.16520028139322068</v>
      </c>
      <c r="N31" s="27">
        <v>1.1480337244792499E-2</v>
      </c>
      <c r="O31" s="27"/>
    </row>
    <row r="32" spans="2:17" x14ac:dyDescent="0.25">
      <c r="B32" s="40">
        <v>1999</v>
      </c>
      <c r="C32" s="34">
        <f t="shared" si="6"/>
        <v>1.270631027381899</v>
      </c>
      <c r="D32" s="34">
        <f t="shared" si="7"/>
        <v>0.91488033575052463</v>
      </c>
      <c r="E32" s="34"/>
      <c r="F32" s="36">
        <f t="shared" ref="F32:H47" si="9">(C32-C31)/C31</f>
        <v>-9.6300916395925928E-3</v>
      </c>
      <c r="G32" s="36">
        <f t="shared" si="9"/>
        <v>1.6738789853836131E-2</v>
      </c>
      <c r="H32" s="36"/>
      <c r="I32" s="34">
        <f t="shared" si="8"/>
        <v>0.3557506916313744</v>
      </c>
      <c r="J32" s="27">
        <v>8.0169141900705135E-2</v>
      </c>
      <c r="K32" s="27">
        <v>4.9228335027803475E-3</v>
      </c>
      <c r="L32" s="27"/>
      <c r="M32" s="27">
        <v>0.16763156037342505</v>
      </c>
      <c r="N32" s="27">
        <v>7.4115413682037824E-3</v>
      </c>
      <c r="O32" s="27"/>
    </row>
    <row r="33" spans="2:15" x14ac:dyDescent="0.25">
      <c r="B33" s="40">
        <v>2000</v>
      </c>
      <c r="C33" s="34">
        <f t="shared" si="6"/>
        <v>0.43785028266641879</v>
      </c>
      <c r="D33" s="34">
        <f t="shared" si="7"/>
        <v>0.43784985457935732</v>
      </c>
      <c r="E33" s="34"/>
      <c r="F33" s="36">
        <f t="shared" si="9"/>
        <v>-0.65540721639027066</v>
      </c>
      <c r="G33" s="36">
        <f t="shared" si="9"/>
        <v>-0.52141297886770521</v>
      </c>
      <c r="H33" s="36"/>
      <c r="I33" s="34">
        <f t="shared" si="8"/>
        <v>4.2808706146590936E-7</v>
      </c>
      <c r="J33" s="27">
        <v>0.19387709698586003</v>
      </c>
      <c r="K33" s="27">
        <v>1.5163295249413533E-2</v>
      </c>
      <c r="L33" s="27"/>
      <c r="M33" s="27">
        <v>0.19387727209023201</v>
      </c>
      <c r="N33" s="27">
        <v>1.5163294119281495E-2</v>
      </c>
      <c r="O33" s="27"/>
    </row>
    <row r="34" spans="2:15" x14ac:dyDescent="0.25">
      <c r="B34" s="40">
        <v>2001</v>
      </c>
      <c r="C34" s="34">
        <f t="shared" si="6"/>
        <v>0.417323548330507</v>
      </c>
      <c r="D34" s="34">
        <f t="shared" si="7"/>
        <v>0.41732269300583802</v>
      </c>
      <c r="E34" s="34"/>
      <c r="F34" s="36">
        <f t="shared" si="9"/>
        <v>-4.6880715049235938E-2</v>
      </c>
      <c r="G34" s="36">
        <f t="shared" si="9"/>
        <v>-4.6881736647462778E-2</v>
      </c>
      <c r="H34" s="36"/>
      <c r="I34" s="34">
        <f t="shared" si="8"/>
        <v>8.5532466898019521E-7</v>
      </c>
      <c r="J34" s="27">
        <v>0.17470501098227512</v>
      </c>
      <c r="K34" s="27">
        <v>1.735341358623782E-2</v>
      </c>
      <c r="L34" s="27"/>
      <c r="M34" s="27">
        <v>0.17470492295441867</v>
      </c>
      <c r="N34" s="27">
        <v>1.7353369275811315E-2</v>
      </c>
      <c r="O34" s="27"/>
    </row>
    <row r="35" spans="2:15" x14ac:dyDescent="0.25">
      <c r="B35" s="40">
        <v>2002</v>
      </c>
      <c r="C35" s="34">
        <f t="shared" si="6"/>
        <v>0.39769283783067383</v>
      </c>
      <c r="D35" s="34">
        <f t="shared" si="7"/>
        <v>0.39769328974602008</v>
      </c>
      <c r="E35" s="34"/>
      <c r="F35" s="36">
        <f t="shared" si="9"/>
        <v>-4.7039546602067779E-2</v>
      </c>
      <c r="G35" s="36">
        <f t="shared" si="9"/>
        <v>-4.7036510567958344E-2</v>
      </c>
      <c r="H35" s="36"/>
      <c r="I35" s="34">
        <f t="shared" si="8"/>
        <v>-4.5191534625566021E-7</v>
      </c>
      <c r="J35" s="27">
        <v>0.19739201209232021</v>
      </c>
      <c r="K35" s="27">
        <v>2.4043718388465786E-2</v>
      </c>
      <c r="L35" s="27"/>
      <c r="M35" s="27">
        <v>0.19739219975476219</v>
      </c>
      <c r="N35" s="27">
        <v>2.4043768568984377E-2</v>
      </c>
      <c r="O35" s="27"/>
    </row>
    <row r="36" spans="2:15" x14ac:dyDescent="0.25">
      <c r="B36" s="40">
        <v>2003</v>
      </c>
      <c r="C36" s="34">
        <f t="shared" si="6"/>
        <v>0.45151682254200148</v>
      </c>
      <c r="D36" s="34">
        <f t="shared" si="7"/>
        <v>0.45151877918831812</v>
      </c>
      <c r="E36" s="34"/>
      <c r="F36" s="36">
        <f t="shared" si="9"/>
        <v>0.13534059352168762</v>
      </c>
      <c r="G36" s="36">
        <f t="shared" si="9"/>
        <v>0.13534422337543778</v>
      </c>
      <c r="H36" s="36"/>
      <c r="I36" s="34">
        <f t="shared" si="8"/>
        <v>-1.9566463166365011E-6</v>
      </c>
      <c r="J36" s="27">
        <v>0.13707341621905569</v>
      </c>
      <c r="K36" s="27">
        <v>3.0481655468873745E-2</v>
      </c>
      <c r="L36" s="27"/>
      <c r="M36" s="27">
        <v>0.13707347032715522</v>
      </c>
      <c r="N36" s="27">
        <v>3.0481799593326742E-2</v>
      </c>
      <c r="O36" s="27"/>
    </row>
    <row r="37" spans="2:15" x14ac:dyDescent="0.25">
      <c r="B37" s="40">
        <v>2004</v>
      </c>
      <c r="C37" s="34">
        <f t="shared" si="6"/>
        <v>0.5330954306918253</v>
      </c>
      <c r="D37" s="34">
        <f t="shared" si="7"/>
        <v>0.5330952412157115</v>
      </c>
      <c r="E37" s="34"/>
      <c r="F37" s="36">
        <f t="shared" si="9"/>
        <v>0.18067678561906766</v>
      </c>
      <c r="G37" s="36">
        <f t="shared" si="9"/>
        <v>0.18067124954147193</v>
      </c>
      <c r="H37" s="36"/>
      <c r="I37" s="34">
        <f t="shared" si="8"/>
        <v>1.8947611379882545E-7</v>
      </c>
      <c r="J37" s="27">
        <v>0.11500495728298703</v>
      </c>
      <c r="K37" s="27">
        <v>3.2191119080265798E-2</v>
      </c>
      <c r="L37" s="27"/>
      <c r="M37" s="27">
        <v>0.11500489763092685</v>
      </c>
      <c r="N37" s="27">
        <v>3.2191090941452324E-2</v>
      </c>
      <c r="O37" s="27"/>
    </row>
    <row r="38" spans="2:15" x14ac:dyDescent="0.25">
      <c r="B38" s="40">
        <v>2005</v>
      </c>
      <c r="C38" s="34">
        <f t="shared" si="6"/>
        <v>0.53309539070649026</v>
      </c>
      <c r="D38" s="34">
        <f t="shared" si="7"/>
        <v>0.53309550316955212</v>
      </c>
      <c r="E38" s="34"/>
      <c r="F38" s="36">
        <f t="shared" si="9"/>
        <v>-7.500596092358636E-8</v>
      </c>
      <c r="G38" s="36">
        <f t="shared" si="9"/>
        <v>4.9138281561399903E-7</v>
      </c>
      <c r="H38" s="36"/>
      <c r="I38" s="34">
        <f t="shared" si="8"/>
        <v>-1.1246306186318833E-7</v>
      </c>
      <c r="J38" s="27">
        <v>0.13629428903337018</v>
      </c>
      <c r="K38" s="27">
        <v>2.3161946562740066E-2</v>
      </c>
      <c r="L38" s="27"/>
      <c r="M38" s="27">
        <v>0.13629435057694242</v>
      </c>
      <c r="N38" s="27">
        <v>2.3161961907798782E-2</v>
      </c>
      <c r="O38" s="27"/>
    </row>
    <row r="39" spans="2:15" x14ac:dyDescent="0.25">
      <c r="B39" s="40">
        <v>2006</v>
      </c>
      <c r="C39" s="34">
        <f t="shared" si="6"/>
        <v>0.87797988963154461</v>
      </c>
      <c r="D39" s="34">
        <f t="shared" si="7"/>
        <v>0.89283863078223757</v>
      </c>
      <c r="E39" s="34"/>
      <c r="F39" s="36">
        <f t="shared" si="9"/>
        <v>0.64694706601757057</v>
      </c>
      <c r="G39" s="36">
        <f t="shared" si="9"/>
        <v>0.67481928748940956</v>
      </c>
      <c r="H39" s="36"/>
      <c r="I39" s="34">
        <f t="shared" si="8"/>
        <v>-1.4858741150692967E-2</v>
      </c>
      <c r="J39" s="27">
        <v>9.1512290446808212E-2</v>
      </c>
      <c r="K39" s="27">
        <v>1.4223991066699117E-2</v>
      </c>
      <c r="L39" s="27"/>
      <c r="M39" s="27">
        <v>0.13546812231414326</v>
      </c>
      <c r="N39" s="27">
        <v>2.141250912754173E-2</v>
      </c>
      <c r="O39" s="27"/>
    </row>
    <row r="40" spans="2:15" x14ac:dyDescent="0.25">
      <c r="B40" s="40">
        <v>2007</v>
      </c>
      <c r="C40" s="34">
        <f t="shared" si="6"/>
        <v>0.91989865245298597</v>
      </c>
      <c r="D40" s="34">
        <f t="shared" si="7"/>
        <v>1.0442940994491656</v>
      </c>
      <c r="E40" s="34"/>
      <c r="F40" s="36">
        <f t="shared" si="9"/>
        <v>4.77445592051466E-2</v>
      </c>
      <c r="G40" s="36">
        <f t="shared" si="9"/>
        <v>0.16963364201012923</v>
      </c>
      <c r="H40" s="36"/>
      <c r="I40" s="34">
        <f t="shared" si="8"/>
        <v>-0.12439544699617966</v>
      </c>
      <c r="J40" s="27">
        <v>0.11442686490749124</v>
      </c>
      <c r="K40" s="27">
        <v>1.6549455118348329E-2</v>
      </c>
      <c r="L40" s="27"/>
      <c r="M40" s="27">
        <v>0.15657176263180492</v>
      </c>
      <c r="N40" s="27">
        <v>2.5707034621018698E-2</v>
      </c>
      <c r="O40" s="27"/>
    </row>
    <row r="41" spans="2:15" x14ac:dyDescent="0.25">
      <c r="B41" s="40">
        <v>2008</v>
      </c>
      <c r="C41" s="34">
        <f t="shared" si="6"/>
        <v>1.5807941690528429</v>
      </c>
      <c r="D41" s="34">
        <f t="shared" si="7"/>
        <v>1.6746848687975149</v>
      </c>
      <c r="E41" s="34"/>
      <c r="F41" s="36">
        <f t="shared" si="9"/>
        <v>0.71844383600032924</v>
      </c>
      <c r="G41" s="36">
        <f t="shared" si="9"/>
        <v>0.60365252439984274</v>
      </c>
      <c r="H41" s="36"/>
      <c r="I41" s="34">
        <f t="shared" si="8"/>
        <v>-9.3890699744672013E-2</v>
      </c>
      <c r="J41" s="27">
        <v>0.12623199535836535</v>
      </c>
      <c r="K41" s="27">
        <v>2.2969707325408255E-2</v>
      </c>
      <c r="L41" s="27"/>
      <c r="M41" s="27">
        <v>0.19970913565482343</v>
      </c>
      <c r="N41" s="27">
        <v>3.8498314629228765E-2</v>
      </c>
      <c r="O41" s="27"/>
    </row>
    <row r="42" spans="2:15" x14ac:dyDescent="0.25">
      <c r="B42" s="40">
        <v>2009</v>
      </c>
      <c r="C42" s="34">
        <f t="shared" si="6"/>
        <v>1.4120017621417222</v>
      </c>
      <c r="D42" s="34">
        <f t="shared" si="7"/>
        <v>1.3733781857066476</v>
      </c>
      <c r="E42" s="34"/>
      <c r="F42" s="36">
        <f t="shared" si="9"/>
        <v>-0.10677696705590406</v>
      </c>
      <c r="G42" s="36">
        <f t="shared" si="9"/>
        <v>-0.17991843642034966</v>
      </c>
      <c r="H42" s="36"/>
      <c r="I42" s="34">
        <f t="shared" si="8"/>
        <v>3.8623576435074636E-2</v>
      </c>
      <c r="J42" s="27">
        <v>0.10822009798374604</v>
      </c>
      <c r="K42" s="27">
        <v>1.6653897738508429E-2</v>
      </c>
      <c r="L42" s="27"/>
      <c r="M42" s="27">
        <v>0.14983490575690286</v>
      </c>
      <c r="N42" s="27">
        <v>2.2427242346343666E-2</v>
      </c>
      <c r="O42" s="27"/>
    </row>
    <row r="43" spans="2:15" x14ac:dyDescent="0.25">
      <c r="B43" s="40">
        <v>2010</v>
      </c>
      <c r="C43" s="34">
        <f t="shared" si="6"/>
        <v>1.337504968982006</v>
      </c>
      <c r="D43" s="34">
        <f t="shared" si="7"/>
        <v>1.2610083301046107</v>
      </c>
      <c r="E43" s="34"/>
      <c r="F43" s="36">
        <f t="shared" si="9"/>
        <v>-5.2759702683883067E-2</v>
      </c>
      <c r="G43" s="36">
        <f t="shared" si="9"/>
        <v>-8.1820038188693822E-2</v>
      </c>
      <c r="H43" s="36"/>
      <c r="I43" s="34">
        <f t="shared" si="8"/>
        <v>7.6496638877395329E-2</v>
      </c>
      <c r="J43" s="27">
        <v>0.12387260100158759</v>
      </c>
      <c r="K43" s="27">
        <v>2.1094227283964994E-2</v>
      </c>
      <c r="L43" s="27"/>
      <c r="M43" s="27">
        <v>0.14313475844669848</v>
      </c>
      <c r="N43" s="27">
        <v>2.2980317523483038E-2</v>
      </c>
      <c r="O43" s="27"/>
    </row>
    <row r="44" spans="2:15" x14ac:dyDescent="0.25">
      <c r="B44" s="40">
        <v>2011</v>
      </c>
      <c r="C44" s="34">
        <f t="shared" si="6"/>
        <v>1.2856314066547638</v>
      </c>
      <c r="D44" s="34">
        <f t="shared" si="7"/>
        <v>1.2897656971389961</v>
      </c>
      <c r="E44" s="34"/>
      <c r="F44" s="36">
        <f t="shared" si="9"/>
        <v>-3.8783827746616796E-2</v>
      </c>
      <c r="G44" s="36">
        <f t="shared" si="9"/>
        <v>2.2805057149780938E-2</v>
      </c>
      <c r="H44" s="36"/>
      <c r="I44" s="34">
        <f t="shared" si="8"/>
        <v>-4.1342904842323058E-3</v>
      </c>
      <c r="J44" s="27">
        <v>0.1216192510671755</v>
      </c>
      <c r="K44" s="27">
        <v>1.5121867547851371E-2</v>
      </c>
      <c r="L44" s="27"/>
      <c r="M44" s="27">
        <v>0.138347554341165</v>
      </c>
      <c r="N44" s="27">
        <v>1.7257144683535335E-2</v>
      </c>
      <c r="O44" s="27"/>
    </row>
    <row r="45" spans="2:15" x14ac:dyDescent="0.25">
      <c r="B45" s="40">
        <v>2012</v>
      </c>
      <c r="C45" s="34">
        <f t="shared" si="6"/>
        <v>1.1710505763573134</v>
      </c>
      <c r="D45" s="34">
        <f t="shared" si="7"/>
        <v>1.4325959604594765</v>
      </c>
      <c r="E45" s="34"/>
      <c r="F45" s="36">
        <f t="shared" si="9"/>
        <v>-8.9124168641455226E-2</v>
      </c>
      <c r="G45" s="36">
        <f t="shared" si="9"/>
        <v>0.11074124830371242</v>
      </c>
      <c r="H45" s="36"/>
      <c r="I45" s="34">
        <f t="shared" si="8"/>
        <v>-0.2615453841021631</v>
      </c>
      <c r="J45" s="27">
        <v>0.16821059475737457</v>
      </c>
      <c r="K45" s="27">
        <v>1.6901497349789733E-2</v>
      </c>
      <c r="L45" s="27"/>
      <c r="M45" s="27">
        <v>0.16452538645367717</v>
      </c>
      <c r="N45" s="27">
        <v>2.0223337276603179E-2</v>
      </c>
      <c r="O45" s="27"/>
    </row>
    <row r="46" spans="2:15" x14ac:dyDescent="0.25">
      <c r="B46" s="40">
        <v>2013</v>
      </c>
      <c r="C46" s="34">
        <f t="shared" si="6"/>
        <v>1.3315401271523346</v>
      </c>
      <c r="D46" s="34">
        <f t="shared" si="7"/>
        <v>1.6401195859151609</v>
      </c>
      <c r="E46" s="34">
        <v>1.2941073525346443</v>
      </c>
      <c r="F46" s="36">
        <f t="shared" si="9"/>
        <v>0.13704749737986752</v>
      </c>
      <c r="G46" s="36">
        <f t="shared" si="9"/>
        <v>0.14485844661262723</v>
      </c>
      <c r="H46" s="36"/>
      <c r="I46" s="34">
        <f t="shared" si="8"/>
        <v>-0.30857945876282633</v>
      </c>
      <c r="J46" s="27">
        <v>0.17012305635999109</v>
      </c>
      <c r="K46" s="27">
        <v>2.8732100690576967E-2</v>
      </c>
      <c r="L46" s="27"/>
      <c r="M46" s="27">
        <v>0.18144762000743869</v>
      </c>
      <c r="N46" s="27">
        <v>3.774650408559424E-2</v>
      </c>
      <c r="O46" s="27"/>
    </row>
    <row r="47" spans="2:15" x14ac:dyDescent="0.25">
      <c r="B47" s="40">
        <v>2014</v>
      </c>
      <c r="C47" s="34">
        <f t="shared" si="6"/>
        <v>1.4677215813965199</v>
      </c>
      <c r="D47" s="34">
        <f t="shared" si="7"/>
        <v>1.7107925885649755</v>
      </c>
      <c r="E47" s="53">
        <f t="shared" ref="E47:E56" si="10">L19*1000/E19</f>
        <v>1.1606425139045076</v>
      </c>
      <c r="F47" s="36">
        <f t="shared" si="9"/>
        <v>0.10227363897431042</v>
      </c>
      <c r="G47" s="36">
        <f t="shared" si="9"/>
        <v>4.3090152240563701E-2</v>
      </c>
      <c r="H47" s="36">
        <f t="shared" si="9"/>
        <v>-0.1031327411661265</v>
      </c>
      <c r="I47" s="34">
        <f t="shared" si="8"/>
        <v>-0.24307100716845564</v>
      </c>
      <c r="J47" s="27">
        <v>0.16212561076615117</v>
      </c>
      <c r="K47" s="27">
        <v>2.033109350313185E-2</v>
      </c>
      <c r="L47" s="27">
        <v>0.66997113901403249</v>
      </c>
      <c r="M47" s="27">
        <v>0.19763920707995761</v>
      </c>
      <c r="N47" s="27">
        <v>2.8889225266676623E-2</v>
      </c>
      <c r="O47" s="27">
        <v>0.64585104507879532</v>
      </c>
    </row>
    <row r="48" spans="2:15" x14ac:dyDescent="0.25">
      <c r="B48" s="40">
        <v>2015</v>
      </c>
      <c r="C48" s="34">
        <f t="shared" si="6"/>
        <v>1.1980621814806975</v>
      </c>
      <c r="D48" s="34">
        <f t="shared" si="7"/>
        <v>1.3886332123077416</v>
      </c>
      <c r="E48" s="53">
        <f t="shared" si="10"/>
        <v>1.0791730743913677</v>
      </c>
      <c r="F48" s="36">
        <f t="shared" ref="F48:H56" si="11">(C48-C47)/C47</f>
        <v>-0.18372653460559227</v>
      </c>
      <c r="G48" s="36">
        <f t="shared" si="11"/>
        <v>-0.18831001397280039</v>
      </c>
      <c r="H48" s="36">
        <f t="shared" si="11"/>
        <v>-7.0193395931249541E-2</v>
      </c>
      <c r="I48" s="34">
        <f t="shared" si="8"/>
        <v>-0.19057103082704407</v>
      </c>
      <c r="J48" s="27">
        <v>0.19119501162729161</v>
      </c>
      <c r="K48" s="27">
        <v>1.9420378735286885E-2</v>
      </c>
      <c r="L48" s="27">
        <v>0.63846127504848593</v>
      </c>
      <c r="M48" s="27">
        <v>0.21016584895229454</v>
      </c>
      <c r="N48" s="27">
        <v>2.4742949768979727E-2</v>
      </c>
      <c r="O48" s="27">
        <v>0.63216710286874844</v>
      </c>
    </row>
    <row r="49" spans="2:15" x14ac:dyDescent="0.25">
      <c r="B49" s="40">
        <v>2016</v>
      </c>
      <c r="C49" s="34">
        <f t="shared" si="6"/>
        <v>1.0828780637489932</v>
      </c>
      <c r="D49" s="34">
        <f t="shared" si="7"/>
        <v>1.2548134036450034</v>
      </c>
      <c r="E49" s="53">
        <f t="shared" si="10"/>
        <v>0.91307025574058864</v>
      </c>
      <c r="F49" s="36">
        <f t="shared" si="11"/>
        <v>-9.6142019598137285E-2</v>
      </c>
      <c r="G49" s="36">
        <f t="shared" si="11"/>
        <v>-9.6368002346959414E-2</v>
      </c>
      <c r="H49" s="36">
        <f t="shared" si="11"/>
        <v>-0.1539167558868699</v>
      </c>
      <c r="I49" s="34">
        <f t="shared" si="8"/>
        <v>-0.17193533989601018</v>
      </c>
      <c r="J49" s="27">
        <v>0.19453618293907751</v>
      </c>
      <c r="K49" s="27">
        <v>2.0602285395347728E-2</v>
      </c>
      <c r="L49" s="27">
        <v>0.66512257473350234</v>
      </c>
      <c r="M49" s="27">
        <v>0.21926785293495851</v>
      </c>
      <c r="N49" s="27">
        <v>2.6908504761699127E-2</v>
      </c>
      <c r="O49" s="27">
        <v>0.6321219940652929</v>
      </c>
    </row>
    <row r="50" spans="2:15" x14ac:dyDescent="0.25">
      <c r="B50" s="40">
        <v>2017</v>
      </c>
      <c r="C50" s="34">
        <f t="shared" si="6"/>
        <v>1.1462157071783938</v>
      </c>
      <c r="D50" s="34">
        <f t="shared" si="7"/>
        <v>1.3674960439577917</v>
      </c>
      <c r="E50" s="53">
        <f t="shared" si="10"/>
        <v>0.8673444921632778</v>
      </c>
      <c r="F50" s="36">
        <f t="shared" si="11"/>
        <v>5.849009740775582E-2</v>
      </c>
      <c r="G50" s="36">
        <f t="shared" si="11"/>
        <v>8.9800316115101933E-2</v>
      </c>
      <c r="H50" s="36">
        <f t="shared" si="11"/>
        <v>-5.0079129497239847E-2</v>
      </c>
      <c r="I50" s="34">
        <f t="shared" si="8"/>
        <v>-0.22128033677939785</v>
      </c>
      <c r="J50" s="27">
        <v>0.19689860211788446</v>
      </c>
      <c r="K50" s="27">
        <v>1.7598704695478889E-2</v>
      </c>
      <c r="L50" s="27">
        <v>0.67027110992315775</v>
      </c>
      <c r="M50" s="27">
        <v>0.24067479387537924</v>
      </c>
      <c r="N50" s="27">
        <v>2.5664239690694726E-2</v>
      </c>
      <c r="O50" s="27">
        <v>0.61996010893664033</v>
      </c>
    </row>
    <row r="51" spans="2:15" x14ac:dyDescent="0.25">
      <c r="B51" s="54">
        <v>2018</v>
      </c>
      <c r="C51" s="34">
        <f t="shared" si="6"/>
        <v>1.2425686845973141</v>
      </c>
      <c r="D51" s="34">
        <f t="shared" si="7"/>
        <v>1.553181924295481</v>
      </c>
      <c r="E51" s="53">
        <f t="shared" si="10"/>
        <v>1.1635182257888796</v>
      </c>
      <c r="F51" s="36">
        <f t="shared" si="11"/>
        <v>8.4061819093466786E-2</v>
      </c>
      <c r="G51" s="36">
        <f t="shared" si="11"/>
        <v>0.13578531444981684</v>
      </c>
      <c r="H51" s="36">
        <f t="shared" si="11"/>
        <v>0.3414718561097948</v>
      </c>
      <c r="I51" s="34">
        <f t="shared" si="8"/>
        <v>-0.3106132396981669</v>
      </c>
      <c r="J51" s="36">
        <v>0.19684515596176005</v>
      </c>
      <c r="K51" s="36">
        <v>1.8536996097864952E-2</v>
      </c>
      <c r="L51" s="36">
        <v>0.60149384016577889</v>
      </c>
      <c r="M51" s="36">
        <v>0.22115558304393437</v>
      </c>
      <c r="N51" s="36">
        <v>2.6032414907017781E-2</v>
      </c>
      <c r="O51" s="36">
        <v>0.6327864137689112</v>
      </c>
    </row>
    <row r="52" spans="2:15" x14ac:dyDescent="0.25">
      <c r="B52" s="54">
        <v>2019</v>
      </c>
      <c r="C52" s="34">
        <f t="shared" si="6"/>
        <v>1.275044927553572</v>
      </c>
      <c r="D52" s="34">
        <f t="shared" si="7"/>
        <v>1.4790882876505553</v>
      </c>
      <c r="E52" s="53">
        <f t="shared" si="10"/>
        <v>1.1890782308122629</v>
      </c>
      <c r="F52" s="36">
        <f t="shared" si="11"/>
        <v>2.613637649075528E-2</v>
      </c>
      <c r="G52" s="36">
        <f t="shared" si="11"/>
        <v>-4.770441600299611E-2</v>
      </c>
      <c r="H52" s="36">
        <f t="shared" si="11"/>
        <v>2.1967859597603893E-2</v>
      </c>
      <c r="I52" s="34">
        <f t="shared" si="8"/>
        <v>-0.20404336009698332</v>
      </c>
      <c r="J52" s="36">
        <v>0.18799223999775072</v>
      </c>
      <c r="K52" s="36">
        <v>2.1606770320802993E-2</v>
      </c>
      <c r="L52" s="36">
        <v>0.62924733601372063</v>
      </c>
      <c r="M52" s="36">
        <v>0.21065042310910709</v>
      </c>
      <c r="N52" s="36">
        <v>2.8085417144676834E-2</v>
      </c>
      <c r="O52" s="36">
        <v>0.65754993490001901</v>
      </c>
    </row>
    <row r="53" spans="2:15" x14ac:dyDescent="0.25">
      <c r="B53" s="54">
        <v>2020</v>
      </c>
      <c r="C53" s="34">
        <f t="shared" si="6"/>
        <v>1.1567565389405818</v>
      </c>
      <c r="D53" s="34">
        <f t="shared" si="7"/>
        <v>1.4372072603089339</v>
      </c>
      <c r="E53" s="53">
        <f t="shared" si="10"/>
        <v>1.1710447955952323</v>
      </c>
      <c r="F53" s="36">
        <f t="shared" si="11"/>
        <v>-9.2771937722971098E-2</v>
      </c>
      <c r="G53" s="36">
        <f t="shared" si="11"/>
        <v>-2.8315434373526828E-2</v>
      </c>
      <c r="H53" s="36">
        <f t="shared" si="11"/>
        <v>-1.516589468189314E-2</v>
      </c>
      <c r="I53" s="34">
        <f t="shared" si="8"/>
        <v>-0.28045072136835203</v>
      </c>
      <c r="J53" s="36">
        <v>0.21289579682353266</v>
      </c>
      <c r="K53" s="36">
        <v>3.0198643899843104E-2</v>
      </c>
      <c r="L53" s="36">
        <v>0.57658112286561025</v>
      </c>
      <c r="M53" s="36">
        <v>0.22447203085518427</v>
      </c>
      <c r="N53" s="36">
        <v>3.9560341205976512E-2</v>
      </c>
      <c r="O53" s="36">
        <v>0.61544197509722953</v>
      </c>
    </row>
    <row r="54" spans="2:15" x14ac:dyDescent="0.25">
      <c r="B54" s="54">
        <v>2021</v>
      </c>
      <c r="C54" s="34">
        <f t="shared" si="6"/>
        <v>1.1102033176172053</v>
      </c>
      <c r="D54" s="34">
        <f t="shared" si="7"/>
        <v>1.5225374564899359</v>
      </c>
      <c r="E54" s="53">
        <f t="shared" si="10"/>
        <v>1.1152248334167891</v>
      </c>
      <c r="F54" s="36">
        <f t="shared" si="11"/>
        <v>-4.0244614796828775E-2</v>
      </c>
      <c r="G54" s="36">
        <f t="shared" si="11"/>
        <v>5.9372227331122671E-2</v>
      </c>
      <c r="H54" s="36">
        <f t="shared" si="11"/>
        <v>-4.7666803514608835E-2</v>
      </c>
      <c r="I54" s="34">
        <f t="shared" si="8"/>
        <v>-0.41233413887273063</v>
      </c>
      <c r="J54" s="36">
        <v>0.21687455059137928</v>
      </c>
      <c r="K54" s="36">
        <v>2.2446934396249597E-2</v>
      </c>
      <c r="L54" s="36">
        <v>0.60379796286964749</v>
      </c>
      <c r="M54" s="36">
        <v>0.22330057343431939</v>
      </c>
      <c r="N54" s="36">
        <v>3.1695948190861245E-2</v>
      </c>
      <c r="O54" s="36">
        <v>0.62450051429202313</v>
      </c>
    </row>
    <row r="55" spans="2:15" x14ac:dyDescent="0.25">
      <c r="B55" s="54">
        <v>2022</v>
      </c>
      <c r="C55" s="34">
        <f t="shared" si="6"/>
        <v>1.3012022440131883</v>
      </c>
      <c r="D55" s="34">
        <f t="shared" si="7"/>
        <v>1.8070479232908885</v>
      </c>
      <c r="E55" s="53">
        <f t="shared" si="10"/>
        <v>1.0789282902822062</v>
      </c>
      <c r="F55" s="36">
        <f t="shared" si="11"/>
        <v>0.17203959253690404</v>
      </c>
      <c r="G55" s="36">
        <f t="shared" si="11"/>
        <v>0.18686598847746197</v>
      </c>
      <c r="H55" s="36">
        <f t="shared" si="11"/>
        <v>-3.2546390689112269E-2</v>
      </c>
      <c r="I55" s="34">
        <f t="shared" si="8"/>
        <v>-0.50584567927770019</v>
      </c>
      <c r="J55" s="36">
        <v>0.2189535386781809</v>
      </c>
      <c r="K55" s="36">
        <v>1.7048005225520219E-2</v>
      </c>
      <c r="L55" s="36">
        <v>0.59914661147069548</v>
      </c>
      <c r="M55" s="36">
        <v>0.25579440550022997</v>
      </c>
      <c r="N55" s="36">
        <v>2.765906594343354E-2</v>
      </c>
      <c r="O55" s="36">
        <v>0.58039004921314763</v>
      </c>
    </row>
    <row r="56" spans="2:15" x14ac:dyDescent="0.25">
      <c r="B56" s="54">
        <v>2023</v>
      </c>
      <c r="C56" s="34">
        <f t="shared" si="6"/>
        <v>1.3052328235976229</v>
      </c>
      <c r="D56" s="34">
        <f t="shared" si="7"/>
        <v>1.7693430091841806</v>
      </c>
      <c r="E56" s="53">
        <f t="shared" si="10"/>
        <v>0.98091474613668395</v>
      </c>
      <c r="F56" s="36">
        <f t="shared" si="11"/>
        <v>3.0975811815413638E-3</v>
      </c>
      <c r="G56" s="36">
        <f t="shared" si="11"/>
        <v>-2.0865475464558733E-2</v>
      </c>
      <c r="H56" s="36">
        <f t="shared" si="11"/>
        <v>-9.0843427712777494E-2</v>
      </c>
      <c r="I56" s="34">
        <f t="shared" si="8"/>
        <v>-0.4641101855865577</v>
      </c>
      <c r="J56" s="36">
        <v>0.22206128492339386</v>
      </c>
      <c r="K56" s="36">
        <v>1.9748776876528904E-2</v>
      </c>
      <c r="L56" s="36">
        <v>0.58753138277327155</v>
      </c>
      <c r="M56" s="36">
        <v>0.26988482527014518</v>
      </c>
      <c r="N56" s="36">
        <v>3.253642772530909E-2</v>
      </c>
      <c r="O56" s="36">
        <v>0.53663619758085257</v>
      </c>
    </row>
    <row r="57" spans="2:15" ht="13.8" thickBot="1" x14ac:dyDescent="0.3"/>
    <row r="58" spans="2:15" ht="13.8" thickBot="1" x14ac:dyDescent="0.3">
      <c r="F58" s="10"/>
      <c r="G58" s="11"/>
      <c r="H58" s="12"/>
      <c r="I58" s="10"/>
      <c r="J58" s="11"/>
      <c r="K58" s="12"/>
    </row>
  </sheetData>
  <autoFilter ref="B30:N30" xr:uid="{B19EB762-EA7C-4AF7-A8FD-5D3F7DF21983}">
    <sortState xmlns:xlrd2="http://schemas.microsoft.com/office/spreadsheetml/2017/richdata2" ref="B31:N41">
      <sortCondition ref="B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NHiTS_TFT</vt:lpstr>
      <vt:lpstr>India Pak DF</vt:lpstr>
      <vt:lpstr>India Pak function</vt:lpstr>
      <vt:lpstr>State DF</vt:lpstr>
      <vt:lpstr>Payoff Matrix</vt:lpstr>
      <vt:lpstr>India 26</vt:lpstr>
      <vt:lpstr>2026</vt:lpstr>
      <vt:lpstr>pak 26</vt:lpstr>
      <vt:lpstr>India pak data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singh</dc:creator>
  <cp:lastModifiedBy>shantanu singh</cp:lastModifiedBy>
  <dcterms:created xsi:type="dcterms:W3CDTF">2025-10-10T08:52:20Z</dcterms:created>
  <dcterms:modified xsi:type="dcterms:W3CDTF">2025-10-18T09:23:43Z</dcterms:modified>
</cp:coreProperties>
</file>