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arol\Downloads\"/>
    </mc:Choice>
  </mc:AlternateContent>
  <xr:revisionPtr revIDLastSave="0" documentId="13_ncr:1_{A0103C2F-0CFC-4072-B179-DA6D9E5B15B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compressivestrength" sheetId="1" r:id="rId1"/>
    <sheet name="tensilestrength" sheetId="3" r:id="rId2"/>
    <sheet name="flexuralstrength" sheetId="4" r:id="rId3"/>
  </sheets>
  <calcPr calcId="181029"/>
</workbook>
</file>

<file path=xl/calcChain.xml><?xml version="1.0" encoding="utf-8"?>
<calcChain xmlns="http://schemas.openxmlformats.org/spreadsheetml/2006/main">
  <c r="D253" i="3" l="1"/>
  <c r="B253" i="3"/>
  <c r="D252" i="3"/>
  <c r="B252" i="3"/>
  <c r="D251" i="3"/>
  <c r="B251" i="3"/>
  <c r="D250" i="3"/>
  <c r="B250" i="3"/>
  <c r="D249" i="3"/>
  <c r="F248" i="3"/>
  <c r="B248" i="3"/>
  <c r="F247" i="3"/>
  <c r="B247" i="3"/>
  <c r="F246" i="3"/>
  <c r="B246" i="3"/>
  <c r="F245" i="3"/>
  <c r="L244" i="3"/>
  <c r="H244" i="3"/>
  <c r="G244" i="3"/>
  <c r="F244" i="3"/>
  <c r="E244" i="3"/>
  <c r="D244" i="3"/>
  <c r="B244" i="3"/>
  <c r="A244" i="3"/>
  <c r="L243" i="3"/>
  <c r="F243" i="3" s="1"/>
  <c r="H243" i="3"/>
  <c r="G243" i="3"/>
  <c r="D243" i="3"/>
  <c r="B243" i="3"/>
  <c r="A243" i="3"/>
  <c r="L242" i="3"/>
  <c r="E242" i="3" s="1"/>
  <c r="H242" i="3"/>
  <c r="G241" i="3"/>
  <c r="F241" i="3"/>
  <c r="E241" i="3"/>
  <c r="D241" i="3"/>
  <c r="B241" i="3"/>
  <c r="A241" i="3"/>
  <c r="G240" i="3"/>
  <c r="F240" i="3"/>
  <c r="E240" i="3"/>
  <c r="D240" i="3"/>
  <c r="B240" i="3"/>
  <c r="A240" i="3"/>
  <c r="G239" i="3"/>
  <c r="F239" i="3"/>
  <c r="E239" i="3"/>
  <c r="D239" i="3"/>
  <c r="G238" i="3"/>
  <c r="F238" i="3"/>
  <c r="E238" i="3"/>
  <c r="D238" i="3"/>
  <c r="B238" i="3"/>
  <c r="A238" i="3"/>
  <c r="G237" i="3"/>
  <c r="F237" i="3"/>
  <c r="E237" i="3"/>
  <c r="D237" i="3"/>
  <c r="B237" i="3"/>
  <c r="A237" i="3"/>
  <c r="G236" i="3"/>
  <c r="F236" i="3"/>
  <c r="E236" i="3"/>
  <c r="D236" i="3"/>
  <c r="L235" i="3"/>
  <c r="G235" i="3"/>
  <c r="F235" i="3"/>
  <c r="E235" i="3"/>
  <c r="D235" i="3"/>
  <c r="B235" i="3"/>
  <c r="A235" i="3"/>
  <c r="L234" i="3"/>
  <c r="G234" i="3"/>
  <c r="F234" i="3"/>
  <c r="E234" i="3"/>
  <c r="D234" i="3"/>
  <c r="B234" i="3"/>
  <c r="A234" i="3"/>
  <c r="L233" i="3"/>
  <c r="G233" i="3"/>
  <c r="F233" i="3"/>
  <c r="E233" i="3"/>
  <c r="D233" i="3"/>
  <c r="B233" i="3"/>
  <c r="A233" i="3"/>
  <c r="L232" i="3"/>
  <c r="G232" i="3"/>
  <c r="F232" i="3"/>
  <c r="E232" i="3"/>
  <c r="D232" i="3"/>
  <c r="B232" i="3"/>
  <c r="A232" i="3"/>
  <c r="L231" i="3"/>
  <c r="G231" i="3"/>
  <c r="F231" i="3"/>
  <c r="E231" i="3"/>
  <c r="D231" i="3"/>
  <c r="G230" i="3"/>
  <c r="B230" i="3"/>
  <c r="A230" i="3"/>
  <c r="G229" i="3"/>
  <c r="B229" i="3"/>
  <c r="A229" i="3"/>
  <c r="G228" i="3"/>
  <c r="B228" i="3"/>
  <c r="A228" i="3"/>
  <c r="G227" i="3"/>
  <c r="B227" i="3"/>
  <c r="A227" i="3"/>
  <c r="G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F215" i="3"/>
  <c r="E215" i="3"/>
  <c r="B215" i="3"/>
  <c r="A215" i="3"/>
  <c r="F214" i="3"/>
  <c r="E214" i="3"/>
  <c r="B214" i="3"/>
  <c r="A214" i="3"/>
  <c r="F213" i="3"/>
  <c r="E213" i="3"/>
  <c r="B213" i="3"/>
  <c r="A213" i="3"/>
  <c r="F212" i="3"/>
  <c r="E212" i="3"/>
  <c r="B211" i="3"/>
  <c r="B210" i="3"/>
  <c r="B209" i="3"/>
  <c r="B208" i="3"/>
  <c r="B206" i="3"/>
  <c r="B205" i="3"/>
  <c r="B204" i="3"/>
  <c r="B203" i="3"/>
  <c r="G201" i="3"/>
  <c r="E201" i="3"/>
  <c r="D201" i="3"/>
  <c r="B201" i="3"/>
  <c r="G200" i="3"/>
  <c r="E200" i="3"/>
  <c r="D200" i="3"/>
  <c r="B200" i="3"/>
  <c r="G199" i="3"/>
  <c r="E199" i="3"/>
  <c r="D199" i="3"/>
  <c r="B199" i="3"/>
  <c r="G198" i="3"/>
  <c r="E198" i="3"/>
  <c r="D198" i="3"/>
  <c r="B198" i="3"/>
  <c r="G197" i="3"/>
  <c r="E197" i="3"/>
  <c r="D197" i="3"/>
  <c r="B197" i="3"/>
  <c r="G196" i="3"/>
  <c r="E196" i="3"/>
  <c r="D196" i="3"/>
  <c r="B196" i="3"/>
  <c r="G195" i="3"/>
  <c r="E195" i="3"/>
  <c r="D195" i="3"/>
  <c r="B195" i="3"/>
  <c r="G194" i="3"/>
  <c r="E194" i="3"/>
  <c r="D194" i="3"/>
  <c r="B194" i="3"/>
  <c r="G193" i="3"/>
  <c r="E193" i="3"/>
  <c r="D193" i="3"/>
  <c r="B193" i="3"/>
  <c r="G192" i="3"/>
  <c r="E192" i="3"/>
  <c r="D192" i="3"/>
  <c r="B192" i="3"/>
  <c r="G191" i="3"/>
  <c r="E191" i="3"/>
  <c r="D191" i="3"/>
  <c r="B191" i="3"/>
  <c r="G190" i="3"/>
  <c r="E190" i="3"/>
  <c r="D190" i="3"/>
  <c r="B190" i="3"/>
  <c r="G189" i="3"/>
  <c r="E189" i="3"/>
  <c r="D189" i="3"/>
  <c r="E188" i="3"/>
  <c r="D188" i="3"/>
  <c r="B188" i="3"/>
  <c r="E187" i="3"/>
  <c r="D187" i="3"/>
  <c r="B187" i="3"/>
  <c r="E186" i="3"/>
  <c r="D186" i="3"/>
  <c r="B186" i="3"/>
  <c r="E185" i="3"/>
  <c r="D185" i="3"/>
  <c r="B185" i="3"/>
  <c r="E184" i="3"/>
  <c r="D184" i="3"/>
  <c r="B184" i="3"/>
  <c r="E183" i="3"/>
  <c r="D183" i="3"/>
  <c r="B183" i="3"/>
  <c r="E182" i="3"/>
  <c r="D182" i="3"/>
  <c r="B182" i="3"/>
  <c r="E181" i="3"/>
  <c r="D181" i="3"/>
  <c r="B181" i="3"/>
  <c r="E180" i="3"/>
  <c r="D180" i="3"/>
  <c r="B180" i="3"/>
  <c r="E179" i="3"/>
  <c r="D179" i="3"/>
  <c r="B179" i="3"/>
  <c r="E178" i="3"/>
  <c r="D178" i="3"/>
  <c r="B178" i="3"/>
  <c r="E177" i="3"/>
  <c r="D177" i="3"/>
  <c r="B177" i="3"/>
  <c r="E176" i="3"/>
  <c r="D176" i="3"/>
  <c r="E175" i="3"/>
  <c r="D175" i="3"/>
  <c r="B175" i="3"/>
  <c r="E174" i="3"/>
  <c r="D174" i="3"/>
  <c r="B174" i="3"/>
  <c r="E173" i="3"/>
  <c r="D173" i="3"/>
  <c r="B173" i="3"/>
  <c r="E172" i="3"/>
  <c r="D172" i="3"/>
  <c r="B172" i="3"/>
  <c r="E171" i="3"/>
  <c r="D171" i="3"/>
  <c r="B171" i="3"/>
  <c r="E170" i="3"/>
  <c r="D170" i="3"/>
  <c r="B170" i="3"/>
  <c r="E169" i="3"/>
  <c r="D169" i="3"/>
  <c r="B169" i="3"/>
  <c r="E168" i="3"/>
  <c r="D168" i="3"/>
  <c r="B168" i="3"/>
  <c r="E167" i="3"/>
  <c r="D167" i="3"/>
  <c r="B167" i="3"/>
  <c r="E166" i="3"/>
  <c r="D166" i="3"/>
  <c r="B166" i="3"/>
  <c r="E165" i="3"/>
  <c r="D165" i="3"/>
  <c r="B165" i="3"/>
  <c r="E164" i="3"/>
  <c r="D164" i="3"/>
  <c r="B164" i="3"/>
  <c r="E163" i="3"/>
  <c r="D163" i="3"/>
  <c r="F162" i="3"/>
  <c r="E162" i="3"/>
  <c r="D162" i="3"/>
  <c r="B162" i="3"/>
  <c r="A162" i="3"/>
  <c r="F161" i="3"/>
  <c r="E161" i="3"/>
  <c r="D161" i="3"/>
  <c r="B161" i="3"/>
  <c r="A161" i="3"/>
  <c r="F160" i="3"/>
  <c r="E160" i="3"/>
  <c r="D160" i="3"/>
  <c r="B160" i="3"/>
  <c r="A160" i="3"/>
  <c r="F159" i="3"/>
  <c r="E159" i="3"/>
  <c r="D159" i="3"/>
  <c r="B159" i="3"/>
  <c r="A159" i="3"/>
  <c r="F158" i="3"/>
  <c r="E158" i="3"/>
  <c r="D158" i="3"/>
  <c r="B158" i="3"/>
  <c r="A158" i="3"/>
  <c r="F157" i="3"/>
  <c r="E157" i="3"/>
  <c r="D157" i="3"/>
  <c r="B157" i="3"/>
  <c r="A157" i="3"/>
  <c r="F156" i="3"/>
  <c r="E156" i="3"/>
  <c r="D156" i="3"/>
  <c r="B155" i="3"/>
  <c r="B154" i="3"/>
  <c r="B153" i="3"/>
  <c r="F151" i="3"/>
  <c r="E151" i="3"/>
  <c r="D151" i="3"/>
  <c r="B151" i="3"/>
  <c r="A151" i="3"/>
  <c r="F150" i="3"/>
  <c r="E150" i="3"/>
  <c r="D150" i="3"/>
  <c r="B150" i="3"/>
  <c r="A150" i="3"/>
  <c r="F149" i="3"/>
  <c r="E149" i="3"/>
  <c r="D149" i="3"/>
  <c r="B149" i="3"/>
  <c r="A149" i="3"/>
  <c r="F148" i="3"/>
  <c r="E148" i="3"/>
  <c r="D148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B116" i="3"/>
  <c r="B115" i="3"/>
  <c r="B114" i="3"/>
  <c r="B113" i="3"/>
  <c r="B112" i="3"/>
  <c r="E111" i="3"/>
  <c r="D111" i="3"/>
  <c r="B111" i="3"/>
  <c r="E110" i="3"/>
  <c r="D110" i="3"/>
  <c r="B110" i="3"/>
  <c r="E109" i="3"/>
  <c r="D109" i="3"/>
  <c r="B109" i="3"/>
  <c r="E108" i="3"/>
  <c r="D108" i="3"/>
  <c r="B108" i="3"/>
  <c r="F107" i="3"/>
  <c r="E107" i="3"/>
  <c r="D107" i="3"/>
  <c r="F106" i="3"/>
  <c r="E106" i="3"/>
  <c r="D106" i="3"/>
  <c r="B106" i="3"/>
  <c r="F105" i="3"/>
  <c r="E105" i="3"/>
  <c r="D105" i="3"/>
  <c r="B105" i="3"/>
  <c r="F104" i="3"/>
  <c r="E104" i="3"/>
  <c r="D104" i="3"/>
  <c r="B104" i="3"/>
  <c r="F103" i="3"/>
  <c r="E103" i="3"/>
  <c r="D103" i="3"/>
  <c r="F102" i="3"/>
  <c r="E102" i="3"/>
  <c r="D102" i="3"/>
  <c r="B102" i="3"/>
  <c r="A102" i="3"/>
  <c r="F101" i="3"/>
  <c r="E101" i="3"/>
  <c r="D101" i="3"/>
  <c r="B101" i="3"/>
  <c r="A101" i="3"/>
  <c r="F100" i="3"/>
  <c r="E100" i="3"/>
  <c r="D100" i="3"/>
  <c r="B100" i="3"/>
  <c r="A100" i="3"/>
  <c r="F99" i="3"/>
  <c r="E99" i="3"/>
  <c r="D99" i="3"/>
  <c r="B99" i="3"/>
  <c r="A99" i="3"/>
  <c r="F98" i="3"/>
  <c r="E98" i="3"/>
  <c r="D98" i="3"/>
  <c r="B98" i="3"/>
  <c r="F97" i="3"/>
  <c r="E97" i="3"/>
  <c r="D97" i="3"/>
  <c r="B97" i="3"/>
  <c r="A97" i="3"/>
  <c r="F96" i="3"/>
  <c r="E96" i="3"/>
  <c r="D96" i="3"/>
  <c r="B96" i="3"/>
  <c r="A96" i="3"/>
  <c r="F95" i="3"/>
  <c r="E95" i="3"/>
  <c r="D95" i="3"/>
  <c r="B95" i="3"/>
  <c r="A95" i="3"/>
  <c r="F94" i="3"/>
  <c r="E94" i="3"/>
  <c r="D94" i="3"/>
  <c r="B94" i="3"/>
  <c r="F93" i="3"/>
  <c r="E93" i="3"/>
  <c r="D93" i="3"/>
  <c r="B93" i="3"/>
  <c r="A93" i="3"/>
  <c r="F92" i="3"/>
  <c r="E92" i="3"/>
  <c r="D92" i="3"/>
  <c r="B92" i="3"/>
  <c r="A92" i="3"/>
  <c r="F91" i="3"/>
  <c r="E91" i="3"/>
  <c r="D91" i="3"/>
  <c r="B91" i="3"/>
  <c r="A91" i="3"/>
  <c r="F90" i="3"/>
  <c r="E90" i="3"/>
  <c r="D90" i="3"/>
  <c r="B90" i="3"/>
  <c r="F89" i="3"/>
  <c r="E89" i="3"/>
  <c r="D89" i="3"/>
  <c r="B89" i="3"/>
  <c r="A89" i="3"/>
  <c r="F88" i="3"/>
  <c r="E88" i="3"/>
  <c r="D88" i="3"/>
  <c r="G87" i="3"/>
  <c r="F87" i="3"/>
  <c r="E87" i="3"/>
  <c r="D87" i="3"/>
  <c r="B87" i="3"/>
  <c r="A87" i="3"/>
  <c r="G86" i="3"/>
  <c r="F86" i="3"/>
  <c r="E86" i="3"/>
  <c r="D86" i="3"/>
  <c r="B86" i="3"/>
  <c r="G85" i="3"/>
  <c r="F85" i="3"/>
  <c r="E85" i="3"/>
  <c r="D85" i="3"/>
  <c r="B85" i="3"/>
  <c r="G84" i="3"/>
  <c r="F84" i="3"/>
  <c r="E84" i="3"/>
  <c r="D84" i="3"/>
  <c r="B84" i="3"/>
  <c r="A84" i="3"/>
  <c r="G83" i="3"/>
  <c r="F83" i="3"/>
  <c r="E83" i="3"/>
  <c r="D83" i="3"/>
  <c r="B83" i="3"/>
  <c r="G82" i="3"/>
  <c r="F82" i="3"/>
  <c r="E82" i="3"/>
  <c r="D82" i="3"/>
  <c r="B82" i="3"/>
  <c r="G81" i="3"/>
  <c r="F81" i="3"/>
  <c r="E81" i="3"/>
  <c r="D81" i="3"/>
  <c r="B81" i="3"/>
  <c r="A81" i="3"/>
  <c r="G80" i="3"/>
  <c r="F80" i="3"/>
  <c r="E80" i="3"/>
  <c r="D80" i="3"/>
  <c r="B80" i="3"/>
  <c r="G79" i="3"/>
  <c r="F79" i="3"/>
  <c r="E79" i="3"/>
  <c r="D79" i="3"/>
  <c r="B79" i="3"/>
  <c r="G78" i="3"/>
  <c r="F78" i="3"/>
  <c r="E78" i="3"/>
  <c r="D78" i="3"/>
  <c r="G77" i="3"/>
  <c r="F77" i="3"/>
  <c r="E77" i="3"/>
  <c r="D77" i="3"/>
  <c r="B77" i="3"/>
  <c r="A77" i="3"/>
  <c r="G76" i="3"/>
  <c r="F76" i="3"/>
  <c r="E76" i="3"/>
  <c r="D76" i="3"/>
  <c r="B76" i="3"/>
  <c r="G75" i="3"/>
  <c r="F75" i="3"/>
  <c r="E75" i="3"/>
  <c r="D75" i="3"/>
  <c r="B75" i="3"/>
  <c r="G74" i="3"/>
  <c r="F74" i="3"/>
  <c r="E74" i="3"/>
  <c r="D74" i="3"/>
  <c r="B74" i="3"/>
  <c r="A74" i="3"/>
  <c r="G73" i="3"/>
  <c r="F73" i="3"/>
  <c r="E73" i="3"/>
  <c r="D73" i="3"/>
  <c r="B73" i="3"/>
  <c r="G72" i="3"/>
  <c r="F72" i="3"/>
  <c r="E72" i="3"/>
  <c r="D72" i="3"/>
  <c r="B72" i="3"/>
  <c r="G71" i="3"/>
  <c r="F71" i="3"/>
  <c r="E71" i="3"/>
  <c r="D71" i="3"/>
  <c r="B71" i="3"/>
  <c r="A71" i="3"/>
  <c r="G70" i="3"/>
  <c r="F70" i="3"/>
  <c r="E70" i="3"/>
  <c r="D70" i="3"/>
  <c r="B70" i="3"/>
  <c r="G69" i="3"/>
  <c r="F69" i="3"/>
  <c r="E69" i="3"/>
  <c r="D69" i="3"/>
  <c r="B69" i="3"/>
  <c r="G68" i="3"/>
  <c r="F68" i="3"/>
  <c r="E68" i="3"/>
  <c r="D68" i="3"/>
  <c r="G67" i="3"/>
  <c r="F67" i="3"/>
  <c r="E67" i="3"/>
  <c r="D67" i="3"/>
  <c r="B67" i="3"/>
  <c r="A67" i="3"/>
  <c r="G66" i="3"/>
  <c r="F66" i="3"/>
  <c r="E66" i="3"/>
  <c r="D66" i="3"/>
  <c r="B66" i="3"/>
  <c r="G65" i="3"/>
  <c r="F65" i="3"/>
  <c r="E65" i="3"/>
  <c r="D65" i="3"/>
  <c r="B65" i="3"/>
  <c r="G64" i="3"/>
  <c r="F64" i="3"/>
  <c r="E64" i="3"/>
  <c r="D64" i="3"/>
  <c r="B64" i="3"/>
  <c r="A64" i="3"/>
  <c r="G63" i="3"/>
  <c r="F63" i="3"/>
  <c r="E63" i="3"/>
  <c r="D63" i="3"/>
  <c r="B63" i="3"/>
  <c r="G62" i="3"/>
  <c r="F62" i="3"/>
  <c r="E62" i="3"/>
  <c r="D62" i="3"/>
  <c r="B62" i="3"/>
  <c r="G61" i="3"/>
  <c r="F61" i="3"/>
  <c r="E61" i="3"/>
  <c r="D61" i="3"/>
  <c r="B61" i="3"/>
  <c r="A61" i="3"/>
  <c r="G60" i="3"/>
  <c r="F60" i="3"/>
  <c r="E60" i="3"/>
  <c r="D60" i="3"/>
  <c r="B60" i="3"/>
  <c r="G59" i="3"/>
  <c r="F59" i="3"/>
  <c r="E59" i="3"/>
  <c r="D59" i="3"/>
  <c r="B59" i="3"/>
  <c r="G58" i="3"/>
  <c r="F58" i="3"/>
  <c r="E58" i="3"/>
  <c r="D58" i="3"/>
  <c r="G57" i="3"/>
  <c r="E57" i="3"/>
  <c r="D57" i="3"/>
  <c r="B57" i="3"/>
  <c r="G56" i="3"/>
  <c r="E56" i="3"/>
  <c r="D56" i="3"/>
  <c r="B56" i="3"/>
  <c r="G55" i="3"/>
  <c r="F55" i="3"/>
  <c r="E55" i="3"/>
  <c r="D55" i="3"/>
  <c r="B55" i="3"/>
  <c r="G54" i="3"/>
  <c r="F54" i="3"/>
  <c r="E54" i="3"/>
  <c r="D54" i="3"/>
  <c r="B54" i="3"/>
  <c r="G53" i="3"/>
  <c r="F53" i="3"/>
  <c r="E53" i="3"/>
  <c r="D53" i="3"/>
  <c r="B53" i="3"/>
  <c r="G52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K37" i="3"/>
  <c r="F37" i="3"/>
  <c r="E37" i="3"/>
  <c r="D37" i="3"/>
  <c r="K36" i="3"/>
  <c r="F36" i="3"/>
  <c r="E36" i="3"/>
  <c r="D36" i="3"/>
  <c r="K35" i="3"/>
  <c r="F35" i="3"/>
  <c r="E35" i="3"/>
  <c r="D35" i="3"/>
  <c r="K34" i="3"/>
  <c r="F34" i="3"/>
  <c r="E34" i="3"/>
  <c r="D34" i="3"/>
  <c r="K33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K27" i="3"/>
  <c r="F27" i="3"/>
  <c r="E27" i="3"/>
  <c r="D27" i="3"/>
  <c r="K26" i="3"/>
  <c r="F26" i="3"/>
  <c r="E26" i="3"/>
  <c r="D26" i="3"/>
  <c r="K25" i="3"/>
  <c r="F25" i="3"/>
  <c r="E25" i="3"/>
  <c r="D25" i="3"/>
  <c r="K24" i="3"/>
  <c r="F24" i="3"/>
  <c r="E24" i="3"/>
  <c r="D24" i="3"/>
  <c r="K23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B11" i="3"/>
  <c r="B10" i="3"/>
  <c r="B9" i="3"/>
  <c r="B8" i="3"/>
  <c r="F5" i="3"/>
  <c r="E5" i="3"/>
  <c r="D5" i="3"/>
  <c r="B5" i="3"/>
  <c r="F4" i="3"/>
  <c r="E4" i="3"/>
  <c r="D4" i="3"/>
  <c r="B4" i="3"/>
  <c r="F3" i="3"/>
  <c r="E3" i="3"/>
  <c r="D3" i="3"/>
  <c r="B3" i="3"/>
  <c r="F2" i="3"/>
  <c r="E2" i="3"/>
  <c r="D2" i="3"/>
  <c r="F242" i="3" l="1"/>
  <c r="G242" i="3"/>
  <c r="E243" i="3"/>
  <c r="D242" i="3"/>
  <c r="D279" i="4" l="1"/>
  <c r="B279" i="4"/>
  <c r="D278" i="4"/>
  <c r="B278" i="4"/>
  <c r="D277" i="4"/>
  <c r="B277" i="4"/>
  <c r="D276" i="4"/>
  <c r="B276" i="4"/>
  <c r="D275" i="4"/>
  <c r="M274" i="4"/>
  <c r="F274" i="4"/>
  <c r="B274" i="4"/>
  <c r="M273" i="4"/>
  <c r="F273" i="4"/>
  <c r="B273" i="4"/>
  <c r="M272" i="4"/>
  <c r="F272" i="4"/>
  <c r="B272" i="4"/>
  <c r="M271" i="4"/>
  <c r="F271" i="4"/>
  <c r="L270" i="4"/>
  <c r="E270" i="4" s="1"/>
  <c r="H270" i="4"/>
  <c r="B270" i="4"/>
  <c r="A270" i="4"/>
  <c r="L269" i="4"/>
  <c r="E269" i="4" s="1"/>
  <c r="H269" i="4"/>
  <c r="B269" i="4"/>
  <c r="A269" i="4"/>
  <c r="L268" i="4"/>
  <c r="E268" i="4" s="1"/>
  <c r="H268" i="4"/>
  <c r="G267" i="4"/>
  <c r="F267" i="4"/>
  <c r="E267" i="4"/>
  <c r="D267" i="4"/>
  <c r="B267" i="4"/>
  <c r="A267" i="4"/>
  <c r="G266" i="4"/>
  <c r="F266" i="4"/>
  <c r="E266" i="4"/>
  <c r="D266" i="4"/>
  <c r="B266" i="4"/>
  <c r="A266" i="4"/>
  <c r="G265" i="4"/>
  <c r="F265" i="4"/>
  <c r="E265" i="4"/>
  <c r="D265" i="4"/>
  <c r="G264" i="4"/>
  <c r="F264" i="4"/>
  <c r="E264" i="4"/>
  <c r="D264" i="4"/>
  <c r="B264" i="4"/>
  <c r="A264" i="4"/>
  <c r="G263" i="4"/>
  <c r="F263" i="4"/>
  <c r="E263" i="4"/>
  <c r="D263" i="4"/>
  <c r="B263" i="4"/>
  <c r="A263" i="4"/>
  <c r="G262" i="4"/>
  <c r="F262" i="4"/>
  <c r="E262" i="4"/>
  <c r="D262" i="4"/>
  <c r="L261" i="4"/>
  <c r="G261" i="4"/>
  <c r="F261" i="4"/>
  <c r="E261" i="4"/>
  <c r="D261" i="4"/>
  <c r="B261" i="4"/>
  <c r="A261" i="4"/>
  <c r="L260" i="4"/>
  <c r="G260" i="4"/>
  <c r="F260" i="4"/>
  <c r="E260" i="4"/>
  <c r="D260" i="4"/>
  <c r="B260" i="4"/>
  <c r="A260" i="4"/>
  <c r="L259" i="4"/>
  <c r="G259" i="4"/>
  <c r="F259" i="4"/>
  <c r="E259" i="4"/>
  <c r="D259" i="4"/>
  <c r="B259" i="4"/>
  <c r="A259" i="4"/>
  <c r="L258" i="4"/>
  <c r="G258" i="4"/>
  <c r="F258" i="4"/>
  <c r="E258" i="4"/>
  <c r="D258" i="4"/>
  <c r="B258" i="4"/>
  <c r="A258" i="4"/>
  <c r="L257" i="4"/>
  <c r="G257" i="4"/>
  <c r="F257" i="4"/>
  <c r="E257" i="4"/>
  <c r="D257" i="4"/>
  <c r="E256" i="4"/>
  <c r="D256" i="4"/>
  <c r="B256" i="4"/>
  <c r="E255" i="4"/>
  <c r="D255" i="4"/>
  <c r="B255" i="4"/>
  <c r="E254" i="4"/>
  <c r="D254" i="4"/>
  <c r="E253" i="4"/>
  <c r="D253" i="4"/>
  <c r="B253" i="4"/>
  <c r="E252" i="4"/>
  <c r="D252" i="4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F515" i="1"/>
  <c r="F514" i="1"/>
  <c r="F513" i="1"/>
  <c r="F512" i="1"/>
  <c r="F511" i="1"/>
  <c r="F510" i="1"/>
  <c r="F509" i="1"/>
  <c r="G508" i="1"/>
  <c r="F508" i="1"/>
  <c r="E508" i="1"/>
  <c r="D508" i="1"/>
  <c r="A508" i="1"/>
  <c r="G507" i="1"/>
  <c r="F507" i="1"/>
  <c r="E507" i="1"/>
  <c r="D507" i="1"/>
  <c r="A507" i="1"/>
  <c r="G506" i="1"/>
  <c r="F506" i="1"/>
  <c r="E506" i="1"/>
  <c r="D506" i="1"/>
  <c r="A506" i="1"/>
  <c r="G505" i="1"/>
  <c r="F505" i="1"/>
  <c r="E505" i="1"/>
  <c r="D505" i="1"/>
  <c r="A505" i="1"/>
  <c r="G504" i="1"/>
  <c r="F504" i="1"/>
  <c r="E504" i="1"/>
  <c r="D504" i="1"/>
  <c r="A504" i="1"/>
  <c r="G503" i="1"/>
  <c r="F503" i="1"/>
  <c r="E503" i="1"/>
  <c r="D503" i="1"/>
  <c r="A503" i="1"/>
  <c r="G502" i="1"/>
  <c r="F502" i="1"/>
  <c r="E502" i="1"/>
  <c r="D502" i="1"/>
  <c r="A502" i="1"/>
  <c r="G501" i="1"/>
  <c r="F501" i="1"/>
  <c r="E501" i="1"/>
  <c r="D501" i="1"/>
  <c r="D500" i="1"/>
  <c r="B500" i="1"/>
  <c r="D499" i="1"/>
  <c r="B499" i="1"/>
  <c r="D498" i="1"/>
  <c r="B498" i="1"/>
  <c r="D497" i="1"/>
  <c r="B497" i="1"/>
  <c r="D496" i="1"/>
  <c r="F495" i="1"/>
  <c r="B495" i="1"/>
  <c r="F494" i="1"/>
  <c r="B494" i="1"/>
  <c r="F493" i="1"/>
  <c r="B493" i="1"/>
  <c r="F492" i="1"/>
  <c r="L491" i="1"/>
  <c r="G491" i="1" s="1"/>
  <c r="H491" i="1"/>
  <c r="B491" i="1"/>
  <c r="A491" i="1"/>
  <c r="L490" i="1"/>
  <c r="G490" i="1" s="1"/>
  <c r="H490" i="1"/>
  <c r="B490" i="1"/>
  <c r="A490" i="1"/>
  <c r="L489" i="1"/>
  <c r="D489" i="1" s="1"/>
  <c r="H489" i="1"/>
  <c r="G488" i="1"/>
  <c r="F488" i="1"/>
  <c r="E488" i="1"/>
  <c r="D488" i="1"/>
  <c r="B488" i="1"/>
  <c r="A488" i="1"/>
  <c r="G487" i="1"/>
  <c r="F487" i="1"/>
  <c r="E487" i="1"/>
  <c r="D487" i="1"/>
  <c r="B487" i="1"/>
  <c r="A487" i="1"/>
  <c r="G486" i="1"/>
  <c r="F486" i="1"/>
  <c r="E486" i="1"/>
  <c r="D486" i="1"/>
  <c r="G485" i="1"/>
  <c r="F485" i="1"/>
  <c r="E485" i="1"/>
  <c r="D485" i="1"/>
  <c r="B485" i="1"/>
  <c r="A485" i="1"/>
  <c r="G484" i="1"/>
  <c r="F484" i="1"/>
  <c r="E484" i="1"/>
  <c r="D484" i="1"/>
  <c r="B484" i="1"/>
  <c r="A484" i="1"/>
  <c r="G483" i="1"/>
  <c r="F483" i="1"/>
  <c r="E483" i="1"/>
  <c r="D483" i="1"/>
  <c r="L482" i="1"/>
  <c r="G482" i="1"/>
  <c r="F482" i="1"/>
  <c r="E482" i="1"/>
  <c r="D482" i="1"/>
  <c r="B482" i="1"/>
  <c r="A482" i="1"/>
  <c r="L481" i="1"/>
  <c r="G481" i="1"/>
  <c r="F481" i="1"/>
  <c r="E481" i="1"/>
  <c r="D481" i="1"/>
  <c r="B481" i="1"/>
  <c r="A481" i="1"/>
  <c r="L480" i="1"/>
  <c r="G480" i="1"/>
  <c r="F480" i="1"/>
  <c r="E480" i="1"/>
  <c r="D480" i="1"/>
  <c r="B480" i="1"/>
  <c r="A480" i="1"/>
  <c r="L479" i="1"/>
  <c r="G479" i="1"/>
  <c r="F479" i="1"/>
  <c r="E479" i="1"/>
  <c r="D479" i="1"/>
  <c r="B479" i="1"/>
  <c r="A479" i="1"/>
  <c r="L478" i="1"/>
  <c r="G478" i="1"/>
  <c r="F478" i="1"/>
  <c r="E478" i="1"/>
  <c r="D478" i="1"/>
  <c r="E477" i="1"/>
  <c r="D477" i="1"/>
  <c r="B477" i="1"/>
  <c r="E476" i="1"/>
  <c r="D476" i="1"/>
  <c r="B476" i="1"/>
  <c r="E475" i="1"/>
  <c r="D475" i="1"/>
  <c r="E474" i="1"/>
  <c r="D474" i="1"/>
  <c r="B474" i="1"/>
  <c r="E473" i="1"/>
  <c r="D473" i="1"/>
  <c r="F269" i="4" l="1"/>
  <c r="D490" i="1"/>
  <c r="G269" i="4"/>
  <c r="E490" i="1"/>
  <c r="F491" i="1"/>
  <c r="F490" i="1"/>
  <c r="E489" i="1"/>
  <c r="F489" i="1"/>
  <c r="D491" i="1"/>
  <c r="E491" i="1"/>
  <c r="F270" i="4"/>
  <c r="G270" i="4"/>
  <c r="F268" i="4"/>
  <c r="G268" i="4"/>
  <c r="D268" i="4"/>
  <c r="D269" i="4"/>
  <c r="D270" i="4"/>
  <c r="G489" i="1"/>
  <c r="B13" i="4" l="1"/>
  <c r="A92" i="4"/>
  <c r="B92" i="4"/>
  <c r="D92" i="4"/>
  <c r="E92" i="4"/>
  <c r="F92" i="4"/>
  <c r="B12" i="4"/>
  <c r="D6" i="4"/>
  <c r="E6" i="4"/>
  <c r="F6" i="4"/>
  <c r="D7" i="4"/>
  <c r="E7" i="4"/>
  <c r="F7" i="4"/>
  <c r="H7" i="4"/>
  <c r="I7" i="4"/>
  <c r="G58" i="4"/>
  <c r="A59" i="4"/>
  <c r="B59" i="4"/>
  <c r="G59" i="4"/>
  <c r="A60" i="4"/>
  <c r="B60" i="4"/>
  <c r="G60" i="4"/>
  <c r="A61" i="4"/>
  <c r="B61" i="4"/>
  <c r="G61" i="4"/>
  <c r="A62" i="4"/>
  <c r="B62" i="4"/>
  <c r="G62" i="4"/>
  <c r="D25" i="4"/>
  <c r="E25" i="4"/>
  <c r="F25" i="4"/>
  <c r="K25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A77" i="4"/>
  <c r="B77" i="4"/>
  <c r="D77" i="4"/>
  <c r="E77" i="4"/>
  <c r="F77" i="4"/>
  <c r="M77" i="4"/>
  <c r="D26" i="4"/>
  <c r="E26" i="4"/>
  <c r="F26" i="4"/>
  <c r="K26" i="4"/>
  <c r="A251" i="4"/>
  <c r="B251" i="4"/>
  <c r="D251" i="4"/>
  <c r="E251" i="4"/>
  <c r="F251" i="4"/>
  <c r="G251" i="4"/>
  <c r="A248" i="4"/>
  <c r="B248" i="4"/>
  <c r="D248" i="4"/>
  <c r="E248" i="4"/>
  <c r="F248" i="4"/>
  <c r="G248" i="4"/>
  <c r="A245" i="4"/>
  <c r="B245" i="4"/>
  <c r="D245" i="4"/>
  <c r="E245" i="4"/>
  <c r="F245" i="4"/>
  <c r="G245" i="4"/>
  <c r="D242" i="4"/>
  <c r="E242" i="4"/>
  <c r="F242" i="4"/>
  <c r="G242" i="4"/>
  <c r="B243" i="4"/>
  <c r="D243" i="4"/>
  <c r="E243" i="4"/>
  <c r="F243" i="4"/>
  <c r="G243" i="4"/>
  <c r="B244" i="4"/>
  <c r="D244" i="4"/>
  <c r="E244" i="4"/>
  <c r="F244" i="4"/>
  <c r="G244" i="4"/>
  <c r="B246" i="4"/>
  <c r="D246" i="4"/>
  <c r="E246" i="4"/>
  <c r="F246" i="4"/>
  <c r="G246" i="4"/>
  <c r="B247" i="4"/>
  <c r="D247" i="4"/>
  <c r="E247" i="4"/>
  <c r="F247" i="4"/>
  <c r="G247" i="4"/>
  <c r="B249" i="4"/>
  <c r="D249" i="4"/>
  <c r="E249" i="4"/>
  <c r="F249" i="4"/>
  <c r="G249" i="4"/>
  <c r="B250" i="4"/>
  <c r="D250" i="4"/>
  <c r="E250" i="4"/>
  <c r="F250" i="4"/>
  <c r="G250" i="4"/>
  <c r="G140" i="1" l="1"/>
  <c r="G141" i="1"/>
  <c r="G142" i="1"/>
  <c r="G143" i="1"/>
  <c r="G144" i="1"/>
  <c r="G145" i="1"/>
  <c r="G146" i="1"/>
  <c r="G147" i="1"/>
  <c r="G148" i="1"/>
  <c r="F140" i="1"/>
  <c r="F141" i="1"/>
  <c r="F142" i="1"/>
  <c r="F143" i="1"/>
  <c r="F144" i="1"/>
  <c r="F145" i="1"/>
  <c r="F146" i="1"/>
  <c r="F147" i="1"/>
  <c r="F148" i="1"/>
  <c r="E140" i="1"/>
  <c r="E141" i="1"/>
  <c r="E142" i="1"/>
  <c r="E143" i="1"/>
  <c r="E144" i="1"/>
  <c r="E145" i="1"/>
  <c r="E146" i="1"/>
  <c r="E147" i="1"/>
  <c r="E148" i="1"/>
  <c r="D140" i="1"/>
  <c r="D141" i="1"/>
  <c r="D142" i="1"/>
  <c r="D143" i="1"/>
  <c r="D144" i="1"/>
  <c r="D145" i="1"/>
  <c r="D146" i="1"/>
  <c r="D147" i="1"/>
  <c r="D148" i="1"/>
  <c r="B148" i="1"/>
  <c r="A148" i="1"/>
  <c r="G139" i="1"/>
  <c r="F139" i="1"/>
  <c r="E139" i="1"/>
  <c r="D139" i="1"/>
  <c r="B147" i="1"/>
  <c r="B146" i="1"/>
  <c r="B145" i="1"/>
  <c r="A145" i="1"/>
  <c r="B144" i="1"/>
  <c r="B143" i="1"/>
  <c r="B142" i="1"/>
  <c r="A142" i="1"/>
  <c r="B141" i="1"/>
  <c r="B140" i="1"/>
  <c r="B112" i="1" l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G472" i="1" l="1"/>
  <c r="G471" i="1"/>
  <c r="G470" i="1"/>
  <c r="G469" i="1"/>
  <c r="G468" i="1"/>
  <c r="A472" i="1"/>
  <c r="A471" i="1"/>
  <c r="A470" i="1"/>
  <c r="A469" i="1"/>
  <c r="B469" i="1"/>
  <c r="B470" i="1"/>
  <c r="B471" i="1"/>
  <c r="B472" i="1"/>
  <c r="D467" i="1" l="1"/>
  <c r="B467" i="1"/>
  <c r="A467" i="1"/>
  <c r="D466" i="1"/>
  <c r="B466" i="1"/>
  <c r="A466" i="1"/>
  <c r="D465" i="1"/>
  <c r="B465" i="1"/>
  <c r="A465" i="1"/>
  <c r="D464" i="1"/>
  <c r="B464" i="1"/>
  <c r="A464" i="1"/>
  <c r="D463" i="1"/>
  <c r="B463" i="1"/>
  <c r="A463" i="1"/>
  <c r="D462" i="1"/>
  <c r="B462" i="1"/>
  <c r="A462" i="1"/>
  <c r="D461" i="1"/>
  <c r="B461" i="1"/>
  <c r="A461" i="1"/>
  <c r="D460" i="1"/>
  <c r="B460" i="1"/>
  <c r="A460" i="1"/>
  <c r="D459" i="1"/>
  <c r="B459" i="1"/>
  <c r="A459" i="1"/>
  <c r="D458" i="1"/>
  <c r="D241" i="4"/>
  <c r="D240" i="4"/>
  <c r="D239" i="4"/>
  <c r="D238" i="4"/>
  <c r="D237" i="4"/>
  <c r="D236" i="4"/>
  <c r="D235" i="4"/>
  <c r="D234" i="4"/>
  <c r="D233" i="4"/>
  <c r="D232" i="4"/>
  <c r="A241" i="4"/>
  <c r="A240" i="4"/>
  <c r="A239" i="4"/>
  <c r="A238" i="4"/>
  <c r="A237" i="4"/>
  <c r="A236" i="4"/>
  <c r="A235" i="4"/>
  <c r="A234" i="4"/>
  <c r="A233" i="4"/>
  <c r="B240" i="4"/>
  <c r="B241" i="4"/>
  <c r="B239" i="4"/>
  <c r="B237" i="4"/>
  <c r="B238" i="4"/>
  <c r="B236" i="4"/>
  <c r="B234" i="4"/>
  <c r="B235" i="4"/>
  <c r="B233" i="4"/>
  <c r="F231" i="4"/>
  <c r="E231" i="4"/>
  <c r="B231" i="4"/>
  <c r="A231" i="4"/>
  <c r="F230" i="4"/>
  <c r="E230" i="4"/>
  <c r="B230" i="4"/>
  <c r="A230" i="4"/>
  <c r="F229" i="4"/>
  <c r="E229" i="4"/>
  <c r="B229" i="4"/>
  <c r="A229" i="4"/>
  <c r="F228" i="4"/>
  <c r="E228" i="4"/>
  <c r="B457" i="1"/>
  <c r="B456" i="1"/>
  <c r="B455" i="1"/>
  <c r="B454" i="1"/>
  <c r="E454" i="1"/>
  <c r="E455" i="1"/>
  <c r="E456" i="1"/>
  <c r="E457" i="1"/>
  <c r="F454" i="1"/>
  <c r="F455" i="1"/>
  <c r="F456" i="1"/>
  <c r="F457" i="1"/>
  <c r="A454" i="1"/>
  <c r="A455" i="1"/>
  <c r="A456" i="1"/>
  <c r="A457" i="1"/>
  <c r="B227" i="4"/>
  <c r="B226" i="4"/>
  <c r="B225" i="4"/>
  <c r="B224" i="4"/>
  <c r="B223" i="4"/>
  <c r="B222" i="4"/>
  <c r="B221" i="4"/>
  <c r="B220" i="4"/>
  <c r="B219" i="4"/>
  <c r="B218" i="4"/>
  <c r="B217" i="4"/>
  <c r="E216" i="4"/>
  <c r="D216" i="4"/>
  <c r="B216" i="4"/>
  <c r="E215" i="4"/>
  <c r="D215" i="4"/>
  <c r="B215" i="4"/>
  <c r="E214" i="4"/>
  <c r="D214" i="4"/>
  <c r="B214" i="4"/>
  <c r="E213" i="4"/>
  <c r="D213" i="4"/>
  <c r="B213" i="4"/>
  <c r="E212" i="4"/>
  <c r="D212" i="4"/>
  <c r="B212" i="4"/>
  <c r="E211" i="4"/>
  <c r="D211" i="4"/>
  <c r="B211" i="4"/>
  <c r="E210" i="4"/>
  <c r="D210" i="4"/>
  <c r="B210" i="4"/>
  <c r="E209" i="4"/>
  <c r="D209" i="4"/>
  <c r="B209" i="4"/>
  <c r="E208" i="4"/>
  <c r="D208" i="4"/>
  <c r="B207" i="4"/>
  <c r="B206" i="4"/>
  <c r="B205" i="4"/>
  <c r="B204" i="4"/>
  <c r="B202" i="4"/>
  <c r="B201" i="4"/>
  <c r="B200" i="4"/>
  <c r="B199" i="4"/>
  <c r="F197" i="4"/>
  <c r="E197" i="4"/>
  <c r="D197" i="4"/>
  <c r="B197" i="4"/>
  <c r="A197" i="4"/>
  <c r="F196" i="4"/>
  <c r="E196" i="4"/>
  <c r="D196" i="4"/>
  <c r="B196" i="4"/>
  <c r="A196" i="4"/>
  <c r="F195" i="4"/>
  <c r="E195" i="4"/>
  <c r="D195" i="4"/>
  <c r="B195" i="4"/>
  <c r="A195" i="4"/>
  <c r="F194" i="4"/>
  <c r="E194" i="4"/>
  <c r="D194" i="4"/>
  <c r="B194" i="4"/>
  <c r="A194" i="4"/>
  <c r="F193" i="4"/>
  <c r="E193" i="4"/>
  <c r="D193" i="4"/>
  <c r="B193" i="4"/>
  <c r="A193" i="4"/>
  <c r="F192" i="4"/>
  <c r="E192" i="4"/>
  <c r="D192" i="4"/>
  <c r="B192" i="4"/>
  <c r="A192" i="4"/>
  <c r="F191" i="4"/>
  <c r="E191" i="4"/>
  <c r="D191" i="4"/>
  <c r="B190" i="4"/>
  <c r="B189" i="4"/>
  <c r="B188" i="4"/>
  <c r="F186" i="4"/>
  <c r="E186" i="4"/>
  <c r="D186" i="4"/>
  <c r="B186" i="4"/>
  <c r="A186" i="4"/>
  <c r="F185" i="4"/>
  <c r="E185" i="4"/>
  <c r="D185" i="4"/>
  <c r="B185" i="4"/>
  <c r="A185" i="4"/>
  <c r="F184" i="4"/>
  <c r="E184" i="4"/>
  <c r="D184" i="4"/>
  <c r="B184" i="4"/>
  <c r="A184" i="4"/>
  <c r="F183" i="4"/>
  <c r="E183" i="4"/>
  <c r="D183" i="4"/>
  <c r="B162" i="4"/>
  <c r="B161" i="4"/>
  <c r="B160" i="4"/>
  <c r="B158" i="4"/>
  <c r="B157" i="4"/>
  <c r="B156" i="4"/>
  <c r="B154" i="4"/>
  <c r="B153" i="4"/>
  <c r="B152" i="4"/>
  <c r="F150" i="4"/>
  <c r="E150" i="4"/>
  <c r="D150" i="4"/>
  <c r="B150" i="4"/>
  <c r="A150" i="4"/>
  <c r="F149" i="4"/>
  <c r="E149" i="4"/>
  <c r="D149" i="4"/>
  <c r="B149" i="4"/>
  <c r="A149" i="4"/>
  <c r="F148" i="4"/>
  <c r="E148" i="4"/>
  <c r="D148" i="4"/>
  <c r="B148" i="4"/>
  <c r="A148" i="4"/>
  <c r="F147" i="4"/>
  <c r="E147" i="4"/>
  <c r="D147" i="4"/>
  <c r="B147" i="4"/>
  <c r="A147" i="4"/>
  <c r="F146" i="4"/>
  <c r="E146" i="4"/>
  <c r="D146" i="4"/>
  <c r="B146" i="4"/>
  <c r="A146" i="4"/>
  <c r="F145" i="4"/>
  <c r="E145" i="4"/>
  <c r="D145" i="4"/>
  <c r="B145" i="4"/>
  <c r="A145" i="4"/>
  <c r="F144" i="4"/>
  <c r="E144" i="4"/>
  <c r="D144" i="4"/>
  <c r="B144" i="4"/>
  <c r="A144" i="4"/>
  <c r="F143" i="4"/>
  <c r="E143" i="4"/>
  <c r="D143" i="4"/>
  <c r="B143" i="4"/>
  <c r="A143" i="4"/>
  <c r="F142" i="4"/>
  <c r="E142" i="4"/>
  <c r="D142" i="4"/>
  <c r="B142" i="4"/>
  <c r="A142" i="4"/>
  <c r="F141" i="4"/>
  <c r="E141" i="4"/>
  <c r="D141" i="4"/>
  <c r="B114" i="4"/>
  <c r="B113" i="4"/>
  <c r="B112" i="4"/>
  <c r="B111" i="4"/>
  <c r="B110" i="4"/>
  <c r="E109" i="4"/>
  <c r="D109" i="4"/>
  <c r="B109" i="4"/>
  <c r="E108" i="4"/>
  <c r="D108" i="4"/>
  <c r="B108" i="4"/>
  <c r="E107" i="4"/>
  <c r="D107" i="4"/>
  <c r="B107" i="4"/>
  <c r="E106" i="4"/>
  <c r="D106" i="4"/>
  <c r="B106" i="4"/>
  <c r="F105" i="4"/>
  <c r="E105" i="4"/>
  <c r="D105" i="4"/>
  <c r="G104" i="4"/>
  <c r="F104" i="4"/>
  <c r="E104" i="4"/>
  <c r="D104" i="4"/>
  <c r="B104" i="4"/>
  <c r="A104" i="4"/>
  <c r="G103" i="4"/>
  <c r="F103" i="4"/>
  <c r="E103" i="4"/>
  <c r="D103" i="4"/>
  <c r="B103" i="4"/>
  <c r="A103" i="4"/>
  <c r="G102" i="4"/>
  <c r="F102" i="4"/>
  <c r="E102" i="4"/>
  <c r="D102" i="4"/>
  <c r="B102" i="4"/>
  <c r="A102" i="4"/>
  <c r="G101" i="4"/>
  <c r="F101" i="4"/>
  <c r="E101" i="4"/>
  <c r="D101" i="4"/>
  <c r="B101" i="4"/>
  <c r="A101" i="4"/>
  <c r="G100" i="4"/>
  <c r="F100" i="4"/>
  <c r="E100" i="4"/>
  <c r="D100" i="4"/>
  <c r="G99" i="4"/>
  <c r="F99" i="4"/>
  <c r="E99" i="4"/>
  <c r="D99" i="4"/>
  <c r="B99" i="4"/>
  <c r="A99" i="4"/>
  <c r="G98" i="4"/>
  <c r="F98" i="4"/>
  <c r="E98" i="4"/>
  <c r="D98" i="4"/>
  <c r="B98" i="4"/>
  <c r="A98" i="4"/>
  <c r="G97" i="4"/>
  <c r="F97" i="4"/>
  <c r="E97" i="4"/>
  <c r="D97" i="4"/>
  <c r="B97" i="4"/>
  <c r="A97" i="4"/>
  <c r="G96" i="4"/>
  <c r="F96" i="4"/>
  <c r="E96" i="4"/>
  <c r="D96" i="4"/>
  <c r="B96" i="4"/>
  <c r="A96" i="4"/>
  <c r="G95" i="4"/>
  <c r="F95" i="4"/>
  <c r="E95" i="4"/>
  <c r="D95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94" i="4"/>
  <c r="E94" i="4"/>
  <c r="D94" i="4"/>
  <c r="B94" i="4"/>
  <c r="A94" i="4"/>
  <c r="B93" i="4"/>
  <c r="A93" i="4"/>
  <c r="M88" i="4"/>
  <c r="F88" i="4"/>
  <c r="E88" i="4"/>
  <c r="D88" i="4"/>
  <c r="B88" i="4"/>
  <c r="A88" i="4"/>
  <c r="M87" i="4"/>
  <c r="F87" i="4"/>
  <c r="E87" i="4"/>
  <c r="D87" i="4"/>
  <c r="B87" i="4"/>
  <c r="A87" i="4"/>
  <c r="M86" i="4"/>
  <c r="F86" i="4"/>
  <c r="E86" i="4"/>
  <c r="D86" i="4"/>
  <c r="B86" i="4"/>
  <c r="M85" i="4"/>
  <c r="F85" i="4"/>
  <c r="E85" i="4"/>
  <c r="D85" i="4"/>
  <c r="B85" i="4"/>
  <c r="A85" i="4"/>
  <c r="M84" i="4"/>
  <c r="F84" i="4"/>
  <c r="E84" i="4"/>
  <c r="D84" i="4"/>
  <c r="B84" i="4"/>
  <c r="A84" i="4"/>
  <c r="M83" i="4"/>
  <c r="F83" i="4"/>
  <c r="E83" i="4"/>
  <c r="D83" i="4"/>
  <c r="B83" i="4"/>
  <c r="A83" i="4"/>
  <c r="M82" i="4"/>
  <c r="F82" i="4"/>
  <c r="E82" i="4"/>
  <c r="D82" i="4"/>
  <c r="B82" i="4"/>
  <c r="M81" i="4"/>
  <c r="F81" i="4"/>
  <c r="E81" i="4"/>
  <c r="D81" i="4"/>
  <c r="B81" i="4"/>
  <c r="A81" i="4"/>
  <c r="M80" i="4"/>
  <c r="F80" i="4"/>
  <c r="E80" i="4"/>
  <c r="D80" i="4"/>
  <c r="B80" i="4"/>
  <c r="A80" i="4"/>
  <c r="M79" i="4"/>
  <c r="F79" i="4"/>
  <c r="E79" i="4"/>
  <c r="D79" i="4"/>
  <c r="B79" i="4"/>
  <c r="A79" i="4"/>
  <c r="M78" i="4"/>
  <c r="F78" i="4"/>
  <c r="E78" i="4"/>
  <c r="D78" i="4"/>
  <c r="B78" i="4"/>
  <c r="F68" i="4"/>
  <c r="E68" i="4"/>
  <c r="D68" i="4"/>
  <c r="G57" i="4"/>
  <c r="E57" i="4"/>
  <c r="D57" i="4"/>
  <c r="B57" i="4"/>
  <c r="G56" i="4"/>
  <c r="E56" i="4"/>
  <c r="D56" i="4"/>
  <c r="B56" i="4"/>
  <c r="G55" i="4"/>
  <c r="F55" i="4"/>
  <c r="E55" i="4"/>
  <c r="D55" i="4"/>
  <c r="B55" i="4"/>
  <c r="G54" i="4"/>
  <c r="F54" i="4"/>
  <c r="E54" i="4"/>
  <c r="D54" i="4"/>
  <c r="B54" i="4"/>
  <c r="G53" i="4"/>
  <c r="F53" i="4"/>
  <c r="E53" i="4"/>
  <c r="D53" i="4"/>
  <c r="B53" i="4"/>
  <c r="G52" i="4"/>
  <c r="F52" i="4"/>
  <c r="E52" i="4"/>
  <c r="D52" i="4"/>
  <c r="F51" i="4"/>
  <c r="E51" i="4"/>
  <c r="D51" i="4"/>
  <c r="B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K39" i="4"/>
  <c r="F39" i="4"/>
  <c r="E39" i="4"/>
  <c r="D39" i="4"/>
  <c r="K38" i="4"/>
  <c r="F38" i="4"/>
  <c r="E38" i="4"/>
  <c r="D38" i="4"/>
  <c r="K37" i="4"/>
  <c r="F37" i="4"/>
  <c r="E37" i="4"/>
  <c r="D37" i="4"/>
  <c r="K36" i="4"/>
  <c r="F36" i="4"/>
  <c r="E36" i="4"/>
  <c r="D36" i="4"/>
  <c r="K35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K29" i="4"/>
  <c r="F29" i="4"/>
  <c r="E29" i="4"/>
  <c r="D29" i="4"/>
  <c r="K28" i="4"/>
  <c r="F28" i="4"/>
  <c r="E28" i="4"/>
  <c r="D28" i="4"/>
  <c r="K27" i="4"/>
  <c r="F27" i="4"/>
  <c r="E27" i="4"/>
  <c r="D27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91" i="4"/>
  <c r="E91" i="4"/>
  <c r="D91" i="4"/>
  <c r="B91" i="4"/>
  <c r="F90" i="4"/>
  <c r="E90" i="4"/>
  <c r="D90" i="4"/>
  <c r="B90" i="4"/>
  <c r="F89" i="4"/>
  <c r="E89" i="4"/>
  <c r="D89" i="4"/>
  <c r="B89" i="4"/>
  <c r="I11" i="4"/>
  <c r="H11" i="4"/>
  <c r="F11" i="4"/>
  <c r="E11" i="4"/>
  <c r="D11" i="4"/>
  <c r="B11" i="4"/>
  <c r="I10" i="4"/>
  <c r="H10" i="4"/>
  <c r="F10" i="4"/>
  <c r="E10" i="4"/>
  <c r="D10" i="4"/>
  <c r="B10" i="4"/>
  <c r="I9" i="4"/>
  <c r="H9" i="4"/>
  <c r="F9" i="4"/>
  <c r="E9" i="4"/>
  <c r="D9" i="4"/>
  <c r="B9" i="4"/>
  <c r="I8" i="4"/>
  <c r="H8" i="4"/>
  <c r="F8" i="4"/>
  <c r="E8" i="4"/>
  <c r="D8" i="4"/>
  <c r="B8" i="4"/>
  <c r="F5" i="4"/>
  <c r="E5" i="4"/>
  <c r="D5" i="4"/>
  <c r="B5" i="4"/>
  <c r="F4" i="4"/>
  <c r="E4" i="4"/>
  <c r="D4" i="4"/>
  <c r="B4" i="4"/>
  <c r="F3" i="4"/>
  <c r="E3" i="4"/>
  <c r="D3" i="4"/>
  <c r="B3" i="4"/>
  <c r="F2" i="4"/>
  <c r="E2" i="4"/>
  <c r="D2" i="4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7" i="1"/>
  <c r="B436" i="1"/>
  <c r="B435" i="1"/>
  <c r="B434" i="1"/>
  <c r="G432" i="1"/>
  <c r="E432" i="1"/>
  <c r="D432" i="1"/>
  <c r="B432" i="1"/>
  <c r="G431" i="1"/>
  <c r="E431" i="1"/>
  <c r="D431" i="1"/>
  <c r="B431" i="1"/>
  <c r="G430" i="1"/>
  <c r="E430" i="1"/>
  <c r="D430" i="1"/>
  <c r="B430" i="1"/>
  <c r="G429" i="1"/>
  <c r="E429" i="1"/>
  <c r="D429" i="1"/>
  <c r="B429" i="1"/>
  <c r="G428" i="1"/>
  <c r="E428" i="1"/>
  <c r="D428" i="1"/>
  <c r="B428" i="1"/>
  <c r="G427" i="1"/>
  <c r="E427" i="1"/>
  <c r="D427" i="1"/>
  <c r="B427" i="1"/>
  <c r="G426" i="1"/>
  <c r="E426" i="1"/>
  <c r="D426" i="1"/>
  <c r="B426" i="1"/>
  <c r="G425" i="1"/>
  <c r="E425" i="1"/>
  <c r="D425" i="1"/>
  <c r="B425" i="1"/>
  <c r="G424" i="1"/>
  <c r="E424" i="1"/>
  <c r="D424" i="1"/>
  <c r="B424" i="1"/>
  <c r="G423" i="1"/>
  <c r="E423" i="1"/>
  <c r="D423" i="1"/>
  <c r="B423" i="1"/>
  <c r="G422" i="1"/>
  <c r="E422" i="1"/>
  <c r="D422" i="1"/>
  <c r="B422" i="1"/>
  <c r="G421" i="1"/>
  <c r="E421" i="1"/>
  <c r="D421" i="1"/>
  <c r="B421" i="1"/>
  <c r="G420" i="1"/>
  <c r="E420" i="1"/>
  <c r="D420" i="1"/>
  <c r="E419" i="1"/>
  <c r="D419" i="1"/>
  <c r="B419" i="1"/>
  <c r="E418" i="1"/>
  <c r="D418" i="1"/>
  <c r="B418" i="1"/>
  <c r="E417" i="1"/>
  <c r="D417" i="1"/>
  <c r="B417" i="1"/>
  <c r="E416" i="1"/>
  <c r="D416" i="1"/>
  <c r="B416" i="1"/>
  <c r="E415" i="1"/>
  <c r="D415" i="1"/>
  <c r="B415" i="1"/>
  <c r="E414" i="1"/>
  <c r="D414" i="1"/>
  <c r="B414" i="1"/>
  <c r="E413" i="1"/>
  <c r="D413" i="1"/>
  <c r="B413" i="1"/>
  <c r="E412" i="1"/>
  <c r="D412" i="1"/>
  <c r="B412" i="1"/>
  <c r="E411" i="1"/>
  <c r="D411" i="1"/>
  <c r="B411" i="1"/>
  <c r="E410" i="1"/>
  <c r="D410" i="1"/>
  <c r="B410" i="1"/>
  <c r="E409" i="1"/>
  <c r="D409" i="1"/>
  <c r="B409" i="1"/>
  <c r="E408" i="1"/>
  <c r="D408" i="1"/>
  <c r="B408" i="1"/>
  <c r="E407" i="1"/>
  <c r="D407" i="1"/>
  <c r="E406" i="1"/>
  <c r="D406" i="1"/>
  <c r="B406" i="1"/>
  <c r="E405" i="1"/>
  <c r="D405" i="1"/>
  <c r="B405" i="1"/>
  <c r="E404" i="1"/>
  <c r="D404" i="1"/>
  <c r="B404" i="1"/>
  <c r="E403" i="1"/>
  <c r="D403" i="1"/>
  <c r="B403" i="1"/>
  <c r="E402" i="1"/>
  <c r="D402" i="1"/>
  <c r="B402" i="1"/>
  <c r="E401" i="1"/>
  <c r="D401" i="1"/>
  <c r="B401" i="1"/>
  <c r="E400" i="1"/>
  <c r="D400" i="1"/>
  <c r="B400" i="1"/>
  <c r="E399" i="1"/>
  <c r="D399" i="1"/>
  <c r="B399" i="1"/>
  <c r="E398" i="1"/>
  <c r="D398" i="1"/>
  <c r="B398" i="1"/>
  <c r="E397" i="1"/>
  <c r="D397" i="1"/>
  <c r="B397" i="1"/>
  <c r="E396" i="1"/>
  <c r="D396" i="1"/>
  <c r="B396" i="1"/>
  <c r="E395" i="1"/>
  <c r="D395" i="1"/>
  <c r="B395" i="1"/>
  <c r="E394" i="1"/>
  <c r="D394" i="1"/>
  <c r="G393" i="1"/>
  <c r="B393" i="1"/>
  <c r="G392" i="1"/>
  <c r="B392" i="1"/>
  <c r="G391" i="1"/>
  <c r="B391" i="1"/>
  <c r="G390" i="1"/>
  <c r="F389" i="1"/>
  <c r="E389" i="1"/>
  <c r="D389" i="1"/>
  <c r="B389" i="1"/>
  <c r="A389" i="1"/>
  <c r="F388" i="1"/>
  <c r="E388" i="1"/>
  <c r="D388" i="1"/>
  <c r="B388" i="1"/>
  <c r="A388" i="1"/>
  <c r="F387" i="1"/>
  <c r="E387" i="1"/>
  <c r="D387" i="1"/>
  <c r="B387" i="1"/>
  <c r="A387" i="1"/>
  <c r="F386" i="1"/>
  <c r="E386" i="1"/>
  <c r="D386" i="1"/>
  <c r="B386" i="1"/>
  <c r="A386" i="1"/>
  <c r="F385" i="1"/>
  <c r="E385" i="1"/>
  <c r="D385" i="1"/>
  <c r="B385" i="1"/>
  <c r="A385" i="1"/>
  <c r="F384" i="1"/>
  <c r="E384" i="1"/>
  <c r="D384" i="1"/>
  <c r="B384" i="1"/>
  <c r="A384" i="1"/>
  <c r="F383" i="1"/>
  <c r="E383" i="1"/>
  <c r="D383" i="1"/>
  <c r="B382" i="1"/>
  <c r="A382" i="1"/>
  <c r="B381" i="1"/>
  <c r="A381" i="1"/>
  <c r="F379" i="1"/>
  <c r="E379" i="1"/>
  <c r="D379" i="1"/>
  <c r="B379" i="1"/>
  <c r="A379" i="1"/>
  <c r="F378" i="1"/>
  <c r="E378" i="1"/>
  <c r="D378" i="1"/>
  <c r="B378" i="1"/>
  <c r="A378" i="1"/>
  <c r="F377" i="1"/>
  <c r="E377" i="1"/>
  <c r="D377" i="1"/>
  <c r="B377" i="1"/>
  <c r="A377" i="1"/>
  <c r="F376" i="1"/>
  <c r="E376" i="1"/>
  <c r="D376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B325" i="1"/>
  <c r="B324" i="1"/>
  <c r="B323" i="1"/>
  <c r="B321" i="1"/>
  <c r="B320" i="1"/>
  <c r="B319" i="1"/>
  <c r="B317" i="1"/>
  <c r="B316" i="1"/>
  <c r="B315" i="1"/>
  <c r="F313" i="1"/>
  <c r="E313" i="1"/>
  <c r="D313" i="1"/>
  <c r="B313" i="1"/>
  <c r="A313" i="1"/>
  <c r="F312" i="1"/>
  <c r="E312" i="1"/>
  <c r="D312" i="1"/>
  <c r="B312" i="1"/>
  <c r="A312" i="1"/>
  <c r="F311" i="1"/>
  <c r="E311" i="1"/>
  <c r="D311" i="1"/>
  <c r="B311" i="1"/>
  <c r="A311" i="1"/>
  <c r="F310" i="1"/>
  <c r="E310" i="1"/>
  <c r="D310" i="1"/>
  <c r="B310" i="1"/>
  <c r="A310" i="1"/>
  <c r="F309" i="1"/>
  <c r="E309" i="1"/>
  <c r="D309" i="1"/>
  <c r="B309" i="1"/>
  <c r="A309" i="1"/>
  <c r="F308" i="1"/>
  <c r="E308" i="1"/>
  <c r="D308" i="1"/>
  <c r="B308" i="1"/>
  <c r="A308" i="1"/>
  <c r="F307" i="1"/>
  <c r="E307" i="1"/>
  <c r="D307" i="1"/>
  <c r="B307" i="1"/>
  <c r="A307" i="1"/>
  <c r="F306" i="1"/>
  <c r="E306" i="1"/>
  <c r="D306" i="1"/>
  <c r="B306" i="1"/>
  <c r="A306" i="1"/>
  <c r="F305" i="1"/>
  <c r="E305" i="1"/>
  <c r="D305" i="1"/>
  <c r="B305" i="1"/>
  <c r="A305" i="1"/>
  <c r="F304" i="1"/>
  <c r="E304" i="1"/>
  <c r="D304" i="1"/>
  <c r="G303" i="1"/>
  <c r="B303" i="1"/>
  <c r="G302" i="1"/>
  <c r="B302" i="1"/>
  <c r="G301" i="1"/>
  <c r="B301" i="1"/>
  <c r="G300" i="1"/>
  <c r="B300" i="1"/>
  <c r="G298" i="1"/>
  <c r="B298" i="1"/>
  <c r="G297" i="1"/>
  <c r="B297" i="1"/>
  <c r="G296" i="1"/>
  <c r="B296" i="1"/>
  <c r="G295" i="1"/>
  <c r="B295" i="1"/>
  <c r="G293" i="1"/>
  <c r="B293" i="1"/>
  <c r="G292" i="1"/>
  <c r="B292" i="1"/>
  <c r="G291" i="1"/>
  <c r="B291" i="1"/>
  <c r="G290" i="1"/>
  <c r="B290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E215" i="1"/>
  <c r="E214" i="1"/>
  <c r="E213" i="1"/>
  <c r="B212" i="1"/>
  <c r="C199" i="1"/>
  <c r="B199" i="1" s="1"/>
  <c r="C198" i="1"/>
  <c r="B198" i="1" s="1"/>
  <c r="C197" i="1"/>
  <c r="B197" i="1" s="1"/>
  <c r="B195" i="1"/>
  <c r="B194" i="1"/>
  <c r="B193" i="1"/>
  <c r="B192" i="1"/>
  <c r="B191" i="1"/>
  <c r="E190" i="1"/>
  <c r="D190" i="1"/>
  <c r="B190" i="1"/>
  <c r="E189" i="1"/>
  <c r="D189" i="1"/>
  <c r="B189" i="1"/>
  <c r="E188" i="1"/>
  <c r="D188" i="1"/>
  <c r="B188" i="1"/>
  <c r="E187" i="1"/>
  <c r="D187" i="1"/>
  <c r="B187" i="1"/>
  <c r="F186" i="1"/>
  <c r="E186" i="1"/>
  <c r="D186" i="1"/>
  <c r="G185" i="1"/>
  <c r="F185" i="1"/>
  <c r="E185" i="1"/>
  <c r="D185" i="1"/>
  <c r="B185" i="1"/>
  <c r="A185" i="1"/>
  <c r="G184" i="1"/>
  <c r="F184" i="1"/>
  <c r="E184" i="1"/>
  <c r="D184" i="1"/>
  <c r="B184" i="1"/>
  <c r="A184" i="1"/>
  <c r="G183" i="1"/>
  <c r="F183" i="1"/>
  <c r="E183" i="1"/>
  <c r="D183" i="1"/>
  <c r="B183" i="1"/>
  <c r="A183" i="1"/>
  <c r="G182" i="1"/>
  <c r="F182" i="1"/>
  <c r="E182" i="1"/>
  <c r="D182" i="1"/>
  <c r="B182" i="1"/>
  <c r="A182" i="1"/>
  <c r="G181" i="1"/>
  <c r="F181" i="1"/>
  <c r="E181" i="1"/>
  <c r="D181" i="1"/>
  <c r="G180" i="1"/>
  <c r="F180" i="1"/>
  <c r="E180" i="1"/>
  <c r="D180" i="1"/>
  <c r="B180" i="1"/>
  <c r="A180" i="1"/>
  <c r="G179" i="1"/>
  <c r="F179" i="1"/>
  <c r="E179" i="1"/>
  <c r="D179" i="1"/>
  <c r="B179" i="1"/>
  <c r="A179" i="1"/>
  <c r="G178" i="1"/>
  <c r="F178" i="1"/>
  <c r="E178" i="1"/>
  <c r="D178" i="1"/>
  <c r="B178" i="1"/>
  <c r="A178" i="1"/>
  <c r="G177" i="1"/>
  <c r="F177" i="1"/>
  <c r="E177" i="1"/>
  <c r="D177" i="1"/>
  <c r="B177" i="1"/>
  <c r="A177" i="1"/>
  <c r="G176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B170" i="1"/>
  <c r="A170" i="1"/>
  <c r="B169" i="1"/>
  <c r="A169" i="1"/>
  <c r="F168" i="1"/>
  <c r="E168" i="1"/>
  <c r="D168" i="1"/>
  <c r="B168" i="1"/>
  <c r="A168" i="1"/>
  <c r="F167" i="1"/>
  <c r="E167" i="1"/>
  <c r="D167" i="1"/>
  <c r="B167" i="1"/>
  <c r="F166" i="1"/>
  <c r="E166" i="1"/>
  <c r="D166" i="1"/>
  <c r="B166" i="1"/>
  <c r="F165" i="1"/>
  <c r="E165" i="1"/>
  <c r="D165" i="1"/>
  <c r="B165" i="1"/>
  <c r="F164" i="1"/>
  <c r="E164" i="1"/>
  <c r="D164" i="1"/>
  <c r="F163" i="1"/>
  <c r="E163" i="1"/>
  <c r="D163" i="1"/>
  <c r="B163" i="1"/>
  <c r="A163" i="1"/>
  <c r="F162" i="1"/>
  <c r="E162" i="1"/>
  <c r="D162" i="1"/>
  <c r="B162" i="1"/>
  <c r="A162" i="1"/>
  <c r="F161" i="1"/>
  <c r="E161" i="1"/>
  <c r="D161" i="1"/>
  <c r="B161" i="1"/>
  <c r="A161" i="1"/>
  <c r="F160" i="1"/>
  <c r="E160" i="1"/>
  <c r="D160" i="1"/>
  <c r="B160" i="1"/>
  <c r="A160" i="1"/>
  <c r="F159" i="1"/>
  <c r="E159" i="1"/>
  <c r="D159" i="1"/>
  <c r="B159" i="1"/>
  <c r="F158" i="1"/>
  <c r="E158" i="1"/>
  <c r="D158" i="1"/>
  <c r="B158" i="1"/>
  <c r="A158" i="1"/>
  <c r="F157" i="1"/>
  <c r="E157" i="1"/>
  <c r="D157" i="1"/>
  <c r="B157" i="1"/>
  <c r="A157" i="1"/>
  <c r="F156" i="1"/>
  <c r="E156" i="1"/>
  <c r="D156" i="1"/>
  <c r="B156" i="1"/>
  <c r="A156" i="1"/>
  <c r="F155" i="1"/>
  <c r="E155" i="1"/>
  <c r="D155" i="1"/>
  <c r="B155" i="1"/>
  <c r="F154" i="1"/>
  <c r="E154" i="1"/>
  <c r="D154" i="1"/>
  <c r="B154" i="1"/>
  <c r="A154" i="1"/>
  <c r="F153" i="1"/>
  <c r="E153" i="1"/>
  <c r="D153" i="1"/>
  <c r="B153" i="1"/>
  <c r="A153" i="1"/>
  <c r="F152" i="1"/>
  <c r="E152" i="1"/>
  <c r="D152" i="1"/>
  <c r="B152" i="1"/>
  <c r="A152" i="1"/>
  <c r="F151" i="1"/>
  <c r="E151" i="1"/>
  <c r="D151" i="1"/>
  <c r="B151" i="1"/>
  <c r="F150" i="1"/>
  <c r="E150" i="1"/>
  <c r="D150" i="1"/>
  <c r="B150" i="1"/>
  <c r="A150" i="1"/>
  <c r="F149" i="1"/>
  <c r="E149" i="1"/>
  <c r="D149" i="1"/>
  <c r="G138" i="1"/>
  <c r="F138" i="1"/>
  <c r="E138" i="1"/>
  <c r="D138" i="1"/>
  <c r="B138" i="1"/>
  <c r="A138" i="1"/>
  <c r="G137" i="1"/>
  <c r="F137" i="1"/>
  <c r="E137" i="1"/>
  <c r="D137" i="1"/>
  <c r="B137" i="1"/>
  <c r="G136" i="1"/>
  <c r="F136" i="1"/>
  <c r="E136" i="1"/>
  <c r="D136" i="1"/>
  <c r="B136" i="1"/>
  <c r="G135" i="1"/>
  <c r="F135" i="1"/>
  <c r="E135" i="1"/>
  <c r="D135" i="1"/>
  <c r="B135" i="1"/>
  <c r="A135" i="1"/>
  <c r="G134" i="1"/>
  <c r="F134" i="1"/>
  <c r="E134" i="1"/>
  <c r="D134" i="1"/>
  <c r="B134" i="1"/>
  <c r="G133" i="1"/>
  <c r="F133" i="1"/>
  <c r="E133" i="1"/>
  <c r="D133" i="1"/>
  <c r="B133" i="1"/>
  <c r="G132" i="1"/>
  <c r="F132" i="1"/>
  <c r="E132" i="1"/>
  <c r="D132" i="1"/>
  <c r="B132" i="1"/>
  <c r="A132" i="1"/>
  <c r="G131" i="1"/>
  <c r="F131" i="1"/>
  <c r="E131" i="1"/>
  <c r="D131" i="1"/>
  <c r="B131" i="1"/>
  <c r="G130" i="1"/>
  <c r="F130" i="1"/>
  <c r="E130" i="1"/>
  <c r="D130" i="1"/>
  <c r="B130" i="1"/>
  <c r="G129" i="1"/>
  <c r="F129" i="1"/>
  <c r="E129" i="1"/>
  <c r="D129" i="1"/>
  <c r="G128" i="1"/>
  <c r="F128" i="1"/>
  <c r="E128" i="1"/>
  <c r="D128" i="1"/>
  <c r="B128" i="1"/>
  <c r="A128" i="1"/>
  <c r="G127" i="1"/>
  <c r="F127" i="1"/>
  <c r="E127" i="1"/>
  <c r="D127" i="1"/>
  <c r="B127" i="1"/>
  <c r="G126" i="1"/>
  <c r="F126" i="1"/>
  <c r="E126" i="1"/>
  <c r="D126" i="1"/>
  <c r="B126" i="1"/>
  <c r="G125" i="1"/>
  <c r="F125" i="1"/>
  <c r="E125" i="1"/>
  <c r="D125" i="1"/>
  <c r="B125" i="1"/>
  <c r="A125" i="1"/>
  <c r="G124" i="1"/>
  <c r="F124" i="1"/>
  <c r="E124" i="1"/>
  <c r="D124" i="1"/>
  <c r="B124" i="1"/>
  <c r="G123" i="1"/>
  <c r="F123" i="1"/>
  <c r="E123" i="1"/>
  <c r="D123" i="1"/>
  <c r="B123" i="1"/>
  <c r="G122" i="1"/>
  <c r="F122" i="1"/>
  <c r="E122" i="1"/>
  <c r="D122" i="1"/>
  <c r="B122" i="1"/>
  <c r="A122" i="1"/>
  <c r="G121" i="1"/>
  <c r="F121" i="1"/>
  <c r="E121" i="1"/>
  <c r="D121" i="1"/>
  <c r="B121" i="1"/>
  <c r="G120" i="1"/>
  <c r="F120" i="1"/>
  <c r="E120" i="1"/>
  <c r="D120" i="1"/>
  <c r="B120" i="1"/>
  <c r="G119" i="1"/>
  <c r="F119" i="1"/>
  <c r="E119" i="1"/>
  <c r="D119" i="1"/>
  <c r="G118" i="1"/>
  <c r="E118" i="1"/>
  <c r="D118" i="1"/>
  <c r="B118" i="1"/>
  <c r="G117" i="1"/>
  <c r="E117" i="1"/>
  <c r="D117" i="1"/>
  <c r="B117" i="1"/>
  <c r="G116" i="1"/>
  <c r="F116" i="1"/>
  <c r="E116" i="1"/>
  <c r="D116" i="1"/>
  <c r="B116" i="1"/>
  <c r="G115" i="1"/>
  <c r="F115" i="1"/>
  <c r="E115" i="1"/>
  <c r="D115" i="1"/>
  <c r="B115" i="1"/>
  <c r="G114" i="1"/>
  <c r="F114" i="1"/>
  <c r="E114" i="1"/>
  <c r="D114" i="1"/>
  <c r="B114" i="1"/>
  <c r="G113" i="1"/>
  <c r="F113" i="1"/>
  <c r="E113" i="1"/>
  <c r="D113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F74" i="1"/>
  <c r="E74" i="1"/>
  <c r="D74" i="1"/>
  <c r="B74" i="1"/>
  <c r="F73" i="1"/>
  <c r="E73" i="1"/>
  <c r="D73" i="1"/>
  <c r="B73" i="1"/>
  <c r="F72" i="1"/>
  <c r="E72" i="1"/>
  <c r="D72" i="1"/>
  <c r="B72" i="1"/>
  <c r="F71" i="1"/>
  <c r="E71" i="1"/>
  <c r="D71" i="1"/>
  <c r="B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K56" i="1"/>
  <c r="F56" i="1"/>
  <c r="E56" i="1"/>
  <c r="D56" i="1"/>
  <c r="K55" i="1"/>
  <c r="F55" i="1"/>
  <c r="E55" i="1"/>
  <c r="D55" i="1"/>
  <c r="K54" i="1"/>
  <c r="F54" i="1"/>
  <c r="E54" i="1"/>
  <c r="D54" i="1"/>
  <c r="K53" i="1"/>
  <c r="F53" i="1"/>
  <c r="E53" i="1"/>
  <c r="D53" i="1"/>
  <c r="K52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K46" i="1"/>
  <c r="F46" i="1"/>
  <c r="E46" i="1"/>
  <c r="D46" i="1"/>
  <c r="K45" i="1"/>
  <c r="F45" i="1"/>
  <c r="E45" i="1"/>
  <c r="D45" i="1"/>
  <c r="K44" i="1"/>
  <c r="F44" i="1"/>
  <c r="E44" i="1"/>
  <c r="D44" i="1"/>
  <c r="K43" i="1"/>
  <c r="F43" i="1"/>
  <c r="E43" i="1"/>
  <c r="D43" i="1"/>
  <c r="K42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B36" i="1"/>
  <c r="F35" i="1"/>
  <c r="E35" i="1"/>
  <c r="D35" i="1"/>
  <c r="B35" i="1"/>
  <c r="F34" i="1"/>
  <c r="E34" i="1"/>
  <c r="D34" i="1"/>
  <c r="B34" i="1"/>
  <c r="F33" i="1"/>
  <c r="E33" i="1"/>
  <c r="D33" i="1"/>
  <c r="B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B14" i="1"/>
  <c r="F13" i="1"/>
  <c r="E13" i="1"/>
  <c r="D13" i="1"/>
  <c r="B13" i="1"/>
  <c r="F12" i="1"/>
  <c r="E12" i="1"/>
  <c r="D12" i="1"/>
  <c r="B12" i="1"/>
  <c r="B11" i="1"/>
  <c r="B10" i="1"/>
  <c r="B9" i="1"/>
  <c r="B8" i="1"/>
  <c r="F5" i="1"/>
  <c r="E5" i="1"/>
  <c r="D5" i="1"/>
  <c r="B5" i="1"/>
  <c r="F4" i="1"/>
  <c r="E4" i="1"/>
  <c r="D4" i="1"/>
  <c r="B4" i="1"/>
  <c r="F3" i="1"/>
  <c r="E3" i="1"/>
  <c r="D3" i="1"/>
  <c r="B3" i="1"/>
  <c r="F2" i="1"/>
  <c r="E2" i="1"/>
  <c r="D2" i="1"/>
</calcChain>
</file>

<file path=xl/sharedStrings.xml><?xml version="1.0" encoding="utf-8"?>
<sst xmlns="http://schemas.openxmlformats.org/spreadsheetml/2006/main" count="43" uniqueCount="18">
  <si>
    <t>46.25</t>
  </si>
  <si>
    <t>202.8</t>
  </si>
  <si>
    <t>35.29</t>
  </si>
  <si>
    <t>Aspect ratio</t>
  </si>
  <si>
    <t xml:space="preserve">fiberLength </t>
  </si>
  <si>
    <t>coarse aggregate</t>
  </si>
  <si>
    <t>fine aggregate</t>
  </si>
  <si>
    <t>water</t>
  </si>
  <si>
    <t xml:space="preserve">fibercontent </t>
  </si>
  <si>
    <t>cementecontent</t>
  </si>
  <si>
    <t>additivecontent</t>
  </si>
  <si>
    <t>flexuralstrength</t>
  </si>
  <si>
    <t>silicafumecontent</t>
  </si>
  <si>
    <t>slagcontent</t>
  </si>
  <si>
    <t>flyashcontent</t>
  </si>
  <si>
    <t>metakaolincontent</t>
  </si>
  <si>
    <t>tensilestrength</t>
  </si>
  <si>
    <t>compressivestrength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</si>
</sst>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6"/>
    <xf numFmtId="0" fontId="7" fillId="0" borderId="6"/>
    <xf numFmtId="0" fontId="7" fillId="0" borderId="6"/>
  </cellStyleXfs>
  <cellXfs count="90">
    <xf numFmtId="0" fontId="0" fillId="0" borderId="0" xfId="0" applyFont="1" applyAlignme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6" xfId="0" applyFont="1" applyFill="1" applyBorder="1"/>
    <xf numFmtId="0" fontId="4" fillId="3" borderId="6" xfId="0" applyFont="1" applyFill="1" applyBorder="1"/>
    <xf numFmtId="0" fontId="4" fillId="0" borderId="0" xfId="0" applyFont="1"/>
    <xf numFmtId="0" fontId="4" fillId="4" borderId="6" xfId="0" applyFont="1" applyFill="1" applyBorder="1"/>
    <xf numFmtId="0" fontId="0" fillId="0" borderId="0" xfId="0" applyFont="1"/>
    <xf numFmtId="0" fontId="3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7" borderId="5" xfId="0" applyNumberFormat="1" applyFont="1" applyFill="1" applyBorder="1" applyAlignment="1">
      <alignment horizontal="center" vertical="center"/>
    </xf>
    <xf numFmtId="2" fontId="9" fillId="7" borderId="5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B981467A-F61B-4EE8-B7CF-B62D9CAD013F}"/>
    <cellStyle name="Normal 3" xfId="2" xr:uid="{56E614A8-95E4-45A9-914C-8AA8B7CA3BC4}"/>
    <cellStyle name="Normal 4" xfId="3" xr:uid="{0EF7F94D-3433-46C3-A588-D58017C65D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3"/>
  <sheetViews>
    <sheetView zoomScale="115" zoomScaleNormal="115" workbookViewId="0">
      <pane ySplit="1" topLeftCell="A2" activePane="bottomLeft" state="frozen"/>
      <selection pane="bottomLeft" activeCell="N4" sqref="N4"/>
    </sheetView>
  </sheetViews>
  <sheetFormatPr defaultColWidth="12.59765625" defaultRowHeight="15" customHeight="1" x14ac:dyDescent="0.25"/>
  <cols>
    <col min="1" max="1" width="9.09765625" customWidth="1"/>
    <col min="2" max="2" width="7.19921875" customWidth="1"/>
    <col min="3" max="3" width="9.09765625" customWidth="1"/>
    <col min="4" max="4" width="9.59765625" customWidth="1"/>
    <col min="5" max="5" width="11.09765625" customWidth="1"/>
    <col min="6" max="6" width="8.09765625" customWidth="1"/>
    <col min="7" max="7" width="11" customWidth="1"/>
    <col min="8" max="8" width="7.59765625" customWidth="1"/>
    <col min="9" max="9" width="6.5" customWidth="1"/>
    <col min="10" max="11" width="7.3984375" customWidth="1"/>
    <col min="12" max="12" width="10.19921875" customWidth="1"/>
    <col min="13" max="13" width="7.59765625" customWidth="1"/>
  </cols>
  <sheetData>
    <row r="1" spans="1:13" ht="52.5" customHeight="1" thickBot="1" x14ac:dyDescent="0.3">
      <c r="A1" s="2" t="s">
        <v>8</v>
      </c>
      <c r="B1" s="3" t="s">
        <v>3</v>
      </c>
      <c r="C1" s="4" t="s">
        <v>4</v>
      </c>
      <c r="D1" s="2" t="s">
        <v>6</v>
      </c>
      <c r="E1" s="2" t="s">
        <v>5</v>
      </c>
      <c r="F1" s="2" t="s">
        <v>7</v>
      </c>
      <c r="G1" s="2" t="s">
        <v>10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9</v>
      </c>
      <c r="M1" s="29" t="s">
        <v>17</v>
      </c>
    </row>
    <row r="2" spans="1:13" ht="14.4" x14ac:dyDescent="0.25">
      <c r="A2" s="35">
        <v>0</v>
      </c>
      <c r="B2" s="36">
        <v>0</v>
      </c>
      <c r="C2" s="34">
        <v>0</v>
      </c>
      <c r="D2" s="34">
        <f>450*1.67</f>
        <v>751.5</v>
      </c>
      <c r="E2" s="34">
        <f>450*2.25</f>
        <v>1012.5</v>
      </c>
      <c r="F2" s="34">
        <f>450*0.36</f>
        <v>162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450</v>
      </c>
      <c r="M2" s="36">
        <v>47.77</v>
      </c>
    </row>
    <row r="3" spans="1:13" ht="14.4" x14ac:dyDescent="0.25">
      <c r="A3" s="38">
        <v>23.55</v>
      </c>
      <c r="B3" s="39">
        <f>35/0.75</f>
        <v>46.666666666666664</v>
      </c>
      <c r="C3" s="37">
        <v>35</v>
      </c>
      <c r="D3" s="37">
        <f>450*1.67</f>
        <v>751.5</v>
      </c>
      <c r="E3" s="37">
        <f>450*2.25</f>
        <v>1012.5</v>
      </c>
      <c r="F3" s="37">
        <f>450*0.36</f>
        <v>162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450</v>
      </c>
      <c r="M3" s="39">
        <v>51.22</v>
      </c>
    </row>
    <row r="4" spans="1:13" ht="14.4" x14ac:dyDescent="0.25">
      <c r="A4" s="38">
        <v>47.1</v>
      </c>
      <c r="B4" s="39">
        <f>35/0.75</f>
        <v>46.666666666666664</v>
      </c>
      <c r="C4" s="37">
        <v>35</v>
      </c>
      <c r="D4" s="37">
        <f>450*1.67</f>
        <v>751.5</v>
      </c>
      <c r="E4" s="37">
        <f>450*2.25</f>
        <v>1012.5</v>
      </c>
      <c r="F4" s="37">
        <f>450*0.36</f>
        <v>162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450</v>
      </c>
      <c r="M4" s="39">
        <v>54.22</v>
      </c>
    </row>
    <row r="5" spans="1:13" ht="14.4" x14ac:dyDescent="0.25">
      <c r="A5" s="38">
        <v>70.650000000000006</v>
      </c>
      <c r="B5" s="39">
        <f>35/0.75</f>
        <v>46.666666666666664</v>
      </c>
      <c r="C5" s="37">
        <v>35</v>
      </c>
      <c r="D5" s="37">
        <f>450*1.67</f>
        <v>751.5</v>
      </c>
      <c r="E5" s="37">
        <f>450*2.25</f>
        <v>1012.5</v>
      </c>
      <c r="F5" s="37">
        <f>450*0.36</f>
        <v>162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450</v>
      </c>
      <c r="M5" s="39">
        <v>57.11</v>
      </c>
    </row>
    <row r="6" spans="1:13" ht="14.4" x14ac:dyDescent="0.25">
      <c r="A6" s="38">
        <v>0</v>
      </c>
      <c r="B6" s="39">
        <v>0</v>
      </c>
      <c r="C6" s="37">
        <v>0</v>
      </c>
      <c r="D6" s="40">
        <v>785</v>
      </c>
      <c r="E6" s="40">
        <v>1093</v>
      </c>
      <c r="F6" s="40">
        <v>178</v>
      </c>
      <c r="G6" s="44">
        <v>0</v>
      </c>
      <c r="H6" s="43">
        <v>0</v>
      </c>
      <c r="I6" s="23">
        <v>0</v>
      </c>
      <c r="J6" s="37">
        <v>0</v>
      </c>
      <c r="K6" s="37">
        <v>0</v>
      </c>
      <c r="L6" s="37">
        <v>324</v>
      </c>
      <c r="M6" s="39">
        <v>36.5</v>
      </c>
    </row>
    <row r="7" spans="1:13" ht="14.4" x14ac:dyDescent="0.25">
      <c r="A7" s="38">
        <v>0</v>
      </c>
      <c r="B7" s="39">
        <v>0</v>
      </c>
      <c r="C7" s="37">
        <v>0</v>
      </c>
      <c r="D7" s="40">
        <v>785</v>
      </c>
      <c r="E7" s="40">
        <v>1093</v>
      </c>
      <c r="F7" s="40">
        <v>178</v>
      </c>
      <c r="G7" s="44">
        <v>0.13</v>
      </c>
      <c r="H7" s="40">
        <v>32</v>
      </c>
      <c r="I7" s="40">
        <v>97.2</v>
      </c>
      <c r="J7" s="23">
        <v>0</v>
      </c>
      <c r="K7" s="37">
        <v>0</v>
      </c>
      <c r="L7" s="37">
        <v>194.8</v>
      </c>
      <c r="M7" s="39">
        <v>42.95</v>
      </c>
    </row>
    <row r="8" spans="1:13" ht="14.4" x14ac:dyDescent="0.25">
      <c r="A8" s="38">
        <v>39.25</v>
      </c>
      <c r="B8" s="39">
        <f>30/0.5</f>
        <v>60</v>
      </c>
      <c r="C8" s="37">
        <v>30</v>
      </c>
      <c r="D8" s="40">
        <v>785</v>
      </c>
      <c r="E8" s="40">
        <v>1093</v>
      </c>
      <c r="F8" s="40">
        <v>178</v>
      </c>
      <c r="G8" s="44">
        <v>0.79</v>
      </c>
      <c r="H8" s="40">
        <v>32</v>
      </c>
      <c r="I8" s="40">
        <v>97.2</v>
      </c>
      <c r="J8" s="23">
        <v>0</v>
      </c>
      <c r="K8" s="37">
        <v>0</v>
      </c>
      <c r="L8" s="37">
        <v>194.8</v>
      </c>
      <c r="M8" s="39">
        <v>43.94</v>
      </c>
    </row>
    <row r="9" spans="1:13" ht="14.4" x14ac:dyDescent="0.25">
      <c r="A9" s="38">
        <v>78.5</v>
      </c>
      <c r="B9" s="39">
        <f>30/0.5</f>
        <v>60</v>
      </c>
      <c r="C9" s="37">
        <v>30</v>
      </c>
      <c r="D9" s="40">
        <v>785</v>
      </c>
      <c r="E9" s="40">
        <v>1093</v>
      </c>
      <c r="F9" s="40">
        <v>178</v>
      </c>
      <c r="G9" s="44">
        <v>1.19</v>
      </c>
      <c r="H9" s="40">
        <v>32</v>
      </c>
      <c r="I9" s="40">
        <v>97.2</v>
      </c>
      <c r="J9" s="23">
        <v>0</v>
      </c>
      <c r="K9" s="37">
        <v>0</v>
      </c>
      <c r="L9" s="37">
        <v>194.8</v>
      </c>
      <c r="M9" s="39">
        <v>44.75</v>
      </c>
    </row>
    <row r="10" spans="1:13" ht="14.4" x14ac:dyDescent="0.25">
      <c r="A10" s="38">
        <v>117.8</v>
      </c>
      <c r="B10" s="39">
        <f>30/0.5</f>
        <v>60</v>
      </c>
      <c r="C10" s="37">
        <v>30</v>
      </c>
      <c r="D10" s="40">
        <v>785</v>
      </c>
      <c r="E10" s="40">
        <v>1093</v>
      </c>
      <c r="F10" s="40">
        <v>178</v>
      </c>
      <c r="G10" s="44">
        <v>1.63</v>
      </c>
      <c r="H10" s="40">
        <v>32</v>
      </c>
      <c r="I10" s="40">
        <v>97.2</v>
      </c>
      <c r="J10" s="23">
        <v>0</v>
      </c>
      <c r="K10" s="37">
        <v>0</v>
      </c>
      <c r="L10" s="37">
        <v>194.8</v>
      </c>
      <c r="M10" s="39">
        <v>45.36</v>
      </c>
    </row>
    <row r="11" spans="1:13" ht="14.4" x14ac:dyDescent="0.25">
      <c r="A11" s="38">
        <v>157</v>
      </c>
      <c r="B11" s="39">
        <f>30/0.5</f>
        <v>60</v>
      </c>
      <c r="C11" s="37">
        <v>30</v>
      </c>
      <c r="D11" s="40">
        <v>785</v>
      </c>
      <c r="E11" s="40">
        <v>1093</v>
      </c>
      <c r="F11" s="40">
        <v>178</v>
      </c>
      <c r="G11" s="44">
        <v>1.78</v>
      </c>
      <c r="H11" s="40">
        <v>32</v>
      </c>
      <c r="I11" s="40">
        <v>97.2</v>
      </c>
      <c r="J11" s="23">
        <v>0</v>
      </c>
      <c r="K11" s="37">
        <v>0</v>
      </c>
      <c r="L11" s="37">
        <v>195.8</v>
      </c>
      <c r="M11" s="44">
        <v>45.83</v>
      </c>
    </row>
    <row r="12" spans="1:13" ht="14.4" x14ac:dyDescent="0.25">
      <c r="A12" s="41">
        <v>20</v>
      </c>
      <c r="B12" s="42">
        <f>60/0.75</f>
        <v>80</v>
      </c>
      <c r="C12" s="43">
        <v>60</v>
      </c>
      <c r="D12" s="40">
        <f>475*1.66</f>
        <v>788.5</v>
      </c>
      <c r="E12" s="40">
        <f>475*1.87</f>
        <v>888.25</v>
      </c>
      <c r="F12" s="40">
        <f>475*0.45</f>
        <v>213.75</v>
      </c>
      <c r="G12" s="42">
        <v>0</v>
      </c>
      <c r="H12" s="40">
        <v>0</v>
      </c>
      <c r="I12" s="40">
        <v>0</v>
      </c>
      <c r="J12" s="40">
        <v>0</v>
      </c>
      <c r="K12" s="40">
        <v>0</v>
      </c>
      <c r="L12" s="40">
        <v>475</v>
      </c>
      <c r="M12" s="42">
        <v>41.7</v>
      </c>
    </row>
    <row r="13" spans="1:13" ht="14.4" x14ac:dyDescent="0.25">
      <c r="A13" s="41">
        <v>40</v>
      </c>
      <c r="B13" s="42">
        <f>60/0.75</f>
        <v>80</v>
      </c>
      <c r="C13" s="40">
        <v>60</v>
      </c>
      <c r="D13" s="40">
        <f>475*1.66</f>
        <v>788.5</v>
      </c>
      <c r="E13" s="40">
        <f>475*1.87</f>
        <v>888.25</v>
      </c>
      <c r="F13" s="40">
        <f>475*0.45</f>
        <v>213.75</v>
      </c>
      <c r="G13" s="42">
        <v>0</v>
      </c>
      <c r="H13" s="40">
        <v>0</v>
      </c>
      <c r="I13" s="40">
        <v>0</v>
      </c>
      <c r="J13" s="40">
        <v>0</v>
      </c>
      <c r="K13" s="40">
        <v>0</v>
      </c>
      <c r="L13" s="40">
        <v>475</v>
      </c>
      <c r="M13" s="42">
        <v>48.7</v>
      </c>
    </row>
    <row r="14" spans="1:13" ht="14.4" x14ac:dyDescent="0.25">
      <c r="A14" s="41">
        <v>60</v>
      </c>
      <c r="B14" s="42">
        <f>60/0.75</f>
        <v>80</v>
      </c>
      <c r="C14" s="40">
        <v>60</v>
      </c>
      <c r="D14" s="40">
        <f>475*1.66</f>
        <v>788.5</v>
      </c>
      <c r="E14" s="40">
        <f>475*1.87</f>
        <v>888.25</v>
      </c>
      <c r="F14" s="40">
        <f>475*0.45</f>
        <v>213.75</v>
      </c>
      <c r="G14" s="42">
        <v>0</v>
      </c>
      <c r="H14" s="40">
        <v>0</v>
      </c>
      <c r="I14" s="40">
        <v>0</v>
      </c>
      <c r="J14" s="40">
        <v>0</v>
      </c>
      <c r="K14" s="40">
        <v>0</v>
      </c>
      <c r="L14" s="40">
        <v>475</v>
      </c>
      <c r="M14" s="42">
        <v>54.9</v>
      </c>
    </row>
    <row r="15" spans="1:13" ht="14.4" x14ac:dyDescent="0.25">
      <c r="A15" s="41">
        <v>39</v>
      </c>
      <c r="B15" s="42">
        <v>47.62</v>
      </c>
      <c r="C15" s="40">
        <v>50</v>
      </c>
      <c r="D15" s="40">
        <f t="shared" ref="D15:D26" si="0">572*1.39</f>
        <v>795.07999999999993</v>
      </c>
      <c r="E15" s="40">
        <f t="shared" ref="E15:E26" si="1">572*1.09</f>
        <v>623.48</v>
      </c>
      <c r="F15" s="40">
        <f t="shared" ref="F15:F26" si="2">572*0.35</f>
        <v>200.2</v>
      </c>
      <c r="G15" s="42">
        <v>1.43</v>
      </c>
      <c r="H15" s="40">
        <v>0</v>
      </c>
      <c r="I15" s="40">
        <v>0</v>
      </c>
      <c r="J15" s="40">
        <v>0</v>
      </c>
      <c r="K15" s="40">
        <v>0</v>
      </c>
      <c r="L15" s="40">
        <v>572</v>
      </c>
      <c r="M15" s="42">
        <v>48.7</v>
      </c>
    </row>
    <row r="16" spans="1:13" ht="14.4" x14ac:dyDescent="0.25">
      <c r="A16" s="41">
        <v>78</v>
      </c>
      <c r="B16" s="42">
        <v>47.62</v>
      </c>
      <c r="C16" s="40">
        <v>50</v>
      </c>
      <c r="D16" s="40">
        <f t="shared" si="0"/>
        <v>795.07999999999993</v>
      </c>
      <c r="E16" s="40">
        <f t="shared" si="1"/>
        <v>623.48</v>
      </c>
      <c r="F16" s="40">
        <f t="shared" si="2"/>
        <v>200.2</v>
      </c>
      <c r="G16" s="42">
        <v>1.43</v>
      </c>
      <c r="H16" s="40">
        <v>0</v>
      </c>
      <c r="I16" s="40">
        <v>0</v>
      </c>
      <c r="J16" s="40">
        <v>0</v>
      </c>
      <c r="K16" s="40">
        <v>0</v>
      </c>
      <c r="L16" s="40">
        <v>572</v>
      </c>
      <c r="M16" s="42">
        <v>49</v>
      </c>
    </row>
    <row r="17" spans="1:13" ht="14.4" x14ac:dyDescent="0.25">
      <c r="A17" s="41">
        <v>117</v>
      </c>
      <c r="B17" s="42">
        <v>47.62</v>
      </c>
      <c r="C17" s="40">
        <v>50</v>
      </c>
      <c r="D17" s="40">
        <f t="shared" si="0"/>
        <v>795.07999999999993</v>
      </c>
      <c r="E17" s="40">
        <f t="shared" si="1"/>
        <v>623.48</v>
      </c>
      <c r="F17" s="40">
        <f t="shared" si="2"/>
        <v>200.2</v>
      </c>
      <c r="G17" s="42">
        <v>1.43</v>
      </c>
      <c r="H17" s="40">
        <v>0</v>
      </c>
      <c r="I17" s="40">
        <v>0</v>
      </c>
      <c r="J17" s="40">
        <v>0</v>
      </c>
      <c r="K17" s="40">
        <v>0</v>
      </c>
      <c r="L17" s="40">
        <v>572</v>
      </c>
      <c r="M17" s="42">
        <v>51.1</v>
      </c>
    </row>
    <row r="18" spans="1:13" ht="14.4" x14ac:dyDescent="0.25">
      <c r="A18" s="41">
        <v>156</v>
      </c>
      <c r="B18" s="42">
        <v>47.62</v>
      </c>
      <c r="C18" s="40">
        <v>50</v>
      </c>
      <c r="D18" s="40">
        <f t="shared" si="0"/>
        <v>795.07999999999993</v>
      </c>
      <c r="E18" s="40">
        <f t="shared" si="1"/>
        <v>623.48</v>
      </c>
      <c r="F18" s="40">
        <f t="shared" si="2"/>
        <v>200.2</v>
      </c>
      <c r="G18" s="42">
        <v>1.43</v>
      </c>
      <c r="H18" s="40">
        <v>0</v>
      </c>
      <c r="I18" s="40">
        <v>0</v>
      </c>
      <c r="J18" s="40">
        <v>0</v>
      </c>
      <c r="K18" s="40">
        <v>0</v>
      </c>
      <c r="L18" s="40">
        <v>572</v>
      </c>
      <c r="M18" s="42">
        <v>51.2</v>
      </c>
    </row>
    <row r="19" spans="1:13" ht="14.4" x14ac:dyDescent="0.25">
      <c r="A19" s="41">
        <v>39</v>
      </c>
      <c r="B19" s="42">
        <v>63.64</v>
      </c>
      <c r="C19" s="40">
        <v>35</v>
      </c>
      <c r="D19" s="40">
        <f t="shared" si="0"/>
        <v>795.07999999999993</v>
      </c>
      <c r="E19" s="40">
        <f t="shared" si="1"/>
        <v>623.48</v>
      </c>
      <c r="F19" s="40">
        <f t="shared" si="2"/>
        <v>200.2</v>
      </c>
      <c r="G19" s="42">
        <v>1.43</v>
      </c>
      <c r="H19" s="40">
        <v>0</v>
      </c>
      <c r="I19" s="40">
        <v>0</v>
      </c>
      <c r="J19" s="40">
        <v>0</v>
      </c>
      <c r="K19" s="40">
        <v>0</v>
      </c>
      <c r="L19" s="40">
        <v>572</v>
      </c>
      <c r="M19" s="42">
        <v>45.9</v>
      </c>
    </row>
    <row r="20" spans="1:13" ht="15.75" customHeight="1" x14ac:dyDescent="0.25">
      <c r="A20" s="41">
        <v>78</v>
      </c>
      <c r="B20" s="42">
        <v>63.64</v>
      </c>
      <c r="C20" s="40">
        <v>35</v>
      </c>
      <c r="D20" s="40">
        <f t="shared" si="0"/>
        <v>795.07999999999993</v>
      </c>
      <c r="E20" s="40">
        <f t="shared" si="1"/>
        <v>623.48</v>
      </c>
      <c r="F20" s="40">
        <f t="shared" si="2"/>
        <v>200.2</v>
      </c>
      <c r="G20" s="42">
        <v>1.43</v>
      </c>
      <c r="H20" s="40">
        <v>0</v>
      </c>
      <c r="I20" s="40">
        <v>0</v>
      </c>
      <c r="J20" s="40">
        <v>0</v>
      </c>
      <c r="K20" s="40">
        <v>0</v>
      </c>
      <c r="L20" s="40">
        <v>572</v>
      </c>
      <c r="M20" s="42">
        <v>43</v>
      </c>
    </row>
    <row r="21" spans="1:13" ht="15.75" customHeight="1" x14ac:dyDescent="0.25">
      <c r="A21" s="41">
        <v>117</v>
      </c>
      <c r="B21" s="42">
        <v>63.64</v>
      </c>
      <c r="C21" s="40">
        <v>35</v>
      </c>
      <c r="D21" s="40">
        <f t="shared" si="0"/>
        <v>795.07999999999993</v>
      </c>
      <c r="E21" s="40">
        <f t="shared" si="1"/>
        <v>623.48</v>
      </c>
      <c r="F21" s="40">
        <f t="shared" si="2"/>
        <v>200.2</v>
      </c>
      <c r="G21" s="42">
        <v>1.43</v>
      </c>
      <c r="H21" s="40">
        <v>0</v>
      </c>
      <c r="I21" s="40">
        <v>0</v>
      </c>
      <c r="J21" s="40">
        <v>0</v>
      </c>
      <c r="K21" s="40">
        <v>0</v>
      </c>
      <c r="L21" s="40">
        <v>572</v>
      </c>
      <c r="M21" s="42">
        <v>34.5</v>
      </c>
    </row>
    <row r="22" spans="1:13" ht="15.75" customHeight="1" x14ac:dyDescent="0.25">
      <c r="A22" s="41">
        <v>156</v>
      </c>
      <c r="B22" s="42">
        <v>63.64</v>
      </c>
      <c r="C22" s="40">
        <v>35</v>
      </c>
      <c r="D22" s="40">
        <f t="shared" si="0"/>
        <v>795.07999999999993</v>
      </c>
      <c r="E22" s="40">
        <f t="shared" si="1"/>
        <v>623.48</v>
      </c>
      <c r="F22" s="40">
        <f t="shared" si="2"/>
        <v>200.2</v>
      </c>
      <c r="G22" s="42">
        <v>1.43</v>
      </c>
      <c r="H22" s="40">
        <v>0</v>
      </c>
      <c r="I22" s="40">
        <v>0</v>
      </c>
      <c r="J22" s="40">
        <v>0</v>
      </c>
      <c r="K22" s="40">
        <v>0</v>
      </c>
      <c r="L22" s="40">
        <v>572</v>
      </c>
      <c r="M22" s="42">
        <v>41.4</v>
      </c>
    </row>
    <row r="23" spans="1:13" ht="15.75" customHeight="1" x14ac:dyDescent="0.25">
      <c r="A23" s="41">
        <v>39</v>
      </c>
      <c r="B23" s="42">
        <v>78.95</v>
      </c>
      <c r="C23" s="40">
        <v>30</v>
      </c>
      <c r="D23" s="40">
        <f t="shared" si="0"/>
        <v>795.07999999999993</v>
      </c>
      <c r="E23" s="40">
        <f t="shared" si="1"/>
        <v>623.48</v>
      </c>
      <c r="F23" s="40">
        <f t="shared" si="2"/>
        <v>200.2</v>
      </c>
      <c r="G23" s="42">
        <v>1.43</v>
      </c>
      <c r="H23" s="40">
        <v>0</v>
      </c>
      <c r="I23" s="40">
        <v>0</v>
      </c>
      <c r="J23" s="40">
        <v>0</v>
      </c>
      <c r="K23" s="40">
        <v>0</v>
      </c>
      <c r="L23" s="40">
        <v>572</v>
      </c>
      <c r="M23" s="42">
        <v>49.8</v>
      </c>
    </row>
    <row r="24" spans="1:13" ht="15.75" customHeight="1" x14ac:dyDescent="0.25">
      <c r="A24" s="41">
        <v>78</v>
      </c>
      <c r="B24" s="42">
        <v>78.95</v>
      </c>
      <c r="C24" s="40">
        <v>30</v>
      </c>
      <c r="D24" s="40">
        <f t="shared" si="0"/>
        <v>795.07999999999993</v>
      </c>
      <c r="E24" s="40">
        <f t="shared" si="1"/>
        <v>623.48</v>
      </c>
      <c r="F24" s="40">
        <f t="shared" si="2"/>
        <v>200.2</v>
      </c>
      <c r="G24" s="42">
        <v>1.43</v>
      </c>
      <c r="H24" s="40">
        <v>0</v>
      </c>
      <c r="I24" s="40">
        <v>0</v>
      </c>
      <c r="J24" s="40">
        <v>0</v>
      </c>
      <c r="K24" s="40">
        <v>0</v>
      </c>
      <c r="L24" s="40">
        <v>572</v>
      </c>
      <c r="M24" s="42">
        <v>43.8</v>
      </c>
    </row>
    <row r="25" spans="1:13" ht="15.75" customHeight="1" x14ac:dyDescent="0.25">
      <c r="A25" s="41">
        <v>117</v>
      </c>
      <c r="B25" s="42">
        <v>78.95</v>
      </c>
      <c r="C25" s="40">
        <v>30</v>
      </c>
      <c r="D25" s="40">
        <f t="shared" si="0"/>
        <v>795.07999999999993</v>
      </c>
      <c r="E25" s="40">
        <f t="shared" si="1"/>
        <v>623.48</v>
      </c>
      <c r="F25" s="40">
        <f t="shared" si="2"/>
        <v>200.2</v>
      </c>
      <c r="G25" s="42">
        <v>1.43</v>
      </c>
      <c r="H25" s="40">
        <v>0</v>
      </c>
      <c r="I25" s="40">
        <v>0</v>
      </c>
      <c r="J25" s="40">
        <v>0</v>
      </c>
      <c r="K25" s="40">
        <v>0</v>
      </c>
      <c r="L25" s="40">
        <v>572</v>
      </c>
      <c r="M25" s="42">
        <v>44.4</v>
      </c>
    </row>
    <row r="26" spans="1:13" ht="15.75" customHeight="1" x14ac:dyDescent="0.25">
      <c r="A26" s="41">
        <v>156</v>
      </c>
      <c r="B26" s="42">
        <v>78.95</v>
      </c>
      <c r="C26" s="40">
        <v>30</v>
      </c>
      <c r="D26" s="40">
        <f t="shared" si="0"/>
        <v>795.07999999999993</v>
      </c>
      <c r="E26" s="40">
        <f t="shared" si="1"/>
        <v>623.48</v>
      </c>
      <c r="F26" s="40">
        <f t="shared" si="2"/>
        <v>200.2</v>
      </c>
      <c r="G26" s="42">
        <v>1.43</v>
      </c>
      <c r="H26" s="40">
        <v>0</v>
      </c>
      <c r="I26" s="40">
        <v>0</v>
      </c>
      <c r="J26" s="40">
        <v>0</v>
      </c>
      <c r="K26" s="40">
        <v>0</v>
      </c>
      <c r="L26" s="40">
        <v>572</v>
      </c>
      <c r="M26" s="42">
        <v>36.700000000000003</v>
      </c>
    </row>
    <row r="27" spans="1:13" ht="15.75" customHeight="1" x14ac:dyDescent="0.25">
      <c r="A27" s="41">
        <v>0</v>
      </c>
      <c r="B27" s="42">
        <v>0</v>
      </c>
      <c r="C27" s="40">
        <v>0</v>
      </c>
      <c r="D27" s="40">
        <f>300*1.57</f>
        <v>471</v>
      </c>
      <c r="E27" s="40">
        <f>300*3.42</f>
        <v>1026</v>
      </c>
      <c r="F27" s="40">
        <f>300*0.54</f>
        <v>162</v>
      </c>
      <c r="G27" s="42">
        <v>0</v>
      </c>
      <c r="H27" s="40">
        <v>0</v>
      </c>
      <c r="I27" s="40">
        <v>0</v>
      </c>
      <c r="J27" s="40">
        <v>0</v>
      </c>
      <c r="K27" s="40">
        <v>0</v>
      </c>
      <c r="L27" s="40">
        <v>300</v>
      </c>
      <c r="M27" s="42">
        <v>24.4</v>
      </c>
    </row>
    <row r="28" spans="1:13" ht="15.75" customHeight="1" x14ac:dyDescent="0.25">
      <c r="A28" s="33">
        <v>30</v>
      </c>
      <c r="B28" s="44">
        <v>80</v>
      </c>
      <c r="C28" s="23">
        <v>60</v>
      </c>
      <c r="D28" s="40">
        <f>300*1.57</f>
        <v>471</v>
      </c>
      <c r="E28" s="40">
        <f>300*3.42</f>
        <v>1026</v>
      </c>
      <c r="F28" s="40">
        <f>300*0.54</f>
        <v>162</v>
      </c>
      <c r="G28" s="44">
        <v>0</v>
      </c>
      <c r="H28" s="40">
        <v>0</v>
      </c>
      <c r="I28" s="40">
        <v>0</v>
      </c>
      <c r="J28" s="40">
        <v>0</v>
      </c>
      <c r="K28" s="40">
        <v>0</v>
      </c>
      <c r="L28" s="23">
        <v>300</v>
      </c>
      <c r="M28" s="44">
        <v>22.5</v>
      </c>
    </row>
    <row r="29" spans="1:13" ht="15.75" customHeight="1" x14ac:dyDescent="0.25">
      <c r="A29" s="33">
        <v>60</v>
      </c>
      <c r="B29" s="44">
        <v>80</v>
      </c>
      <c r="C29" s="23">
        <v>60</v>
      </c>
      <c r="D29" s="40">
        <f>300*1.57</f>
        <v>471</v>
      </c>
      <c r="E29" s="40">
        <f>300*3.42</f>
        <v>1026</v>
      </c>
      <c r="F29" s="40">
        <f>300*0.54</f>
        <v>162</v>
      </c>
      <c r="G29" s="44">
        <v>0</v>
      </c>
      <c r="H29" s="40">
        <v>0</v>
      </c>
      <c r="I29" s="40">
        <v>0</v>
      </c>
      <c r="J29" s="40">
        <v>0</v>
      </c>
      <c r="K29" s="40">
        <v>0</v>
      </c>
      <c r="L29" s="23">
        <v>300</v>
      </c>
      <c r="M29" s="44">
        <v>22.6</v>
      </c>
    </row>
    <row r="30" spans="1:13" ht="15.75" customHeight="1" x14ac:dyDescent="0.25">
      <c r="A30" s="41">
        <v>0</v>
      </c>
      <c r="B30" s="42">
        <v>0</v>
      </c>
      <c r="C30" s="40">
        <v>0</v>
      </c>
      <c r="D30" s="40">
        <f>385*1.16</f>
        <v>446.59999999999997</v>
      </c>
      <c r="E30" s="40">
        <f>385*2.55</f>
        <v>981.74999999999989</v>
      </c>
      <c r="F30" s="40">
        <f>385*0.44</f>
        <v>169.4</v>
      </c>
      <c r="G30" s="42">
        <v>0</v>
      </c>
      <c r="H30" s="40">
        <v>0</v>
      </c>
      <c r="I30" s="40">
        <v>0</v>
      </c>
      <c r="J30" s="40">
        <v>0</v>
      </c>
      <c r="K30" s="40">
        <v>0</v>
      </c>
      <c r="L30" s="40">
        <v>385</v>
      </c>
      <c r="M30" s="42">
        <v>34.799999999999997</v>
      </c>
    </row>
    <row r="31" spans="1:13" ht="15.75" customHeight="1" x14ac:dyDescent="0.25">
      <c r="A31" s="33">
        <v>30</v>
      </c>
      <c r="B31" s="44">
        <v>80</v>
      </c>
      <c r="C31" s="23">
        <v>60</v>
      </c>
      <c r="D31" s="40">
        <f>385*1.16</f>
        <v>446.59999999999997</v>
      </c>
      <c r="E31" s="40">
        <f>385*2.55</f>
        <v>981.74999999999989</v>
      </c>
      <c r="F31" s="40">
        <f>385*0.44</f>
        <v>169.4</v>
      </c>
      <c r="G31" s="44">
        <v>0</v>
      </c>
      <c r="H31" s="40">
        <v>0</v>
      </c>
      <c r="I31" s="40">
        <v>0</v>
      </c>
      <c r="J31" s="40">
        <v>0</v>
      </c>
      <c r="K31" s="40">
        <v>0</v>
      </c>
      <c r="L31" s="23">
        <v>385</v>
      </c>
      <c r="M31" s="44">
        <v>30.8</v>
      </c>
    </row>
    <row r="32" spans="1:13" ht="15.75" customHeight="1" x14ac:dyDescent="0.25">
      <c r="A32" s="33">
        <v>60</v>
      </c>
      <c r="B32" s="44">
        <v>80</v>
      </c>
      <c r="C32" s="23">
        <v>60</v>
      </c>
      <c r="D32" s="40">
        <f>385*1.16</f>
        <v>446.59999999999997</v>
      </c>
      <c r="E32" s="40">
        <f>385*2.55</f>
        <v>981.74999999999989</v>
      </c>
      <c r="F32" s="40">
        <f>385*0.44</f>
        <v>169.4</v>
      </c>
      <c r="G32" s="44">
        <v>0</v>
      </c>
      <c r="H32" s="40">
        <v>0</v>
      </c>
      <c r="I32" s="40">
        <v>0</v>
      </c>
      <c r="J32" s="40">
        <v>0</v>
      </c>
      <c r="K32" s="40">
        <v>0</v>
      </c>
      <c r="L32" s="23">
        <v>385</v>
      </c>
      <c r="M32" s="44">
        <v>30.2</v>
      </c>
    </row>
    <row r="33" spans="1:13" ht="15.75" customHeight="1" x14ac:dyDescent="0.25">
      <c r="A33" s="41">
        <v>39.25</v>
      </c>
      <c r="B33" s="42">
        <f>50/1</f>
        <v>50</v>
      </c>
      <c r="C33" s="40">
        <v>50</v>
      </c>
      <c r="D33" s="40">
        <f>320*2.4</f>
        <v>768</v>
      </c>
      <c r="E33" s="40">
        <f>320*4.1</f>
        <v>1312</v>
      </c>
      <c r="F33" s="40">
        <f>320*0.45</f>
        <v>144</v>
      </c>
      <c r="G33" s="42">
        <v>3.2</v>
      </c>
      <c r="H33" s="40">
        <v>0</v>
      </c>
      <c r="I33" s="40">
        <v>0</v>
      </c>
      <c r="J33" s="40">
        <v>0</v>
      </c>
      <c r="K33" s="40">
        <v>0</v>
      </c>
      <c r="L33" s="40">
        <v>320</v>
      </c>
      <c r="M33" s="42">
        <v>26</v>
      </c>
    </row>
    <row r="34" spans="1:13" ht="15.75" customHeight="1" x14ac:dyDescent="0.25">
      <c r="A34" s="41">
        <v>117.75</v>
      </c>
      <c r="B34" s="42">
        <f>50/1</f>
        <v>50</v>
      </c>
      <c r="C34" s="40">
        <v>50</v>
      </c>
      <c r="D34" s="40">
        <f>320*2.4</f>
        <v>768</v>
      </c>
      <c r="E34" s="40">
        <f>320*4.1</f>
        <v>1312</v>
      </c>
      <c r="F34" s="40">
        <f>320*0.45</f>
        <v>144</v>
      </c>
      <c r="G34" s="42">
        <v>3.2</v>
      </c>
      <c r="H34" s="40">
        <v>0</v>
      </c>
      <c r="I34" s="40">
        <v>0</v>
      </c>
      <c r="J34" s="40">
        <v>0</v>
      </c>
      <c r="K34" s="40">
        <v>0</v>
      </c>
      <c r="L34" s="40">
        <v>320</v>
      </c>
      <c r="M34" s="42">
        <v>29</v>
      </c>
    </row>
    <row r="35" spans="1:13" ht="15.75" customHeight="1" x14ac:dyDescent="0.25">
      <c r="A35" s="41">
        <v>39.25</v>
      </c>
      <c r="B35" s="42">
        <f>50/1</f>
        <v>50</v>
      </c>
      <c r="C35" s="40">
        <v>50</v>
      </c>
      <c r="D35" s="40">
        <f>160*4.81</f>
        <v>769.59999999999991</v>
      </c>
      <c r="E35" s="40">
        <f>160*8.22</f>
        <v>1315.2</v>
      </c>
      <c r="F35" s="40">
        <f>160*0.45</f>
        <v>72</v>
      </c>
      <c r="G35" s="42">
        <v>3.2</v>
      </c>
      <c r="H35" s="40">
        <v>0</v>
      </c>
      <c r="I35" s="40">
        <v>0</v>
      </c>
      <c r="J35" s="40">
        <v>160</v>
      </c>
      <c r="K35" s="40">
        <v>0</v>
      </c>
      <c r="L35" s="40">
        <v>160</v>
      </c>
      <c r="M35" s="42">
        <v>13</v>
      </c>
    </row>
    <row r="36" spans="1:13" ht="15.75" customHeight="1" x14ac:dyDescent="0.25">
      <c r="A36" s="41">
        <v>117.75</v>
      </c>
      <c r="B36" s="42">
        <f>50/1</f>
        <v>50</v>
      </c>
      <c r="C36" s="40">
        <v>50</v>
      </c>
      <c r="D36" s="40">
        <f>160*4.81</f>
        <v>769.59999999999991</v>
      </c>
      <c r="E36" s="40">
        <f>160*8.22</f>
        <v>1315.2</v>
      </c>
      <c r="F36" s="40">
        <f>160*0.45</f>
        <v>72</v>
      </c>
      <c r="G36" s="42">
        <v>3.2</v>
      </c>
      <c r="H36" s="40">
        <v>0</v>
      </c>
      <c r="I36" s="40">
        <v>0</v>
      </c>
      <c r="J36" s="40">
        <v>160</v>
      </c>
      <c r="K36" s="40">
        <v>0</v>
      </c>
      <c r="L36" s="40">
        <v>160</v>
      </c>
      <c r="M36" s="42">
        <v>15</v>
      </c>
    </row>
    <row r="37" spans="1:13" ht="15.75" customHeight="1" x14ac:dyDescent="0.25">
      <c r="A37" s="33">
        <v>0</v>
      </c>
      <c r="B37" s="44">
        <v>0</v>
      </c>
      <c r="C37" s="23">
        <v>0</v>
      </c>
      <c r="D37" s="40">
        <f>450*2</f>
        <v>900</v>
      </c>
      <c r="E37" s="40">
        <f>450*2.33</f>
        <v>1048.5</v>
      </c>
      <c r="F37" s="40">
        <f>450*0.35</f>
        <v>157.5</v>
      </c>
      <c r="G37" s="44">
        <v>11.25</v>
      </c>
      <c r="H37" s="40">
        <v>0</v>
      </c>
      <c r="I37" s="40">
        <v>0</v>
      </c>
      <c r="J37" s="23">
        <v>0</v>
      </c>
      <c r="K37" s="23">
        <v>0</v>
      </c>
      <c r="L37" s="23">
        <v>450</v>
      </c>
      <c r="M37" s="44">
        <v>63</v>
      </c>
    </row>
    <row r="38" spans="1:13" ht="15.75" customHeight="1" x14ac:dyDescent="0.25">
      <c r="A38" s="33">
        <v>19.62</v>
      </c>
      <c r="B38" s="44">
        <v>80</v>
      </c>
      <c r="C38" s="23">
        <v>60</v>
      </c>
      <c r="D38" s="40">
        <f>450*2</f>
        <v>900</v>
      </c>
      <c r="E38" s="40">
        <f>450*2.33</f>
        <v>1048.5</v>
      </c>
      <c r="F38" s="40">
        <f>450*0.35</f>
        <v>157.5</v>
      </c>
      <c r="G38" s="44">
        <v>12.5</v>
      </c>
      <c r="H38" s="40">
        <v>0</v>
      </c>
      <c r="I38" s="40">
        <v>0</v>
      </c>
      <c r="J38" s="23">
        <v>0</v>
      </c>
      <c r="K38" s="23">
        <v>0</v>
      </c>
      <c r="L38" s="23">
        <v>450</v>
      </c>
      <c r="M38" s="44">
        <v>67</v>
      </c>
    </row>
    <row r="39" spans="1:13" ht="15.75" customHeight="1" x14ac:dyDescent="0.25">
      <c r="A39" s="33">
        <v>19.62</v>
      </c>
      <c r="B39" s="44">
        <v>40</v>
      </c>
      <c r="C39" s="23">
        <v>30</v>
      </c>
      <c r="D39" s="40">
        <f>450*2</f>
        <v>900</v>
      </c>
      <c r="E39" s="40">
        <f>450*2.33</f>
        <v>1048.5</v>
      </c>
      <c r="F39" s="40">
        <f>450*0.35</f>
        <v>157.5</v>
      </c>
      <c r="G39" s="44">
        <v>16</v>
      </c>
      <c r="H39" s="40">
        <v>0</v>
      </c>
      <c r="I39" s="40">
        <v>0</v>
      </c>
      <c r="J39" s="23">
        <v>0</v>
      </c>
      <c r="K39" s="23">
        <v>0</v>
      </c>
      <c r="L39" s="23">
        <v>450</v>
      </c>
      <c r="M39" s="44">
        <v>64</v>
      </c>
    </row>
    <row r="40" spans="1:13" ht="15.75" customHeight="1" x14ac:dyDescent="0.25">
      <c r="A40" s="33">
        <v>58.85</v>
      </c>
      <c r="B40" s="44">
        <v>80</v>
      </c>
      <c r="C40" s="23">
        <v>60</v>
      </c>
      <c r="D40" s="40">
        <f>450*2</f>
        <v>900</v>
      </c>
      <c r="E40" s="40">
        <f>450*2.33</f>
        <v>1048.5</v>
      </c>
      <c r="F40" s="40">
        <f>450*0.35</f>
        <v>157.5</v>
      </c>
      <c r="G40" s="44">
        <v>13.75</v>
      </c>
      <c r="H40" s="40">
        <v>0</v>
      </c>
      <c r="I40" s="40">
        <v>0</v>
      </c>
      <c r="J40" s="23">
        <v>0</v>
      </c>
      <c r="K40" s="23">
        <v>0</v>
      </c>
      <c r="L40" s="23">
        <v>450</v>
      </c>
      <c r="M40" s="44">
        <v>73</v>
      </c>
    </row>
    <row r="41" spans="1:13" ht="15.75" customHeight="1" x14ac:dyDescent="0.25">
      <c r="A41" s="33">
        <v>58.85</v>
      </c>
      <c r="B41" s="44">
        <v>40</v>
      </c>
      <c r="C41" s="23">
        <v>30</v>
      </c>
      <c r="D41" s="40">
        <f>450*2</f>
        <v>900</v>
      </c>
      <c r="E41" s="40">
        <f>450*2.33</f>
        <v>1048.5</v>
      </c>
      <c r="F41" s="40">
        <f>450*0.35</f>
        <v>157.5</v>
      </c>
      <c r="G41" s="44">
        <v>19.5</v>
      </c>
      <c r="H41" s="40">
        <v>0</v>
      </c>
      <c r="I41" s="40">
        <v>0</v>
      </c>
      <c r="J41" s="23">
        <v>0</v>
      </c>
      <c r="K41" s="23">
        <v>0</v>
      </c>
      <c r="L41" s="23">
        <v>450</v>
      </c>
      <c r="M41" s="44">
        <v>72</v>
      </c>
    </row>
    <row r="42" spans="1:13" ht="15.75" customHeight="1" x14ac:dyDescent="0.25">
      <c r="A42" s="33">
        <v>0</v>
      </c>
      <c r="B42" s="44">
        <v>0</v>
      </c>
      <c r="C42" s="23">
        <v>0</v>
      </c>
      <c r="D42" s="40">
        <f>405*2</f>
        <v>810</v>
      </c>
      <c r="E42" s="40">
        <f>405*2.33</f>
        <v>943.65</v>
      </c>
      <c r="F42" s="40">
        <f>405*0.35</f>
        <v>141.75</v>
      </c>
      <c r="G42" s="44">
        <v>10</v>
      </c>
      <c r="H42" s="40">
        <v>0</v>
      </c>
      <c r="I42" s="40">
        <v>0</v>
      </c>
      <c r="J42" s="23">
        <v>0</v>
      </c>
      <c r="K42" s="40">
        <f>405*0.11</f>
        <v>44.55</v>
      </c>
      <c r="L42" s="23">
        <v>405</v>
      </c>
      <c r="M42" s="44">
        <v>66</v>
      </c>
    </row>
    <row r="43" spans="1:13" ht="15.75" customHeight="1" x14ac:dyDescent="0.25">
      <c r="A43" s="33">
        <v>19.62</v>
      </c>
      <c r="B43" s="44">
        <v>80</v>
      </c>
      <c r="C43" s="23">
        <v>60</v>
      </c>
      <c r="D43" s="40">
        <f>405*2</f>
        <v>810</v>
      </c>
      <c r="E43" s="40">
        <f>405*2.33</f>
        <v>943.65</v>
      </c>
      <c r="F43" s="40">
        <f>405*0.35</f>
        <v>141.75</v>
      </c>
      <c r="G43" s="44">
        <v>11.25</v>
      </c>
      <c r="H43" s="40">
        <v>0</v>
      </c>
      <c r="I43" s="40">
        <v>0</v>
      </c>
      <c r="J43" s="23">
        <v>0</v>
      </c>
      <c r="K43" s="40">
        <f>405*0.11</f>
        <v>44.55</v>
      </c>
      <c r="L43" s="23">
        <v>405</v>
      </c>
      <c r="M43" s="44">
        <v>73.5</v>
      </c>
    </row>
    <row r="44" spans="1:13" ht="15.75" customHeight="1" x14ac:dyDescent="0.25">
      <c r="A44" s="33">
        <v>19.62</v>
      </c>
      <c r="B44" s="44">
        <v>40</v>
      </c>
      <c r="C44" s="23">
        <v>30</v>
      </c>
      <c r="D44" s="40">
        <f>405*2</f>
        <v>810</v>
      </c>
      <c r="E44" s="40">
        <f>405*2.33</f>
        <v>943.65</v>
      </c>
      <c r="F44" s="40">
        <f>405*0.35</f>
        <v>141.75</v>
      </c>
      <c r="G44" s="44">
        <v>19.5</v>
      </c>
      <c r="H44" s="40">
        <v>0</v>
      </c>
      <c r="I44" s="40">
        <v>0</v>
      </c>
      <c r="J44" s="23">
        <v>0</v>
      </c>
      <c r="K44" s="40">
        <f>405*0.11</f>
        <v>44.55</v>
      </c>
      <c r="L44" s="23">
        <v>405</v>
      </c>
      <c r="M44" s="44">
        <v>70</v>
      </c>
    </row>
    <row r="45" spans="1:13" ht="15.75" customHeight="1" x14ac:dyDescent="0.25">
      <c r="A45" s="33">
        <v>58.85</v>
      </c>
      <c r="B45" s="44">
        <v>80</v>
      </c>
      <c r="C45" s="23">
        <v>60</v>
      </c>
      <c r="D45" s="40">
        <f>405*2</f>
        <v>810</v>
      </c>
      <c r="E45" s="40">
        <f>405*2.33</f>
        <v>943.65</v>
      </c>
      <c r="F45" s="40">
        <f>405*0.35</f>
        <v>141.75</v>
      </c>
      <c r="G45" s="44">
        <v>13</v>
      </c>
      <c r="H45" s="40">
        <v>0</v>
      </c>
      <c r="I45" s="40">
        <v>0</v>
      </c>
      <c r="J45" s="23">
        <v>0</v>
      </c>
      <c r="K45" s="40">
        <f>405*0.11</f>
        <v>44.55</v>
      </c>
      <c r="L45" s="23">
        <v>405</v>
      </c>
      <c r="M45" s="44">
        <v>76</v>
      </c>
    </row>
    <row r="46" spans="1:13" ht="15.75" customHeight="1" x14ac:dyDescent="0.25">
      <c r="A46" s="33">
        <v>58.85</v>
      </c>
      <c r="B46" s="44">
        <v>40</v>
      </c>
      <c r="C46" s="23">
        <v>30</v>
      </c>
      <c r="D46" s="40">
        <f>405*2</f>
        <v>810</v>
      </c>
      <c r="E46" s="40">
        <f>405*2.33</f>
        <v>943.65</v>
      </c>
      <c r="F46" s="40">
        <f>405*0.35</f>
        <v>141.75</v>
      </c>
      <c r="G46" s="44">
        <v>20</v>
      </c>
      <c r="H46" s="40">
        <v>0</v>
      </c>
      <c r="I46" s="40">
        <v>0</v>
      </c>
      <c r="J46" s="23">
        <v>0</v>
      </c>
      <c r="K46" s="40">
        <f>405*0.11</f>
        <v>44.55</v>
      </c>
      <c r="L46" s="23">
        <v>405</v>
      </c>
      <c r="M46" s="44">
        <v>73.5</v>
      </c>
    </row>
    <row r="47" spans="1:13" ht="15.75" customHeight="1" x14ac:dyDescent="0.25">
      <c r="A47" s="33">
        <v>0</v>
      </c>
      <c r="B47" s="44">
        <v>0</v>
      </c>
      <c r="C47" s="23">
        <v>0</v>
      </c>
      <c r="D47" s="40">
        <f t="shared" ref="D47:E51" si="3">350*2.68</f>
        <v>938</v>
      </c>
      <c r="E47" s="40">
        <f t="shared" si="3"/>
        <v>938</v>
      </c>
      <c r="F47" s="40">
        <f>350*0.5</f>
        <v>175</v>
      </c>
      <c r="G47" s="44">
        <v>4.75</v>
      </c>
      <c r="H47" s="40">
        <v>0</v>
      </c>
      <c r="I47" s="40">
        <v>0</v>
      </c>
      <c r="J47" s="23">
        <v>0</v>
      </c>
      <c r="K47" s="23">
        <v>0</v>
      </c>
      <c r="L47" s="23">
        <v>350</v>
      </c>
      <c r="M47" s="44">
        <v>46</v>
      </c>
    </row>
    <row r="48" spans="1:13" ht="15.75" customHeight="1" x14ac:dyDescent="0.25">
      <c r="A48" s="33">
        <v>19.62</v>
      </c>
      <c r="B48" s="44">
        <v>80</v>
      </c>
      <c r="C48" s="23">
        <v>60</v>
      </c>
      <c r="D48" s="40">
        <f t="shared" si="3"/>
        <v>938</v>
      </c>
      <c r="E48" s="40">
        <f t="shared" si="3"/>
        <v>938</v>
      </c>
      <c r="F48" s="40">
        <f>350*0.5</f>
        <v>175</v>
      </c>
      <c r="G48" s="44">
        <v>4.75</v>
      </c>
      <c r="H48" s="40">
        <v>0</v>
      </c>
      <c r="I48" s="40">
        <v>0</v>
      </c>
      <c r="J48" s="23">
        <v>0</v>
      </c>
      <c r="K48" s="23">
        <v>0</v>
      </c>
      <c r="L48" s="23">
        <v>350</v>
      </c>
      <c r="M48" s="44">
        <v>49</v>
      </c>
    </row>
    <row r="49" spans="1:13" ht="15.75" customHeight="1" x14ac:dyDescent="0.25">
      <c r="A49" s="33">
        <v>19.62</v>
      </c>
      <c r="B49" s="44">
        <v>40</v>
      </c>
      <c r="C49" s="23">
        <v>30</v>
      </c>
      <c r="D49" s="40">
        <f t="shared" si="3"/>
        <v>938</v>
      </c>
      <c r="E49" s="40">
        <f t="shared" si="3"/>
        <v>938</v>
      </c>
      <c r="F49" s="40">
        <f>350*0.5</f>
        <v>175</v>
      </c>
      <c r="G49" s="44">
        <v>6</v>
      </c>
      <c r="H49" s="40">
        <v>0</v>
      </c>
      <c r="I49" s="40">
        <v>0</v>
      </c>
      <c r="J49" s="23">
        <v>0</v>
      </c>
      <c r="K49" s="23">
        <v>0</v>
      </c>
      <c r="L49" s="23">
        <v>350</v>
      </c>
      <c r="M49" s="44">
        <v>48</v>
      </c>
    </row>
    <row r="50" spans="1:13" ht="15.75" customHeight="1" x14ac:dyDescent="0.25">
      <c r="A50" s="33">
        <v>58.85</v>
      </c>
      <c r="B50" s="44">
        <v>80</v>
      </c>
      <c r="C50" s="23">
        <v>60</v>
      </c>
      <c r="D50" s="40">
        <f t="shared" si="3"/>
        <v>938</v>
      </c>
      <c r="E50" s="40">
        <f t="shared" si="3"/>
        <v>938</v>
      </c>
      <c r="F50" s="40">
        <f>350*0.5</f>
        <v>175</v>
      </c>
      <c r="G50" s="44">
        <v>7.5</v>
      </c>
      <c r="H50" s="40">
        <v>0</v>
      </c>
      <c r="I50" s="40">
        <v>0</v>
      </c>
      <c r="J50" s="23">
        <v>0</v>
      </c>
      <c r="K50" s="23">
        <v>0</v>
      </c>
      <c r="L50" s="23">
        <v>350</v>
      </c>
      <c r="M50" s="44">
        <v>59</v>
      </c>
    </row>
    <row r="51" spans="1:13" ht="15.75" customHeight="1" x14ac:dyDescent="0.25">
      <c r="A51" s="33">
        <v>58.85</v>
      </c>
      <c r="B51" s="44">
        <v>40</v>
      </c>
      <c r="C51" s="23">
        <v>30</v>
      </c>
      <c r="D51" s="40">
        <f t="shared" si="3"/>
        <v>938</v>
      </c>
      <c r="E51" s="40">
        <f t="shared" si="3"/>
        <v>938</v>
      </c>
      <c r="F51" s="40">
        <f>350*0.5</f>
        <v>175</v>
      </c>
      <c r="G51" s="44">
        <v>10.25</v>
      </c>
      <c r="H51" s="40">
        <v>0</v>
      </c>
      <c r="I51" s="40">
        <v>0</v>
      </c>
      <c r="J51" s="23">
        <v>0</v>
      </c>
      <c r="K51" s="23">
        <v>0</v>
      </c>
      <c r="L51" s="23">
        <v>350</v>
      </c>
      <c r="M51" s="44">
        <v>54</v>
      </c>
    </row>
    <row r="52" spans="1:13" ht="15.75" customHeight="1" x14ac:dyDescent="0.25">
      <c r="A52" s="33">
        <v>0</v>
      </c>
      <c r="B52" s="44">
        <v>0</v>
      </c>
      <c r="C52" s="23">
        <v>0</v>
      </c>
      <c r="D52" s="40">
        <f t="shared" ref="D52:E56" si="4">315*2.97</f>
        <v>935.55000000000007</v>
      </c>
      <c r="E52" s="40">
        <f t="shared" si="4"/>
        <v>935.55000000000007</v>
      </c>
      <c r="F52" s="40">
        <f>315*0.5</f>
        <v>157.5</v>
      </c>
      <c r="G52" s="44">
        <v>6.25</v>
      </c>
      <c r="H52" s="40">
        <v>0</v>
      </c>
      <c r="I52" s="40">
        <v>0</v>
      </c>
      <c r="J52" s="23">
        <v>0</v>
      </c>
      <c r="K52" s="40">
        <f>315*0.11</f>
        <v>34.65</v>
      </c>
      <c r="L52" s="23">
        <v>315</v>
      </c>
      <c r="M52" s="44">
        <v>49</v>
      </c>
    </row>
    <row r="53" spans="1:13" ht="15.75" customHeight="1" x14ac:dyDescent="0.25">
      <c r="A53" s="33">
        <v>19.62</v>
      </c>
      <c r="B53" s="44">
        <v>80</v>
      </c>
      <c r="C53" s="23">
        <v>60</v>
      </c>
      <c r="D53" s="40">
        <f t="shared" si="4"/>
        <v>935.55000000000007</v>
      </c>
      <c r="E53" s="40">
        <f t="shared" si="4"/>
        <v>935.55000000000007</v>
      </c>
      <c r="F53" s="40">
        <f>315*0.5</f>
        <v>157.5</v>
      </c>
      <c r="G53" s="44">
        <v>6.75</v>
      </c>
      <c r="H53" s="40">
        <v>0</v>
      </c>
      <c r="I53" s="40">
        <v>0</v>
      </c>
      <c r="J53" s="23">
        <v>0</v>
      </c>
      <c r="K53" s="40">
        <f>315*0.11</f>
        <v>34.65</v>
      </c>
      <c r="L53" s="23">
        <v>315</v>
      </c>
      <c r="M53" s="44">
        <v>53</v>
      </c>
    </row>
    <row r="54" spans="1:13" ht="15.75" customHeight="1" x14ac:dyDescent="0.25">
      <c r="A54" s="33">
        <v>19.62</v>
      </c>
      <c r="B54" s="44">
        <v>40</v>
      </c>
      <c r="C54" s="23">
        <v>30</v>
      </c>
      <c r="D54" s="40">
        <f t="shared" si="4"/>
        <v>935.55000000000007</v>
      </c>
      <c r="E54" s="40">
        <f t="shared" si="4"/>
        <v>935.55000000000007</v>
      </c>
      <c r="F54" s="40">
        <f>315*0.5</f>
        <v>157.5</v>
      </c>
      <c r="G54" s="44">
        <v>12.5</v>
      </c>
      <c r="H54" s="40">
        <v>0</v>
      </c>
      <c r="I54" s="40">
        <v>0</v>
      </c>
      <c r="J54" s="23">
        <v>0</v>
      </c>
      <c r="K54" s="40">
        <f>315*0.11</f>
        <v>34.65</v>
      </c>
      <c r="L54" s="23">
        <v>315</v>
      </c>
      <c r="M54" s="44">
        <v>49</v>
      </c>
    </row>
    <row r="55" spans="1:13" ht="15.75" customHeight="1" x14ac:dyDescent="0.25">
      <c r="A55" s="33">
        <v>58.85</v>
      </c>
      <c r="B55" s="44">
        <v>80</v>
      </c>
      <c r="C55" s="23">
        <v>60</v>
      </c>
      <c r="D55" s="40">
        <f t="shared" si="4"/>
        <v>935.55000000000007</v>
      </c>
      <c r="E55" s="40">
        <f t="shared" si="4"/>
        <v>935.55000000000007</v>
      </c>
      <c r="F55" s="40">
        <f>315*0.5</f>
        <v>157.5</v>
      </c>
      <c r="G55" s="44">
        <v>8.5</v>
      </c>
      <c r="H55" s="40">
        <v>0</v>
      </c>
      <c r="I55" s="40">
        <v>0</v>
      </c>
      <c r="J55" s="23">
        <v>0</v>
      </c>
      <c r="K55" s="40">
        <f>315*0.11</f>
        <v>34.65</v>
      </c>
      <c r="L55" s="23">
        <v>315</v>
      </c>
      <c r="M55" s="44">
        <v>59</v>
      </c>
    </row>
    <row r="56" spans="1:13" ht="15.75" customHeight="1" x14ac:dyDescent="0.25">
      <c r="A56" s="33">
        <v>58.85</v>
      </c>
      <c r="B56" s="44">
        <v>40</v>
      </c>
      <c r="C56" s="23">
        <v>30</v>
      </c>
      <c r="D56" s="40">
        <f t="shared" si="4"/>
        <v>935.55000000000007</v>
      </c>
      <c r="E56" s="40">
        <f t="shared" si="4"/>
        <v>935.55000000000007</v>
      </c>
      <c r="F56" s="40">
        <f>315*0.5</f>
        <v>157.5</v>
      </c>
      <c r="G56" s="44">
        <v>11</v>
      </c>
      <c r="H56" s="40">
        <v>0</v>
      </c>
      <c r="I56" s="40">
        <v>0</v>
      </c>
      <c r="J56" s="23">
        <v>0</v>
      </c>
      <c r="K56" s="40">
        <f>315*0.11</f>
        <v>34.65</v>
      </c>
      <c r="L56" s="23">
        <v>315</v>
      </c>
      <c r="M56" s="44">
        <v>54</v>
      </c>
    </row>
    <row r="57" spans="1:13" ht="15.75" customHeight="1" x14ac:dyDescent="0.25">
      <c r="A57" s="41">
        <v>0</v>
      </c>
      <c r="B57" s="42">
        <v>0</v>
      </c>
      <c r="C57" s="40">
        <v>0</v>
      </c>
      <c r="D57" s="40">
        <f>451*1.44</f>
        <v>649.43999999999994</v>
      </c>
      <c r="E57" s="40">
        <f>451*2.48</f>
        <v>1118.48</v>
      </c>
      <c r="F57" s="40">
        <f>451*0.5</f>
        <v>225.5</v>
      </c>
      <c r="G57" s="42">
        <v>0</v>
      </c>
      <c r="H57" s="40">
        <v>0</v>
      </c>
      <c r="I57" s="40">
        <v>0</v>
      </c>
      <c r="J57" s="23">
        <v>0</v>
      </c>
      <c r="K57" s="40">
        <v>0</v>
      </c>
      <c r="L57" s="40">
        <v>451</v>
      </c>
      <c r="M57" s="42">
        <v>33</v>
      </c>
    </row>
    <row r="58" spans="1:13" ht="15.75" customHeight="1" x14ac:dyDescent="0.25">
      <c r="A58" s="41">
        <v>117</v>
      </c>
      <c r="B58" s="42">
        <v>76</v>
      </c>
      <c r="C58" s="40">
        <v>38</v>
      </c>
      <c r="D58" s="40">
        <f>451*1.44</f>
        <v>649.43999999999994</v>
      </c>
      <c r="E58" s="40">
        <f>451*2.48</f>
        <v>1118.48</v>
      </c>
      <c r="F58" s="40">
        <f>451*0.5</f>
        <v>225.5</v>
      </c>
      <c r="G58" s="42">
        <v>0</v>
      </c>
      <c r="H58" s="40">
        <v>0</v>
      </c>
      <c r="I58" s="40">
        <v>0</v>
      </c>
      <c r="J58" s="23">
        <v>0</v>
      </c>
      <c r="K58" s="40">
        <v>0</v>
      </c>
      <c r="L58" s="40">
        <v>451</v>
      </c>
      <c r="M58" s="42">
        <v>34.42</v>
      </c>
    </row>
    <row r="59" spans="1:13" ht="15.75" customHeight="1" x14ac:dyDescent="0.25">
      <c r="A59" s="41">
        <v>117</v>
      </c>
      <c r="B59" s="42">
        <v>50</v>
      </c>
      <c r="C59" s="40">
        <v>15</v>
      </c>
      <c r="D59" s="40">
        <f>451*1.44</f>
        <v>649.43999999999994</v>
      </c>
      <c r="E59" s="40">
        <f>451*2.48</f>
        <v>1118.48</v>
      </c>
      <c r="F59" s="40">
        <f>451*0.5</f>
        <v>225.5</v>
      </c>
      <c r="G59" s="42">
        <v>0</v>
      </c>
      <c r="H59" s="40">
        <v>0</v>
      </c>
      <c r="I59" s="40">
        <v>0</v>
      </c>
      <c r="J59" s="23">
        <v>0</v>
      </c>
      <c r="K59" s="40">
        <v>0</v>
      </c>
      <c r="L59" s="40">
        <v>451</v>
      </c>
      <c r="M59" s="42">
        <v>36.58</v>
      </c>
    </row>
    <row r="60" spans="1:13" ht="15.75" customHeight="1" x14ac:dyDescent="0.25">
      <c r="A60" s="33">
        <v>0</v>
      </c>
      <c r="B60" s="44">
        <v>0</v>
      </c>
      <c r="C60" s="23">
        <v>0</v>
      </c>
      <c r="D60" s="40">
        <f t="shared" ref="D60:D66" si="5">400*1.83</f>
        <v>732</v>
      </c>
      <c r="E60" s="40">
        <f t="shared" ref="E60:E66" si="6">400*3.46</f>
        <v>1384</v>
      </c>
      <c r="F60" s="40">
        <f t="shared" ref="F60:F66" si="7">400*0.51</f>
        <v>204</v>
      </c>
      <c r="G60" s="44">
        <v>0</v>
      </c>
      <c r="H60" s="40">
        <v>0</v>
      </c>
      <c r="I60" s="40">
        <v>0</v>
      </c>
      <c r="J60" s="23">
        <v>0</v>
      </c>
      <c r="K60" s="40">
        <v>0</v>
      </c>
      <c r="L60" s="23">
        <v>400</v>
      </c>
      <c r="M60" s="44">
        <v>25.2</v>
      </c>
    </row>
    <row r="61" spans="1:13" ht="15.75" customHeight="1" x14ac:dyDescent="0.25">
      <c r="A61" s="33">
        <v>20</v>
      </c>
      <c r="B61" s="44">
        <v>21.25</v>
      </c>
      <c r="C61" s="23">
        <v>17</v>
      </c>
      <c r="D61" s="40">
        <f t="shared" si="5"/>
        <v>732</v>
      </c>
      <c r="E61" s="40">
        <f t="shared" si="6"/>
        <v>1384</v>
      </c>
      <c r="F61" s="40">
        <f t="shared" si="7"/>
        <v>204</v>
      </c>
      <c r="G61" s="44">
        <v>0</v>
      </c>
      <c r="H61" s="40">
        <v>0</v>
      </c>
      <c r="I61" s="40">
        <v>0</v>
      </c>
      <c r="J61" s="23">
        <v>0</v>
      </c>
      <c r="K61" s="40">
        <v>0</v>
      </c>
      <c r="L61" s="23">
        <v>400</v>
      </c>
      <c r="M61" s="44">
        <v>25.4</v>
      </c>
    </row>
    <row r="62" spans="1:13" ht="15.75" customHeight="1" x14ac:dyDescent="0.25">
      <c r="A62" s="33">
        <v>40</v>
      </c>
      <c r="B62" s="44">
        <v>21.25</v>
      </c>
      <c r="C62" s="23">
        <v>17</v>
      </c>
      <c r="D62" s="40">
        <f t="shared" si="5"/>
        <v>732</v>
      </c>
      <c r="E62" s="40">
        <f t="shared" si="6"/>
        <v>1384</v>
      </c>
      <c r="F62" s="40">
        <f t="shared" si="7"/>
        <v>204</v>
      </c>
      <c r="G62" s="44">
        <v>0</v>
      </c>
      <c r="H62" s="40">
        <v>0</v>
      </c>
      <c r="I62" s="40">
        <v>0</v>
      </c>
      <c r="J62" s="23">
        <v>0</v>
      </c>
      <c r="K62" s="40">
        <v>0</v>
      </c>
      <c r="L62" s="23">
        <v>400</v>
      </c>
      <c r="M62" s="44">
        <v>26.4</v>
      </c>
    </row>
    <row r="63" spans="1:13" ht="15.75" customHeight="1" x14ac:dyDescent="0.25">
      <c r="A63" s="33">
        <v>60</v>
      </c>
      <c r="B63" s="44">
        <v>21.25</v>
      </c>
      <c r="C63" s="23">
        <v>17</v>
      </c>
      <c r="D63" s="40">
        <f t="shared" si="5"/>
        <v>732</v>
      </c>
      <c r="E63" s="40">
        <f t="shared" si="6"/>
        <v>1384</v>
      </c>
      <c r="F63" s="40">
        <f t="shared" si="7"/>
        <v>204</v>
      </c>
      <c r="G63" s="44">
        <v>0</v>
      </c>
      <c r="H63" s="40">
        <v>0</v>
      </c>
      <c r="I63" s="40">
        <v>0</v>
      </c>
      <c r="J63" s="23">
        <v>0</v>
      </c>
      <c r="K63" s="40">
        <v>0</v>
      </c>
      <c r="L63" s="23">
        <v>400</v>
      </c>
      <c r="M63" s="44">
        <v>25.8</v>
      </c>
    </row>
    <row r="64" spans="1:13" ht="15.75" customHeight="1" x14ac:dyDescent="0.25">
      <c r="A64" s="33">
        <v>20</v>
      </c>
      <c r="B64" s="44">
        <v>21.25</v>
      </c>
      <c r="C64" s="23">
        <v>17</v>
      </c>
      <c r="D64" s="40">
        <f t="shared" si="5"/>
        <v>732</v>
      </c>
      <c r="E64" s="40">
        <f t="shared" si="6"/>
        <v>1384</v>
      </c>
      <c r="F64" s="40">
        <f t="shared" si="7"/>
        <v>204</v>
      </c>
      <c r="G64" s="44">
        <v>0</v>
      </c>
      <c r="H64" s="40">
        <v>0</v>
      </c>
      <c r="I64" s="40">
        <v>0</v>
      </c>
      <c r="J64" s="23">
        <v>0</v>
      </c>
      <c r="K64" s="40">
        <v>0</v>
      </c>
      <c r="L64" s="23">
        <v>400</v>
      </c>
      <c r="M64" s="44">
        <v>25.3</v>
      </c>
    </row>
    <row r="65" spans="1:13" ht="15.75" customHeight="1" x14ac:dyDescent="0.25">
      <c r="A65" s="33">
        <v>40</v>
      </c>
      <c r="B65" s="44">
        <v>21.25</v>
      </c>
      <c r="C65" s="23">
        <v>17</v>
      </c>
      <c r="D65" s="40">
        <f t="shared" si="5"/>
        <v>732</v>
      </c>
      <c r="E65" s="40">
        <f t="shared" si="6"/>
        <v>1384</v>
      </c>
      <c r="F65" s="40">
        <f t="shared" si="7"/>
        <v>204</v>
      </c>
      <c r="G65" s="44">
        <v>0</v>
      </c>
      <c r="H65" s="40">
        <v>0</v>
      </c>
      <c r="I65" s="40">
        <v>0</v>
      </c>
      <c r="J65" s="23">
        <v>0</v>
      </c>
      <c r="K65" s="40">
        <v>0</v>
      </c>
      <c r="L65" s="23">
        <v>400</v>
      </c>
      <c r="M65" s="44">
        <v>25.8</v>
      </c>
    </row>
    <row r="66" spans="1:13" ht="15.75" customHeight="1" x14ac:dyDescent="0.25">
      <c r="A66" s="33">
        <v>60</v>
      </c>
      <c r="B66" s="44">
        <v>21.25</v>
      </c>
      <c r="C66" s="23">
        <v>17</v>
      </c>
      <c r="D66" s="40">
        <f t="shared" si="5"/>
        <v>732</v>
      </c>
      <c r="E66" s="40">
        <f t="shared" si="6"/>
        <v>1384</v>
      </c>
      <c r="F66" s="40">
        <f t="shared" si="7"/>
        <v>204</v>
      </c>
      <c r="G66" s="44">
        <v>0</v>
      </c>
      <c r="H66" s="40">
        <v>0</v>
      </c>
      <c r="I66" s="40">
        <v>0</v>
      </c>
      <c r="J66" s="23">
        <v>0</v>
      </c>
      <c r="K66" s="40">
        <v>0</v>
      </c>
      <c r="L66" s="23">
        <v>400</v>
      </c>
      <c r="M66" s="44">
        <v>26.4</v>
      </c>
    </row>
    <row r="67" spans="1:13" ht="15.75" customHeight="1" x14ac:dyDescent="0.25">
      <c r="A67" s="41">
        <v>40</v>
      </c>
      <c r="B67" s="42">
        <v>61.904761899999997</v>
      </c>
      <c r="C67" s="40">
        <v>17</v>
      </c>
      <c r="D67" s="40">
        <f>320*2.95</f>
        <v>944</v>
      </c>
      <c r="E67" s="40">
        <f>320*3</f>
        <v>960</v>
      </c>
      <c r="F67" s="40">
        <f>320*0.6</f>
        <v>192</v>
      </c>
      <c r="G67" s="42">
        <v>5.0830000000000002</v>
      </c>
      <c r="H67" s="40">
        <v>0</v>
      </c>
      <c r="I67" s="40">
        <v>0</v>
      </c>
      <c r="J67" s="23">
        <v>0</v>
      </c>
      <c r="K67" s="40">
        <v>0</v>
      </c>
      <c r="L67" s="40">
        <v>320</v>
      </c>
      <c r="M67" s="42">
        <v>38.5</v>
      </c>
    </row>
    <row r="68" spans="1:13" ht="15.75" customHeight="1" x14ac:dyDescent="0.25">
      <c r="A68" s="41">
        <v>75</v>
      </c>
      <c r="B68" s="42">
        <v>61.904761899999997</v>
      </c>
      <c r="C68" s="40">
        <v>17</v>
      </c>
      <c r="D68" s="40">
        <f>320*2.95</f>
        <v>944</v>
      </c>
      <c r="E68" s="40">
        <f>320*3</f>
        <v>960</v>
      </c>
      <c r="F68" s="40">
        <f>320*0.6</f>
        <v>192</v>
      </c>
      <c r="G68" s="42">
        <v>5.0830000000000002</v>
      </c>
      <c r="H68" s="40">
        <v>0</v>
      </c>
      <c r="I68" s="40">
        <v>0</v>
      </c>
      <c r="J68" s="23">
        <v>0</v>
      </c>
      <c r="K68" s="40">
        <v>0</v>
      </c>
      <c r="L68" s="40">
        <v>320</v>
      </c>
      <c r="M68" s="42">
        <v>40.200000000000003</v>
      </c>
    </row>
    <row r="69" spans="1:13" ht="15.75" customHeight="1" x14ac:dyDescent="0.25">
      <c r="A69" s="41">
        <v>40</v>
      </c>
      <c r="B69" s="42">
        <v>54.545454550000002</v>
      </c>
      <c r="C69" s="40">
        <v>17</v>
      </c>
      <c r="D69" s="40">
        <f>320*2.95</f>
        <v>944</v>
      </c>
      <c r="E69" s="40">
        <f>320*3</f>
        <v>960</v>
      </c>
      <c r="F69" s="40">
        <f>320*0.6</f>
        <v>192</v>
      </c>
      <c r="G69" s="42">
        <v>5.0830000000000002</v>
      </c>
      <c r="H69" s="40">
        <v>0</v>
      </c>
      <c r="I69" s="40">
        <v>0</v>
      </c>
      <c r="J69" s="23">
        <v>0</v>
      </c>
      <c r="K69" s="40">
        <v>0</v>
      </c>
      <c r="L69" s="40">
        <v>320</v>
      </c>
      <c r="M69" s="42">
        <v>36.4</v>
      </c>
    </row>
    <row r="70" spans="1:13" ht="15.75" customHeight="1" x14ac:dyDescent="0.25">
      <c r="A70" s="41">
        <v>75</v>
      </c>
      <c r="B70" s="42">
        <v>54.545454550000002</v>
      </c>
      <c r="C70" s="40">
        <v>17</v>
      </c>
      <c r="D70" s="40">
        <f>320*2.95</f>
        <v>944</v>
      </c>
      <c r="E70" s="40">
        <f>320*3</f>
        <v>960</v>
      </c>
      <c r="F70" s="40">
        <f>320*0.6</f>
        <v>192</v>
      </c>
      <c r="G70" s="42">
        <v>5.0830000000000002</v>
      </c>
      <c r="H70" s="40">
        <v>0</v>
      </c>
      <c r="I70" s="40">
        <v>0</v>
      </c>
      <c r="J70" s="23">
        <v>0</v>
      </c>
      <c r="K70" s="40">
        <v>0</v>
      </c>
      <c r="L70" s="40">
        <v>320</v>
      </c>
      <c r="M70" s="42">
        <v>40.9</v>
      </c>
    </row>
    <row r="71" spans="1:13" ht="15.75" customHeight="1" x14ac:dyDescent="0.25">
      <c r="A71" s="41">
        <v>25</v>
      </c>
      <c r="B71" s="45">
        <f>60/0.75</f>
        <v>80</v>
      </c>
      <c r="C71" s="43">
        <v>60</v>
      </c>
      <c r="D71" s="40">
        <f>370*2.67</f>
        <v>987.9</v>
      </c>
      <c r="E71" s="40">
        <f>370*2.67</f>
        <v>987.9</v>
      </c>
      <c r="F71" s="40">
        <f>370*0.5</f>
        <v>185</v>
      </c>
      <c r="G71" s="42">
        <v>0.62</v>
      </c>
      <c r="H71" s="40">
        <v>0</v>
      </c>
      <c r="I71" s="40">
        <v>0</v>
      </c>
      <c r="J71" s="23">
        <v>0</v>
      </c>
      <c r="K71" s="40">
        <v>0</v>
      </c>
      <c r="L71" s="40">
        <v>370</v>
      </c>
      <c r="M71" s="42">
        <v>37.1</v>
      </c>
    </row>
    <row r="72" spans="1:13" ht="15.75" customHeight="1" x14ac:dyDescent="0.25">
      <c r="A72" s="41">
        <v>20</v>
      </c>
      <c r="B72" s="45">
        <f>30/0.67</f>
        <v>44.776119402985074</v>
      </c>
      <c r="C72" s="40">
        <v>30</v>
      </c>
      <c r="D72" s="40">
        <f>454*1.57</f>
        <v>712.78</v>
      </c>
      <c r="E72" s="40">
        <f>454*1.96</f>
        <v>889.84</v>
      </c>
      <c r="F72" s="40">
        <f>454*0.6</f>
        <v>272.39999999999998</v>
      </c>
      <c r="G72" s="42">
        <v>0</v>
      </c>
      <c r="H72" s="40">
        <v>0</v>
      </c>
      <c r="I72" s="40">
        <v>0</v>
      </c>
      <c r="J72" s="23">
        <v>0</v>
      </c>
      <c r="K72" s="40">
        <v>0</v>
      </c>
      <c r="L72" s="40">
        <v>454</v>
      </c>
      <c r="M72" s="42">
        <v>33.5</v>
      </c>
    </row>
    <row r="73" spans="1:13" ht="15.75" customHeight="1" x14ac:dyDescent="0.25">
      <c r="A73" s="41">
        <v>30</v>
      </c>
      <c r="B73" s="45">
        <f>30/0.67</f>
        <v>44.776119402985074</v>
      </c>
      <c r="C73" s="40">
        <v>30</v>
      </c>
      <c r="D73" s="40">
        <f>454*1.57</f>
        <v>712.78</v>
      </c>
      <c r="E73" s="40">
        <f>454*1.96</f>
        <v>889.84</v>
      </c>
      <c r="F73" s="40">
        <f>454*0.6</f>
        <v>272.39999999999998</v>
      </c>
      <c r="G73" s="42">
        <v>0</v>
      </c>
      <c r="H73" s="40">
        <v>0</v>
      </c>
      <c r="I73" s="40">
        <v>0</v>
      </c>
      <c r="J73" s="23">
        <v>0</v>
      </c>
      <c r="K73" s="40">
        <v>0</v>
      </c>
      <c r="L73" s="40">
        <v>454</v>
      </c>
      <c r="M73" s="42">
        <v>34.5</v>
      </c>
    </row>
    <row r="74" spans="1:13" ht="15.75" customHeight="1" x14ac:dyDescent="0.25">
      <c r="A74" s="41">
        <v>45</v>
      </c>
      <c r="B74" s="45">
        <f>30/0.67</f>
        <v>44.776119402985074</v>
      </c>
      <c r="C74" s="40">
        <v>30</v>
      </c>
      <c r="D74" s="40">
        <f>454*1.57</f>
        <v>712.78</v>
      </c>
      <c r="E74" s="40">
        <f>454*1.96</f>
        <v>889.84</v>
      </c>
      <c r="F74" s="40">
        <f>454*0.6</f>
        <v>272.39999999999998</v>
      </c>
      <c r="G74" s="42">
        <v>0</v>
      </c>
      <c r="H74" s="40">
        <v>0</v>
      </c>
      <c r="I74" s="40">
        <v>0</v>
      </c>
      <c r="J74" s="23">
        <v>0</v>
      </c>
      <c r="K74" s="40">
        <v>0</v>
      </c>
      <c r="L74" s="40">
        <v>454</v>
      </c>
      <c r="M74" s="42">
        <v>34</v>
      </c>
    </row>
    <row r="75" spans="1:13" ht="15.75" customHeight="1" x14ac:dyDescent="0.25">
      <c r="A75" s="41">
        <v>0</v>
      </c>
      <c r="B75" s="42">
        <v>0</v>
      </c>
      <c r="C75" s="40">
        <v>0</v>
      </c>
      <c r="D75" s="40">
        <v>916</v>
      </c>
      <c r="E75" s="40">
        <v>829</v>
      </c>
      <c r="F75" s="40">
        <v>225</v>
      </c>
      <c r="G75" s="42">
        <v>5</v>
      </c>
      <c r="H75" s="40">
        <v>0</v>
      </c>
      <c r="I75" s="40">
        <v>0</v>
      </c>
      <c r="J75" s="23">
        <v>0</v>
      </c>
      <c r="K75" s="40">
        <v>0</v>
      </c>
      <c r="L75" s="40">
        <v>410</v>
      </c>
      <c r="M75" s="42">
        <v>32.06</v>
      </c>
    </row>
    <row r="76" spans="1:13" ht="15.75" customHeight="1" x14ac:dyDescent="0.25">
      <c r="A76" s="46">
        <v>39.25</v>
      </c>
      <c r="B76" s="42">
        <f t="shared" ref="B76:B81" si="8">30/0.5</f>
        <v>60</v>
      </c>
      <c r="C76" s="40">
        <v>30</v>
      </c>
      <c r="D76" s="40">
        <v>916</v>
      </c>
      <c r="E76" s="40">
        <v>829</v>
      </c>
      <c r="F76" s="40">
        <v>225</v>
      </c>
      <c r="G76" s="42">
        <v>5</v>
      </c>
      <c r="H76" s="40">
        <v>0</v>
      </c>
      <c r="I76" s="40">
        <v>0</v>
      </c>
      <c r="J76" s="23">
        <v>0</v>
      </c>
      <c r="K76" s="40">
        <v>0</v>
      </c>
      <c r="L76" s="40">
        <v>410</v>
      </c>
      <c r="M76" s="42">
        <v>32.659999999999997</v>
      </c>
    </row>
    <row r="77" spans="1:13" ht="15.75" customHeight="1" x14ac:dyDescent="0.25">
      <c r="A77" s="46">
        <v>78.5</v>
      </c>
      <c r="B77" s="42">
        <f t="shared" si="8"/>
        <v>60</v>
      </c>
      <c r="C77" s="40">
        <v>30</v>
      </c>
      <c r="D77" s="40">
        <v>916</v>
      </c>
      <c r="E77" s="40">
        <v>829</v>
      </c>
      <c r="F77" s="40">
        <v>225</v>
      </c>
      <c r="G77" s="42">
        <v>5</v>
      </c>
      <c r="H77" s="40">
        <v>0</v>
      </c>
      <c r="I77" s="40">
        <v>0</v>
      </c>
      <c r="J77" s="23">
        <v>0</v>
      </c>
      <c r="K77" s="40">
        <v>0</v>
      </c>
      <c r="L77" s="40">
        <v>410</v>
      </c>
      <c r="M77" s="42">
        <v>34.11</v>
      </c>
    </row>
    <row r="78" spans="1:13" ht="15.75" customHeight="1" x14ac:dyDescent="0.25">
      <c r="A78" s="46">
        <v>98.13</v>
      </c>
      <c r="B78" s="42">
        <f t="shared" si="8"/>
        <v>60</v>
      </c>
      <c r="C78" s="40">
        <v>30</v>
      </c>
      <c r="D78" s="40">
        <v>916</v>
      </c>
      <c r="E78" s="40">
        <v>829</v>
      </c>
      <c r="F78" s="40">
        <v>225</v>
      </c>
      <c r="G78" s="42">
        <v>5</v>
      </c>
      <c r="H78" s="40">
        <v>0</v>
      </c>
      <c r="I78" s="40">
        <v>0</v>
      </c>
      <c r="J78" s="23">
        <v>0</v>
      </c>
      <c r="K78" s="40">
        <v>0</v>
      </c>
      <c r="L78" s="40">
        <v>410</v>
      </c>
      <c r="M78" s="42">
        <v>36.28</v>
      </c>
    </row>
    <row r="79" spans="1:13" ht="15.75" customHeight="1" x14ac:dyDescent="0.25">
      <c r="A79" s="46">
        <v>117.75</v>
      </c>
      <c r="B79" s="42">
        <f t="shared" si="8"/>
        <v>60</v>
      </c>
      <c r="C79" s="40">
        <v>30</v>
      </c>
      <c r="D79" s="40">
        <v>916</v>
      </c>
      <c r="E79" s="40">
        <v>829</v>
      </c>
      <c r="F79" s="40">
        <v>225</v>
      </c>
      <c r="G79" s="42">
        <v>5</v>
      </c>
      <c r="H79" s="40">
        <v>0</v>
      </c>
      <c r="I79" s="40">
        <v>0</v>
      </c>
      <c r="J79" s="23">
        <v>0</v>
      </c>
      <c r="K79" s="40">
        <v>0</v>
      </c>
      <c r="L79" s="40">
        <v>410</v>
      </c>
      <c r="M79" s="42">
        <v>37.46</v>
      </c>
    </row>
    <row r="80" spans="1:13" ht="15.75" customHeight="1" x14ac:dyDescent="0.25">
      <c r="A80" s="46">
        <v>137.38</v>
      </c>
      <c r="B80" s="42">
        <f t="shared" si="8"/>
        <v>60</v>
      </c>
      <c r="C80" s="40">
        <v>30</v>
      </c>
      <c r="D80" s="40">
        <v>916</v>
      </c>
      <c r="E80" s="40">
        <v>829</v>
      </c>
      <c r="F80" s="40">
        <v>225</v>
      </c>
      <c r="G80" s="42">
        <v>5</v>
      </c>
      <c r="H80" s="40">
        <v>0</v>
      </c>
      <c r="I80" s="40">
        <v>0</v>
      </c>
      <c r="J80" s="23">
        <v>0</v>
      </c>
      <c r="K80" s="40">
        <v>0</v>
      </c>
      <c r="L80" s="40">
        <v>410</v>
      </c>
      <c r="M80" s="42">
        <v>39.270000000000003</v>
      </c>
    </row>
    <row r="81" spans="1:13" ht="15.75" customHeight="1" x14ac:dyDescent="0.25">
      <c r="A81" s="46">
        <v>157</v>
      </c>
      <c r="B81" s="42">
        <f t="shared" si="8"/>
        <v>60</v>
      </c>
      <c r="C81" s="40">
        <v>30</v>
      </c>
      <c r="D81" s="40">
        <v>916</v>
      </c>
      <c r="E81" s="40">
        <v>829</v>
      </c>
      <c r="F81" s="40">
        <v>225</v>
      </c>
      <c r="G81" s="42">
        <v>5</v>
      </c>
      <c r="H81" s="40">
        <v>0</v>
      </c>
      <c r="I81" s="40">
        <v>0</v>
      </c>
      <c r="J81" s="23">
        <v>0</v>
      </c>
      <c r="K81" s="40">
        <v>0</v>
      </c>
      <c r="L81" s="40">
        <v>410</v>
      </c>
      <c r="M81" s="42">
        <v>39.85</v>
      </c>
    </row>
    <row r="82" spans="1:13" ht="15.75" customHeight="1" x14ac:dyDescent="0.25">
      <c r="A82" s="46">
        <v>39.25</v>
      </c>
      <c r="B82" s="42">
        <f t="shared" ref="B82:B87" si="9">60/0.8</f>
        <v>75</v>
      </c>
      <c r="C82" s="40">
        <v>60</v>
      </c>
      <c r="D82" s="40">
        <v>916</v>
      </c>
      <c r="E82" s="40">
        <v>829</v>
      </c>
      <c r="F82" s="40">
        <v>225</v>
      </c>
      <c r="G82" s="42">
        <v>5</v>
      </c>
      <c r="H82" s="40">
        <v>0</v>
      </c>
      <c r="I82" s="40">
        <v>0</v>
      </c>
      <c r="J82" s="23">
        <v>0</v>
      </c>
      <c r="K82" s="40">
        <v>0</v>
      </c>
      <c r="L82" s="40">
        <v>410</v>
      </c>
      <c r="M82" s="42">
        <v>33.729999999999997</v>
      </c>
    </row>
    <row r="83" spans="1:13" ht="15.75" customHeight="1" x14ac:dyDescent="0.25">
      <c r="A83" s="46">
        <v>78.5</v>
      </c>
      <c r="B83" s="42">
        <f t="shared" si="9"/>
        <v>75</v>
      </c>
      <c r="C83" s="40">
        <v>60</v>
      </c>
      <c r="D83" s="40">
        <v>916</v>
      </c>
      <c r="E83" s="40">
        <v>829</v>
      </c>
      <c r="F83" s="40">
        <v>225</v>
      </c>
      <c r="G83" s="42">
        <v>5</v>
      </c>
      <c r="H83" s="40">
        <v>0</v>
      </c>
      <c r="I83" s="40">
        <v>0</v>
      </c>
      <c r="J83" s="23">
        <v>0</v>
      </c>
      <c r="K83" s="40">
        <v>0</v>
      </c>
      <c r="L83" s="40">
        <v>410</v>
      </c>
      <c r="M83" s="42">
        <v>34.630000000000003</v>
      </c>
    </row>
    <row r="84" spans="1:13" ht="15.75" customHeight="1" x14ac:dyDescent="0.25">
      <c r="A84" s="46">
        <v>98.13</v>
      </c>
      <c r="B84" s="42">
        <f t="shared" si="9"/>
        <v>75</v>
      </c>
      <c r="C84" s="40">
        <v>60</v>
      </c>
      <c r="D84" s="40">
        <v>916</v>
      </c>
      <c r="E84" s="40">
        <v>829</v>
      </c>
      <c r="F84" s="40">
        <v>225</v>
      </c>
      <c r="G84" s="42">
        <v>5</v>
      </c>
      <c r="H84" s="40">
        <v>0</v>
      </c>
      <c r="I84" s="40">
        <v>0</v>
      </c>
      <c r="J84" s="23">
        <v>0</v>
      </c>
      <c r="K84" s="40">
        <v>0</v>
      </c>
      <c r="L84" s="40">
        <v>410</v>
      </c>
      <c r="M84" s="42">
        <v>36.61</v>
      </c>
    </row>
    <row r="85" spans="1:13" ht="15.75" customHeight="1" x14ac:dyDescent="0.25">
      <c r="A85" s="46">
        <v>117.75</v>
      </c>
      <c r="B85" s="42">
        <f t="shared" si="9"/>
        <v>75</v>
      </c>
      <c r="C85" s="40">
        <v>60</v>
      </c>
      <c r="D85" s="40">
        <v>916</v>
      </c>
      <c r="E85" s="40">
        <v>829</v>
      </c>
      <c r="F85" s="40">
        <v>225</v>
      </c>
      <c r="G85" s="42">
        <v>5</v>
      </c>
      <c r="H85" s="40">
        <v>0</v>
      </c>
      <c r="I85" s="40">
        <v>0</v>
      </c>
      <c r="J85" s="23">
        <v>0</v>
      </c>
      <c r="K85" s="40">
        <v>0</v>
      </c>
      <c r="L85" s="40">
        <v>410</v>
      </c>
      <c r="M85" s="42">
        <v>38.31</v>
      </c>
    </row>
    <row r="86" spans="1:13" ht="15.75" customHeight="1" x14ac:dyDescent="0.25">
      <c r="A86" s="46">
        <v>137.38</v>
      </c>
      <c r="B86" s="42">
        <f t="shared" si="9"/>
        <v>75</v>
      </c>
      <c r="C86" s="40">
        <v>60</v>
      </c>
      <c r="D86" s="40">
        <v>916</v>
      </c>
      <c r="E86" s="40">
        <v>829</v>
      </c>
      <c r="F86" s="40">
        <v>225</v>
      </c>
      <c r="G86" s="42">
        <v>5</v>
      </c>
      <c r="H86" s="40">
        <v>0</v>
      </c>
      <c r="I86" s="40">
        <v>0</v>
      </c>
      <c r="J86" s="23">
        <v>0</v>
      </c>
      <c r="K86" s="40">
        <v>0</v>
      </c>
      <c r="L86" s="40">
        <v>410</v>
      </c>
      <c r="M86" s="42">
        <v>39.630000000000003</v>
      </c>
    </row>
    <row r="87" spans="1:13" ht="15.75" customHeight="1" x14ac:dyDescent="0.25">
      <c r="A87" s="46">
        <v>157</v>
      </c>
      <c r="B87" s="42">
        <f t="shared" si="9"/>
        <v>75</v>
      </c>
      <c r="C87" s="40">
        <v>60</v>
      </c>
      <c r="D87" s="40">
        <v>916</v>
      </c>
      <c r="E87" s="40">
        <v>829</v>
      </c>
      <c r="F87" s="40">
        <v>225</v>
      </c>
      <c r="G87" s="42">
        <v>5</v>
      </c>
      <c r="H87" s="40">
        <v>0</v>
      </c>
      <c r="I87" s="40">
        <v>0</v>
      </c>
      <c r="J87" s="23">
        <v>0</v>
      </c>
      <c r="K87" s="40">
        <v>0</v>
      </c>
      <c r="L87" s="40">
        <v>410</v>
      </c>
      <c r="M87" s="42">
        <v>41.17</v>
      </c>
    </row>
    <row r="88" spans="1:13" ht="15.75" customHeight="1" x14ac:dyDescent="0.25">
      <c r="A88" s="46">
        <v>39.25</v>
      </c>
      <c r="B88" s="42">
        <f t="shared" ref="B88:B93" si="10">50/0.6</f>
        <v>83.333333333333343</v>
      </c>
      <c r="C88" s="40">
        <v>50</v>
      </c>
      <c r="D88" s="40">
        <v>916</v>
      </c>
      <c r="E88" s="40">
        <v>829</v>
      </c>
      <c r="F88" s="40">
        <v>225</v>
      </c>
      <c r="G88" s="42">
        <v>5</v>
      </c>
      <c r="H88" s="40">
        <v>0</v>
      </c>
      <c r="I88" s="40">
        <v>0</v>
      </c>
      <c r="J88" s="23">
        <v>0</v>
      </c>
      <c r="K88" s="40">
        <v>0</v>
      </c>
      <c r="L88" s="40">
        <v>410</v>
      </c>
      <c r="M88" s="42">
        <v>33.99</v>
      </c>
    </row>
    <row r="89" spans="1:13" ht="15.75" customHeight="1" x14ac:dyDescent="0.25">
      <c r="A89" s="46">
        <v>78.5</v>
      </c>
      <c r="B89" s="42">
        <f t="shared" si="10"/>
        <v>83.333333333333343</v>
      </c>
      <c r="C89" s="40">
        <v>50</v>
      </c>
      <c r="D89" s="40">
        <v>916</v>
      </c>
      <c r="E89" s="40">
        <v>829</v>
      </c>
      <c r="F89" s="40">
        <v>225</v>
      </c>
      <c r="G89" s="42">
        <v>5</v>
      </c>
      <c r="H89" s="40">
        <v>0</v>
      </c>
      <c r="I89" s="40">
        <v>0</v>
      </c>
      <c r="J89" s="23">
        <v>0</v>
      </c>
      <c r="K89" s="40">
        <v>0</v>
      </c>
      <c r="L89" s="40">
        <v>410</v>
      </c>
      <c r="M89" s="42">
        <v>35.26</v>
      </c>
    </row>
    <row r="90" spans="1:13" ht="15.75" customHeight="1" x14ac:dyDescent="0.25">
      <c r="A90" s="46">
        <v>98.13</v>
      </c>
      <c r="B90" s="42">
        <f t="shared" si="10"/>
        <v>83.333333333333343</v>
      </c>
      <c r="C90" s="40">
        <v>50</v>
      </c>
      <c r="D90" s="40">
        <v>916</v>
      </c>
      <c r="E90" s="40">
        <v>829</v>
      </c>
      <c r="F90" s="40">
        <v>225</v>
      </c>
      <c r="G90" s="42">
        <v>5</v>
      </c>
      <c r="H90" s="40">
        <v>0</v>
      </c>
      <c r="I90" s="40">
        <v>0</v>
      </c>
      <c r="J90" s="23">
        <v>0</v>
      </c>
      <c r="K90" s="40">
        <v>0</v>
      </c>
      <c r="L90" s="40">
        <v>410</v>
      </c>
      <c r="M90" s="42">
        <v>37.090000000000003</v>
      </c>
    </row>
    <row r="91" spans="1:13" ht="15.75" customHeight="1" x14ac:dyDescent="0.25">
      <c r="A91" s="46">
        <v>117.75</v>
      </c>
      <c r="B91" s="42">
        <f t="shared" si="10"/>
        <v>83.333333333333343</v>
      </c>
      <c r="C91" s="40">
        <v>50</v>
      </c>
      <c r="D91" s="40">
        <v>916</v>
      </c>
      <c r="E91" s="40">
        <v>829</v>
      </c>
      <c r="F91" s="40">
        <v>225</v>
      </c>
      <c r="G91" s="42">
        <v>5</v>
      </c>
      <c r="H91" s="40">
        <v>0</v>
      </c>
      <c r="I91" s="40">
        <v>0</v>
      </c>
      <c r="J91" s="23">
        <v>0</v>
      </c>
      <c r="K91" s="40">
        <v>0</v>
      </c>
      <c r="L91" s="40">
        <v>410</v>
      </c>
      <c r="M91" s="42">
        <v>39.729999999999997</v>
      </c>
    </row>
    <row r="92" spans="1:13" ht="15.75" customHeight="1" x14ac:dyDescent="0.25">
      <c r="A92" s="46">
        <v>137.38</v>
      </c>
      <c r="B92" s="42">
        <f t="shared" si="10"/>
        <v>83.333333333333343</v>
      </c>
      <c r="C92" s="40">
        <v>50</v>
      </c>
      <c r="D92" s="40">
        <v>916</v>
      </c>
      <c r="E92" s="40">
        <v>829</v>
      </c>
      <c r="F92" s="40">
        <v>225</v>
      </c>
      <c r="G92" s="42">
        <v>5</v>
      </c>
      <c r="H92" s="40">
        <v>0</v>
      </c>
      <c r="I92" s="40">
        <v>0</v>
      </c>
      <c r="J92" s="23">
        <v>0</v>
      </c>
      <c r="K92" s="40">
        <v>0</v>
      </c>
      <c r="L92" s="40">
        <v>410</v>
      </c>
      <c r="M92" s="42">
        <v>41.27</v>
      </c>
    </row>
    <row r="93" spans="1:13" ht="15.75" customHeight="1" x14ac:dyDescent="0.25">
      <c r="A93" s="46">
        <v>157</v>
      </c>
      <c r="B93" s="42">
        <f t="shared" si="10"/>
        <v>83.333333333333343</v>
      </c>
      <c r="C93" s="40">
        <v>50</v>
      </c>
      <c r="D93" s="40">
        <v>916</v>
      </c>
      <c r="E93" s="40">
        <v>829</v>
      </c>
      <c r="F93" s="40">
        <v>225</v>
      </c>
      <c r="G93" s="42">
        <v>5</v>
      </c>
      <c r="H93" s="40">
        <v>0</v>
      </c>
      <c r="I93" s="40">
        <v>0</v>
      </c>
      <c r="J93" s="23">
        <v>0</v>
      </c>
      <c r="K93" s="40">
        <v>0</v>
      </c>
      <c r="L93" s="40">
        <v>410</v>
      </c>
      <c r="M93" s="42">
        <v>42.87</v>
      </c>
    </row>
    <row r="94" spans="1:13" ht="15.75" customHeight="1" x14ac:dyDescent="0.25">
      <c r="A94" s="46">
        <v>0</v>
      </c>
      <c r="B94" s="42">
        <v>0</v>
      </c>
      <c r="C94" s="40">
        <v>0</v>
      </c>
      <c r="D94" s="40">
        <v>530</v>
      </c>
      <c r="E94" s="40">
        <v>1150</v>
      </c>
      <c r="F94" s="40">
        <v>191</v>
      </c>
      <c r="G94" s="42">
        <v>17</v>
      </c>
      <c r="H94" s="40">
        <v>56.5</v>
      </c>
      <c r="I94" s="40">
        <v>0</v>
      </c>
      <c r="J94" s="23">
        <v>0</v>
      </c>
      <c r="K94" s="40">
        <v>0</v>
      </c>
      <c r="L94" s="40">
        <v>565</v>
      </c>
      <c r="M94" s="42">
        <v>73.5</v>
      </c>
    </row>
    <row r="95" spans="1:13" ht="15.75" customHeight="1" x14ac:dyDescent="0.25">
      <c r="A95" s="46">
        <v>39.25</v>
      </c>
      <c r="B95" s="42">
        <f t="shared" ref="B95:B100" si="11">30/0.5</f>
        <v>60</v>
      </c>
      <c r="C95" s="40">
        <v>30</v>
      </c>
      <c r="D95" s="40">
        <v>530</v>
      </c>
      <c r="E95" s="40">
        <v>1150</v>
      </c>
      <c r="F95" s="40">
        <v>191</v>
      </c>
      <c r="G95" s="42">
        <v>17</v>
      </c>
      <c r="H95" s="40">
        <v>56.5</v>
      </c>
      <c r="I95" s="40">
        <v>0</v>
      </c>
      <c r="J95" s="23">
        <v>0</v>
      </c>
      <c r="K95" s="40">
        <v>0</v>
      </c>
      <c r="L95" s="40">
        <v>565</v>
      </c>
      <c r="M95" s="42">
        <v>76.02</v>
      </c>
    </row>
    <row r="96" spans="1:13" ht="15.75" customHeight="1" x14ac:dyDescent="0.25">
      <c r="A96" s="46">
        <v>78.5</v>
      </c>
      <c r="B96" s="42">
        <f t="shared" si="11"/>
        <v>60</v>
      </c>
      <c r="C96" s="40">
        <v>30</v>
      </c>
      <c r="D96" s="40">
        <v>530</v>
      </c>
      <c r="E96" s="40">
        <v>1150</v>
      </c>
      <c r="F96" s="40">
        <v>191</v>
      </c>
      <c r="G96" s="42">
        <v>17</v>
      </c>
      <c r="H96" s="40">
        <v>56.5</v>
      </c>
      <c r="I96" s="40">
        <v>0</v>
      </c>
      <c r="J96" s="23">
        <v>0</v>
      </c>
      <c r="K96" s="40">
        <v>0</v>
      </c>
      <c r="L96" s="40">
        <v>565</v>
      </c>
      <c r="M96" s="42">
        <v>78.48</v>
      </c>
    </row>
    <row r="97" spans="1:13" ht="15.75" customHeight="1" x14ac:dyDescent="0.25">
      <c r="A97" s="46">
        <v>98.13</v>
      </c>
      <c r="B97" s="42">
        <f t="shared" si="11"/>
        <v>60</v>
      </c>
      <c r="C97" s="40">
        <v>30</v>
      </c>
      <c r="D97" s="40">
        <v>530</v>
      </c>
      <c r="E97" s="40">
        <v>1150</v>
      </c>
      <c r="F97" s="40">
        <v>191</v>
      </c>
      <c r="G97" s="42">
        <v>17</v>
      </c>
      <c r="H97" s="40">
        <v>56.5</v>
      </c>
      <c r="I97" s="40">
        <v>0</v>
      </c>
      <c r="J97" s="23">
        <v>0</v>
      </c>
      <c r="K97" s="40">
        <v>0</v>
      </c>
      <c r="L97" s="40">
        <v>565</v>
      </c>
      <c r="M97" s="42">
        <v>80.09</v>
      </c>
    </row>
    <row r="98" spans="1:13" ht="15.75" customHeight="1" x14ac:dyDescent="0.25">
      <c r="A98" s="46">
        <v>117.75</v>
      </c>
      <c r="B98" s="42">
        <f t="shared" si="11"/>
        <v>60</v>
      </c>
      <c r="C98" s="40">
        <v>30</v>
      </c>
      <c r="D98" s="40">
        <v>530</v>
      </c>
      <c r="E98" s="40">
        <v>1150</v>
      </c>
      <c r="F98" s="40">
        <v>191</v>
      </c>
      <c r="G98" s="42">
        <v>17</v>
      </c>
      <c r="H98" s="40">
        <v>56.5</v>
      </c>
      <c r="I98" s="40">
        <v>0</v>
      </c>
      <c r="J98" s="23">
        <v>0</v>
      </c>
      <c r="K98" s="40">
        <v>0</v>
      </c>
      <c r="L98" s="40">
        <v>565</v>
      </c>
      <c r="M98" s="42">
        <v>84.63</v>
      </c>
    </row>
    <row r="99" spans="1:13" ht="15.75" customHeight="1" x14ac:dyDescent="0.25">
      <c r="A99" s="46">
        <v>137.38</v>
      </c>
      <c r="B99" s="42">
        <f t="shared" si="11"/>
        <v>60</v>
      </c>
      <c r="C99" s="40">
        <v>30</v>
      </c>
      <c r="D99" s="40">
        <v>530</v>
      </c>
      <c r="E99" s="40">
        <v>1150</v>
      </c>
      <c r="F99" s="40">
        <v>191</v>
      </c>
      <c r="G99" s="42">
        <v>17</v>
      </c>
      <c r="H99" s="40">
        <v>56.5</v>
      </c>
      <c r="I99" s="40">
        <v>0</v>
      </c>
      <c r="J99" s="23">
        <v>0</v>
      </c>
      <c r="K99" s="40">
        <v>0</v>
      </c>
      <c r="L99" s="40">
        <v>565</v>
      </c>
      <c r="M99" s="42">
        <v>86.22</v>
      </c>
    </row>
    <row r="100" spans="1:13" ht="15.75" customHeight="1" x14ac:dyDescent="0.25">
      <c r="A100" s="46">
        <v>157</v>
      </c>
      <c r="B100" s="42">
        <f t="shared" si="11"/>
        <v>60</v>
      </c>
      <c r="C100" s="40">
        <v>30</v>
      </c>
      <c r="D100" s="40">
        <v>530</v>
      </c>
      <c r="E100" s="40">
        <v>1150</v>
      </c>
      <c r="F100" s="40">
        <v>191</v>
      </c>
      <c r="G100" s="42">
        <v>17</v>
      </c>
      <c r="H100" s="40">
        <v>56.5</v>
      </c>
      <c r="I100" s="40">
        <v>0</v>
      </c>
      <c r="J100" s="23">
        <v>0</v>
      </c>
      <c r="K100" s="40">
        <v>0</v>
      </c>
      <c r="L100" s="40">
        <v>565</v>
      </c>
      <c r="M100" s="42">
        <v>88.97</v>
      </c>
    </row>
    <row r="101" spans="1:13" ht="15.75" customHeight="1" x14ac:dyDescent="0.25">
      <c r="A101" s="46">
        <v>39.25</v>
      </c>
      <c r="B101" s="42">
        <f t="shared" ref="B101:B106" si="12">60/0.8</f>
        <v>75</v>
      </c>
      <c r="C101" s="40">
        <v>60</v>
      </c>
      <c r="D101" s="40">
        <v>530</v>
      </c>
      <c r="E101" s="40">
        <v>1150</v>
      </c>
      <c r="F101" s="40">
        <v>191</v>
      </c>
      <c r="G101" s="42">
        <v>17</v>
      </c>
      <c r="H101" s="40">
        <v>56.5</v>
      </c>
      <c r="I101" s="40">
        <v>0</v>
      </c>
      <c r="J101" s="23">
        <v>0</v>
      </c>
      <c r="K101" s="40">
        <v>0</v>
      </c>
      <c r="L101" s="40">
        <v>565</v>
      </c>
      <c r="M101" s="42">
        <v>76.959999999999994</v>
      </c>
    </row>
    <row r="102" spans="1:13" ht="15.75" customHeight="1" x14ac:dyDescent="0.25">
      <c r="A102" s="46">
        <v>78.5</v>
      </c>
      <c r="B102" s="42">
        <f t="shared" si="12"/>
        <v>75</v>
      </c>
      <c r="C102" s="40">
        <v>60</v>
      </c>
      <c r="D102" s="40">
        <v>530</v>
      </c>
      <c r="E102" s="40">
        <v>1150</v>
      </c>
      <c r="F102" s="40">
        <v>191</v>
      </c>
      <c r="G102" s="42">
        <v>17</v>
      </c>
      <c r="H102" s="40">
        <v>56.5</v>
      </c>
      <c r="I102" s="40">
        <v>0</v>
      </c>
      <c r="J102" s="23">
        <v>0</v>
      </c>
      <c r="K102" s="40">
        <v>0</v>
      </c>
      <c r="L102" s="40">
        <v>565</v>
      </c>
      <c r="M102" s="42">
        <v>78.849999999999994</v>
      </c>
    </row>
    <row r="103" spans="1:13" ht="15.75" customHeight="1" x14ac:dyDescent="0.25">
      <c r="A103" s="46">
        <v>98.13</v>
      </c>
      <c r="B103" s="42">
        <f t="shared" si="12"/>
        <v>75</v>
      </c>
      <c r="C103" s="40">
        <v>60</v>
      </c>
      <c r="D103" s="40">
        <v>530</v>
      </c>
      <c r="E103" s="40">
        <v>1150</v>
      </c>
      <c r="F103" s="40">
        <v>191</v>
      </c>
      <c r="G103" s="42">
        <v>17</v>
      </c>
      <c r="H103" s="40">
        <v>56.5</v>
      </c>
      <c r="I103" s="40">
        <v>0</v>
      </c>
      <c r="J103" s="23">
        <v>0</v>
      </c>
      <c r="K103" s="40">
        <v>0</v>
      </c>
      <c r="L103" s="40">
        <v>565</v>
      </c>
      <c r="M103" s="42">
        <v>84.48</v>
      </c>
    </row>
    <row r="104" spans="1:13" ht="15.75" customHeight="1" x14ac:dyDescent="0.25">
      <c r="A104" s="46">
        <v>117.75</v>
      </c>
      <c r="B104" s="42">
        <f t="shared" si="12"/>
        <v>75</v>
      </c>
      <c r="C104" s="40">
        <v>60</v>
      </c>
      <c r="D104" s="40">
        <v>530</v>
      </c>
      <c r="E104" s="40">
        <v>1150</v>
      </c>
      <c r="F104" s="40">
        <v>191</v>
      </c>
      <c r="G104" s="42">
        <v>17</v>
      </c>
      <c r="H104" s="40">
        <v>56.5</v>
      </c>
      <c r="I104" s="40">
        <v>0</v>
      </c>
      <c r="J104" s="23">
        <v>0</v>
      </c>
      <c r="K104" s="40">
        <v>0</v>
      </c>
      <c r="L104" s="40">
        <v>565</v>
      </c>
      <c r="M104" s="42">
        <v>87.4</v>
      </c>
    </row>
    <row r="105" spans="1:13" ht="15.75" customHeight="1" x14ac:dyDescent="0.25">
      <c r="A105" s="46">
        <v>137.38</v>
      </c>
      <c r="B105" s="42">
        <f t="shared" si="12"/>
        <v>75</v>
      </c>
      <c r="C105" s="40">
        <v>60</v>
      </c>
      <c r="D105" s="40">
        <v>530</v>
      </c>
      <c r="E105" s="40">
        <v>1150</v>
      </c>
      <c r="F105" s="40">
        <v>191</v>
      </c>
      <c r="G105" s="42">
        <v>17</v>
      </c>
      <c r="H105" s="40">
        <v>56.5</v>
      </c>
      <c r="I105" s="40">
        <v>0</v>
      </c>
      <c r="J105" s="23">
        <v>0</v>
      </c>
      <c r="K105" s="40">
        <v>0</v>
      </c>
      <c r="L105" s="40">
        <v>565</v>
      </c>
      <c r="M105" s="42">
        <v>89.52</v>
      </c>
    </row>
    <row r="106" spans="1:13" ht="15.75" customHeight="1" x14ac:dyDescent="0.25">
      <c r="A106" s="46">
        <v>157</v>
      </c>
      <c r="B106" s="42">
        <f t="shared" si="12"/>
        <v>75</v>
      </c>
      <c r="C106" s="40">
        <v>60</v>
      </c>
      <c r="D106" s="40">
        <v>530</v>
      </c>
      <c r="E106" s="40">
        <v>1150</v>
      </c>
      <c r="F106" s="40">
        <v>191</v>
      </c>
      <c r="G106" s="42">
        <v>17</v>
      </c>
      <c r="H106" s="40">
        <v>56.5</v>
      </c>
      <c r="I106" s="40">
        <v>0</v>
      </c>
      <c r="J106" s="23">
        <v>0</v>
      </c>
      <c r="K106" s="40">
        <v>0</v>
      </c>
      <c r="L106" s="40">
        <v>565</v>
      </c>
      <c r="M106" s="42">
        <v>91.49</v>
      </c>
    </row>
    <row r="107" spans="1:13" ht="15.75" customHeight="1" x14ac:dyDescent="0.25">
      <c r="A107" s="46">
        <v>39.25</v>
      </c>
      <c r="B107" s="42">
        <f t="shared" ref="B107:B112" si="13">50/0.6</f>
        <v>83.333333333333343</v>
      </c>
      <c r="C107" s="40">
        <v>50</v>
      </c>
      <c r="D107" s="40">
        <v>530</v>
      </c>
      <c r="E107" s="40">
        <v>1150</v>
      </c>
      <c r="F107" s="40">
        <v>191</v>
      </c>
      <c r="G107" s="42">
        <v>17</v>
      </c>
      <c r="H107" s="40">
        <v>56.5</v>
      </c>
      <c r="I107" s="40">
        <v>0</v>
      </c>
      <c r="J107" s="23">
        <v>0</v>
      </c>
      <c r="K107" s="40">
        <v>0</v>
      </c>
      <c r="L107" s="40">
        <v>565</v>
      </c>
      <c r="M107" s="42">
        <v>78.02</v>
      </c>
    </row>
    <row r="108" spans="1:13" ht="15.75" customHeight="1" x14ac:dyDescent="0.25">
      <c r="A108" s="46">
        <v>78.5</v>
      </c>
      <c r="B108" s="42">
        <f t="shared" si="13"/>
        <v>83.333333333333343</v>
      </c>
      <c r="C108" s="40">
        <v>50</v>
      </c>
      <c r="D108" s="40">
        <v>530</v>
      </c>
      <c r="E108" s="40">
        <v>1150</v>
      </c>
      <c r="F108" s="40">
        <v>191</v>
      </c>
      <c r="G108" s="42">
        <v>17</v>
      </c>
      <c r="H108" s="40">
        <v>56.5</v>
      </c>
      <c r="I108" s="40">
        <v>0</v>
      </c>
      <c r="J108" s="23">
        <v>0</v>
      </c>
      <c r="K108" s="40">
        <v>0</v>
      </c>
      <c r="L108" s="40">
        <v>565</v>
      </c>
      <c r="M108" s="42">
        <v>80.95</v>
      </c>
    </row>
    <row r="109" spans="1:13" ht="15.75" customHeight="1" x14ac:dyDescent="0.25">
      <c r="A109" s="46">
        <v>98.13</v>
      </c>
      <c r="B109" s="42">
        <f t="shared" si="13"/>
        <v>83.333333333333343</v>
      </c>
      <c r="C109" s="40">
        <v>50</v>
      </c>
      <c r="D109" s="40">
        <v>530</v>
      </c>
      <c r="E109" s="40">
        <v>1150</v>
      </c>
      <c r="F109" s="40">
        <v>191</v>
      </c>
      <c r="G109" s="42">
        <v>17</v>
      </c>
      <c r="H109" s="40">
        <v>56.5</v>
      </c>
      <c r="I109" s="40">
        <v>0</v>
      </c>
      <c r="J109" s="23">
        <v>0</v>
      </c>
      <c r="K109" s="40">
        <v>0</v>
      </c>
      <c r="L109" s="40">
        <v>565</v>
      </c>
      <c r="M109" s="42">
        <v>86.21</v>
      </c>
    </row>
    <row r="110" spans="1:13" ht="15.75" customHeight="1" x14ac:dyDescent="0.25">
      <c r="A110" s="46">
        <v>117.75</v>
      </c>
      <c r="B110" s="42">
        <f t="shared" si="13"/>
        <v>83.333333333333343</v>
      </c>
      <c r="C110" s="40">
        <v>50</v>
      </c>
      <c r="D110" s="40">
        <v>530</v>
      </c>
      <c r="E110" s="40">
        <v>1150</v>
      </c>
      <c r="F110" s="40">
        <v>191</v>
      </c>
      <c r="G110" s="42">
        <v>17</v>
      </c>
      <c r="H110" s="40">
        <v>56.5</v>
      </c>
      <c r="I110" s="40">
        <v>0</v>
      </c>
      <c r="J110" s="23">
        <v>0</v>
      </c>
      <c r="K110" s="40">
        <v>0</v>
      </c>
      <c r="L110" s="40">
        <v>565</v>
      </c>
      <c r="M110" s="42">
        <v>89.19</v>
      </c>
    </row>
    <row r="111" spans="1:13" ht="15.75" customHeight="1" x14ac:dyDescent="0.25">
      <c r="A111" s="46">
        <v>137.38</v>
      </c>
      <c r="B111" s="42">
        <f t="shared" si="13"/>
        <v>83.333333333333343</v>
      </c>
      <c r="C111" s="40">
        <v>50</v>
      </c>
      <c r="D111" s="40">
        <v>530</v>
      </c>
      <c r="E111" s="40">
        <v>1150</v>
      </c>
      <c r="F111" s="40">
        <v>191</v>
      </c>
      <c r="G111" s="42">
        <v>17</v>
      </c>
      <c r="H111" s="40">
        <v>56.5</v>
      </c>
      <c r="I111" s="40">
        <v>0</v>
      </c>
      <c r="J111" s="23">
        <v>0</v>
      </c>
      <c r="K111" s="40">
        <v>0</v>
      </c>
      <c r="L111" s="40">
        <v>565</v>
      </c>
      <c r="M111" s="42">
        <v>91.73</v>
      </c>
    </row>
    <row r="112" spans="1:13" ht="15.75" customHeight="1" x14ac:dyDescent="0.25">
      <c r="A112" s="46">
        <v>157</v>
      </c>
      <c r="B112" s="42">
        <f t="shared" si="13"/>
        <v>83.333333333333343</v>
      </c>
      <c r="C112" s="40">
        <v>50</v>
      </c>
      <c r="D112" s="40">
        <v>530</v>
      </c>
      <c r="E112" s="40">
        <v>1150</v>
      </c>
      <c r="F112" s="40">
        <v>191</v>
      </c>
      <c r="G112" s="42">
        <v>17</v>
      </c>
      <c r="H112" s="40">
        <v>56.5</v>
      </c>
      <c r="I112" s="40">
        <v>0</v>
      </c>
      <c r="J112" s="23">
        <v>0</v>
      </c>
      <c r="K112" s="40">
        <v>0</v>
      </c>
      <c r="L112" s="40">
        <v>565</v>
      </c>
      <c r="M112" s="42">
        <v>93.56</v>
      </c>
    </row>
    <row r="113" spans="1:13" ht="15.75" customHeight="1" x14ac:dyDescent="0.25">
      <c r="A113" s="33">
        <v>0</v>
      </c>
      <c r="B113" s="44">
        <v>0</v>
      </c>
      <c r="C113" s="23">
        <v>0</v>
      </c>
      <c r="D113" s="40">
        <f>385*2.39</f>
        <v>920.15000000000009</v>
      </c>
      <c r="E113" s="40">
        <f>385*2.29</f>
        <v>881.65</v>
      </c>
      <c r="F113" s="40">
        <f>385*0.46</f>
        <v>177.1</v>
      </c>
      <c r="G113" s="44">
        <f>0.006*L113</f>
        <v>2.31</v>
      </c>
      <c r="H113" s="40">
        <v>0</v>
      </c>
      <c r="I113" s="40">
        <v>0</v>
      </c>
      <c r="J113" s="23">
        <v>0</v>
      </c>
      <c r="K113" s="40">
        <v>0</v>
      </c>
      <c r="L113" s="23">
        <v>385</v>
      </c>
      <c r="M113" s="44">
        <v>41.3</v>
      </c>
    </row>
    <row r="114" spans="1:13" ht="15.75" customHeight="1" x14ac:dyDescent="0.25">
      <c r="A114" s="33">
        <v>39</v>
      </c>
      <c r="B114" s="44">
        <f>60/0.75</f>
        <v>80</v>
      </c>
      <c r="C114" s="23">
        <v>60</v>
      </c>
      <c r="D114" s="40">
        <f>385*2.37</f>
        <v>912.45</v>
      </c>
      <c r="E114" s="40">
        <f>385*2.27</f>
        <v>873.95</v>
      </c>
      <c r="F114" s="40">
        <f>385*0.46</f>
        <v>177.1</v>
      </c>
      <c r="G114" s="44">
        <f>0.01*L114</f>
        <v>3.85</v>
      </c>
      <c r="H114" s="40">
        <v>0</v>
      </c>
      <c r="I114" s="40">
        <v>0</v>
      </c>
      <c r="J114" s="23">
        <v>0</v>
      </c>
      <c r="K114" s="40">
        <v>0</v>
      </c>
      <c r="L114" s="23">
        <v>385</v>
      </c>
      <c r="M114" s="44">
        <v>46.35</v>
      </c>
    </row>
    <row r="115" spans="1:13" ht="15.75" customHeight="1" x14ac:dyDescent="0.25">
      <c r="A115" s="33">
        <v>78</v>
      </c>
      <c r="B115" s="44">
        <f>60/0.75</f>
        <v>80</v>
      </c>
      <c r="C115" s="23">
        <v>60</v>
      </c>
      <c r="D115" s="40">
        <f>385*2.35</f>
        <v>904.75</v>
      </c>
      <c r="E115" s="40">
        <f>385*2.26</f>
        <v>870.09999999999991</v>
      </c>
      <c r="F115" s="40">
        <f>385*0.46</f>
        <v>177.1</v>
      </c>
      <c r="G115" s="44">
        <f>0.012*L115</f>
        <v>4.62</v>
      </c>
      <c r="H115" s="40">
        <v>0</v>
      </c>
      <c r="I115" s="40">
        <v>0</v>
      </c>
      <c r="J115" s="23">
        <v>0</v>
      </c>
      <c r="K115" s="40">
        <v>0</v>
      </c>
      <c r="L115" s="23">
        <v>385</v>
      </c>
      <c r="M115" s="44">
        <v>47.25</v>
      </c>
    </row>
    <row r="116" spans="1:13" ht="15.75" customHeight="1" x14ac:dyDescent="0.25">
      <c r="A116" s="33">
        <v>0</v>
      </c>
      <c r="B116" s="44">
        <f>60/0.75</f>
        <v>80</v>
      </c>
      <c r="C116" s="23">
        <v>60</v>
      </c>
      <c r="D116" s="40">
        <f>450*2.03</f>
        <v>913.49999999999989</v>
      </c>
      <c r="E116" s="40">
        <f>450*1.95</f>
        <v>877.5</v>
      </c>
      <c r="F116" s="40">
        <f>450*0.36</f>
        <v>162</v>
      </c>
      <c r="G116" s="44">
        <f>0.011*L116</f>
        <v>4.9499999999999993</v>
      </c>
      <c r="H116" s="40">
        <v>0</v>
      </c>
      <c r="I116" s="40">
        <v>0</v>
      </c>
      <c r="J116" s="23">
        <v>0</v>
      </c>
      <c r="K116" s="40">
        <v>0</v>
      </c>
      <c r="L116" s="23">
        <v>450</v>
      </c>
      <c r="M116" s="44">
        <v>55.58</v>
      </c>
    </row>
    <row r="117" spans="1:13" ht="15.75" customHeight="1" x14ac:dyDescent="0.25">
      <c r="A117" s="33">
        <v>39</v>
      </c>
      <c r="B117" s="44">
        <f>60/0.75</f>
        <v>80</v>
      </c>
      <c r="C117" s="23">
        <v>60</v>
      </c>
      <c r="D117" s="40">
        <f>450*2.01</f>
        <v>904.49999999999989</v>
      </c>
      <c r="E117" s="40">
        <f>450*1.93</f>
        <v>868.5</v>
      </c>
      <c r="F117" s="40">
        <v>162</v>
      </c>
      <c r="G117" s="44">
        <f>0.013*L117</f>
        <v>5.85</v>
      </c>
      <c r="H117" s="40">
        <v>0</v>
      </c>
      <c r="I117" s="40">
        <v>0</v>
      </c>
      <c r="J117" s="23">
        <v>0</v>
      </c>
      <c r="K117" s="40">
        <v>0</v>
      </c>
      <c r="L117" s="23">
        <v>450</v>
      </c>
      <c r="M117" s="44">
        <v>58.44</v>
      </c>
    </row>
    <row r="118" spans="1:13" ht="15.75" customHeight="1" x14ac:dyDescent="0.25">
      <c r="A118" s="33">
        <v>78</v>
      </c>
      <c r="B118" s="44">
        <f>60/0.75</f>
        <v>80</v>
      </c>
      <c r="C118" s="23">
        <v>60</v>
      </c>
      <c r="D118" s="40">
        <f>450*2</f>
        <v>900</v>
      </c>
      <c r="E118" s="40">
        <f>450*1.92</f>
        <v>864</v>
      </c>
      <c r="F118" s="40">
        <v>162</v>
      </c>
      <c r="G118" s="44">
        <f>0.015*L118</f>
        <v>6.75</v>
      </c>
      <c r="H118" s="40">
        <v>0</v>
      </c>
      <c r="I118" s="40">
        <v>0</v>
      </c>
      <c r="J118" s="23">
        <v>0</v>
      </c>
      <c r="K118" s="40">
        <v>0</v>
      </c>
      <c r="L118" s="23">
        <v>450</v>
      </c>
      <c r="M118" s="44">
        <v>60.21</v>
      </c>
    </row>
    <row r="119" spans="1:13" ht="15.75" customHeight="1" x14ac:dyDescent="0.25">
      <c r="A119" s="33">
        <v>0</v>
      </c>
      <c r="B119" s="44">
        <v>0</v>
      </c>
      <c r="C119" s="23">
        <v>0</v>
      </c>
      <c r="D119" s="40">
        <f t="shared" ref="D119:D128" si="14">350*2.28</f>
        <v>797.99999999999989</v>
      </c>
      <c r="E119" s="40">
        <f t="shared" ref="E119:E128" si="15">350*3.08</f>
        <v>1078</v>
      </c>
      <c r="F119" s="40">
        <f t="shared" ref="F119:F128" si="16">350*0.45</f>
        <v>157.5</v>
      </c>
      <c r="G119" s="39">
        <f t="shared" ref="G119:G128" si="17">0.0012*L119</f>
        <v>0.42</v>
      </c>
      <c r="H119" s="40">
        <v>0</v>
      </c>
      <c r="I119" s="40">
        <v>0</v>
      </c>
      <c r="J119" s="23">
        <v>0</v>
      </c>
      <c r="K119" s="40">
        <v>0</v>
      </c>
      <c r="L119" s="23">
        <v>350</v>
      </c>
      <c r="M119" s="44">
        <v>52.4</v>
      </c>
    </row>
    <row r="120" spans="1:13" ht="15.75" customHeight="1" x14ac:dyDescent="0.25">
      <c r="A120" s="33">
        <v>39</v>
      </c>
      <c r="B120" s="44">
        <f>40/0.62</f>
        <v>64.516129032258064</v>
      </c>
      <c r="C120" s="23">
        <v>40</v>
      </c>
      <c r="D120" s="40">
        <f t="shared" si="14"/>
        <v>797.99999999999989</v>
      </c>
      <c r="E120" s="40">
        <f t="shared" si="15"/>
        <v>1078</v>
      </c>
      <c r="F120" s="40">
        <f t="shared" si="16"/>
        <v>157.5</v>
      </c>
      <c r="G120" s="39">
        <f t="shared" si="17"/>
        <v>0.42</v>
      </c>
      <c r="H120" s="40">
        <v>0</v>
      </c>
      <c r="I120" s="40">
        <v>0</v>
      </c>
      <c r="J120" s="23">
        <v>0</v>
      </c>
      <c r="K120" s="40">
        <v>0</v>
      </c>
      <c r="L120" s="23">
        <v>350</v>
      </c>
      <c r="M120" s="44">
        <v>60.7</v>
      </c>
    </row>
    <row r="121" spans="1:13" ht="15.75" customHeight="1" x14ac:dyDescent="0.25">
      <c r="A121" s="33">
        <v>78</v>
      </c>
      <c r="B121" s="44">
        <f>40/0.62</f>
        <v>64.516129032258064</v>
      </c>
      <c r="C121" s="23">
        <v>40</v>
      </c>
      <c r="D121" s="40">
        <f t="shared" si="14"/>
        <v>797.99999999999989</v>
      </c>
      <c r="E121" s="40">
        <f t="shared" si="15"/>
        <v>1078</v>
      </c>
      <c r="F121" s="40">
        <f t="shared" si="16"/>
        <v>157.5</v>
      </c>
      <c r="G121" s="39">
        <f t="shared" si="17"/>
        <v>0.42</v>
      </c>
      <c r="H121" s="40">
        <v>0</v>
      </c>
      <c r="I121" s="40">
        <v>0</v>
      </c>
      <c r="J121" s="23">
        <v>0</v>
      </c>
      <c r="K121" s="40">
        <v>0</v>
      </c>
      <c r="L121" s="23">
        <v>350</v>
      </c>
      <c r="M121" s="44">
        <v>64.099999999999994</v>
      </c>
    </row>
    <row r="122" spans="1:13" ht="15.75" customHeight="1" x14ac:dyDescent="0.25">
      <c r="A122" s="33">
        <f>78+39</f>
        <v>117</v>
      </c>
      <c r="B122" s="44">
        <f>40/0.62</f>
        <v>64.516129032258064</v>
      </c>
      <c r="C122" s="23">
        <v>40</v>
      </c>
      <c r="D122" s="40">
        <f t="shared" si="14"/>
        <v>797.99999999999989</v>
      </c>
      <c r="E122" s="40">
        <f t="shared" si="15"/>
        <v>1078</v>
      </c>
      <c r="F122" s="40">
        <f t="shared" si="16"/>
        <v>157.5</v>
      </c>
      <c r="G122" s="39">
        <f t="shared" si="17"/>
        <v>0.42</v>
      </c>
      <c r="H122" s="40">
        <v>0</v>
      </c>
      <c r="I122" s="40">
        <v>0</v>
      </c>
      <c r="J122" s="23">
        <v>0</v>
      </c>
      <c r="K122" s="40">
        <v>0</v>
      </c>
      <c r="L122" s="23">
        <v>350</v>
      </c>
      <c r="M122" s="44">
        <v>62.3</v>
      </c>
    </row>
    <row r="123" spans="1:13" ht="15.75" customHeight="1" x14ac:dyDescent="0.25">
      <c r="A123" s="33">
        <v>39</v>
      </c>
      <c r="B123" s="44">
        <f>50/0.62</f>
        <v>80.645161290322577</v>
      </c>
      <c r="C123" s="23">
        <v>50</v>
      </c>
      <c r="D123" s="40">
        <f t="shared" si="14"/>
        <v>797.99999999999989</v>
      </c>
      <c r="E123" s="40">
        <f t="shared" si="15"/>
        <v>1078</v>
      </c>
      <c r="F123" s="40">
        <f t="shared" si="16"/>
        <v>157.5</v>
      </c>
      <c r="G123" s="39">
        <f t="shared" si="17"/>
        <v>0.42</v>
      </c>
      <c r="H123" s="40">
        <v>0</v>
      </c>
      <c r="I123" s="40">
        <v>0</v>
      </c>
      <c r="J123" s="23">
        <v>0</v>
      </c>
      <c r="K123" s="40">
        <v>0</v>
      </c>
      <c r="L123" s="23">
        <v>350</v>
      </c>
      <c r="M123" s="44">
        <v>55.8</v>
      </c>
    </row>
    <row r="124" spans="1:13" ht="15.75" customHeight="1" x14ac:dyDescent="0.25">
      <c r="A124" s="33">
        <v>78</v>
      </c>
      <c r="B124" s="44">
        <f>50/0.62</f>
        <v>80.645161290322577</v>
      </c>
      <c r="C124" s="23">
        <v>50</v>
      </c>
      <c r="D124" s="40">
        <f t="shared" si="14"/>
        <v>797.99999999999989</v>
      </c>
      <c r="E124" s="40">
        <f t="shared" si="15"/>
        <v>1078</v>
      </c>
      <c r="F124" s="40">
        <f t="shared" si="16"/>
        <v>157.5</v>
      </c>
      <c r="G124" s="39">
        <f t="shared" si="17"/>
        <v>0.42</v>
      </c>
      <c r="H124" s="40">
        <v>0</v>
      </c>
      <c r="I124" s="40">
        <v>0</v>
      </c>
      <c r="J124" s="23">
        <v>0</v>
      </c>
      <c r="K124" s="40">
        <v>0</v>
      </c>
      <c r="L124" s="23">
        <v>350</v>
      </c>
      <c r="M124" s="44">
        <v>62.3</v>
      </c>
    </row>
    <row r="125" spans="1:13" ht="15.75" customHeight="1" x14ac:dyDescent="0.25">
      <c r="A125" s="33">
        <f>78+39</f>
        <v>117</v>
      </c>
      <c r="B125" s="44">
        <f>50/0.62</f>
        <v>80.645161290322577</v>
      </c>
      <c r="C125" s="23">
        <v>50</v>
      </c>
      <c r="D125" s="40">
        <f t="shared" si="14"/>
        <v>797.99999999999989</v>
      </c>
      <c r="E125" s="40">
        <f t="shared" si="15"/>
        <v>1078</v>
      </c>
      <c r="F125" s="40">
        <f t="shared" si="16"/>
        <v>157.5</v>
      </c>
      <c r="G125" s="39">
        <f t="shared" si="17"/>
        <v>0.42</v>
      </c>
      <c r="H125" s="40">
        <v>0</v>
      </c>
      <c r="I125" s="40">
        <v>0</v>
      </c>
      <c r="J125" s="23">
        <v>0</v>
      </c>
      <c r="K125" s="40">
        <v>0</v>
      </c>
      <c r="L125" s="23">
        <v>350</v>
      </c>
      <c r="M125" s="44">
        <v>64.2</v>
      </c>
    </row>
    <row r="126" spans="1:13" ht="15.75" customHeight="1" x14ac:dyDescent="0.25">
      <c r="A126" s="33">
        <v>39</v>
      </c>
      <c r="B126" s="44">
        <f>60/0.75</f>
        <v>80</v>
      </c>
      <c r="C126" s="23">
        <v>60</v>
      </c>
      <c r="D126" s="40">
        <f t="shared" si="14"/>
        <v>797.99999999999989</v>
      </c>
      <c r="E126" s="40">
        <f t="shared" si="15"/>
        <v>1078</v>
      </c>
      <c r="F126" s="40">
        <f t="shared" si="16"/>
        <v>157.5</v>
      </c>
      <c r="G126" s="39">
        <f t="shared" si="17"/>
        <v>0.42</v>
      </c>
      <c r="H126" s="40">
        <v>0</v>
      </c>
      <c r="I126" s="40">
        <v>0</v>
      </c>
      <c r="J126" s="23">
        <v>0</v>
      </c>
      <c r="K126" s="40">
        <v>0</v>
      </c>
      <c r="L126" s="23">
        <v>350</v>
      </c>
      <c r="M126" s="44">
        <v>58.9</v>
      </c>
    </row>
    <row r="127" spans="1:13" ht="15.75" customHeight="1" x14ac:dyDescent="0.25">
      <c r="A127" s="33">
        <v>78</v>
      </c>
      <c r="B127" s="44">
        <f>60/0.75</f>
        <v>80</v>
      </c>
      <c r="C127" s="23">
        <v>60</v>
      </c>
      <c r="D127" s="40">
        <f t="shared" si="14"/>
        <v>797.99999999999989</v>
      </c>
      <c r="E127" s="40">
        <f t="shared" si="15"/>
        <v>1078</v>
      </c>
      <c r="F127" s="40">
        <f t="shared" si="16"/>
        <v>157.5</v>
      </c>
      <c r="G127" s="39">
        <f t="shared" si="17"/>
        <v>0.42</v>
      </c>
      <c r="H127" s="40">
        <v>0</v>
      </c>
      <c r="I127" s="40">
        <v>0</v>
      </c>
      <c r="J127" s="23">
        <v>0</v>
      </c>
      <c r="K127" s="40">
        <v>0</v>
      </c>
      <c r="L127" s="23">
        <v>350</v>
      </c>
      <c r="M127" s="44">
        <v>59.7</v>
      </c>
    </row>
    <row r="128" spans="1:13" ht="15.75" customHeight="1" x14ac:dyDescent="0.25">
      <c r="A128" s="33">
        <f>78+39</f>
        <v>117</v>
      </c>
      <c r="B128" s="44">
        <f>60/0.75</f>
        <v>80</v>
      </c>
      <c r="C128" s="23">
        <v>60</v>
      </c>
      <c r="D128" s="40">
        <f t="shared" si="14"/>
        <v>797.99999999999989</v>
      </c>
      <c r="E128" s="40">
        <f t="shared" si="15"/>
        <v>1078</v>
      </c>
      <c r="F128" s="40">
        <f t="shared" si="16"/>
        <v>157.5</v>
      </c>
      <c r="G128" s="39">
        <f t="shared" si="17"/>
        <v>0.42</v>
      </c>
      <c r="H128" s="40">
        <v>0</v>
      </c>
      <c r="I128" s="40">
        <v>0</v>
      </c>
      <c r="J128" s="23">
        <v>0</v>
      </c>
      <c r="K128" s="40">
        <v>0</v>
      </c>
      <c r="L128" s="23">
        <v>350</v>
      </c>
      <c r="M128" s="44">
        <v>66.2</v>
      </c>
    </row>
    <row r="129" spans="1:13" ht="15.75" customHeight="1" x14ac:dyDescent="0.25">
      <c r="A129" s="33">
        <v>0</v>
      </c>
      <c r="B129" s="44">
        <v>0</v>
      </c>
      <c r="C129" s="23">
        <v>0</v>
      </c>
      <c r="D129" s="40">
        <f t="shared" ref="D129:D138" si="18">450*1.59</f>
        <v>715.5</v>
      </c>
      <c r="E129" s="40">
        <f t="shared" ref="E129:E138" si="19">450*2.34</f>
        <v>1053</v>
      </c>
      <c r="F129" s="40">
        <f t="shared" ref="F129:F138" si="20">450*0.35</f>
        <v>157.5</v>
      </c>
      <c r="G129" s="39">
        <f t="shared" ref="G129:G137" si="21">0.0015*L129</f>
        <v>0.67500000000000004</v>
      </c>
      <c r="H129" s="40">
        <v>0</v>
      </c>
      <c r="I129" s="40">
        <v>0</v>
      </c>
      <c r="J129" s="23">
        <v>0</v>
      </c>
      <c r="K129" s="40">
        <v>0</v>
      </c>
      <c r="L129" s="23">
        <v>450</v>
      </c>
      <c r="M129" s="44">
        <v>61.7</v>
      </c>
    </row>
    <row r="130" spans="1:13" ht="15.75" customHeight="1" x14ac:dyDescent="0.25">
      <c r="A130" s="33">
        <v>39</v>
      </c>
      <c r="B130" s="44">
        <f>40/0.62</f>
        <v>64.516129032258064</v>
      </c>
      <c r="C130" s="23">
        <v>40</v>
      </c>
      <c r="D130" s="40">
        <f t="shared" si="18"/>
        <v>715.5</v>
      </c>
      <c r="E130" s="40">
        <f t="shared" si="19"/>
        <v>1053</v>
      </c>
      <c r="F130" s="40">
        <f t="shared" si="20"/>
        <v>157.5</v>
      </c>
      <c r="G130" s="39">
        <f t="shared" si="21"/>
        <v>0.67500000000000004</v>
      </c>
      <c r="H130" s="40">
        <v>0</v>
      </c>
      <c r="I130" s="40">
        <v>0</v>
      </c>
      <c r="J130" s="23">
        <v>0</v>
      </c>
      <c r="K130" s="40">
        <v>0</v>
      </c>
      <c r="L130" s="23">
        <v>450</v>
      </c>
      <c r="M130" s="44">
        <v>67.400000000000006</v>
      </c>
    </row>
    <row r="131" spans="1:13" ht="15.75" customHeight="1" x14ac:dyDescent="0.25">
      <c r="A131" s="33">
        <v>78</v>
      </c>
      <c r="B131" s="44">
        <f>40/0.62</f>
        <v>64.516129032258064</v>
      </c>
      <c r="C131" s="23">
        <v>40</v>
      </c>
      <c r="D131" s="40">
        <f t="shared" si="18"/>
        <v>715.5</v>
      </c>
      <c r="E131" s="40">
        <f t="shared" si="19"/>
        <v>1053</v>
      </c>
      <c r="F131" s="40">
        <f t="shared" si="20"/>
        <v>157.5</v>
      </c>
      <c r="G131" s="39">
        <f t="shared" si="21"/>
        <v>0.67500000000000004</v>
      </c>
      <c r="H131" s="40">
        <v>0</v>
      </c>
      <c r="I131" s="40">
        <v>0</v>
      </c>
      <c r="J131" s="23">
        <v>0</v>
      </c>
      <c r="K131" s="40">
        <v>0</v>
      </c>
      <c r="L131" s="23">
        <v>450</v>
      </c>
      <c r="M131" s="44">
        <v>72.3</v>
      </c>
    </row>
    <row r="132" spans="1:13" ht="15.75" customHeight="1" x14ac:dyDescent="0.25">
      <c r="A132" s="33">
        <f>78+39</f>
        <v>117</v>
      </c>
      <c r="B132" s="44">
        <f>40/0.62</f>
        <v>64.516129032258064</v>
      </c>
      <c r="C132" s="23">
        <v>40</v>
      </c>
      <c r="D132" s="40">
        <f t="shared" si="18"/>
        <v>715.5</v>
      </c>
      <c r="E132" s="40">
        <f t="shared" si="19"/>
        <v>1053</v>
      </c>
      <c r="F132" s="40">
        <f t="shared" si="20"/>
        <v>157.5</v>
      </c>
      <c r="G132" s="39">
        <f t="shared" si="21"/>
        <v>0.67500000000000004</v>
      </c>
      <c r="H132" s="40">
        <v>0</v>
      </c>
      <c r="I132" s="40">
        <v>0</v>
      </c>
      <c r="J132" s="23">
        <v>0</v>
      </c>
      <c r="K132" s="40">
        <v>0</v>
      </c>
      <c r="L132" s="23">
        <v>450</v>
      </c>
      <c r="M132" s="44">
        <v>75.900000000000006</v>
      </c>
    </row>
    <row r="133" spans="1:13" ht="15.75" customHeight="1" x14ac:dyDescent="0.25">
      <c r="A133" s="33">
        <v>39</v>
      </c>
      <c r="B133" s="44">
        <f>50/0.62</f>
        <v>80.645161290322577</v>
      </c>
      <c r="C133" s="23">
        <v>50</v>
      </c>
      <c r="D133" s="40">
        <f t="shared" si="18"/>
        <v>715.5</v>
      </c>
      <c r="E133" s="40">
        <f t="shared" si="19"/>
        <v>1053</v>
      </c>
      <c r="F133" s="40">
        <f t="shared" si="20"/>
        <v>157.5</v>
      </c>
      <c r="G133" s="39">
        <f t="shared" si="21"/>
        <v>0.67500000000000004</v>
      </c>
      <c r="H133" s="40">
        <v>0</v>
      </c>
      <c r="I133" s="40">
        <v>0</v>
      </c>
      <c r="J133" s="23">
        <v>0</v>
      </c>
      <c r="K133" s="40">
        <v>0</v>
      </c>
      <c r="L133" s="23">
        <v>450</v>
      </c>
      <c r="M133" s="44">
        <v>73.8</v>
      </c>
    </row>
    <row r="134" spans="1:13" ht="15.75" customHeight="1" x14ac:dyDescent="0.25">
      <c r="A134" s="33">
        <v>78</v>
      </c>
      <c r="B134" s="44">
        <f>50/0.62</f>
        <v>80.645161290322577</v>
      </c>
      <c r="C134" s="23">
        <v>50</v>
      </c>
      <c r="D134" s="40">
        <f t="shared" si="18"/>
        <v>715.5</v>
      </c>
      <c r="E134" s="40">
        <f t="shared" si="19"/>
        <v>1053</v>
      </c>
      <c r="F134" s="40">
        <f t="shared" si="20"/>
        <v>157.5</v>
      </c>
      <c r="G134" s="39">
        <f t="shared" si="21"/>
        <v>0.67500000000000004</v>
      </c>
      <c r="H134" s="40">
        <v>0</v>
      </c>
      <c r="I134" s="40">
        <v>0</v>
      </c>
      <c r="J134" s="23">
        <v>0</v>
      </c>
      <c r="K134" s="40">
        <v>0</v>
      </c>
      <c r="L134" s="23">
        <v>450</v>
      </c>
      <c r="M134" s="44">
        <v>76.400000000000006</v>
      </c>
    </row>
    <row r="135" spans="1:13" ht="15.75" customHeight="1" x14ac:dyDescent="0.25">
      <c r="A135" s="33">
        <f>78+39</f>
        <v>117</v>
      </c>
      <c r="B135" s="44">
        <f>50/0.62</f>
        <v>80.645161290322577</v>
      </c>
      <c r="C135" s="23">
        <v>50</v>
      </c>
      <c r="D135" s="40">
        <f t="shared" si="18"/>
        <v>715.5</v>
      </c>
      <c r="E135" s="40">
        <f t="shared" si="19"/>
        <v>1053</v>
      </c>
      <c r="F135" s="40">
        <f t="shared" si="20"/>
        <v>157.5</v>
      </c>
      <c r="G135" s="39">
        <f t="shared" si="21"/>
        <v>0.67500000000000004</v>
      </c>
      <c r="H135" s="40">
        <v>0</v>
      </c>
      <c r="I135" s="40">
        <v>0</v>
      </c>
      <c r="J135" s="23">
        <v>0</v>
      </c>
      <c r="K135" s="40">
        <v>0</v>
      </c>
      <c r="L135" s="23">
        <v>450</v>
      </c>
      <c r="M135" s="44">
        <v>77.3</v>
      </c>
    </row>
    <row r="136" spans="1:13" ht="15.75" customHeight="1" x14ac:dyDescent="0.25">
      <c r="A136" s="33">
        <v>39</v>
      </c>
      <c r="B136" s="44">
        <f>60/0.75</f>
        <v>80</v>
      </c>
      <c r="C136" s="23">
        <v>60</v>
      </c>
      <c r="D136" s="40">
        <f t="shared" si="18"/>
        <v>715.5</v>
      </c>
      <c r="E136" s="40">
        <f t="shared" si="19"/>
        <v>1053</v>
      </c>
      <c r="F136" s="40">
        <f t="shared" si="20"/>
        <v>157.5</v>
      </c>
      <c r="G136" s="39">
        <f t="shared" si="21"/>
        <v>0.67500000000000004</v>
      </c>
      <c r="H136" s="40">
        <v>0</v>
      </c>
      <c r="I136" s="40">
        <v>0</v>
      </c>
      <c r="J136" s="23">
        <v>0</v>
      </c>
      <c r="K136" s="40">
        <v>0</v>
      </c>
      <c r="L136" s="23">
        <v>450</v>
      </c>
      <c r="M136" s="44">
        <v>68</v>
      </c>
    </row>
    <row r="137" spans="1:13" ht="15.75" customHeight="1" x14ac:dyDescent="0.25">
      <c r="A137" s="33">
        <v>78</v>
      </c>
      <c r="B137" s="44">
        <f>60/0.75</f>
        <v>80</v>
      </c>
      <c r="C137" s="23">
        <v>60</v>
      </c>
      <c r="D137" s="40">
        <f t="shared" si="18"/>
        <v>715.5</v>
      </c>
      <c r="E137" s="40">
        <f t="shared" si="19"/>
        <v>1053</v>
      </c>
      <c r="F137" s="40">
        <f t="shared" si="20"/>
        <v>157.5</v>
      </c>
      <c r="G137" s="39">
        <f t="shared" si="21"/>
        <v>0.67500000000000004</v>
      </c>
      <c r="H137" s="40">
        <v>0</v>
      </c>
      <c r="I137" s="40">
        <v>0</v>
      </c>
      <c r="J137" s="23">
        <v>0</v>
      </c>
      <c r="K137" s="40">
        <v>0</v>
      </c>
      <c r="L137" s="23">
        <v>450</v>
      </c>
      <c r="M137" s="44">
        <v>70.599999999999994</v>
      </c>
    </row>
    <row r="138" spans="1:13" ht="15.75" customHeight="1" x14ac:dyDescent="0.25">
      <c r="A138" s="33">
        <f>78+39</f>
        <v>117</v>
      </c>
      <c r="B138" s="44">
        <f>60/0.75</f>
        <v>80</v>
      </c>
      <c r="C138" s="23">
        <v>60</v>
      </c>
      <c r="D138" s="40">
        <f t="shared" si="18"/>
        <v>715.5</v>
      </c>
      <c r="E138" s="40">
        <f t="shared" si="19"/>
        <v>1053</v>
      </c>
      <c r="F138" s="40">
        <f t="shared" si="20"/>
        <v>157.5</v>
      </c>
      <c r="G138" s="39">
        <f>0.0015*L138</f>
        <v>0.67500000000000004</v>
      </c>
      <c r="H138" s="40">
        <v>0</v>
      </c>
      <c r="I138" s="40">
        <v>0</v>
      </c>
      <c r="J138" s="23">
        <v>0</v>
      </c>
      <c r="K138" s="40">
        <v>0</v>
      </c>
      <c r="L138" s="23">
        <v>450</v>
      </c>
      <c r="M138" s="42">
        <v>85.5</v>
      </c>
    </row>
    <row r="139" spans="1:13" ht="15.75" customHeight="1" x14ac:dyDescent="0.25">
      <c r="A139" s="33">
        <v>0</v>
      </c>
      <c r="B139" s="44">
        <v>0</v>
      </c>
      <c r="C139" s="23">
        <v>0</v>
      </c>
      <c r="D139" s="40">
        <f>1.24*L139</f>
        <v>682</v>
      </c>
      <c r="E139" s="40">
        <f>1.91*L139</f>
        <v>1050.5</v>
      </c>
      <c r="F139" s="40">
        <f>0.25*L139</f>
        <v>137.5</v>
      </c>
      <c r="G139" s="45">
        <f>0.0025*L139</f>
        <v>1.375</v>
      </c>
      <c r="H139" s="40">
        <v>0</v>
      </c>
      <c r="I139" s="40">
        <v>0</v>
      </c>
      <c r="J139" s="23">
        <v>0</v>
      </c>
      <c r="K139" s="40">
        <v>0</v>
      </c>
      <c r="L139" s="40">
        <v>550</v>
      </c>
      <c r="M139" s="42">
        <v>87.5</v>
      </c>
    </row>
    <row r="140" spans="1:13" ht="15.75" customHeight="1" x14ac:dyDescent="0.25">
      <c r="A140" s="33">
        <v>39</v>
      </c>
      <c r="B140" s="44">
        <f>40/0.62</f>
        <v>64.516129032258064</v>
      </c>
      <c r="C140" s="23">
        <v>40</v>
      </c>
      <c r="D140" s="40">
        <f t="shared" ref="D140:D148" si="22">1.24*L140</f>
        <v>682</v>
      </c>
      <c r="E140" s="40">
        <f t="shared" ref="E140:E148" si="23">1.91*L140</f>
        <v>1050.5</v>
      </c>
      <c r="F140" s="40">
        <f t="shared" ref="F140:F148" si="24">0.25*L140</f>
        <v>137.5</v>
      </c>
      <c r="G140" s="45">
        <f t="shared" ref="G140:G148" si="25">0.0025*L140</f>
        <v>1.375</v>
      </c>
      <c r="H140" s="40">
        <v>0</v>
      </c>
      <c r="I140" s="40">
        <v>0</v>
      </c>
      <c r="J140" s="23">
        <v>0</v>
      </c>
      <c r="K140" s="40">
        <v>0</v>
      </c>
      <c r="L140" s="40">
        <v>550</v>
      </c>
      <c r="M140" s="42">
        <v>90.3</v>
      </c>
    </row>
    <row r="141" spans="1:13" ht="15.75" customHeight="1" x14ac:dyDescent="0.25">
      <c r="A141" s="33">
        <v>78</v>
      </c>
      <c r="B141" s="44">
        <f>40/0.62</f>
        <v>64.516129032258064</v>
      </c>
      <c r="C141" s="23">
        <v>40</v>
      </c>
      <c r="D141" s="40">
        <f t="shared" si="22"/>
        <v>682</v>
      </c>
      <c r="E141" s="40">
        <f t="shared" si="23"/>
        <v>1050.5</v>
      </c>
      <c r="F141" s="40">
        <f t="shared" si="24"/>
        <v>137.5</v>
      </c>
      <c r="G141" s="45">
        <f t="shared" si="25"/>
        <v>1.375</v>
      </c>
      <c r="H141" s="40">
        <v>0</v>
      </c>
      <c r="I141" s="40">
        <v>0</v>
      </c>
      <c r="J141" s="23">
        <v>0</v>
      </c>
      <c r="K141" s="40">
        <v>0</v>
      </c>
      <c r="L141" s="40">
        <v>550</v>
      </c>
      <c r="M141" s="42">
        <v>92.7</v>
      </c>
    </row>
    <row r="142" spans="1:13" ht="15.75" customHeight="1" x14ac:dyDescent="0.25">
      <c r="A142" s="33">
        <f>78+39</f>
        <v>117</v>
      </c>
      <c r="B142" s="44">
        <f>40/0.62</f>
        <v>64.516129032258064</v>
      </c>
      <c r="C142" s="23">
        <v>40</v>
      </c>
      <c r="D142" s="40">
        <f t="shared" si="22"/>
        <v>682</v>
      </c>
      <c r="E142" s="40">
        <f t="shared" si="23"/>
        <v>1050.5</v>
      </c>
      <c r="F142" s="40">
        <f t="shared" si="24"/>
        <v>137.5</v>
      </c>
      <c r="G142" s="45">
        <f t="shared" si="25"/>
        <v>1.375</v>
      </c>
      <c r="H142" s="40">
        <v>0</v>
      </c>
      <c r="I142" s="40">
        <v>0</v>
      </c>
      <c r="J142" s="23">
        <v>0</v>
      </c>
      <c r="K142" s="40">
        <v>0</v>
      </c>
      <c r="L142" s="40">
        <v>550</v>
      </c>
      <c r="M142" s="42">
        <v>87</v>
      </c>
    </row>
    <row r="143" spans="1:13" ht="15.75" customHeight="1" x14ac:dyDescent="0.25">
      <c r="A143" s="33">
        <v>39</v>
      </c>
      <c r="B143" s="44">
        <f>50/0.62</f>
        <v>80.645161290322577</v>
      </c>
      <c r="C143" s="23">
        <v>50</v>
      </c>
      <c r="D143" s="40">
        <f t="shared" si="22"/>
        <v>682</v>
      </c>
      <c r="E143" s="40">
        <f t="shared" si="23"/>
        <v>1050.5</v>
      </c>
      <c r="F143" s="40">
        <f t="shared" si="24"/>
        <v>137.5</v>
      </c>
      <c r="G143" s="45">
        <f t="shared" si="25"/>
        <v>1.375</v>
      </c>
      <c r="H143" s="40">
        <v>0</v>
      </c>
      <c r="I143" s="40">
        <v>0</v>
      </c>
      <c r="J143" s="23">
        <v>0</v>
      </c>
      <c r="K143" s="40">
        <v>0</v>
      </c>
      <c r="L143" s="40">
        <v>550</v>
      </c>
      <c r="M143" s="42">
        <v>90.7</v>
      </c>
    </row>
    <row r="144" spans="1:13" ht="15.75" customHeight="1" x14ac:dyDescent="0.25">
      <c r="A144" s="33">
        <v>78</v>
      </c>
      <c r="B144" s="44">
        <f>50/0.62</f>
        <v>80.645161290322577</v>
      </c>
      <c r="C144" s="23">
        <v>50</v>
      </c>
      <c r="D144" s="40">
        <f t="shared" si="22"/>
        <v>682</v>
      </c>
      <c r="E144" s="40">
        <f t="shared" si="23"/>
        <v>1050.5</v>
      </c>
      <c r="F144" s="40">
        <f t="shared" si="24"/>
        <v>137.5</v>
      </c>
      <c r="G144" s="45">
        <f t="shared" si="25"/>
        <v>1.375</v>
      </c>
      <c r="H144" s="40">
        <v>0</v>
      </c>
      <c r="I144" s="40">
        <v>0</v>
      </c>
      <c r="J144" s="23">
        <v>0</v>
      </c>
      <c r="K144" s="40">
        <v>0</v>
      </c>
      <c r="L144" s="40">
        <v>550</v>
      </c>
      <c r="M144" s="42">
        <v>93</v>
      </c>
    </row>
    <row r="145" spans="1:13" ht="15.75" customHeight="1" x14ac:dyDescent="0.25">
      <c r="A145" s="33">
        <f>78+39</f>
        <v>117</v>
      </c>
      <c r="B145" s="44">
        <f>50/0.62</f>
        <v>80.645161290322577</v>
      </c>
      <c r="C145" s="23">
        <v>50</v>
      </c>
      <c r="D145" s="40">
        <f t="shared" si="22"/>
        <v>682</v>
      </c>
      <c r="E145" s="40">
        <f t="shared" si="23"/>
        <v>1050.5</v>
      </c>
      <c r="F145" s="40">
        <f t="shared" si="24"/>
        <v>137.5</v>
      </c>
      <c r="G145" s="45">
        <f t="shared" si="25"/>
        <v>1.375</v>
      </c>
      <c r="H145" s="40">
        <v>0</v>
      </c>
      <c r="I145" s="40">
        <v>0</v>
      </c>
      <c r="J145" s="23">
        <v>0</v>
      </c>
      <c r="K145" s="40">
        <v>0</v>
      </c>
      <c r="L145" s="40">
        <v>550</v>
      </c>
      <c r="M145" s="42">
        <v>86.6</v>
      </c>
    </row>
    <row r="146" spans="1:13" ht="15.75" customHeight="1" x14ac:dyDescent="0.25">
      <c r="A146" s="33">
        <v>39</v>
      </c>
      <c r="B146" s="44">
        <f>60/0.75</f>
        <v>80</v>
      </c>
      <c r="C146" s="23">
        <v>60</v>
      </c>
      <c r="D146" s="40">
        <f t="shared" si="22"/>
        <v>682</v>
      </c>
      <c r="E146" s="40">
        <f t="shared" si="23"/>
        <v>1050.5</v>
      </c>
      <c r="F146" s="40">
        <f t="shared" si="24"/>
        <v>137.5</v>
      </c>
      <c r="G146" s="45">
        <f t="shared" si="25"/>
        <v>1.375</v>
      </c>
      <c r="H146" s="40">
        <v>0</v>
      </c>
      <c r="I146" s="40">
        <v>0</v>
      </c>
      <c r="J146" s="23">
        <v>0</v>
      </c>
      <c r="K146" s="40">
        <v>0</v>
      </c>
      <c r="L146" s="40">
        <v>550</v>
      </c>
      <c r="M146" s="42">
        <v>91.6</v>
      </c>
    </row>
    <row r="147" spans="1:13" ht="15.75" customHeight="1" x14ac:dyDescent="0.25">
      <c r="A147" s="33">
        <v>78</v>
      </c>
      <c r="B147" s="44">
        <f>60/0.75</f>
        <v>80</v>
      </c>
      <c r="C147" s="23">
        <v>60</v>
      </c>
      <c r="D147" s="40">
        <f t="shared" si="22"/>
        <v>682</v>
      </c>
      <c r="E147" s="40">
        <f t="shared" si="23"/>
        <v>1050.5</v>
      </c>
      <c r="F147" s="40">
        <f t="shared" si="24"/>
        <v>137.5</v>
      </c>
      <c r="G147" s="45">
        <f t="shared" si="25"/>
        <v>1.375</v>
      </c>
      <c r="H147" s="40">
        <v>0</v>
      </c>
      <c r="I147" s="40">
        <v>0</v>
      </c>
      <c r="J147" s="23">
        <v>0</v>
      </c>
      <c r="K147" s="40">
        <v>0</v>
      </c>
      <c r="L147" s="40">
        <v>550</v>
      </c>
      <c r="M147" s="42">
        <v>93.8</v>
      </c>
    </row>
    <row r="148" spans="1:13" ht="15.75" customHeight="1" x14ac:dyDescent="0.25">
      <c r="A148" s="33">
        <f>78+39</f>
        <v>117</v>
      </c>
      <c r="B148" s="44">
        <f>60/0.75</f>
        <v>80</v>
      </c>
      <c r="C148" s="23">
        <v>60</v>
      </c>
      <c r="D148" s="40">
        <f t="shared" si="22"/>
        <v>682</v>
      </c>
      <c r="E148" s="40">
        <f t="shared" si="23"/>
        <v>1050.5</v>
      </c>
      <c r="F148" s="40">
        <f t="shared" si="24"/>
        <v>137.5</v>
      </c>
      <c r="G148" s="45">
        <f t="shared" si="25"/>
        <v>1.375</v>
      </c>
      <c r="H148" s="40">
        <v>0</v>
      </c>
      <c r="I148" s="40">
        <v>0</v>
      </c>
      <c r="J148" s="23">
        <v>0</v>
      </c>
      <c r="K148" s="40">
        <v>0</v>
      </c>
      <c r="L148" s="40">
        <v>550</v>
      </c>
      <c r="M148" s="44">
        <v>78.599999999999994</v>
      </c>
    </row>
    <row r="149" spans="1:13" ht="15.75" customHeight="1" x14ac:dyDescent="0.25">
      <c r="A149" s="41">
        <v>0</v>
      </c>
      <c r="B149" s="42">
        <v>0</v>
      </c>
      <c r="C149" s="40">
        <v>0</v>
      </c>
      <c r="D149" s="40">
        <f t="shared" ref="D149:D163" si="26">417*1.74</f>
        <v>725.58</v>
      </c>
      <c r="E149" s="40">
        <f t="shared" ref="E149:E163" si="27">417*2.6</f>
        <v>1084.2</v>
      </c>
      <c r="F149" s="40">
        <f t="shared" ref="F149:F163" si="28">417*0.42</f>
        <v>175.14</v>
      </c>
      <c r="G149" s="42">
        <v>4.2</v>
      </c>
      <c r="H149" s="40">
        <v>0</v>
      </c>
      <c r="I149" s="40">
        <v>0</v>
      </c>
      <c r="J149" s="23">
        <v>0</v>
      </c>
      <c r="K149" s="40">
        <v>0</v>
      </c>
      <c r="L149" s="40">
        <v>417</v>
      </c>
      <c r="M149" s="42">
        <v>47.53</v>
      </c>
    </row>
    <row r="150" spans="1:13" ht="15.75" customHeight="1" x14ac:dyDescent="0.25">
      <c r="A150" s="41">
        <f>79/2</f>
        <v>39.5</v>
      </c>
      <c r="B150" s="42">
        <f>12/0.2</f>
        <v>60</v>
      </c>
      <c r="C150" s="40">
        <v>12</v>
      </c>
      <c r="D150" s="40">
        <f t="shared" si="26"/>
        <v>725.58</v>
      </c>
      <c r="E150" s="40">
        <f t="shared" si="27"/>
        <v>1084.2</v>
      </c>
      <c r="F150" s="40">
        <f t="shared" si="28"/>
        <v>175.14</v>
      </c>
      <c r="G150" s="42">
        <v>4.2</v>
      </c>
      <c r="H150" s="40">
        <v>0</v>
      </c>
      <c r="I150" s="40">
        <v>0</v>
      </c>
      <c r="J150" s="23">
        <v>0</v>
      </c>
      <c r="K150" s="40">
        <v>0</v>
      </c>
      <c r="L150" s="40">
        <v>417</v>
      </c>
      <c r="M150" s="42">
        <v>49.35</v>
      </c>
    </row>
    <row r="151" spans="1:13" ht="15.75" customHeight="1" x14ac:dyDescent="0.25">
      <c r="A151" s="41">
        <v>79</v>
      </c>
      <c r="B151" s="42">
        <f>12/0.2</f>
        <v>60</v>
      </c>
      <c r="C151" s="40">
        <v>12</v>
      </c>
      <c r="D151" s="40">
        <f t="shared" si="26"/>
        <v>725.58</v>
      </c>
      <c r="E151" s="40">
        <f t="shared" si="27"/>
        <v>1084.2</v>
      </c>
      <c r="F151" s="40">
        <f t="shared" si="28"/>
        <v>175.14</v>
      </c>
      <c r="G151" s="42">
        <v>4.2</v>
      </c>
      <c r="H151" s="40">
        <v>0</v>
      </c>
      <c r="I151" s="40">
        <v>0</v>
      </c>
      <c r="J151" s="23">
        <v>0</v>
      </c>
      <c r="K151" s="40">
        <v>0</v>
      </c>
      <c r="L151" s="40">
        <v>417</v>
      </c>
      <c r="M151" s="42">
        <v>51.44</v>
      </c>
    </row>
    <row r="152" spans="1:13" ht="15.75" customHeight="1" x14ac:dyDescent="0.25">
      <c r="A152" s="41">
        <f>79*1.5</f>
        <v>118.5</v>
      </c>
      <c r="B152" s="42">
        <f>12/0.2</f>
        <v>60</v>
      </c>
      <c r="C152" s="40">
        <v>12</v>
      </c>
      <c r="D152" s="40">
        <f t="shared" si="26"/>
        <v>725.58</v>
      </c>
      <c r="E152" s="40">
        <f t="shared" si="27"/>
        <v>1084.2</v>
      </c>
      <c r="F152" s="40">
        <f t="shared" si="28"/>
        <v>175.14</v>
      </c>
      <c r="G152" s="42">
        <v>4.2</v>
      </c>
      <c r="H152" s="40">
        <v>0</v>
      </c>
      <c r="I152" s="40">
        <v>0</v>
      </c>
      <c r="J152" s="23">
        <v>0</v>
      </c>
      <c r="K152" s="40">
        <v>0</v>
      </c>
      <c r="L152" s="40">
        <v>417</v>
      </c>
      <c r="M152" s="42">
        <v>53.21</v>
      </c>
    </row>
    <row r="153" spans="1:13" ht="15.75" customHeight="1" x14ac:dyDescent="0.25">
      <c r="A153" s="41">
        <f>79*2</f>
        <v>158</v>
      </c>
      <c r="B153" s="42">
        <f>12/0.2</f>
        <v>60</v>
      </c>
      <c r="C153" s="40">
        <v>12</v>
      </c>
      <c r="D153" s="40">
        <f t="shared" si="26"/>
        <v>725.58</v>
      </c>
      <c r="E153" s="40">
        <f t="shared" si="27"/>
        <v>1084.2</v>
      </c>
      <c r="F153" s="40">
        <f t="shared" si="28"/>
        <v>175.14</v>
      </c>
      <c r="G153" s="42">
        <v>4.2</v>
      </c>
      <c r="H153" s="40">
        <v>0</v>
      </c>
      <c r="I153" s="40">
        <v>0</v>
      </c>
      <c r="J153" s="23">
        <v>0</v>
      </c>
      <c r="K153" s="40">
        <v>0</v>
      </c>
      <c r="L153" s="40">
        <v>417</v>
      </c>
      <c r="M153" s="42">
        <v>52.25</v>
      </c>
    </row>
    <row r="154" spans="1:13" ht="15.75" customHeight="1" x14ac:dyDescent="0.25">
      <c r="A154" s="41">
        <f>79/2</f>
        <v>39.5</v>
      </c>
      <c r="B154" s="42">
        <f>30/0.5</f>
        <v>60</v>
      </c>
      <c r="C154" s="40">
        <v>30</v>
      </c>
      <c r="D154" s="40">
        <f t="shared" si="26"/>
        <v>725.58</v>
      </c>
      <c r="E154" s="40">
        <f t="shared" si="27"/>
        <v>1084.2</v>
      </c>
      <c r="F154" s="40">
        <f t="shared" si="28"/>
        <v>175.14</v>
      </c>
      <c r="G154" s="42">
        <v>4.2</v>
      </c>
      <c r="H154" s="40">
        <v>0</v>
      </c>
      <c r="I154" s="40">
        <v>0</v>
      </c>
      <c r="J154" s="23">
        <v>0</v>
      </c>
      <c r="K154" s="40">
        <v>0</v>
      </c>
      <c r="L154" s="40">
        <v>417</v>
      </c>
      <c r="M154" s="42">
        <v>50.76</v>
      </c>
    </row>
    <row r="155" spans="1:13" ht="15.75" customHeight="1" x14ac:dyDescent="0.25">
      <c r="A155" s="41">
        <v>79</v>
      </c>
      <c r="B155" s="42">
        <f>30/0.5</f>
        <v>60</v>
      </c>
      <c r="C155" s="40">
        <v>30</v>
      </c>
      <c r="D155" s="40">
        <f t="shared" si="26"/>
        <v>725.58</v>
      </c>
      <c r="E155" s="40">
        <f t="shared" si="27"/>
        <v>1084.2</v>
      </c>
      <c r="F155" s="40">
        <f t="shared" si="28"/>
        <v>175.14</v>
      </c>
      <c r="G155" s="42">
        <v>4.2</v>
      </c>
      <c r="H155" s="40">
        <v>0</v>
      </c>
      <c r="I155" s="40">
        <v>0</v>
      </c>
      <c r="J155" s="23">
        <v>0</v>
      </c>
      <c r="K155" s="40">
        <v>0</v>
      </c>
      <c r="L155" s="40">
        <v>417</v>
      </c>
      <c r="M155" s="42">
        <v>51.92</v>
      </c>
    </row>
    <row r="156" spans="1:13" ht="15.75" customHeight="1" x14ac:dyDescent="0.25">
      <c r="A156" s="41">
        <f>79*1.5</f>
        <v>118.5</v>
      </c>
      <c r="B156" s="42">
        <f>30/0.5</f>
        <v>60</v>
      </c>
      <c r="C156" s="40">
        <v>30</v>
      </c>
      <c r="D156" s="40">
        <f t="shared" si="26"/>
        <v>725.58</v>
      </c>
      <c r="E156" s="40">
        <f t="shared" si="27"/>
        <v>1084.2</v>
      </c>
      <c r="F156" s="40">
        <f t="shared" si="28"/>
        <v>175.14</v>
      </c>
      <c r="G156" s="42">
        <v>4.2</v>
      </c>
      <c r="H156" s="40">
        <v>0</v>
      </c>
      <c r="I156" s="40">
        <v>0</v>
      </c>
      <c r="J156" s="23">
        <v>0</v>
      </c>
      <c r="K156" s="40">
        <v>0</v>
      </c>
      <c r="L156" s="40">
        <v>417</v>
      </c>
      <c r="M156" s="42">
        <v>53.65</v>
      </c>
    </row>
    <row r="157" spans="1:13" ht="15.75" customHeight="1" x14ac:dyDescent="0.25">
      <c r="A157" s="41">
        <f>79*2</f>
        <v>158</v>
      </c>
      <c r="B157" s="42">
        <f>30/0.5</f>
        <v>60</v>
      </c>
      <c r="C157" s="40">
        <v>30</v>
      </c>
      <c r="D157" s="40">
        <f t="shared" si="26"/>
        <v>725.58</v>
      </c>
      <c r="E157" s="40">
        <f t="shared" si="27"/>
        <v>1084.2</v>
      </c>
      <c r="F157" s="40">
        <f t="shared" si="28"/>
        <v>175.14</v>
      </c>
      <c r="G157" s="42">
        <v>4.2</v>
      </c>
      <c r="H157" s="40">
        <v>0</v>
      </c>
      <c r="I157" s="40">
        <v>0</v>
      </c>
      <c r="J157" s="23">
        <v>0</v>
      </c>
      <c r="K157" s="40">
        <v>0</v>
      </c>
      <c r="L157" s="40">
        <v>417</v>
      </c>
      <c r="M157" s="42">
        <v>53.05</v>
      </c>
    </row>
    <row r="158" spans="1:13" ht="15.75" customHeight="1" x14ac:dyDescent="0.25">
      <c r="A158" s="41">
        <f>79/2</f>
        <v>39.5</v>
      </c>
      <c r="B158" s="42">
        <f>45/0.75</f>
        <v>60</v>
      </c>
      <c r="C158" s="40">
        <v>45</v>
      </c>
      <c r="D158" s="40">
        <f t="shared" si="26"/>
        <v>725.58</v>
      </c>
      <c r="E158" s="40">
        <f t="shared" si="27"/>
        <v>1084.2</v>
      </c>
      <c r="F158" s="40">
        <f t="shared" si="28"/>
        <v>175.14</v>
      </c>
      <c r="G158" s="42">
        <v>4.2</v>
      </c>
      <c r="H158" s="40">
        <v>0</v>
      </c>
      <c r="I158" s="40">
        <v>0</v>
      </c>
      <c r="J158" s="23">
        <v>0</v>
      </c>
      <c r="K158" s="40">
        <v>0</v>
      </c>
      <c r="L158" s="40">
        <v>417</v>
      </c>
      <c r="M158" s="42">
        <v>50.09</v>
      </c>
    </row>
    <row r="159" spans="1:13" ht="15.75" customHeight="1" x14ac:dyDescent="0.25">
      <c r="A159" s="41">
        <v>79</v>
      </c>
      <c r="B159" s="42">
        <f>45/0.75</f>
        <v>60</v>
      </c>
      <c r="C159" s="40">
        <v>45</v>
      </c>
      <c r="D159" s="40">
        <f t="shared" si="26"/>
        <v>725.58</v>
      </c>
      <c r="E159" s="40">
        <f t="shared" si="27"/>
        <v>1084.2</v>
      </c>
      <c r="F159" s="40">
        <f t="shared" si="28"/>
        <v>175.14</v>
      </c>
      <c r="G159" s="42">
        <v>4.2</v>
      </c>
      <c r="H159" s="40">
        <v>0</v>
      </c>
      <c r="I159" s="40">
        <v>0</v>
      </c>
      <c r="J159" s="23">
        <v>0</v>
      </c>
      <c r="K159" s="40">
        <v>0</v>
      </c>
      <c r="L159" s="40">
        <v>417</v>
      </c>
      <c r="M159" s="42">
        <v>51.75</v>
      </c>
    </row>
    <row r="160" spans="1:13" ht="15.75" customHeight="1" x14ac:dyDescent="0.25">
      <c r="A160" s="41">
        <f>79*1.5</f>
        <v>118.5</v>
      </c>
      <c r="B160" s="42">
        <f>45/0.75</f>
        <v>60</v>
      </c>
      <c r="C160" s="40">
        <v>45</v>
      </c>
      <c r="D160" s="40">
        <f t="shared" si="26"/>
        <v>725.58</v>
      </c>
      <c r="E160" s="40">
        <f t="shared" si="27"/>
        <v>1084.2</v>
      </c>
      <c r="F160" s="40">
        <f t="shared" si="28"/>
        <v>175.14</v>
      </c>
      <c r="G160" s="42">
        <v>4.2</v>
      </c>
      <c r="H160" s="40">
        <v>0</v>
      </c>
      <c r="I160" s="40">
        <v>0</v>
      </c>
      <c r="J160" s="23">
        <v>0</v>
      </c>
      <c r="K160" s="40">
        <v>0</v>
      </c>
      <c r="L160" s="40">
        <v>417</v>
      </c>
      <c r="M160" s="42">
        <v>52.91</v>
      </c>
    </row>
    <row r="161" spans="1:13" ht="15.75" customHeight="1" x14ac:dyDescent="0.25">
      <c r="A161" s="41">
        <f>79*2</f>
        <v>158</v>
      </c>
      <c r="B161" s="42">
        <f>45/0.75</f>
        <v>60</v>
      </c>
      <c r="C161" s="40">
        <v>45</v>
      </c>
      <c r="D161" s="40">
        <f t="shared" si="26"/>
        <v>725.58</v>
      </c>
      <c r="E161" s="40">
        <f t="shared" si="27"/>
        <v>1084.2</v>
      </c>
      <c r="F161" s="40">
        <f t="shared" si="28"/>
        <v>175.14</v>
      </c>
      <c r="G161" s="42">
        <v>4.2</v>
      </c>
      <c r="H161" s="40">
        <v>0</v>
      </c>
      <c r="I161" s="40">
        <v>0</v>
      </c>
      <c r="J161" s="23">
        <v>0</v>
      </c>
      <c r="K161" s="40">
        <v>0</v>
      </c>
      <c r="L161" s="40">
        <v>417</v>
      </c>
      <c r="M161" s="42">
        <v>52.92</v>
      </c>
    </row>
    <row r="162" spans="1:13" ht="15.75" customHeight="1" x14ac:dyDescent="0.25">
      <c r="A162" s="41">
        <f>79*1.5</f>
        <v>118.5</v>
      </c>
      <c r="B162" s="42">
        <f>30/0.75</f>
        <v>40</v>
      </c>
      <c r="C162" s="40">
        <v>30</v>
      </c>
      <c r="D162" s="40">
        <f t="shared" si="26"/>
        <v>725.58</v>
      </c>
      <c r="E162" s="40">
        <f t="shared" si="27"/>
        <v>1084.2</v>
      </c>
      <c r="F162" s="40">
        <f t="shared" si="28"/>
        <v>175.14</v>
      </c>
      <c r="G162" s="42">
        <v>4.2</v>
      </c>
      <c r="H162" s="40">
        <v>0</v>
      </c>
      <c r="I162" s="40">
        <v>0</v>
      </c>
      <c r="J162" s="23">
        <v>0</v>
      </c>
      <c r="K162" s="40">
        <v>0</v>
      </c>
      <c r="L162" s="40">
        <v>417</v>
      </c>
      <c r="M162" s="42">
        <v>52.64</v>
      </c>
    </row>
    <row r="163" spans="1:13" ht="15.75" customHeight="1" x14ac:dyDescent="0.25">
      <c r="A163" s="41">
        <f>79*1.5</f>
        <v>118.5</v>
      </c>
      <c r="B163" s="42">
        <f>60/0.75</f>
        <v>80</v>
      </c>
      <c r="C163" s="40">
        <v>60</v>
      </c>
      <c r="D163" s="40">
        <f t="shared" si="26"/>
        <v>725.58</v>
      </c>
      <c r="E163" s="40">
        <f t="shared" si="27"/>
        <v>1084.2</v>
      </c>
      <c r="F163" s="40">
        <f t="shared" si="28"/>
        <v>175.14</v>
      </c>
      <c r="G163" s="42">
        <v>4.2</v>
      </c>
      <c r="H163" s="40">
        <v>0</v>
      </c>
      <c r="I163" s="40">
        <v>0</v>
      </c>
      <c r="J163" s="23">
        <v>0</v>
      </c>
      <c r="K163" s="40">
        <v>0</v>
      </c>
      <c r="L163" s="40">
        <v>417</v>
      </c>
      <c r="M163" s="42">
        <v>52.75</v>
      </c>
    </row>
    <row r="164" spans="1:13" ht="15.75" customHeight="1" x14ac:dyDescent="0.25">
      <c r="A164" s="41">
        <v>0</v>
      </c>
      <c r="B164" s="42">
        <v>0</v>
      </c>
      <c r="C164" s="40">
        <v>0</v>
      </c>
      <c r="D164" s="40">
        <f>438*1.46</f>
        <v>639.48</v>
      </c>
      <c r="E164" s="40">
        <f>438*2.58</f>
        <v>1130.04</v>
      </c>
      <c r="F164" s="40">
        <f>438*0.45</f>
        <v>197.1</v>
      </c>
      <c r="G164" s="42">
        <v>0</v>
      </c>
      <c r="H164" s="40">
        <v>0</v>
      </c>
      <c r="I164" s="40">
        <v>0</v>
      </c>
      <c r="J164" s="23">
        <v>0</v>
      </c>
      <c r="K164" s="40">
        <v>0</v>
      </c>
      <c r="L164" s="49">
        <v>437.77</v>
      </c>
      <c r="M164" s="42">
        <v>42.88</v>
      </c>
    </row>
    <row r="165" spans="1:13" ht="15.75" customHeight="1" x14ac:dyDescent="0.25">
      <c r="A165" s="41">
        <v>78.5</v>
      </c>
      <c r="B165" s="42">
        <f>C165/0.5</f>
        <v>60</v>
      </c>
      <c r="C165" s="40">
        <v>30</v>
      </c>
      <c r="D165" s="40">
        <f>438*1.46</f>
        <v>639.48</v>
      </c>
      <c r="E165" s="40">
        <f>438*2.58</f>
        <v>1130.04</v>
      </c>
      <c r="F165" s="40">
        <f>438*0.46</f>
        <v>201.48000000000002</v>
      </c>
      <c r="G165" s="42">
        <v>0</v>
      </c>
      <c r="H165" s="40">
        <v>0</v>
      </c>
      <c r="I165" s="40">
        <v>0</v>
      </c>
      <c r="J165" s="23">
        <v>0</v>
      </c>
      <c r="K165" s="40">
        <v>0</v>
      </c>
      <c r="L165" s="49">
        <v>437.77</v>
      </c>
      <c r="M165" s="42">
        <v>47.03</v>
      </c>
    </row>
    <row r="166" spans="1:13" ht="15.75" customHeight="1" x14ac:dyDescent="0.25">
      <c r="A166" s="41">
        <v>157</v>
      </c>
      <c r="B166" s="42">
        <f>C166/0.5</f>
        <v>60</v>
      </c>
      <c r="C166" s="40">
        <v>30</v>
      </c>
      <c r="D166" s="40">
        <f>438*1.46</f>
        <v>639.48</v>
      </c>
      <c r="E166" s="40">
        <f>438*2.58</f>
        <v>1130.04</v>
      </c>
      <c r="F166" s="40">
        <f>438*0.47</f>
        <v>205.85999999999999</v>
      </c>
      <c r="G166" s="42">
        <v>0</v>
      </c>
      <c r="H166" s="40">
        <v>0</v>
      </c>
      <c r="I166" s="40">
        <v>0</v>
      </c>
      <c r="J166" s="23">
        <v>0</v>
      </c>
      <c r="K166" s="40">
        <v>0</v>
      </c>
      <c r="L166" s="49">
        <v>437.77</v>
      </c>
      <c r="M166" s="42">
        <v>49.48</v>
      </c>
    </row>
    <row r="167" spans="1:13" ht="15.75" customHeight="1" x14ac:dyDescent="0.25">
      <c r="A167" s="41">
        <v>235.5</v>
      </c>
      <c r="B167" s="42">
        <f>C167/0.5</f>
        <v>60</v>
      </c>
      <c r="C167" s="40">
        <v>30</v>
      </c>
      <c r="D167" s="40">
        <f>438*1.46</f>
        <v>639.48</v>
      </c>
      <c r="E167" s="40">
        <f>438*2.58</f>
        <v>1130.04</v>
      </c>
      <c r="F167" s="40">
        <f>438*0.48</f>
        <v>210.23999999999998</v>
      </c>
      <c r="G167" s="45">
        <v>0</v>
      </c>
      <c r="H167" s="40">
        <v>0</v>
      </c>
      <c r="I167" s="40">
        <v>0</v>
      </c>
      <c r="J167" s="23">
        <v>0</v>
      </c>
      <c r="K167" s="40">
        <v>0</v>
      </c>
      <c r="L167" s="49">
        <v>437.77</v>
      </c>
      <c r="M167" s="42">
        <v>45.33</v>
      </c>
    </row>
    <row r="168" spans="1:13" ht="15.75" customHeight="1" x14ac:dyDescent="0.25">
      <c r="A168" s="33">
        <f>0.015*7810</f>
        <v>117.14999999999999</v>
      </c>
      <c r="B168" s="44">
        <f>30/0.69</f>
        <v>43.478260869565219</v>
      </c>
      <c r="C168" s="23">
        <v>30</v>
      </c>
      <c r="D168" s="40">
        <f>200*5.01</f>
        <v>1002</v>
      </c>
      <c r="E168" s="40">
        <f>200*3.99</f>
        <v>798</v>
      </c>
      <c r="F168" s="40">
        <f>200*0.44</f>
        <v>88</v>
      </c>
      <c r="G168" s="44">
        <v>7.87</v>
      </c>
      <c r="H168" s="40">
        <v>0</v>
      </c>
      <c r="I168" s="40">
        <v>0</v>
      </c>
      <c r="J168" s="23">
        <v>0</v>
      </c>
      <c r="K168" s="40">
        <v>0</v>
      </c>
      <c r="L168" s="23">
        <v>200</v>
      </c>
      <c r="M168" s="44">
        <v>47.3</v>
      </c>
    </row>
    <row r="169" spans="1:13" ht="15.75" customHeight="1" x14ac:dyDescent="0.25">
      <c r="A169" s="33">
        <f>0.025*7810</f>
        <v>195.25</v>
      </c>
      <c r="B169" s="44">
        <f>30/0.69</f>
        <v>43.478260869565219</v>
      </c>
      <c r="C169" s="23">
        <v>30</v>
      </c>
      <c r="D169" s="40">
        <v>1002</v>
      </c>
      <c r="E169" s="40">
        <v>798</v>
      </c>
      <c r="F169" s="40">
        <v>88</v>
      </c>
      <c r="G169" s="44">
        <v>9.68</v>
      </c>
      <c r="H169" s="40">
        <v>0</v>
      </c>
      <c r="I169" s="40">
        <v>0</v>
      </c>
      <c r="J169" s="23">
        <v>0</v>
      </c>
      <c r="K169" s="40">
        <v>0</v>
      </c>
      <c r="L169" s="23">
        <v>200</v>
      </c>
      <c r="M169" s="44">
        <v>49.2</v>
      </c>
    </row>
    <row r="170" spans="1:13" ht="15.75" customHeight="1" x14ac:dyDescent="0.25">
      <c r="A170" s="33">
        <f>0.04*7810</f>
        <v>312.40000000000003</v>
      </c>
      <c r="B170" s="44">
        <f>30/0.69</f>
        <v>43.478260869565219</v>
      </c>
      <c r="C170" s="23">
        <v>30</v>
      </c>
      <c r="D170" s="40">
        <f>200*5.01</f>
        <v>1002</v>
      </c>
      <c r="E170" s="40">
        <f>200*3.99</f>
        <v>798</v>
      </c>
      <c r="F170" s="40">
        <f>200*0.44</f>
        <v>88</v>
      </c>
      <c r="G170" s="44">
        <v>16.940000000000001</v>
      </c>
      <c r="H170" s="40">
        <v>0</v>
      </c>
      <c r="I170" s="40">
        <v>0</v>
      </c>
      <c r="J170" s="23">
        <v>0</v>
      </c>
      <c r="K170" s="40">
        <v>0</v>
      </c>
      <c r="L170" s="23">
        <v>200</v>
      </c>
      <c r="M170" s="44">
        <v>53.3</v>
      </c>
    </row>
    <row r="171" spans="1:13" ht="15.75" customHeight="1" x14ac:dyDescent="0.25">
      <c r="A171" s="33">
        <v>0</v>
      </c>
      <c r="B171" s="44">
        <v>0</v>
      </c>
      <c r="C171" s="23">
        <v>0</v>
      </c>
      <c r="D171" s="40">
        <f>460*1.69</f>
        <v>777.4</v>
      </c>
      <c r="E171" s="40">
        <f>460*2.06</f>
        <v>947.6</v>
      </c>
      <c r="F171" s="40">
        <f>460*0.37</f>
        <v>170.2</v>
      </c>
      <c r="G171" s="44">
        <v>6.6</v>
      </c>
      <c r="H171" s="40">
        <v>0</v>
      </c>
      <c r="I171" s="40">
        <v>0</v>
      </c>
      <c r="J171" s="23">
        <v>0</v>
      </c>
      <c r="K171" s="40">
        <v>0</v>
      </c>
      <c r="L171" s="23">
        <v>460</v>
      </c>
      <c r="M171" s="44">
        <v>43.4</v>
      </c>
    </row>
    <row r="172" spans="1:13" ht="15.75" customHeight="1" x14ac:dyDescent="0.25">
      <c r="A172" s="33">
        <v>20</v>
      </c>
      <c r="B172" s="44">
        <v>63.64</v>
      </c>
      <c r="C172" s="23">
        <v>35</v>
      </c>
      <c r="D172" s="40">
        <f>460*1.69</f>
        <v>777.4</v>
      </c>
      <c r="E172" s="40">
        <f>460*2.06</f>
        <v>947.6</v>
      </c>
      <c r="F172" s="40">
        <f>460*0.37</f>
        <v>170.2</v>
      </c>
      <c r="G172" s="44">
        <v>6.6</v>
      </c>
      <c r="H172" s="40">
        <v>0</v>
      </c>
      <c r="I172" s="40">
        <v>0</v>
      </c>
      <c r="J172" s="23">
        <v>0</v>
      </c>
      <c r="K172" s="40">
        <v>0</v>
      </c>
      <c r="L172" s="23">
        <v>460</v>
      </c>
      <c r="M172" s="44">
        <v>46.2</v>
      </c>
    </row>
    <row r="173" spans="1:13" ht="15.75" customHeight="1" x14ac:dyDescent="0.25">
      <c r="A173" s="33">
        <v>40</v>
      </c>
      <c r="B173" s="44">
        <v>63.64</v>
      </c>
      <c r="C173" s="23">
        <v>35</v>
      </c>
      <c r="D173" s="40">
        <f>460*1.69</f>
        <v>777.4</v>
      </c>
      <c r="E173" s="40">
        <f>460*2.06</f>
        <v>947.6</v>
      </c>
      <c r="F173" s="40">
        <f>460*0.37</f>
        <v>170.2</v>
      </c>
      <c r="G173" s="44">
        <v>6.6</v>
      </c>
      <c r="H173" s="40">
        <v>0</v>
      </c>
      <c r="I173" s="40">
        <v>0</v>
      </c>
      <c r="J173" s="23">
        <v>0</v>
      </c>
      <c r="K173" s="40">
        <v>0</v>
      </c>
      <c r="L173" s="23">
        <v>460</v>
      </c>
      <c r="M173" s="44">
        <v>48.9</v>
      </c>
    </row>
    <row r="174" spans="1:13" ht="15.75" customHeight="1" x14ac:dyDescent="0.25">
      <c r="A174" s="33">
        <v>60</v>
      </c>
      <c r="B174" s="44">
        <v>63.64</v>
      </c>
      <c r="C174" s="23">
        <v>35</v>
      </c>
      <c r="D174" s="40">
        <f>460*1.69</f>
        <v>777.4</v>
      </c>
      <c r="E174" s="40">
        <f>460*2.06</f>
        <v>947.6</v>
      </c>
      <c r="F174" s="40">
        <f>460*0.37</f>
        <v>170.2</v>
      </c>
      <c r="G174" s="44">
        <v>6.6</v>
      </c>
      <c r="H174" s="40">
        <v>0</v>
      </c>
      <c r="I174" s="40">
        <v>0</v>
      </c>
      <c r="J174" s="23">
        <v>0</v>
      </c>
      <c r="K174" s="40">
        <v>0</v>
      </c>
      <c r="L174" s="23">
        <v>460</v>
      </c>
      <c r="M174" s="44">
        <v>36.6</v>
      </c>
    </row>
    <row r="175" spans="1:13" ht="15.75" customHeight="1" x14ac:dyDescent="0.25">
      <c r="A175" s="33">
        <v>80</v>
      </c>
      <c r="B175" s="44">
        <v>63.64</v>
      </c>
      <c r="C175" s="23">
        <v>35</v>
      </c>
      <c r="D175" s="40">
        <f>460*1.69</f>
        <v>777.4</v>
      </c>
      <c r="E175" s="40">
        <f>460*2.06</f>
        <v>947.6</v>
      </c>
      <c r="F175" s="40">
        <f>460*0.37</f>
        <v>170.2</v>
      </c>
      <c r="G175" s="44">
        <v>6.6</v>
      </c>
      <c r="H175" s="40">
        <v>0</v>
      </c>
      <c r="I175" s="40">
        <v>0</v>
      </c>
      <c r="J175" s="23">
        <v>0</v>
      </c>
      <c r="K175" s="40">
        <v>0</v>
      </c>
      <c r="L175" s="23">
        <v>460</v>
      </c>
      <c r="M175" s="44">
        <v>40.9</v>
      </c>
    </row>
    <row r="176" spans="1:13" ht="15.75" customHeight="1" x14ac:dyDescent="0.25">
      <c r="A176" s="33">
        <v>0</v>
      </c>
      <c r="B176" s="44">
        <v>0</v>
      </c>
      <c r="C176" s="23">
        <v>0</v>
      </c>
      <c r="D176" s="40">
        <f>429*1.61</f>
        <v>690.69</v>
      </c>
      <c r="E176" s="40">
        <f t="shared" ref="E176:E185" si="29">429*2.31</f>
        <v>990.99</v>
      </c>
      <c r="F176" s="40">
        <f>429*0.5</f>
        <v>214.5</v>
      </c>
      <c r="G176" s="44">
        <f>0.0005*L176</f>
        <v>0.2145</v>
      </c>
      <c r="H176" s="40">
        <v>0</v>
      </c>
      <c r="I176" s="40">
        <v>0</v>
      </c>
      <c r="J176" s="23">
        <v>0</v>
      </c>
      <c r="K176" s="40">
        <v>0</v>
      </c>
      <c r="L176" s="23">
        <v>429</v>
      </c>
      <c r="M176" s="44">
        <v>42.84</v>
      </c>
    </row>
    <row r="177" spans="1:13" ht="15.75" customHeight="1" x14ac:dyDescent="0.25">
      <c r="A177" s="38">
        <f>0.005*7850</f>
        <v>39.25</v>
      </c>
      <c r="B177" s="44">
        <f>35/0.54</f>
        <v>64.81481481481481</v>
      </c>
      <c r="C177" s="23">
        <v>35</v>
      </c>
      <c r="D177" s="40">
        <f>429*1.61</f>
        <v>690.69</v>
      </c>
      <c r="E177" s="40">
        <f t="shared" si="29"/>
        <v>990.99</v>
      </c>
      <c r="F177" s="40">
        <f>429*0.5</f>
        <v>214.5</v>
      </c>
      <c r="G177" s="44">
        <f>0.0005*L177</f>
        <v>0.2145</v>
      </c>
      <c r="H177" s="40">
        <v>0</v>
      </c>
      <c r="I177" s="40">
        <v>0</v>
      </c>
      <c r="J177" s="23">
        <v>0</v>
      </c>
      <c r="K177" s="40">
        <v>0</v>
      </c>
      <c r="L177" s="23">
        <v>429</v>
      </c>
      <c r="M177" s="44">
        <v>46.57</v>
      </c>
    </row>
    <row r="178" spans="1:13" ht="15.75" customHeight="1" x14ac:dyDescent="0.25">
      <c r="A178" s="38">
        <f>0.01*7850</f>
        <v>78.5</v>
      </c>
      <c r="B178" s="44">
        <f>35/0.54</f>
        <v>64.81481481481481</v>
      </c>
      <c r="C178" s="23">
        <v>35</v>
      </c>
      <c r="D178" s="40">
        <f>429*1.61</f>
        <v>690.69</v>
      </c>
      <c r="E178" s="40">
        <f t="shared" si="29"/>
        <v>990.99</v>
      </c>
      <c r="F178" s="40">
        <f>429*0.5</f>
        <v>214.5</v>
      </c>
      <c r="G178" s="44">
        <f>0.0005*L178</f>
        <v>0.2145</v>
      </c>
      <c r="H178" s="40">
        <v>0</v>
      </c>
      <c r="I178" s="40">
        <v>0</v>
      </c>
      <c r="J178" s="23">
        <v>0</v>
      </c>
      <c r="K178" s="40">
        <v>0</v>
      </c>
      <c r="L178" s="23">
        <v>429</v>
      </c>
      <c r="M178" s="44">
        <v>46.84</v>
      </c>
    </row>
    <row r="179" spans="1:13" ht="15.75" customHeight="1" x14ac:dyDescent="0.25">
      <c r="A179" s="38">
        <f>0.005*7850</f>
        <v>39.25</v>
      </c>
      <c r="B179" s="44">
        <f>60/0.92</f>
        <v>65.217391304347828</v>
      </c>
      <c r="C179" s="23">
        <v>60</v>
      </c>
      <c r="D179" s="40">
        <f>429*1.61</f>
        <v>690.69</v>
      </c>
      <c r="E179" s="40">
        <f t="shared" si="29"/>
        <v>990.99</v>
      </c>
      <c r="F179" s="40">
        <f>429*0.5</f>
        <v>214.5</v>
      </c>
      <c r="G179" s="44">
        <f>0.0005*L179</f>
        <v>0.2145</v>
      </c>
      <c r="H179" s="40">
        <v>0</v>
      </c>
      <c r="I179" s="40">
        <v>0</v>
      </c>
      <c r="J179" s="23">
        <v>0</v>
      </c>
      <c r="K179" s="40">
        <v>0</v>
      </c>
      <c r="L179" s="23">
        <v>429</v>
      </c>
      <c r="M179" s="44">
        <v>43.68</v>
      </c>
    </row>
    <row r="180" spans="1:13" ht="15.75" customHeight="1" x14ac:dyDescent="0.25">
      <c r="A180" s="38">
        <f>0.01*7850</f>
        <v>78.5</v>
      </c>
      <c r="B180" s="44">
        <f>60/0.92</f>
        <v>65.217391304347828</v>
      </c>
      <c r="C180" s="23">
        <v>60</v>
      </c>
      <c r="D180" s="40">
        <f>429*1.61</f>
        <v>690.69</v>
      </c>
      <c r="E180" s="40">
        <f t="shared" si="29"/>
        <v>990.99</v>
      </c>
      <c r="F180" s="40">
        <f>429*0.5</f>
        <v>214.5</v>
      </c>
      <c r="G180" s="44">
        <f>0.0005*L180</f>
        <v>0.2145</v>
      </c>
      <c r="H180" s="40">
        <v>0</v>
      </c>
      <c r="I180" s="40">
        <v>0</v>
      </c>
      <c r="J180" s="23">
        <v>0</v>
      </c>
      <c r="K180" s="40">
        <v>0</v>
      </c>
      <c r="L180" s="23">
        <v>429</v>
      </c>
      <c r="M180" s="44">
        <v>46.48</v>
      </c>
    </row>
    <row r="181" spans="1:13" ht="15.75" customHeight="1" x14ac:dyDescent="0.25">
      <c r="A181" s="33">
        <v>0</v>
      </c>
      <c r="B181" s="44">
        <v>0</v>
      </c>
      <c r="C181" s="23">
        <v>0</v>
      </c>
      <c r="D181" s="40">
        <f>429*1.71</f>
        <v>733.59</v>
      </c>
      <c r="E181" s="40">
        <f t="shared" si="29"/>
        <v>990.99</v>
      </c>
      <c r="F181" s="40">
        <f>429*0.45</f>
        <v>193.05</v>
      </c>
      <c r="G181" s="44">
        <f>0.0011*L181</f>
        <v>0.47190000000000004</v>
      </c>
      <c r="H181" s="40">
        <v>0</v>
      </c>
      <c r="I181" s="40">
        <v>0</v>
      </c>
      <c r="J181" s="23">
        <v>0</v>
      </c>
      <c r="K181" s="40">
        <v>0</v>
      </c>
      <c r="L181" s="23">
        <v>429</v>
      </c>
      <c r="M181" s="44">
        <v>49.97</v>
      </c>
    </row>
    <row r="182" spans="1:13" ht="15.75" customHeight="1" x14ac:dyDescent="0.25">
      <c r="A182" s="38">
        <f>0.005*7850</f>
        <v>39.25</v>
      </c>
      <c r="B182" s="44">
        <f>35/0.54</f>
        <v>64.81481481481481</v>
      </c>
      <c r="C182" s="23">
        <v>35</v>
      </c>
      <c r="D182" s="40">
        <f>429*1.71</f>
        <v>733.59</v>
      </c>
      <c r="E182" s="40">
        <f t="shared" si="29"/>
        <v>990.99</v>
      </c>
      <c r="F182" s="40">
        <f>429*0.45</f>
        <v>193.05</v>
      </c>
      <c r="G182" s="44">
        <f>0.0011*L182</f>
        <v>0.47190000000000004</v>
      </c>
      <c r="H182" s="40">
        <v>0</v>
      </c>
      <c r="I182" s="40">
        <v>0</v>
      </c>
      <c r="J182" s="23">
        <v>0</v>
      </c>
      <c r="K182" s="40">
        <v>0</v>
      </c>
      <c r="L182" s="23">
        <v>429</v>
      </c>
      <c r="M182" s="44">
        <v>53.27</v>
      </c>
    </row>
    <row r="183" spans="1:13" ht="15.75" customHeight="1" x14ac:dyDescent="0.25">
      <c r="A183" s="38">
        <f>0.01*7850</f>
        <v>78.5</v>
      </c>
      <c r="B183" s="44">
        <f>35/0.54</f>
        <v>64.81481481481481</v>
      </c>
      <c r="C183" s="23">
        <v>35</v>
      </c>
      <c r="D183" s="40">
        <f>429*1.71</f>
        <v>733.59</v>
      </c>
      <c r="E183" s="40">
        <f t="shared" si="29"/>
        <v>990.99</v>
      </c>
      <c r="F183" s="40">
        <f>429*0.45</f>
        <v>193.05</v>
      </c>
      <c r="G183" s="44">
        <f>0.0011*L183</f>
        <v>0.47190000000000004</v>
      </c>
      <c r="H183" s="40">
        <v>0</v>
      </c>
      <c r="I183" s="40">
        <v>0</v>
      </c>
      <c r="J183" s="23">
        <v>0</v>
      </c>
      <c r="K183" s="40">
        <v>0</v>
      </c>
      <c r="L183" s="23">
        <v>429</v>
      </c>
      <c r="M183" s="44">
        <v>48.62</v>
      </c>
    </row>
    <row r="184" spans="1:13" ht="15.75" customHeight="1" x14ac:dyDescent="0.25">
      <c r="A184" s="38">
        <f>0.005*7850</f>
        <v>39.25</v>
      </c>
      <c r="B184" s="44">
        <f>60/0.92</f>
        <v>65.217391304347828</v>
      </c>
      <c r="C184" s="23">
        <v>60</v>
      </c>
      <c r="D184" s="40">
        <f>429*1.71</f>
        <v>733.59</v>
      </c>
      <c r="E184" s="40">
        <f t="shared" si="29"/>
        <v>990.99</v>
      </c>
      <c r="F184" s="40">
        <f>429*0.45</f>
        <v>193.05</v>
      </c>
      <c r="G184" s="44">
        <f>0.0011*L184</f>
        <v>0.47190000000000004</v>
      </c>
      <c r="H184" s="40">
        <v>0</v>
      </c>
      <c r="I184" s="40">
        <v>0</v>
      </c>
      <c r="J184" s="23">
        <v>0</v>
      </c>
      <c r="K184" s="40">
        <v>0</v>
      </c>
      <c r="L184" s="23">
        <v>429</v>
      </c>
      <c r="M184" s="44">
        <v>52.21</v>
      </c>
    </row>
    <row r="185" spans="1:13" ht="15.75" customHeight="1" x14ac:dyDescent="0.25">
      <c r="A185" s="38">
        <f>0.01*7850</f>
        <v>78.5</v>
      </c>
      <c r="B185" s="44">
        <f>60/0.92</f>
        <v>65.217391304347828</v>
      </c>
      <c r="C185" s="23">
        <v>60</v>
      </c>
      <c r="D185" s="40">
        <f>429*1.71</f>
        <v>733.59</v>
      </c>
      <c r="E185" s="40">
        <f t="shared" si="29"/>
        <v>990.99</v>
      </c>
      <c r="F185" s="40">
        <f>429*0.45</f>
        <v>193.05</v>
      </c>
      <c r="G185" s="44">
        <f>0.0011*L185</f>
        <v>0.47190000000000004</v>
      </c>
      <c r="H185" s="40">
        <v>0</v>
      </c>
      <c r="I185" s="40">
        <v>0</v>
      </c>
      <c r="J185" s="23">
        <v>0</v>
      </c>
      <c r="K185" s="40">
        <v>0</v>
      </c>
      <c r="L185" s="23">
        <v>429</v>
      </c>
      <c r="M185" s="44">
        <v>47.17</v>
      </c>
    </row>
    <row r="186" spans="1:13" ht="15.75" customHeight="1" x14ac:dyDescent="0.25">
      <c r="A186" s="33">
        <v>0</v>
      </c>
      <c r="B186" s="44">
        <v>0</v>
      </c>
      <c r="C186" s="23">
        <v>0</v>
      </c>
      <c r="D186" s="40">
        <f>336*2.17</f>
        <v>729.12</v>
      </c>
      <c r="E186" s="40">
        <f>336*3.54</f>
        <v>1189.44</v>
      </c>
      <c r="F186" s="40">
        <f>336*0.58</f>
        <v>194.88</v>
      </c>
      <c r="G186" s="44">
        <v>0</v>
      </c>
      <c r="H186" s="40">
        <v>0</v>
      </c>
      <c r="I186" s="40">
        <v>0</v>
      </c>
      <c r="J186" s="23">
        <v>0</v>
      </c>
      <c r="K186" s="40">
        <v>0</v>
      </c>
      <c r="L186" s="23">
        <v>336</v>
      </c>
      <c r="M186" s="44">
        <v>35</v>
      </c>
    </row>
    <row r="187" spans="1:13" ht="15.75" customHeight="1" x14ac:dyDescent="0.25">
      <c r="A187" s="33">
        <v>78.5</v>
      </c>
      <c r="B187" s="44">
        <f t="shared" ref="B187:B195" si="30">C187/0.75</f>
        <v>40</v>
      </c>
      <c r="C187" s="23">
        <v>30</v>
      </c>
      <c r="D187" s="40">
        <f>336*2.23</f>
        <v>749.28</v>
      </c>
      <c r="E187" s="40">
        <f>336*3.41</f>
        <v>1145.76</v>
      </c>
      <c r="F187" s="40">
        <v>194.88</v>
      </c>
      <c r="G187" s="44">
        <v>0</v>
      </c>
      <c r="H187" s="40">
        <v>0</v>
      </c>
      <c r="I187" s="40">
        <v>0</v>
      </c>
      <c r="J187" s="23">
        <v>0</v>
      </c>
      <c r="K187" s="40">
        <v>0</v>
      </c>
      <c r="L187" s="23">
        <v>336</v>
      </c>
      <c r="M187" s="44">
        <v>42</v>
      </c>
    </row>
    <row r="188" spans="1:13" ht="15.75" customHeight="1" x14ac:dyDescent="0.25">
      <c r="A188" s="33">
        <v>78.5</v>
      </c>
      <c r="B188" s="44">
        <f t="shared" si="30"/>
        <v>53.333333333333336</v>
      </c>
      <c r="C188" s="23">
        <v>40</v>
      </c>
      <c r="D188" s="40">
        <f>336*2.23</f>
        <v>749.28</v>
      </c>
      <c r="E188" s="40">
        <f>336*3.41</f>
        <v>1145.76</v>
      </c>
      <c r="F188" s="40">
        <v>194.88</v>
      </c>
      <c r="G188" s="44">
        <v>0</v>
      </c>
      <c r="H188" s="40">
        <v>0</v>
      </c>
      <c r="I188" s="40">
        <v>0</v>
      </c>
      <c r="J188" s="23">
        <v>0</v>
      </c>
      <c r="K188" s="40">
        <v>0</v>
      </c>
      <c r="L188" s="23">
        <v>336</v>
      </c>
      <c r="M188" s="44">
        <v>44</v>
      </c>
    </row>
    <row r="189" spans="1:13" ht="15.75" customHeight="1" x14ac:dyDescent="0.25">
      <c r="A189" s="33">
        <v>78.5</v>
      </c>
      <c r="B189" s="44">
        <f t="shared" si="30"/>
        <v>66.666666666666671</v>
      </c>
      <c r="C189" s="23">
        <v>50</v>
      </c>
      <c r="D189" s="40">
        <f>336*2.23</f>
        <v>749.28</v>
      </c>
      <c r="E189" s="40">
        <f>336*3.41</f>
        <v>1145.76</v>
      </c>
      <c r="F189" s="40">
        <v>194.88</v>
      </c>
      <c r="G189" s="44">
        <v>0</v>
      </c>
      <c r="H189" s="40">
        <v>0</v>
      </c>
      <c r="I189" s="40">
        <v>0</v>
      </c>
      <c r="J189" s="23">
        <v>0</v>
      </c>
      <c r="K189" s="40">
        <v>0</v>
      </c>
      <c r="L189" s="23">
        <v>336</v>
      </c>
      <c r="M189" s="44">
        <v>42</v>
      </c>
    </row>
    <row r="190" spans="1:13" ht="15.75" customHeight="1" x14ac:dyDescent="0.25">
      <c r="A190" s="33">
        <v>78.5</v>
      </c>
      <c r="B190" s="44">
        <f t="shared" si="30"/>
        <v>80</v>
      </c>
      <c r="C190" s="23">
        <v>60</v>
      </c>
      <c r="D190" s="40">
        <f>336*2.23</f>
        <v>749.28</v>
      </c>
      <c r="E190" s="40">
        <f>336*3.41</f>
        <v>1145.76</v>
      </c>
      <c r="F190" s="40">
        <v>194.88</v>
      </c>
      <c r="G190" s="44">
        <v>0</v>
      </c>
      <c r="H190" s="40">
        <v>0</v>
      </c>
      <c r="I190" s="40">
        <v>0</v>
      </c>
      <c r="J190" s="23">
        <v>0</v>
      </c>
      <c r="K190" s="40">
        <v>0</v>
      </c>
      <c r="L190" s="23">
        <v>336</v>
      </c>
      <c r="M190" s="44">
        <v>40</v>
      </c>
    </row>
    <row r="191" spans="1:13" ht="15.75" customHeight="1" x14ac:dyDescent="0.25">
      <c r="A191" s="40">
        <v>0</v>
      </c>
      <c r="B191" s="42">
        <f t="shared" si="30"/>
        <v>0</v>
      </c>
      <c r="C191" s="40">
        <v>0</v>
      </c>
      <c r="D191" s="40">
        <v>630.41</v>
      </c>
      <c r="E191" s="40">
        <v>1125.3599999999999</v>
      </c>
      <c r="F191" s="40">
        <v>171.93</v>
      </c>
      <c r="G191" s="40">
        <v>5.21</v>
      </c>
      <c r="H191" s="40">
        <v>0</v>
      </c>
      <c r="I191" s="40">
        <v>0</v>
      </c>
      <c r="J191" s="23">
        <v>0</v>
      </c>
      <c r="K191" s="40">
        <v>0</v>
      </c>
      <c r="L191" s="40">
        <v>521</v>
      </c>
      <c r="M191" s="40">
        <v>66</v>
      </c>
    </row>
    <row r="192" spans="1:13" ht="15.75" customHeight="1" x14ac:dyDescent="0.25">
      <c r="A192" s="40">
        <v>78.5</v>
      </c>
      <c r="B192" s="42">
        <f t="shared" si="30"/>
        <v>40</v>
      </c>
      <c r="C192" s="40">
        <v>30</v>
      </c>
      <c r="D192" s="40">
        <v>651.25</v>
      </c>
      <c r="E192" s="40">
        <v>1078.47</v>
      </c>
      <c r="F192" s="40">
        <v>171.93</v>
      </c>
      <c r="G192" s="40">
        <v>5.21</v>
      </c>
      <c r="H192" s="40">
        <v>0</v>
      </c>
      <c r="I192" s="40">
        <v>0</v>
      </c>
      <c r="J192" s="23">
        <v>0</v>
      </c>
      <c r="K192" s="40">
        <v>0</v>
      </c>
      <c r="L192" s="40">
        <v>521</v>
      </c>
      <c r="M192" s="40">
        <v>82</v>
      </c>
    </row>
    <row r="193" spans="1:13" ht="15.75" customHeight="1" x14ac:dyDescent="0.25">
      <c r="A193" s="40">
        <v>78.5</v>
      </c>
      <c r="B193" s="44">
        <f t="shared" si="30"/>
        <v>53.333333333333336</v>
      </c>
      <c r="C193" s="40">
        <v>40</v>
      </c>
      <c r="D193" s="40">
        <v>651.25</v>
      </c>
      <c r="E193" s="40">
        <v>1078.47</v>
      </c>
      <c r="F193" s="40">
        <v>171.93</v>
      </c>
      <c r="G193" s="40">
        <v>5.21</v>
      </c>
      <c r="H193" s="40">
        <v>0</v>
      </c>
      <c r="I193" s="40">
        <v>0</v>
      </c>
      <c r="J193" s="23">
        <v>0</v>
      </c>
      <c r="K193" s="40">
        <v>0</v>
      </c>
      <c r="L193" s="40">
        <v>521</v>
      </c>
      <c r="M193" s="40">
        <v>78</v>
      </c>
    </row>
    <row r="194" spans="1:13" ht="15.75" customHeight="1" x14ac:dyDescent="0.25">
      <c r="A194" s="40">
        <v>78.5</v>
      </c>
      <c r="B194" s="44">
        <f t="shared" si="30"/>
        <v>66.666666666666671</v>
      </c>
      <c r="C194" s="40">
        <v>50</v>
      </c>
      <c r="D194" s="40">
        <v>651.25</v>
      </c>
      <c r="E194" s="40">
        <v>1078.47</v>
      </c>
      <c r="F194" s="40">
        <v>171.93</v>
      </c>
      <c r="G194" s="40">
        <v>5.21</v>
      </c>
      <c r="H194" s="40">
        <v>0</v>
      </c>
      <c r="I194" s="40">
        <v>0</v>
      </c>
      <c r="J194" s="23">
        <v>0</v>
      </c>
      <c r="K194" s="40">
        <v>0</v>
      </c>
      <c r="L194" s="40">
        <v>521</v>
      </c>
      <c r="M194" s="40">
        <v>79</v>
      </c>
    </row>
    <row r="195" spans="1:13" ht="15.75" customHeight="1" x14ac:dyDescent="0.25">
      <c r="A195" s="40">
        <v>78.5</v>
      </c>
      <c r="B195" s="44">
        <f t="shared" si="30"/>
        <v>80</v>
      </c>
      <c r="C195" s="40">
        <v>60</v>
      </c>
      <c r="D195" s="40">
        <v>651.25</v>
      </c>
      <c r="E195" s="40">
        <v>1078.47</v>
      </c>
      <c r="F195" s="40">
        <v>171.93</v>
      </c>
      <c r="G195" s="40">
        <v>5.21</v>
      </c>
      <c r="H195" s="40">
        <v>0</v>
      </c>
      <c r="I195" s="40">
        <v>0</v>
      </c>
      <c r="J195" s="23">
        <v>0</v>
      </c>
      <c r="K195" s="40">
        <v>0</v>
      </c>
      <c r="L195" s="40">
        <v>521</v>
      </c>
      <c r="M195" s="40">
        <v>77</v>
      </c>
    </row>
    <row r="196" spans="1:13" ht="15.75" customHeight="1" x14ac:dyDescent="0.25">
      <c r="A196" s="40">
        <v>0</v>
      </c>
      <c r="B196" s="42">
        <v>0</v>
      </c>
      <c r="C196" s="40">
        <v>0</v>
      </c>
      <c r="D196" s="40">
        <v>713</v>
      </c>
      <c r="E196" s="40">
        <v>1065</v>
      </c>
      <c r="F196" s="40">
        <v>212</v>
      </c>
      <c r="G196" s="40">
        <v>0.67</v>
      </c>
      <c r="H196" s="40">
        <v>0</v>
      </c>
      <c r="I196" s="40">
        <v>0</v>
      </c>
      <c r="J196" s="23">
        <v>0</v>
      </c>
      <c r="K196" s="40">
        <v>0</v>
      </c>
      <c r="L196" s="40">
        <v>385</v>
      </c>
      <c r="M196" s="40">
        <v>34.9</v>
      </c>
    </row>
    <row r="197" spans="1:13" ht="15.75" customHeight="1" x14ac:dyDescent="0.25">
      <c r="A197" s="40">
        <v>20</v>
      </c>
      <c r="B197" s="42">
        <f>C197/0.9</f>
        <v>66.666666666666671</v>
      </c>
      <c r="C197" s="40">
        <f>60</f>
        <v>60</v>
      </c>
      <c r="D197" s="40">
        <v>713</v>
      </c>
      <c r="E197" s="40">
        <v>1065</v>
      </c>
      <c r="F197" s="40">
        <v>212</v>
      </c>
      <c r="G197" s="40">
        <v>0.67</v>
      </c>
      <c r="H197" s="40">
        <v>0</v>
      </c>
      <c r="I197" s="40">
        <v>0</v>
      </c>
      <c r="J197" s="23">
        <v>0</v>
      </c>
      <c r="K197" s="40">
        <v>0</v>
      </c>
      <c r="L197" s="40">
        <v>385</v>
      </c>
      <c r="M197" s="40">
        <v>24.9</v>
      </c>
    </row>
    <row r="198" spans="1:13" ht="15.75" customHeight="1" x14ac:dyDescent="0.25">
      <c r="A198" s="40">
        <v>30</v>
      </c>
      <c r="B198" s="42">
        <f>C198/0.9</f>
        <v>66.666666666666671</v>
      </c>
      <c r="C198" s="40">
        <f>60</f>
        <v>60</v>
      </c>
      <c r="D198" s="40">
        <v>713</v>
      </c>
      <c r="E198" s="40">
        <v>1065</v>
      </c>
      <c r="F198" s="40">
        <v>212</v>
      </c>
      <c r="G198" s="40">
        <v>0.67</v>
      </c>
      <c r="H198" s="40">
        <v>0</v>
      </c>
      <c r="I198" s="40">
        <v>0</v>
      </c>
      <c r="J198" s="23">
        <v>0</v>
      </c>
      <c r="K198" s="40">
        <v>0</v>
      </c>
      <c r="L198" s="40">
        <v>385</v>
      </c>
      <c r="M198" s="40">
        <v>26.7</v>
      </c>
    </row>
    <row r="199" spans="1:13" ht="15.75" customHeight="1" x14ac:dyDescent="0.25">
      <c r="A199" s="40">
        <v>40</v>
      </c>
      <c r="B199" s="42">
        <f>C199/0.9</f>
        <v>66.666666666666671</v>
      </c>
      <c r="C199" s="40">
        <f>60</f>
        <v>60</v>
      </c>
      <c r="D199" s="40">
        <v>713</v>
      </c>
      <c r="E199" s="40">
        <v>1065</v>
      </c>
      <c r="F199" s="40">
        <v>212</v>
      </c>
      <c r="G199" s="40">
        <v>0.67</v>
      </c>
      <c r="H199" s="40">
        <v>0</v>
      </c>
      <c r="I199" s="40">
        <v>0</v>
      </c>
      <c r="J199" s="23">
        <v>0</v>
      </c>
      <c r="K199" s="40">
        <v>0</v>
      </c>
      <c r="L199" s="40">
        <v>385</v>
      </c>
      <c r="M199" s="40">
        <v>31.1</v>
      </c>
    </row>
    <row r="200" spans="1:13" ht="15.75" customHeight="1" x14ac:dyDescent="0.25">
      <c r="A200" s="40">
        <v>0</v>
      </c>
      <c r="B200" s="42">
        <v>0</v>
      </c>
      <c r="C200" s="40">
        <v>0</v>
      </c>
      <c r="D200" s="40">
        <v>610</v>
      </c>
      <c r="E200" s="40">
        <v>1130</v>
      </c>
      <c r="F200" s="40">
        <v>192</v>
      </c>
      <c r="G200" s="40">
        <v>0</v>
      </c>
      <c r="H200" s="40">
        <v>0</v>
      </c>
      <c r="I200" s="40">
        <v>0</v>
      </c>
      <c r="J200" s="23">
        <v>0</v>
      </c>
      <c r="K200" s="40">
        <v>0</v>
      </c>
      <c r="L200" s="40">
        <v>400</v>
      </c>
      <c r="M200" s="40">
        <v>29.8</v>
      </c>
    </row>
    <row r="201" spans="1:13" ht="15.75" customHeight="1" x14ac:dyDescent="0.25">
      <c r="A201" s="40">
        <v>40</v>
      </c>
      <c r="B201" s="42">
        <v>55</v>
      </c>
      <c r="C201" s="40">
        <v>30</v>
      </c>
      <c r="D201" s="40">
        <v>600</v>
      </c>
      <c r="E201" s="40">
        <v>1120</v>
      </c>
      <c r="F201" s="40">
        <v>192</v>
      </c>
      <c r="G201" s="40">
        <v>0</v>
      </c>
      <c r="H201" s="40">
        <v>0</v>
      </c>
      <c r="I201" s="40">
        <v>0</v>
      </c>
      <c r="J201" s="23">
        <v>0</v>
      </c>
      <c r="K201" s="40">
        <v>0</v>
      </c>
      <c r="L201" s="40">
        <v>400</v>
      </c>
      <c r="M201" s="40">
        <v>30.5</v>
      </c>
    </row>
    <row r="202" spans="1:13" ht="15.75" customHeight="1" x14ac:dyDescent="0.25">
      <c r="A202" s="40">
        <v>80</v>
      </c>
      <c r="B202" s="42">
        <v>55</v>
      </c>
      <c r="C202" s="40">
        <v>30</v>
      </c>
      <c r="D202" s="40">
        <v>600</v>
      </c>
      <c r="E202" s="40">
        <v>1110</v>
      </c>
      <c r="F202" s="40">
        <v>192</v>
      </c>
      <c r="G202" s="40">
        <v>0</v>
      </c>
      <c r="H202" s="40">
        <v>0</v>
      </c>
      <c r="I202" s="40">
        <v>0</v>
      </c>
      <c r="J202" s="23">
        <v>0</v>
      </c>
      <c r="K202" s="40">
        <v>0</v>
      </c>
      <c r="L202" s="40">
        <v>400</v>
      </c>
      <c r="M202" s="40">
        <v>31.2</v>
      </c>
    </row>
    <row r="203" spans="1:13" ht="15.75" customHeight="1" x14ac:dyDescent="0.25">
      <c r="A203" s="40">
        <v>120</v>
      </c>
      <c r="B203" s="42">
        <v>55</v>
      </c>
      <c r="C203" s="40">
        <v>30</v>
      </c>
      <c r="D203" s="40">
        <v>590</v>
      </c>
      <c r="E203" s="40">
        <v>1110</v>
      </c>
      <c r="F203" s="40">
        <v>192</v>
      </c>
      <c r="G203" s="40">
        <v>0</v>
      </c>
      <c r="H203" s="40">
        <v>0</v>
      </c>
      <c r="I203" s="40">
        <v>0</v>
      </c>
      <c r="J203" s="23">
        <v>0</v>
      </c>
      <c r="K203" s="40">
        <v>0</v>
      </c>
      <c r="L203" s="40">
        <v>400</v>
      </c>
      <c r="M203" s="40">
        <v>32.299999999999997</v>
      </c>
    </row>
    <row r="204" spans="1:13" ht="15.75" customHeight="1" x14ac:dyDescent="0.25">
      <c r="A204" s="40">
        <v>0</v>
      </c>
      <c r="B204" s="42">
        <v>0</v>
      </c>
      <c r="C204" s="40">
        <v>0</v>
      </c>
      <c r="D204" s="40">
        <v>610</v>
      </c>
      <c r="E204" s="40">
        <v>1140</v>
      </c>
      <c r="F204" s="40">
        <v>216</v>
      </c>
      <c r="G204" s="40">
        <v>5.4</v>
      </c>
      <c r="H204" s="40">
        <v>0</v>
      </c>
      <c r="I204" s="40">
        <v>0</v>
      </c>
      <c r="J204" s="23">
        <v>0</v>
      </c>
      <c r="K204" s="40">
        <v>0</v>
      </c>
      <c r="L204" s="40">
        <v>450</v>
      </c>
      <c r="M204" s="40">
        <v>56</v>
      </c>
    </row>
    <row r="205" spans="1:13" ht="15.75" customHeight="1" x14ac:dyDescent="0.25">
      <c r="A205" s="40">
        <v>40</v>
      </c>
      <c r="B205" s="42">
        <v>55</v>
      </c>
      <c r="C205" s="40">
        <v>30</v>
      </c>
      <c r="D205" s="40">
        <v>610</v>
      </c>
      <c r="E205" s="40">
        <v>1130</v>
      </c>
      <c r="F205" s="40">
        <v>216</v>
      </c>
      <c r="G205" s="40">
        <v>5.4</v>
      </c>
      <c r="H205" s="40">
        <v>0</v>
      </c>
      <c r="I205" s="40">
        <v>0</v>
      </c>
      <c r="J205" s="23">
        <v>0</v>
      </c>
      <c r="K205" s="40">
        <v>0</v>
      </c>
      <c r="L205" s="40">
        <v>450</v>
      </c>
      <c r="M205" s="40">
        <v>57</v>
      </c>
    </row>
    <row r="206" spans="1:13" ht="15.75" customHeight="1" x14ac:dyDescent="0.25">
      <c r="A206" s="40">
        <v>80</v>
      </c>
      <c r="B206" s="42">
        <v>55</v>
      </c>
      <c r="C206" s="40">
        <v>30</v>
      </c>
      <c r="D206" s="40">
        <v>600</v>
      </c>
      <c r="E206" s="40">
        <v>1120</v>
      </c>
      <c r="F206" s="40">
        <v>216</v>
      </c>
      <c r="G206" s="40">
        <v>5.4</v>
      </c>
      <c r="H206" s="40">
        <v>0</v>
      </c>
      <c r="I206" s="40">
        <v>0</v>
      </c>
      <c r="J206" s="23">
        <v>0</v>
      </c>
      <c r="K206" s="40">
        <v>0</v>
      </c>
      <c r="L206" s="40">
        <v>450</v>
      </c>
      <c r="M206" s="40">
        <v>57.8</v>
      </c>
    </row>
    <row r="207" spans="1:13" ht="15.75" customHeight="1" x14ac:dyDescent="0.25">
      <c r="A207" s="40">
        <v>120</v>
      </c>
      <c r="B207" s="42">
        <v>55</v>
      </c>
      <c r="C207" s="40">
        <v>30</v>
      </c>
      <c r="D207" s="40">
        <v>600</v>
      </c>
      <c r="E207" s="40">
        <v>1110</v>
      </c>
      <c r="F207" s="40">
        <v>216</v>
      </c>
      <c r="G207" s="40">
        <v>5.4</v>
      </c>
      <c r="H207" s="40">
        <v>0</v>
      </c>
      <c r="I207" s="40">
        <v>0</v>
      </c>
      <c r="J207" s="23">
        <v>0</v>
      </c>
      <c r="K207" s="40">
        <v>0</v>
      </c>
      <c r="L207" s="40">
        <v>450</v>
      </c>
      <c r="M207" s="40">
        <v>59.4</v>
      </c>
    </row>
    <row r="208" spans="1:13" ht="15.75" customHeight="1" x14ac:dyDescent="0.25">
      <c r="A208" s="40">
        <v>0</v>
      </c>
      <c r="B208" s="42">
        <v>0</v>
      </c>
      <c r="C208" s="40">
        <v>0</v>
      </c>
      <c r="D208" s="40">
        <v>630</v>
      </c>
      <c r="E208" s="40">
        <v>1170</v>
      </c>
      <c r="F208" s="40">
        <v>240</v>
      </c>
      <c r="G208" s="40">
        <v>5.4</v>
      </c>
      <c r="H208" s="40">
        <v>50</v>
      </c>
      <c r="I208" s="40">
        <v>0</v>
      </c>
      <c r="J208" s="23">
        <v>0</v>
      </c>
      <c r="K208" s="40">
        <v>0</v>
      </c>
      <c r="L208" s="40">
        <v>450</v>
      </c>
      <c r="M208" s="40">
        <v>72.400000000000006</v>
      </c>
    </row>
    <row r="209" spans="1:13" ht="15.75" customHeight="1" x14ac:dyDescent="0.25">
      <c r="A209" s="40">
        <v>40</v>
      </c>
      <c r="B209" s="42">
        <v>55</v>
      </c>
      <c r="C209" s="40">
        <v>30</v>
      </c>
      <c r="D209" s="40">
        <v>625</v>
      </c>
      <c r="E209" s="40">
        <v>1160</v>
      </c>
      <c r="F209" s="40">
        <v>240</v>
      </c>
      <c r="G209" s="40">
        <v>5.4</v>
      </c>
      <c r="H209" s="40">
        <v>50</v>
      </c>
      <c r="I209" s="40">
        <v>0</v>
      </c>
      <c r="J209" s="23">
        <v>0</v>
      </c>
      <c r="K209" s="40">
        <v>0</v>
      </c>
      <c r="L209" s="40">
        <v>450</v>
      </c>
      <c r="M209" s="40">
        <v>73.599999999999994</v>
      </c>
    </row>
    <row r="210" spans="1:13" ht="15.75" customHeight="1" x14ac:dyDescent="0.25">
      <c r="A210" s="40">
        <v>80</v>
      </c>
      <c r="B210" s="42">
        <v>55</v>
      </c>
      <c r="C210" s="40">
        <v>30</v>
      </c>
      <c r="D210" s="40">
        <v>620</v>
      </c>
      <c r="E210" s="40">
        <v>1150</v>
      </c>
      <c r="F210" s="40">
        <v>240</v>
      </c>
      <c r="G210" s="40">
        <v>5.4</v>
      </c>
      <c r="H210" s="40">
        <v>50</v>
      </c>
      <c r="I210" s="40">
        <v>0</v>
      </c>
      <c r="J210" s="23">
        <v>0</v>
      </c>
      <c r="K210" s="40">
        <v>0</v>
      </c>
      <c r="L210" s="40">
        <v>450</v>
      </c>
      <c r="M210" s="40">
        <v>74.8</v>
      </c>
    </row>
    <row r="211" spans="1:13" ht="15.75" customHeight="1" x14ac:dyDescent="0.25">
      <c r="A211" s="40">
        <v>120</v>
      </c>
      <c r="B211" s="42">
        <v>55</v>
      </c>
      <c r="C211" s="40">
        <v>30</v>
      </c>
      <c r="D211" s="40">
        <v>615</v>
      </c>
      <c r="E211" s="40">
        <v>1140</v>
      </c>
      <c r="F211" s="40">
        <v>240</v>
      </c>
      <c r="G211" s="40">
        <v>5.4</v>
      </c>
      <c r="H211" s="40">
        <v>50</v>
      </c>
      <c r="I211" s="40">
        <v>0</v>
      </c>
      <c r="J211" s="23">
        <v>0</v>
      </c>
      <c r="K211" s="40">
        <v>0</v>
      </c>
      <c r="L211" s="40">
        <v>450</v>
      </c>
      <c r="M211" s="40">
        <v>77</v>
      </c>
    </row>
    <row r="212" spans="1:13" ht="15.75" customHeight="1" x14ac:dyDescent="0.25">
      <c r="A212" s="40">
        <v>0</v>
      </c>
      <c r="B212" s="42">
        <f>C212/0.9</f>
        <v>0</v>
      </c>
      <c r="C212" s="40">
        <v>0</v>
      </c>
      <c r="D212" s="40">
        <v>650</v>
      </c>
      <c r="E212" s="40">
        <v>1300</v>
      </c>
      <c r="F212" s="40">
        <v>175</v>
      </c>
      <c r="G212" s="40">
        <v>7.5</v>
      </c>
      <c r="H212" s="40">
        <v>30</v>
      </c>
      <c r="I212" s="40">
        <v>0</v>
      </c>
      <c r="J212" s="23">
        <v>0</v>
      </c>
      <c r="K212" s="40">
        <v>0</v>
      </c>
      <c r="L212" s="40">
        <v>500</v>
      </c>
      <c r="M212" s="40">
        <v>66.7</v>
      </c>
    </row>
    <row r="213" spans="1:13" ht="15.75" customHeight="1" x14ac:dyDescent="0.25">
      <c r="A213" s="40">
        <v>78</v>
      </c>
      <c r="B213" s="42">
        <v>40</v>
      </c>
      <c r="C213" s="40">
        <v>22</v>
      </c>
      <c r="D213" s="40">
        <v>650</v>
      </c>
      <c r="E213" s="40">
        <f>615+290+317</f>
        <v>1222</v>
      </c>
      <c r="F213" s="40">
        <v>175</v>
      </c>
      <c r="G213" s="40">
        <v>7.5</v>
      </c>
      <c r="H213" s="40">
        <v>30</v>
      </c>
      <c r="I213" s="40">
        <v>0</v>
      </c>
      <c r="J213" s="23">
        <v>0</v>
      </c>
      <c r="K213" s="40">
        <v>0</v>
      </c>
      <c r="L213" s="40">
        <v>500</v>
      </c>
      <c r="M213" s="40">
        <v>69.599999999999994</v>
      </c>
    </row>
    <row r="214" spans="1:13" ht="15.75" customHeight="1" x14ac:dyDescent="0.25">
      <c r="A214" s="40">
        <v>126</v>
      </c>
      <c r="B214" s="42">
        <v>40</v>
      </c>
      <c r="C214" s="40">
        <v>22</v>
      </c>
      <c r="D214" s="40">
        <v>650</v>
      </c>
      <c r="E214" s="40">
        <f>567+290+317</f>
        <v>1174</v>
      </c>
      <c r="F214" s="40">
        <v>175</v>
      </c>
      <c r="G214" s="40">
        <v>7.5</v>
      </c>
      <c r="H214" s="40">
        <v>30</v>
      </c>
      <c r="I214" s="40">
        <v>0</v>
      </c>
      <c r="J214" s="23">
        <v>0</v>
      </c>
      <c r="K214" s="40">
        <v>0</v>
      </c>
      <c r="L214" s="40">
        <v>500</v>
      </c>
      <c r="M214" s="40">
        <v>58.2</v>
      </c>
    </row>
    <row r="215" spans="1:13" ht="15.75" customHeight="1" x14ac:dyDescent="0.25">
      <c r="A215" s="40">
        <v>235</v>
      </c>
      <c r="B215" s="42">
        <v>40</v>
      </c>
      <c r="C215" s="40">
        <v>22</v>
      </c>
      <c r="D215" s="40">
        <v>650</v>
      </c>
      <c r="E215" s="40">
        <f>458+290+317</f>
        <v>1065</v>
      </c>
      <c r="F215" s="40">
        <v>175</v>
      </c>
      <c r="G215" s="40">
        <v>7.5</v>
      </c>
      <c r="H215" s="40">
        <v>30</v>
      </c>
      <c r="I215" s="40">
        <v>0</v>
      </c>
      <c r="J215" s="23">
        <v>0</v>
      </c>
      <c r="K215" s="40">
        <v>0</v>
      </c>
      <c r="L215" s="40">
        <v>500</v>
      </c>
      <c r="M215" s="40">
        <v>58.5</v>
      </c>
    </row>
    <row r="216" spans="1:13" ht="15.75" customHeight="1" x14ac:dyDescent="0.3">
      <c r="A216" s="47">
        <v>157</v>
      </c>
      <c r="B216" s="50">
        <v>65</v>
      </c>
      <c r="C216" s="47">
        <v>13</v>
      </c>
      <c r="D216" s="51">
        <v>937.78099999999995</v>
      </c>
      <c r="E216" s="40">
        <v>410.62599999999998</v>
      </c>
      <c r="F216" s="40">
        <v>155.37</v>
      </c>
      <c r="G216" s="48">
        <v>21.08</v>
      </c>
      <c r="H216" s="40">
        <v>127.63</v>
      </c>
      <c r="I216" s="40">
        <v>0</v>
      </c>
      <c r="J216" s="40">
        <v>172.02</v>
      </c>
      <c r="K216" s="40">
        <v>0</v>
      </c>
      <c r="L216" s="47">
        <v>554.9</v>
      </c>
      <c r="M216" s="40">
        <v>120.8</v>
      </c>
    </row>
    <row r="217" spans="1:13" ht="15.75" customHeight="1" x14ac:dyDescent="0.3">
      <c r="A217" s="47">
        <v>157</v>
      </c>
      <c r="B217" s="50">
        <v>65</v>
      </c>
      <c r="C217" s="47">
        <v>13</v>
      </c>
      <c r="D217" s="51">
        <v>687.66099999999994</v>
      </c>
      <c r="E217" s="40">
        <v>1086.423</v>
      </c>
      <c r="F217" s="40">
        <v>113.93</v>
      </c>
      <c r="G217" s="40">
        <v>18.72</v>
      </c>
      <c r="H217" s="40">
        <v>93.59</v>
      </c>
      <c r="I217" s="40">
        <v>0</v>
      </c>
      <c r="J217" s="40">
        <v>126.14</v>
      </c>
      <c r="K217" s="40">
        <v>0</v>
      </c>
      <c r="L217" s="40">
        <v>406.9</v>
      </c>
      <c r="M217" s="40">
        <v>120.5</v>
      </c>
    </row>
    <row r="218" spans="1:13" ht="15.75" customHeight="1" x14ac:dyDescent="0.3">
      <c r="A218" s="47">
        <v>157</v>
      </c>
      <c r="B218" s="50">
        <v>65</v>
      </c>
      <c r="C218" s="47">
        <v>13</v>
      </c>
      <c r="D218" s="51">
        <v>937.78099999999995</v>
      </c>
      <c r="E218" s="40">
        <v>427.27299999999997</v>
      </c>
      <c r="F218" s="40">
        <v>155.37</v>
      </c>
      <c r="G218" s="40">
        <v>21.08</v>
      </c>
      <c r="H218" s="40">
        <v>127.63</v>
      </c>
      <c r="I218" s="40">
        <v>0</v>
      </c>
      <c r="J218" s="40">
        <v>172.02</v>
      </c>
      <c r="K218" s="40">
        <v>0</v>
      </c>
      <c r="L218" s="40">
        <v>554.9</v>
      </c>
      <c r="M218" s="40">
        <v>120.2</v>
      </c>
    </row>
    <row r="219" spans="1:13" ht="15.75" customHeight="1" x14ac:dyDescent="0.3">
      <c r="A219" s="47">
        <v>157</v>
      </c>
      <c r="B219" s="50">
        <v>65</v>
      </c>
      <c r="C219" s="47">
        <v>13</v>
      </c>
      <c r="D219" s="51">
        <v>806.80599999999993</v>
      </c>
      <c r="E219" s="40">
        <v>849.77199999999993</v>
      </c>
      <c r="F219" s="40">
        <v>133.66999999999999</v>
      </c>
      <c r="G219" s="40">
        <v>21.96</v>
      </c>
      <c r="H219" s="40">
        <v>109.8</v>
      </c>
      <c r="I219" s="40">
        <v>0</v>
      </c>
      <c r="J219" s="40">
        <v>148</v>
      </c>
      <c r="K219" s="40">
        <v>0</v>
      </c>
      <c r="L219" s="40">
        <v>477.4</v>
      </c>
      <c r="M219" s="40">
        <v>121</v>
      </c>
    </row>
    <row r="220" spans="1:13" ht="15.75" customHeight="1" x14ac:dyDescent="0.3">
      <c r="A220" s="47">
        <v>157</v>
      </c>
      <c r="B220" s="50">
        <v>65</v>
      </c>
      <c r="C220" s="47">
        <v>13</v>
      </c>
      <c r="D220" s="51">
        <v>687.66099999999994</v>
      </c>
      <c r="E220" s="40">
        <v>1131.1819999999998</v>
      </c>
      <c r="F220" s="40">
        <v>113.93</v>
      </c>
      <c r="G220" s="40">
        <v>18.72</v>
      </c>
      <c r="H220" s="40">
        <v>93.59</v>
      </c>
      <c r="I220" s="40">
        <v>0</v>
      </c>
      <c r="J220" s="40">
        <v>126.14</v>
      </c>
      <c r="K220" s="40">
        <v>0</v>
      </c>
      <c r="L220" s="40">
        <v>406.9</v>
      </c>
      <c r="M220" s="40">
        <v>120.5</v>
      </c>
    </row>
    <row r="221" spans="1:13" ht="15.75" customHeight="1" x14ac:dyDescent="0.3">
      <c r="A221" s="47">
        <v>157</v>
      </c>
      <c r="B221" s="50">
        <v>65</v>
      </c>
      <c r="C221" s="47">
        <v>13</v>
      </c>
      <c r="D221" s="51">
        <v>937.78099999999995</v>
      </c>
      <c r="E221" s="40">
        <v>399.52799999999996</v>
      </c>
      <c r="F221" s="40">
        <v>155.37</v>
      </c>
      <c r="G221" s="40">
        <v>21.08</v>
      </c>
      <c r="H221" s="40">
        <v>127.63</v>
      </c>
      <c r="I221" s="40">
        <v>0</v>
      </c>
      <c r="J221" s="40">
        <v>172.02</v>
      </c>
      <c r="K221" s="40">
        <v>0</v>
      </c>
      <c r="L221" s="40">
        <v>554.9</v>
      </c>
      <c r="M221" s="40">
        <v>110.9</v>
      </c>
    </row>
    <row r="222" spans="1:13" ht="15.75" customHeight="1" x14ac:dyDescent="0.3">
      <c r="A222" s="47">
        <v>157</v>
      </c>
      <c r="B222" s="50">
        <v>65</v>
      </c>
      <c r="C222" s="47">
        <v>13</v>
      </c>
      <c r="D222" s="51">
        <v>806.80599999999993</v>
      </c>
      <c r="E222" s="40">
        <v>797.25799999999992</v>
      </c>
      <c r="F222" s="40">
        <v>133.66999999999999</v>
      </c>
      <c r="G222" s="40">
        <v>21.96</v>
      </c>
      <c r="H222" s="40">
        <v>109.8</v>
      </c>
      <c r="I222" s="40">
        <v>0</v>
      </c>
      <c r="J222" s="40">
        <v>148</v>
      </c>
      <c r="K222" s="40">
        <v>0</v>
      </c>
      <c r="L222" s="47">
        <v>477.4</v>
      </c>
      <c r="M222" s="40">
        <v>120.1</v>
      </c>
    </row>
    <row r="223" spans="1:13" ht="15.75" customHeight="1" x14ac:dyDescent="0.3">
      <c r="A223" s="47">
        <v>157</v>
      </c>
      <c r="B223" s="50">
        <v>65</v>
      </c>
      <c r="C223" s="47">
        <v>13</v>
      </c>
      <c r="D223" s="51">
        <v>687.66099999999994</v>
      </c>
      <c r="E223" s="40">
        <v>793.45499999999993</v>
      </c>
      <c r="F223" s="40">
        <v>113.93</v>
      </c>
      <c r="G223" s="40">
        <v>18.72</v>
      </c>
      <c r="H223" s="40">
        <v>93.59</v>
      </c>
      <c r="I223" s="40">
        <v>0</v>
      </c>
      <c r="J223" s="40">
        <v>126.14</v>
      </c>
      <c r="K223" s="40">
        <v>0</v>
      </c>
      <c r="L223" s="47">
        <v>406.9</v>
      </c>
      <c r="M223" s="40">
        <v>110.9</v>
      </c>
    </row>
    <row r="224" spans="1:13" ht="15.75" customHeight="1" x14ac:dyDescent="0.3">
      <c r="A224" s="47">
        <v>157</v>
      </c>
      <c r="B224" s="50">
        <v>65</v>
      </c>
      <c r="C224" s="47">
        <v>13</v>
      </c>
      <c r="D224" s="51">
        <v>937.78099999999995</v>
      </c>
      <c r="E224" s="40">
        <v>482.76299999999998</v>
      </c>
      <c r="F224" s="40">
        <v>155.37</v>
      </c>
      <c r="G224" s="40">
        <v>21.08</v>
      </c>
      <c r="H224" s="40">
        <v>127.63</v>
      </c>
      <c r="I224" s="40">
        <v>0</v>
      </c>
      <c r="J224" s="40">
        <v>172.02</v>
      </c>
      <c r="K224" s="40">
        <v>0</v>
      </c>
      <c r="L224" s="47">
        <v>554.9</v>
      </c>
      <c r="M224" s="40">
        <v>105</v>
      </c>
    </row>
    <row r="225" spans="1:13" ht="15.75" customHeight="1" x14ac:dyDescent="0.3">
      <c r="A225" s="47">
        <v>157</v>
      </c>
      <c r="B225" s="50">
        <v>65</v>
      </c>
      <c r="C225" s="47">
        <v>13</v>
      </c>
      <c r="D225" s="51">
        <v>806.80599999999993</v>
      </c>
      <c r="E225" s="40">
        <v>988.21799999999985</v>
      </c>
      <c r="F225" s="40">
        <v>133.66999999999999</v>
      </c>
      <c r="G225" s="40">
        <v>21.96</v>
      </c>
      <c r="H225" s="40">
        <v>109.8</v>
      </c>
      <c r="I225" s="40">
        <v>0</v>
      </c>
      <c r="J225" s="40">
        <v>148</v>
      </c>
      <c r="K225" s="40">
        <v>0</v>
      </c>
      <c r="L225" s="47">
        <v>477.4</v>
      </c>
      <c r="M225" s="40">
        <v>110</v>
      </c>
    </row>
    <row r="226" spans="1:13" ht="15.75" customHeight="1" x14ac:dyDescent="0.3">
      <c r="A226" s="47">
        <v>157</v>
      </c>
      <c r="B226" s="50">
        <v>65</v>
      </c>
      <c r="C226" s="47">
        <v>13</v>
      </c>
      <c r="D226" s="51">
        <v>687.66099999999994</v>
      </c>
      <c r="E226" s="40">
        <v>1289.8729999999998</v>
      </c>
      <c r="F226" s="40">
        <v>113.93</v>
      </c>
      <c r="G226" s="40">
        <v>18.72</v>
      </c>
      <c r="H226" s="40">
        <v>93.59</v>
      </c>
      <c r="I226" s="40">
        <v>0</v>
      </c>
      <c r="J226" s="40">
        <v>126.14</v>
      </c>
      <c r="K226" s="40">
        <v>0</v>
      </c>
      <c r="L226" s="47">
        <v>406.9</v>
      </c>
      <c r="M226" s="40">
        <v>105</v>
      </c>
    </row>
    <row r="227" spans="1:13" ht="15.75" customHeight="1" x14ac:dyDescent="0.3">
      <c r="A227" s="40">
        <v>0</v>
      </c>
      <c r="B227" s="42">
        <v>0</v>
      </c>
      <c r="C227" s="47">
        <v>0</v>
      </c>
      <c r="D227" s="51">
        <v>894</v>
      </c>
      <c r="E227" s="40">
        <v>845</v>
      </c>
      <c r="F227" s="40">
        <v>167</v>
      </c>
      <c r="G227" s="40">
        <v>4.75</v>
      </c>
      <c r="H227" s="40">
        <v>0</v>
      </c>
      <c r="I227" s="40">
        <v>200</v>
      </c>
      <c r="J227" s="40">
        <v>0</v>
      </c>
      <c r="K227" s="40">
        <v>0</v>
      </c>
      <c r="L227" s="47">
        <v>300</v>
      </c>
      <c r="M227" s="40">
        <v>39.6</v>
      </c>
    </row>
    <row r="228" spans="1:13" ht="15.75" customHeight="1" x14ac:dyDescent="0.3">
      <c r="A228" s="40">
        <v>62.4</v>
      </c>
      <c r="B228" s="42">
        <f t="shared" ref="B228:B240" si="31">30/0.6</f>
        <v>50</v>
      </c>
      <c r="C228" s="47">
        <v>30</v>
      </c>
      <c r="D228" s="51">
        <v>894</v>
      </c>
      <c r="E228" s="40">
        <v>845</v>
      </c>
      <c r="F228" s="40">
        <v>167</v>
      </c>
      <c r="G228" s="40">
        <v>4.75</v>
      </c>
      <c r="H228" s="40">
        <v>0</v>
      </c>
      <c r="I228" s="40">
        <v>200</v>
      </c>
      <c r="J228" s="40">
        <v>0</v>
      </c>
      <c r="K228" s="40">
        <v>0</v>
      </c>
      <c r="L228" s="47">
        <v>300</v>
      </c>
      <c r="M228" s="40">
        <v>44.2</v>
      </c>
    </row>
    <row r="229" spans="1:13" ht="15.75" customHeight="1" x14ac:dyDescent="0.3">
      <c r="A229" s="40">
        <v>124.8</v>
      </c>
      <c r="B229" s="42">
        <f t="shared" si="31"/>
        <v>50</v>
      </c>
      <c r="C229" s="47">
        <v>30</v>
      </c>
      <c r="D229" s="51">
        <v>894</v>
      </c>
      <c r="E229" s="40">
        <v>845</v>
      </c>
      <c r="F229" s="40">
        <v>167</v>
      </c>
      <c r="G229" s="40">
        <v>4.75</v>
      </c>
      <c r="H229" s="40">
        <v>0</v>
      </c>
      <c r="I229" s="40">
        <v>200</v>
      </c>
      <c r="J229" s="40">
        <v>0</v>
      </c>
      <c r="K229" s="40">
        <v>0</v>
      </c>
      <c r="L229" s="47">
        <v>300</v>
      </c>
      <c r="M229" s="40">
        <v>32.04</v>
      </c>
    </row>
    <row r="230" spans="1:13" ht="15.75" customHeight="1" x14ac:dyDescent="0.3">
      <c r="A230" s="40">
        <v>156</v>
      </c>
      <c r="B230" s="42">
        <f t="shared" si="31"/>
        <v>50</v>
      </c>
      <c r="C230" s="47">
        <v>30</v>
      </c>
      <c r="D230" s="51">
        <v>894</v>
      </c>
      <c r="E230" s="40">
        <v>845</v>
      </c>
      <c r="F230" s="40">
        <v>167</v>
      </c>
      <c r="G230" s="40">
        <v>4.75</v>
      </c>
      <c r="H230" s="40">
        <v>0</v>
      </c>
      <c r="I230" s="40">
        <v>200</v>
      </c>
      <c r="J230" s="40">
        <v>0</v>
      </c>
      <c r="K230" s="40">
        <v>0</v>
      </c>
      <c r="L230" s="47">
        <v>300</v>
      </c>
      <c r="M230" s="40" t="s">
        <v>0</v>
      </c>
    </row>
    <row r="231" spans="1:13" ht="15.75" customHeight="1" x14ac:dyDescent="0.3">
      <c r="A231" s="40">
        <v>187.2</v>
      </c>
      <c r="B231" s="42">
        <f t="shared" si="31"/>
        <v>50</v>
      </c>
      <c r="C231" s="47">
        <v>30</v>
      </c>
      <c r="D231" s="51">
        <v>894</v>
      </c>
      <c r="E231" s="40">
        <v>845</v>
      </c>
      <c r="F231" s="40">
        <v>167</v>
      </c>
      <c r="G231" s="40">
        <v>4.75</v>
      </c>
      <c r="H231" s="40">
        <v>0</v>
      </c>
      <c r="I231" s="40">
        <v>200</v>
      </c>
      <c r="J231" s="40">
        <v>0</v>
      </c>
      <c r="K231" s="40">
        <v>0</v>
      </c>
      <c r="L231" s="47">
        <v>300</v>
      </c>
      <c r="M231" s="40">
        <v>43.45</v>
      </c>
    </row>
    <row r="232" spans="1:13" ht="15.75" customHeight="1" x14ac:dyDescent="0.3">
      <c r="A232" s="40" t="s">
        <v>1</v>
      </c>
      <c r="B232" s="42">
        <f t="shared" si="31"/>
        <v>50</v>
      </c>
      <c r="C232" s="40">
        <v>30</v>
      </c>
      <c r="D232" s="40">
        <v>894</v>
      </c>
      <c r="E232" s="40">
        <v>845</v>
      </c>
      <c r="F232" s="40">
        <v>167</v>
      </c>
      <c r="G232" s="40">
        <v>4.75</v>
      </c>
      <c r="H232" s="40">
        <v>0</v>
      </c>
      <c r="I232" s="40">
        <v>200</v>
      </c>
      <c r="J232" s="40">
        <v>0</v>
      </c>
      <c r="K232" s="40">
        <v>0</v>
      </c>
      <c r="L232" s="47">
        <v>300</v>
      </c>
      <c r="M232" s="40">
        <v>42.54</v>
      </c>
    </row>
    <row r="233" spans="1:13" ht="15.75" customHeight="1" x14ac:dyDescent="0.3">
      <c r="A233" s="40">
        <v>265.2</v>
      </c>
      <c r="B233" s="42">
        <f t="shared" si="31"/>
        <v>50</v>
      </c>
      <c r="C233" s="40">
        <v>30</v>
      </c>
      <c r="D233" s="40">
        <v>894</v>
      </c>
      <c r="E233" s="40">
        <v>845</v>
      </c>
      <c r="F233" s="40">
        <v>167</v>
      </c>
      <c r="G233" s="40">
        <v>4.75</v>
      </c>
      <c r="H233" s="40">
        <v>0</v>
      </c>
      <c r="I233" s="40">
        <v>200</v>
      </c>
      <c r="J233" s="40">
        <v>0</v>
      </c>
      <c r="K233" s="40">
        <v>0</v>
      </c>
      <c r="L233" s="47">
        <v>300</v>
      </c>
      <c r="M233" s="40">
        <v>43.99</v>
      </c>
    </row>
    <row r="234" spans="1:13" ht="15.75" customHeight="1" x14ac:dyDescent="0.3">
      <c r="A234" s="40">
        <v>62.4</v>
      </c>
      <c r="B234" s="42">
        <f t="shared" si="31"/>
        <v>50</v>
      </c>
      <c r="C234" s="40">
        <v>50</v>
      </c>
      <c r="D234" s="40">
        <v>894</v>
      </c>
      <c r="E234" s="40">
        <v>845</v>
      </c>
      <c r="F234" s="40">
        <v>167</v>
      </c>
      <c r="G234" s="40">
        <v>4.75</v>
      </c>
      <c r="H234" s="40">
        <v>0</v>
      </c>
      <c r="I234" s="40">
        <v>200</v>
      </c>
      <c r="J234" s="40">
        <v>0</v>
      </c>
      <c r="K234" s="40">
        <v>0</v>
      </c>
      <c r="L234" s="47">
        <v>300</v>
      </c>
      <c r="M234" s="40">
        <v>44.56</v>
      </c>
    </row>
    <row r="235" spans="1:13" ht="15.75" customHeight="1" x14ac:dyDescent="0.3">
      <c r="A235" s="40">
        <v>124.8</v>
      </c>
      <c r="B235" s="42">
        <f t="shared" si="31"/>
        <v>50</v>
      </c>
      <c r="C235" s="40">
        <v>50</v>
      </c>
      <c r="D235" s="40">
        <v>894</v>
      </c>
      <c r="E235" s="40">
        <v>845</v>
      </c>
      <c r="F235" s="40">
        <v>167</v>
      </c>
      <c r="G235" s="40">
        <v>4.75</v>
      </c>
      <c r="H235" s="40">
        <v>0</v>
      </c>
      <c r="I235" s="40">
        <v>200</v>
      </c>
      <c r="J235" s="40">
        <v>0</v>
      </c>
      <c r="K235" s="40">
        <v>0</v>
      </c>
      <c r="L235" s="47">
        <v>300</v>
      </c>
      <c r="M235" s="40">
        <v>38.86</v>
      </c>
    </row>
    <row r="236" spans="1:13" ht="15.75" customHeight="1" x14ac:dyDescent="0.3">
      <c r="A236" s="40">
        <v>156</v>
      </c>
      <c r="B236" s="42">
        <f t="shared" si="31"/>
        <v>50</v>
      </c>
      <c r="C236" s="40">
        <v>50</v>
      </c>
      <c r="D236" s="40">
        <v>894</v>
      </c>
      <c r="E236" s="40">
        <v>845</v>
      </c>
      <c r="F236" s="40">
        <v>167</v>
      </c>
      <c r="G236" s="40">
        <v>4.75</v>
      </c>
      <c r="H236" s="40">
        <v>0</v>
      </c>
      <c r="I236" s="40">
        <v>200</v>
      </c>
      <c r="J236" s="40">
        <v>0</v>
      </c>
      <c r="K236" s="40">
        <v>0</v>
      </c>
      <c r="L236" s="47">
        <v>300</v>
      </c>
      <c r="M236" s="40">
        <v>43.7</v>
      </c>
    </row>
    <row r="237" spans="1:13" ht="15.75" customHeight="1" x14ac:dyDescent="0.3">
      <c r="A237" s="40">
        <v>187.2</v>
      </c>
      <c r="B237" s="42">
        <f t="shared" si="31"/>
        <v>50</v>
      </c>
      <c r="C237" s="47">
        <v>50</v>
      </c>
      <c r="D237" s="51">
        <v>894</v>
      </c>
      <c r="E237" s="40">
        <v>845</v>
      </c>
      <c r="F237" s="40">
        <v>167</v>
      </c>
      <c r="G237" s="40">
        <v>4.75</v>
      </c>
      <c r="H237" s="40">
        <v>0</v>
      </c>
      <c r="I237" s="40">
        <v>200</v>
      </c>
      <c r="J237" s="40">
        <v>0</v>
      </c>
      <c r="K237" s="40">
        <v>0</v>
      </c>
      <c r="L237" s="47">
        <v>300</v>
      </c>
      <c r="M237" s="40">
        <v>41.2</v>
      </c>
    </row>
    <row r="238" spans="1:13" ht="15.75" customHeight="1" x14ac:dyDescent="0.3">
      <c r="A238" s="40" t="s">
        <v>1</v>
      </c>
      <c r="B238" s="42">
        <f t="shared" si="31"/>
        <v>50</v>
      </c>
      <c r="C238" s="47">
        <v>50</v>
      </c>
      <c r="D238" s="51">
        <v>894</v>
      </c>
      <c r="E238" s="40">
        <v>845</v>
      </c>
      <c r="F238" s="40">
        <v>167</v>
      </c>
      <c r="G238" s="40">
        <v>4.75</v>
      </c>
      <c r="H238" s="40">
        <v>0</v>
      </c>
      <c r="I238" s="40">
        <v>200</v>
      </c>
      <c r="J238" s="40">
        <v>0</v>
      </c>
      <c r="K238" s="40">
        <v>0</v>
      </c>
      <c r="L238" s="47">
        <v>300</v>
      </c>
      <c r="M238" s="40">
        <v>38.17</v>
      </c>
    </row>
    <row r="239" spans="1:13" ht="15.75" customHeight="1" x14ac:dyDescent="0.3">
      <c r="A239" s="40">
        <v>234</v>
      </c>
      <c r="B239" s="42">
        <f t="shared" si="31"/>
        <v>50</v>
      </c>
      <c r="C239" s="47">
        <v>50</v>
      </c>
      <c r="D239" s="51">
        <v>894</v>
      </c>
      <c r="E239" s="40">
        <v>845</v>
      </c>
      <c r="F239" s="40">
        <v>167</v>
      </c>
      <c r="G239" s="40">
        <v>4.75</v>
      </c>
      <c r="H239" s="40">
        <v>0</v>
      </c>
      <c r="I239" s="40">
        <v>200</v>
      </c>
      <c r="J239" s="40">
        <v>0</v>
      </c>
      <c r="K239" s="40">
        <v>0</v>
      </c>
      <c r="L239" s="47">
        <v>300</v>
      </c>
      <c r="M239" s="40">
        <v>39.29</v>
      </c>
    </row>
    <row r="240" spans="1:13" ht="15.75" customHeight="1" x14ac:dyDescent="0.3">
      <c r="A240" s="40">
        <v>265.2</v>
      </c>
      <c r="B240" s="42">
        <f t="shared" si="31"/>
        <v>50</v>
      </c>
      <c r="C240" s="47">
        <v>50</v>
      </c>
      <c r="D240" s="51">
        <v>894</v>
      </c>
      <c r="E240" s="40">
        <v>845</v>
      </c>
      <c r="F240" s="40">
        <v>167</v>
      </c>
      <c r="G240" s="40">
        <v>4.75</v>
      </c>
      <c r="H240" s="40">
        <v>0</v>
      </c>
      <c r="I240" s="40">
        <v>200</v>
      </c>
      <c r="J240" s="40">
        <v>0</v>
      </c>
      <c r="K240" s="40">
        <v>0</v>
      </c>
      <c r="L240" s="47">
        <v>300</v>
      </c>
      <c r="M240" s="40">
        <v>41.84</v>
      </c>
    </row>
    <row r="241" spans="1:13" ht="15.75" customHeight="1" x14ac:dyDescent="0.3">
      <c r="A241" s="40">
        <v>156</v>
      </c>
      <c r="B241" s="42">
        <v>60</v>
      </c>
      <c r="C241" s="47">
        <v>30</v>
      </c>
      <c r="D241" s="51">
        <v>894</v>
      </c>
      <c r="E241" s="40">
        <v>845</v>
      </c>
      <c r="F241" s="40">
        <v>167</v>
      </c>
      <c r="G241" s="40">
        <v>4.75</v>
      </c>
      <c r="H241" s="40">
        <v>0</v>
      </c>
      <c r="I241" s="40">
        <v>200</v>
      </c>
      <c r="J241" s="40">
        <v>0</v>
      </c>
      <c r="K241" s="40">
        <v>0</v>
      </c>
      <c r="L241" s="47">
        <v>300</v>
      </c>
      <c r="M241" s="40">
        <v>41.94</v>
      </c>
    </row>
    <row r="242" spans="1:13" ht="15.75" customHeight="1" x14ac:dyDescent="0.3">
      <c r="A242" s="40">
        <v>169.26</v>
      </c>
      <c r="B242" s="42">
        <v>60</v>
      </c>
      <c r="C242" s="47">
        <v>30</v>
      </c>
      <c r="D242" s="51">
        <v>894</v>
      </c>
      <c r="E242" s="40">
        <v>845</v>
      </c>
      <c r="F242" s="40">
        <v>167</v>
      </c>
      <c r="G242" s="40">
        <v>4.75</v>
      </c>
      <c r="H242" s="40">
        <v>0</v>
      </c>
      <c r="I242" s="40">
        <v>200</v>
      </c>
      <c r="J242" s="40">
        <v>0</v>
      </c>
      <c r="K242" s="40">
        <v>0</v>
      </c>
      <c r="L242" s="47">
        <v>300</v>
      </c>
      <c r="M242" s="40">
        <v>43.49</v>
      </c>
    </row>
    <row r="243" spans="1:13" ht="15.75" customHeight="1" x14ac:dyDescent="0.3">
      <c r="A243" s="40">
        <v>195</v>
      </c>
      <c r="B243" s="42">
        <v>60</v>
      </c>
      <c r="C243" s="47">
        <v>30</v>
      </c>
      <c r="D243" s="51">
        <v>894</v>
      </c>
      <c r="E243" s="40">
        <v>845</v>
      </c>
      <c r="F243" s="40">
        <v>167</v>
      </c>
      <c r="G243" s="40">
        <v>4.75</v>
      </c>
      <c r="H243" s="40">
        <v>0</v>
      </c>
      <c r="I243" s="40">
        <v>200</v>
      </c>
      <c r="J243" s="40">
        <v>0</v>
      </c>
      <c r="K243" s="40">
        <v>0</v>
      </c>
      <c r="L243" s="47">
        <v>300</v>
      </c>
      <c r="M243" s="40">
        <v>45.76</v>
      </c>
    </row>
    <row r="244" spans="1:13" ht="15.75" customHeight="1" x14ac:dyDescent="0.3">
      <c r="A244" s="40">
        <v>52.26</v>
      </c>
      <c r="B244" s="42">
        <v>60</v>
      </c>
      <c r="C244" s="47">
        <v>60</v>
      </c>
      <c r="D244" s="51">
        <v>894</v>
      </c>
      <c r="E244" s="40">
        <v>845</v>
      </c>
      <c r="F244" s="40">
        <v>167</v>
      </c>
      <c r="G244" s="40">
        <v>4.75</v>
      </c>
      <c r="H244" s="40">
        <v>0</v>
      </c>
      <c r="I244" s="40">
        <v>200</v>
      </c>
      <c r="J244" s="40">
        <v>0</v>
      </c>
      <c r="K244" s="40">
        <v>0</v>
      </c>
      <c r="L244" s="47">
        <v>300</v>
      </c>
      <c r="M244" s="40">
        <v>47.12</v>
      </c>
    </row>
    <row r="245" spans="1:13" ht="15.75" customHeight="1" x14ac:dyDescent="0.3">
      <c r="A245" s="40">
        <v>130.26</v>
      </c>
      <c r="B245" s="42">
        <v>60</v>
      </c>
      <c r="C245" s="47">
        <v>60</v>
      </c>
      <c r="D245" s="51">
        <v>894</v>
      </c>
      <c r="E245" s="40">
        <v>845</v>
      </c>
      <c r="F245" s="40">
        <v>167</v>
      </c>
      <c r="G245" s="40">
        <v>4.75</v>
      </c>
      <c r="H245" s="40">
        <v>0</v>
      </c>
      <c r="I245" s="40">
        <v>200</v>
      </c>
      <c r="J245" s="40">
        <v>0</v>
      </c>
      <c r="K245" s="40">
        <v>0</v>
      </c>
      <c r="L245" s="47">
        <v>300</v>
      </c>
      <c r="M245" s="40">
        <v>45.26</v>
      </c>
    </row>
    <row r="246" spans="1:13" ht="15.75" customHeight="1" x14ac:dyDescent="0.3">
      <c r="A246" s="40">
        <v>156</v>
      </c>
      <c r="B246" s="42">
        <v>60</v>
      </c>
      <c r="C246" s="47">
        <v>60</v>
      </c>
      <c r="D246" s="51">
        <v>894</v>
      </c>
      <c r="E246" s="40">
        <v>845</v>
      </c>
      <c r="F246" s="40">
        <v>167</v>
      </c>
      <c r="G246" s="40">
        <v>4.75</v>
      </c>
      <c r="H246" s="40">
        <v>0</v>
      </c>
      <c r="I246" s="40">
        <v>200</v>
      </c>
      <c r="J246" s="40">
        <v>0</v>
      </c>
      <c r="K246" s="40">
        <v>0</v>
      </c>
      <c r="L246" s="47">
        <v>300</v>
      </c>
      <c r="M246" s="40">
        <v>41.69</v>
      </c>
    </row>
    <row r="247" spans="1:13" ht="15.75" customHeight="1" x14ac:dyDescent="0.3">
      <c r="A247" s="40">
        <v>169.26</v>
      </c>
      <c r="B247" s="42">
        <v>60</v>
      </c>
      <c r="C247" s="47">
        <v>60</v>
      </c>
      <c r="D247" s="51">
        <v>894</v>
      </c>
      <c r="E247" s="40">
        <v>845</v>
      </c>
      <c r="F247" s="40">
        <v>167</v>
      </c>
      <c r="G247" s="40">
        <v>4.75</v>
      </c>
      <c r="H247" s="40">
        <v>0</v>
      </c>
      <c r="I247" s="40">
        <v>200</v>
      </c>
      <c r="J247" s="40">
        <v>0</v>
      </c>
      <c r="K247" s="40">
        <v>0</v>
      </c>
      <c r="L247" s="47">
        <v>300</v>
      </c>
      <c r="M247" s="40">
        <v>45.95</v>
      </c>
    </row>
    <row r="248" spans="1:13" ht="15.75" customHeight="1" x14ac:dyDescent="0.3">
      <c r="A248" s="40">
        <v>195</v>
      </c>
      <c r="B248" s="42">
        <v>60</v>
      </c>
      <c r="C248" s="47">
        <v>60</v>
      </c>
      <c r="D248" s="51">
        <v>894</v>
      </c>
      <c r="E248" s="40">
        <v>845</v>
      </c>
      <c r="F248" s="40">
        <v>167</v>
      </c>
      <c r="G248" s="40">
        <v>4.75</v>
      </c>
      <c r="H248" s="40">
        <v>0</v>
      </c>
      <c r="I248" s="40">
        <v>200</v>
      </c>
      <c r="J248" s="40">
        <v>0</v>
      </c>
      <c r="K248" s="40">
        <v>0</v>
      </c>
      <c r="L248" s="47">
        <v>300</v>
      </c>
      <c r="M248" s="40">
        <v>41.97</v>
      </c>
    </row>
    <row r="249" spans="1:13" ht="15.75" customHeight="1" x14ac:dyDescent="0.3">
      <c r="A249" s="40">
        <v>220.74</v>
      </c>
      <c r="B249" s="42">
        <v>60</v>
      </c>
      <c r="C249" s="47">
        <v>60</v>
      </c>
      <c r="D249" s="51">
        <v>894</v>
      </c>
      <c r="E249" s="40">
        <v>845</v>
      </c>
      <c r="F249" s="40">
        <v>167</v>
      </c>
      <c r="G249" s="40">
        <v>4.75</v>
      </c>
      <c r="H249" s="40">
        <v>0</v>
      </c>
      <c r="I249" s="40">
        <v>200</v>
      </c>
      <c r="J249" s="40">
        <v>0</v>
      </c>
      <c r="K249" s="40">
        <v>0</v>
      </c>
      <c r="L249" s="47">
        <v>300</v>
      </c>
      <c r="M249" s="40">
        <v>46.81</v>
      </c>
    </row>
    <row r="250" spans="1:13" ht="15.75" customHeight="1" x14ac:dyDescent="0.3">
      <c r="A250" s="40">
        <v>44.46</v>
      </c>
      <c r="B250" s="42">
        <v>70</v>
      </c>
      <c r="C250" s="47">
        <v>35</v>
      </c>
      <c r="D250" s="51">
        <v>894</v>
      </c>
      <c r="E250" s="40">
        <v>845</v>
      </c>
      <c r="F250" s="40">
        <v>167</v>
      </c>
      <c r="G250" s="40">
        <v>4.75</v>
      </c>
      <c r="H250" s="40">
        <v>0</v>
      </c>
      <c r="I250" s="40">
        <v>200</v>
      </c>
      <c r="J250" s="40">
        <v>0</v>
      </c>
      <c r="K250" s="40">
        <v>0</v>
      </c>
      <c r="L250" s="47">
        <v>300</v>
      </c>
      <c r="M250" s="40">
        <v>42.77</v>
      </c>
    </row>
    <row r="251" spans="1:13" ht="15.75" customHeight="1" x14ac:dyDescent="0.3">
      <c r="A251" s="40">
        <v>88.92</v>
      </c>
      <c r="B251" s="42">
        <v>70</v>
      </c>
      <c r="C251" s="47">
        <v>35</v>
      </c>
      <c r="D251" s="51">
        <v>894</v>
      </c>
      <c r="E251" s="40">
        <v>845</v>
      </c>
      <c r="F251" s="40">
        <v>167</v>
      </c>
      <c r="G251" s="40">
        <v>4.75</v>
      </c>
      <c r="H251" s="40">
        <v>0</v>
      </c>
      <c r="I251" s="40">
        <v>200</v>
      </c>
      <c r="J251" s="40">
        <v>0</v>
      </c>
      <c r="K251" s="40">
        <v>0</v>
      </c>
      <c r="L251" s="47">
        <v>300</v>
      </c>
      <c r="M251" s="40">
        <v>46.33</v>
      </c>
    </row>
    <row r="252" spans="1:13" ht="15.75" customHeight="1" x14ac:dyDescent="0.3">
      <c r="A252" s="40">
        <v>111.54</v>
      </c>
      <c r="B252" s="42">
        <v>70</v>
      </c>
      <c r="C252" s="47">
        <v>35</v>
      </c>
      <c r="D252" s="51">
        <v>894</v>
      </c>
      <c r="E252" s="40">
        <v>845</v>
      </c>
      <c r="F252" s="40">
        <v>167</v>
      </c>
      <c r="G252" s="40">
        <v>4.75</v>
      </c>
      <c r="H252" s="40">
        <v>0</v>
      </c>
      <c r="I252" s="40">
        <v>200</v>
      </c>
      <c r="J252" s="40">
        <v>0</v>
      </c>
      <c r="K252" s="40">
        <v>0</v>
      </c>
      <c r="L252" s="47">
        <v>300</v>
      </c>
      <c r="M252" s="40">
        <v>43.33</v>
      </c>
    </row>
    <row r="253" spans="1:13" ht="15.75" customHeight="1" x14ac:dyDescent="0.3">
      <c r="A253" s="40">
        <v>133.38</v>
      </c>
      <c r="B253" s="42">
        <v>70</v>
      </c>
      <c r="C253" s="47">
        <v>35</v>
      </c>
      <c r="D253" s="51">
        <v>894</v>
      </c>
      <c r="E253" s="40">
        <v>845</v>
      </c>
      <c r="F253" s="40">
        <v>167</v>
      </c>
      <c r="G253" s="40">
        <v>4.75</v>
      </c>
      <c r="H253" s="40">
        <v>0</v>
      </c>
      <c r="I253" s="40">
        <v>200</v>
      </c>
      <c r="J253" s="40">
        <v>0</v>
      </c>
      <c r="K253" s="40">
        <v>0</v>
      </c>
      <c r="L253" s="47">
        <v>300</v>
      </c>
      <c r="M253" s="40">
        <v>44.81</v>
      </c>
    </row>
    <row r="254" spans="1:13" ht="15.75" customHeight="1" x14ac:dyDescent="0.3">
      <c r="A254" s="40">
        <v>145.08000000000001</v>
      </c>
      <c r="B254" s="42">
        <v>70</v>
      </c>
      <c r="C254" s="47">
        <v>35</v>
      </c>
      <c r="D254" s="51">
        <v>894</v>
      </c>
      <c r="E254" s="40">
        <v>845</v>
      </c>
      <c r="F254" s="40">
        <v>167</v>
      </c>
      <c r="G254" s="40">
        <v>4.75</v>
      </c>
      <c r="H254" s="40">
        <v>0</v>
      </c>
      <c r="I254" s="40">
        <v>200</v>
      </c>
      <c r="J254" s="40">
        <v>0</v>
      </c>
      <c r="K254" s="40">
        <v>0</v>
      </c>
      <c r="L254" s="47">
        <v>300</v>
      </c>
      <c r="M254" s="40">
        <v>40.61</v>
      </c>
    </row>
    <row r="255" spans="1:13" ht="15.75" customHeight="1" x14ac:dyDescent="0.3">
      <c r="A255" s="40">
        <v>166.92</v>
      </c>
      <c r="B255" s="42">
        <v>70</v>
      </c>
      <c r="C255" s="47">
        <v>35</v>
      </c>
      <c r="D255" s="51">
        <v>894</v>
      </c>
      <c r="E255" s="40">
        <v>845</v>
      </c>
      <c r="F255" s="40">
        <v>167</v>
      </c>
      <c r="G255" s="40">
        <v>4.75</v>
      </c>
      <c r="H255" s="40">
        <v>0</v>
      </c>
      <c r="I255" s="40">
        <v>200</v>
      </c>
      <c r="J255" s="40">
        <v>0</v>
      </c>
      <c r="K255" s="40">
        <v>0</v>
      </c>
      <c r="L255" s="47">
        <v>300</v>
      </c>
      <c r="M255" s="40">
        <v>40.31</v>
      </c>
    </row>
    <row r="256" spans="1:13" ht="15.75" customHeight="1" x14ac:dyDescent="0.3">
      <c r="A256" s="40">
        <v>189.54</v>
      </c>
      <c r="B256" s="42">
        <v>70</v>
      </c>
      <c r="C256" s="47">
        <v>35</v>
      </c>
      <c r="D256" s="51">
        <v>894</v>
      </c>
      <c r="E256" s="40">
        <v>845</v>
      </c>
      <c r="F256" s="40">
        <v>167</v>
      </c>
      <c r="G256" s="40">
        <v>4.75</v>
      </c>
      <c r="H256" s="40">
        <v>0</v>
      </c>
      <c r="I256" s="40">
        <v>200</v>
      </c>
      <c r="J256" s="40">
        <v>0</v>
      </c>
      <c r="K256" s="40">
        <v>0</v>
      </c>
      <c r="L256" s="47">
        <v>300</v>
      </c>
      <c r="M256" s="40">
        <v>49.69</v>
      </c>
    </row>
    <row r="257" spans="1:13" ht="15.75" customHeight="1" x14ac:dyDescent="0.3">
      <c r="A257" s="40">
        <v>31.2</v>
      </c>
      <c r="B257" s="42">
        <v>100</v>
      </c>
      <c r="C257" s="47">
        <v>50</v>
      </c>
      <c r="D257" s="51">
        <v>894</v>
      </c>
      <c r="E257" s="40">
        <v>845</v>
      </c>
      <c r="F257" s="40">
        <v>167</v>
      </c>
      <c r="G257" s="40">
        <v>4.75</v>
      </c>
      <c r="H257" s="40">
        <v>0</v>
      </c>
      <c r="I257" s="40">
        <v>200</v>
      </c>
      <c r="J257" s="40">
        <v>0</v>
      </c>
      <c r="K257" s="40">
        <v>0</v>
      </c>
      <c r="L257" s="47">
        <v>300</v>
      </c>
      <c r="M257" s="40">
        <v>40.83</v>
      </c>
    </row>
    <row r="258" spans="1:13" ht="15.75" customHeight="1" x14ac:dyDescent="0.3">
      <c r="A258" s="40">
        <v>62.4</v>
      </c>
      <c r="B258" s="42">
        <v>100</v>
      </c>
      <c r="C258" s="47">
        <v>50</v>
      </c>
      <c r="D258" s="51">
        <v>894</v>
      </c>
      <c r="E258" s="40">
        <v>845</v>
      </c>
      <c r="F258" s="40">
        <v>167</v>
      </c>
      <c r="G258" s="40">
        <v>4.75</v>
      </c>
      <c r="H258" s="40">
        <v>0</v>
      </c>
      <c r="I258" s="40">
        <v>200</v>
      </c>
      <c r="J258" s="40">
        <v>0</v>
      </c>
      <c r="K258" s="40">
        <v>0</v>
      </c>
      <c r="L258" s="47">
        <v>300</v>
      </c>
      <c r="M258" s="40">
        <v>42.79</v>
      </c>
    </row>
    <row r="259" spans="1:13" ht="15.75" customHeight="1" x14ac:dyDescent="0.3">
      <c r="A259" s="40">
        <v>78</v>
      </c>
      <c r="B259" s="42">
        <v>100</v>
      </c>
      <c r="C259" s="47">
        <v>50</v>
      </c>
      <c r="D259" s="51">
        <v>894</v>
      </c>
      <c r="E259" s="40">
        <v>845</v>
      </c>
      <c r="F259" s="40">
        <v>167</v>
      </c>
      <c r="G259" s="40">
        <v>4.75</v>
      </c>
      <c r="H259" s="40">
        <v>0</v>
      </c>
      <c r="I259" s="40">
        <v>200</v>
      </c>
      <c r="J259" s="40">
        <v>0</v>
      </c>
      <c r="K259" s="40">
        <v>0</v>
      </c>
      <c r="L259" s="47">
        <v>300</v>
      </c>
      <c r="M259" s="40">
        <v>43.4</v>
      </c>
    </row>
    <row r="260" spans="1:13" ht="15.75" customHeight="1" x14ac:dyDescent="0.3">
      <c r="A260" s="40">
        <v>93.6</v>
      </c>
      <c r="B260" s="42">
        <v>100</v>
      </c>
      <c r="C260" s="47">
        <v>50</v>
      </c>
      <c r="D260" s="51">
        <v>894</v>
      </c>
      <c r="E260" s="40">
        <v>845</v>
      </c>
      <c r="F260" s="40">
        <v>167</v>
      </c>
      <c r="G260" s="40">
        <v>4.75</v>
      </c>
      <c r="H260" s="40">
        <v>0</v>
      </c>
      <c r="I260" s="40">
        <v>200</v>
      </c>
      <c r="J260" s="40">
        <v>0</v>
      </c>
      <c r="K260" s="40">
        <v>0</v>
      </c>
      <c r="L260" s="47">
        <v>300</v>
      </c>
      <c r="M260" s="40">
        <v>43.9</v>
      </c>
    </row>
    <row r="261" spans="1:13" ht="15.75" customHeight="1" x14ac:dyDescent="0.3">
      <c r="A261" s="40">
        <v>101.4</v>
      </c>
      <c r="B261" s="42">
        <v>100</v>
      </c>
      <c r="C261" s="47">
        <v>50</v>
      </c>
      <c r="D261" s="51">
        <v>894</v>
      </c>
      <c r="E261" s="40">
        <v>845</v>
      </c>
      <c r="F261" s="40">
        <v>167</v>
      </c>
      <c r="G261" s="40">
        <v>4.75</v>
      </c>
      <c r="H261" s="40">
        <v>0</v>
      </c>
      <c r="I261" s="40">
        <v>200</v>
      </c>
      <c r="J261" s="40">
        <v>0</v>
      </c>
      <c r="K261" s="40">
        <v>0</v>
      </c>
      <c r="L261" s="47">
        <v>300</v>
      </c>
      <c r="M261" s="40">
        <v>43.74</v>
      </c>
    </row>
    <row r="262" spans="1:13" ht="15.75" customHeight="1" x14ac:dyDescent="0.3">
      <c r="A262" s="40">
        <v>0</v>
      </c>
      <c r="B262" s="42">
        <v>0</v>
      </c>
      <c r="C262" s="47">
        <v>0</v>
      </c>
      <c r="D262" s="51">
        <v>626</v>
      </c>
      <c r="E262" s="40">
        <v>1216</v>
      </c>
      <c r="F262" s="40">
        <v>170</v>
      </c>
      <c r="G262" s="40">
        <v>0</v>
      </c>
      <c r="H262" s="40">
        <v>0</v>
      </c>
      <c r="I262" s="40">
        <v>0</v>
      </c>
      <c r="J262" s="40">
        <v>0</v>
      </c>
      <c r="K262" s="40">
        <v>0</v>
      </c>
      <c r="L262" s="47">
        <v>340</v>
      </c>
      <c r="M262" s="40">
        <v>51.6</v>
      </c>
    </row>
    <row r="263" spans="1:13" ht="15.75" customHeight="1" x14ac:dyDescent="0.3">
      <c r="A263" s="40">
        <v>19.5</v>
      </c>
      <c r="B263" s="42">
        <v>70</v>
      </c>
      <c r="C263" s="47">
        <v>35</v>
      </c>
      <c r="D263" s="51">
        <v>626</v>
      </c>
      <c r="E263" s="40">
        <v>1210</v>
      </c>
      <c r="F263" s="40">
        <v>170</v>
      </c>
      <c r="G263" s="40">
        <v>0</v>
      </c>
      <c r="H263" s="40">
        <v>0</v>
      </c>
      <c r="I263" s="40">
        <v>0</v>
      </c>
      <c r="J263" s="40">
        <v>0</v>
      </c>
      <c r="K263" s="40">
        <v>0</v>
      </c>
      <c r="L263" s="47">
        <v>340</v>
      </c>
      <c r="M263" s="40">
        <v>48.4</v>
      </c>
    </row>
    <row r="264" spans="1:13" ht="15.75" customHeight="1" x14ac:dyDescent="0.3">
      <c r="A264" s="40">
        <v>39</v>
      </c>
      <c r="B264" s="42">
        <v>70</v>
      </c>
      <c r="C264" s="47">
        <v>35</v>
      </c>
      <c r="D264" s="51">
        <v>626</v>
      </c>
      <c r="E264" s="40">
        <v>1203</v>
      </c>
      <c r="F264" s="40">
        <v>170</v>
      </c>
      <c r="G264" s="40">
        <v>0</v>
      </c>
      <c r="H264" s="40">
        <v>0</v>
      </c>
      <c r="I264" s="40">
        <v>0</v>
      </c>
      <c r="J264" s="40">
        <v>0</v>
      </c>
      <c r="K264" s="40">
        <v>0</v>
      </c>
      <c r="L264" s="47">
        <v>340</v>
      </c>
      <c r="M264" s="40">
        <v>50.5</v>
      </c>
    </row>
    <row r="265" spans="1:13" ht="15.75" customHeight="1" x14ac:dyDescent="0.3">
      <c r="A265" s="40">
        <v>78</v>
      </c>
      <c r="B265" s="42">
        <v>70</v>
      </c>
      <c r="C265" s="47">
        <v>35</v>
      </c>
      <c r="D265" s="40">
        <v>626</v>
      </c>
      <c r="E265" s="40">
        <v>1196</v>
      </c>
      <c r="F265" s="40">
        <v>170</v>
      </c>
      <c r="G265" s="40">
        <v>0</v>
      </c>
      <c r="H265" s="40">
        <v>0</v>
      </c>
      <c r="I265" s="40">
        <v>0</v>
      </c>
      <c r="J265" s="40">
        <v>0</v>
      </c>
      <c r="K265" s="40">
        <v>0</v>
      </c>
      <c r="L265" s="47">
        <v>340</v>
      </c>
      <c r="M265" s="40">
        <v>49.6</v>
      </c>
    </row>
    <row r="266" spans="1:13" ht="15.75" customHeight="1" x14ac:dyDescent="0.3">
      <c r="A266" s="40">
        <v>0</v>
      </c>
      <c r="B266" s="42">
        <v>0</v>
      </c>
      <c r="C266" s="47">
        <v>0</v>
      </c>
      <c r="D266" s="40">
        <v>602</v>
      </c>
      <c r="E266" s="40">
        <v>1222</v>
      </c>
      <c r="F266" s="40">
        <v>163</v>
      </c>
      <c r="G266" s="40">
        <v>0.43</v>
      </c>
      <c r="H266" s="40">
        <v>0</v>
      </c>
      <c r="I266" s="40">
        <v>0</v>
      </c>
      <c r="J266" s="40">
        <v>0</v>
      </c>
      <c r="K266" s="40">
        <v>0</v>
      </c>
      <c r="L266" s="47">
        <v>340</v>
      </c>
      <c r="M266" s="40">
        <v>52.8</v>
      </c>
    </row>
    <row r="267" spans="1:13" ht="15.75" customHeight="1" x14ac:dyDescent="0.3">
      <c r="A267" s="40">
        <v>19.5</v>
      </c>
      <c r="B267" s="42">
        <v>70</v>
      </c>
      <c r="C267" s="47">
        <v>35</v>
      </c>
      <c r="D267" s="40">
        <v>602</v>
      </c>
      <c r="E267" s="40">
        <v>1216</v>
      </c>
      <c r="F267" s="40">
        <v>163</v>
      </c>
      <c r="G267" s="40">
        <v>0.33</v>
      </c>
      <c r="H267" s="40">
        <v>0</v>
      </c>
      <c r="I267" s="40">
        <v>0</v>
      </c>
      <c r="J267" s="40">
        <v>0</v>
      </c>
      <c r="K267" s="40">
        <v>0</v>
      </c>
      <c r="L267" s="47">
        <v>340</v>
      </c>
      <c r="M267" s="40">
        <v>50.3</v>
      </c>
    </row>
    <row r="268" spans="1:13" ht="15.75" customHeight="1" x14ac:dyDescent="0.3">
      <c r="A268" s="40">
        <v>39</v>
      </c>
      <c r="B268" s="42">
        <v>70</v>
      </c>
      <c r="C268" s="47">
        <v>35</v>
      </c>
      <c r="D268" s="40">
        <v>604</v>
      </c>
      <c r="E268" s="40">
        <v>1226</v>
      </c>
      <c r="F268" s="40">
        <v>158</v>
      </c>
      <c r="G268" s="40">
        <v>0.43</v>
      </c>
      <c r="H268" s="40">
        <v>0</v>
      </c>
      <c r="I268" s="40">
        <v>0</v>
      </c>
      <c r="J268" s="40">
        <v>0</v>
      </c>
      <c r="K268" s="40">
        <v>0</v>
      </c>
      <c r="L268" s="47">
        <v>340</v>
      </c>
      <c r="M268" s="40">
        <v>52.5</v>
      </c>
    </row>
    <row r="269" spans="1:13" ht="15.75" customHeight="1" x14ac:dyDescent="0.3">
      <c r="A269" s="40">
        <v>78</v>
      </c>
      <c r="B269" s="42">
        <v>70</v>
      </c>
      <c r="C269" s="47">
        <v>35</v>
      </c>
      <c r="D269" s="40">
        <v>604</v>
      </c>
      <c r="E269" s="40">
        <v>1220</v>
      </c>
      <c r="F269" s="40">
        <v>158</v>
      </c>
      <c r="G269" s="40">
        <v>0.43</v>
      </c>
      <c r="H269" s="40">
        <v>0</v>
      </c>
      <c r="I269" s="40">
        <v>0</v>
      </c>
      <c r="J269" s="40">
        <v>0</v>
      </c>
      <c r="K269" s="40">
        <v>0</v>
      </c>
      <c r="L269" s="47">
        <v>340</v>
      </c>
      <c r="M269" s="40">
        <v>53</v>
      </c>
    </row>
    <row r="270" spans="1:13" ht="15.75" customHeight="1" x14ac:dyDescent="0.3">
      <c r="A270" s="40">
        <v>0</v>
      </c>
      <c r="B270" s="42">
        <v>0</v>
      </c>
      <c r="C270" s="47">
        <v>0</v>
      </c>
      <c r="D270" s="40">
        <v>593</v>
      </c>
      <c r="E270" s="40">
        <v>1232</v>
      </c>
      <c r="F270" s="40">
        <v>146</v>
      </c>
      <c r="G270" s="40">
        <v>0.76</v>
      </c>
      <c r="H270" s="40">
        <v>0</v>
      </c>
      <c r="I270" s="40">
        <v>0</v>
      </c>
      <c r="J270" s="40">
        <v>0</v>
      </c>
      <c r="K270" s="40">
        <v>0</v>
      </c>
      <c r="L270" s="47">
        <v>340</v>
      </c>
      <c r="M270" s="40">
        <v>46.8</v>
      </c>
    </row>
    <row r="271" spans="1:13" ht="15.75" customHeight="1" x14ac:dyDescent="0.3">
      <c r="A271" s="40">
        <v>19.5</v>
      </c>
      <c r="B271" s="42">
        <v>70</v>
      </c>
      <c r="C271" s="47">
        <v>35</v>
      </c>
      <c r="D271" s="51">
        <v>593</v>
      </c>
      <c r="E271" s="40">
        <v>1226</v>
      </c>
      <c r="F271" s="40">
        <v>146</v>
      </c>
      <c r="G271" s="40">
        <v>0.76</v>
      </c>
      <c r="H271" s="40">
        <v>0</v>
      </c>
      <c r="I271" s="40">
        <v>0</v>
      </c>
      <c r="J271" s="40">
        <v>0</v>
      </c>
      <c r="K271" s="40">
        <v>0</v>
      </c>
      <c r="L271" s="47">
        <v>340</v>
      </c>
      <c r="M271" s="40">
        <v>49.5</v>
      </c>
    </row>
    <row r="272" spans="1:13" ht="15.75" customHeight="1" x14ac:dyDescent="0.3">
      <c r="A272" s="40">
        <v>39</v>
      </c>
      <c r="B272" s="42">
        <v>70</v>
      </c>
      <c r="C272" s="47">
        <v>35</v>
      </c>
      <c r="D272" s="51">
        <v>593</v>
      </c>
      <c r="E272" s="40">
        <v>1219</v>
      </c>
      <c r="F272" s="40">
        <v>146</v>
      </c>
      <c r="G272" s="40">
        <v>0.76</v>
      </c>
      <c r="H272" s="40">
        <v>0</v>
      </c>
      <c r="I272" s="40">
        <v>0</v>
      </c>
      <c r="J272" s="40">
        <v>0</v>
      </c>
      <c r="K272" s="40">
        <v>0</v>
      </c>
      <c r="L272" s="47">
        <v>340</v>
      </c>
      <c r="M272" s="40">
        <v>48.8</v>
      </c>
    </row>
    <row r="273" spans="1:13" ht="15.75" customHeight="1" x14ac:dyDescent="0.3">
      <c r="A273" s="40">
        <v>78</v>
      </c>
      <c r="B273" s="42">
        <v>70</v>
      </c>
      <c r="C273" s="47">
        <v>35</v>
      </c>
      <c r="D273" s="51">
        <v>593</v>
      </c>
      <c r="E273" s="40">
        <v>1212</v>
      </c>
      <c r="F273" s="40">
        <v>146</v>
      </c>
      <c r="G273" s="40">
        <v>0.76</v>
      </c>
      <c r="H273" s="40">
        <v>0</v>
      </c>
      <c r="I273" s="40">
        <v>0</v>
      </c>
      <c r="J273" s="40">
        <v>0</v>
      </c>
      <c r="K273" s="40">
        <v>0</v>
      </c>
      <c r="L273" s="47">
        <v>340</v>
      </c>
      <c r="M273" s="40">
        <v>50.1</v>
      </c>
    </row>
    <row r="274" spans="1:13" ht="15.75" customHeight="1" x14ac:dyDescent="0.3">
      <c r="A274" s="40">
        <v>0</v>
      </c>
      <c r="B274" s="42">
        <v>0</v>
      </c>
      <c r="C274" s="47">
        <v>0</v>
      </c>
      <c r="D274" s="51">
        <v>756</v>
      </c>
      <c r="E274" s="40">
        <v>1135</v>
      </c>
      <c r="F274" s="40">
        <v>140</v>
      </c>
      <c r="G274" s="40">
        <v>4</v>
      </c>
      <c r="H274" s="40">
        <v>0</v>
      </c>
      <c r="I274" s="40">
        <v>0</v>
      </c>
      <c r="J274" s="40">
        <v>0</v>
      </c>
      <c r="K274" s="40">
        <v>0</v>
      </c>
      <c r="L274" s="47">
        <v>400</v>
      </c>
      <c r="M274" s="40">
        <v>77.099999999999994</v>
      </c>
    </row>
    <row r="275" spans="1:13" ht="15.75" customHeight="1" x14ac:dyDescent="0.3">
      <c r="A275" s="40">
        <v>19.63</v>
      </c>
      <c r="B275" s="42">
        <v>64</v>
      </c>
      <c r="C275" s="47">
        <v>35</v>
      </c>
      <c r="D275" s="51">
        <v>754</v>
      </c>
      <c r="E275" s="40">
        <v>1131</v>
      </c>
      <c r="F275" s="40">
        <v>140</v>
      </c>
      <c r="G275" s="40">
        <v>4</v>
      </c>
      <c r="H275" s="40">
        <v>0</v>
      </c>
      <c r="I275" s="40">
        <v>0</v>
      </c>
      <c r="J275" s="40">
        <v>0</v>
      </c>
      <c r="K275" s="40">
        <v>0</v>
      </c>
      <c r="L275" s="47">
        <v>400</v>
      </c>
      <c r="M275" s="40">
        <v>79.400000000000006</v>
      </c>
    </row>
    <row r="276" spans="1:13" ht="15.75" customHeight="1" x14ac:dyDescent="0.3">
      <c r="A276" s="40">
        <v>39.25</v>
      </c>
      <c r="B276" s="42">
        <v>64</v>
      </c>
      <c r="C276" s="47">
        <v>35</v>
      </c>
      <c r="D276" s="51">
        <v>751</v>
      </c>
      <c r="E276" s="40">
        <v>1127</v>
      </c>
      <c r="F276" s="40">
        <v>140</v>
      </c>
      <c r="G276" s="40">
        <v>4</v>
      </c>
      <c r="H276" s="40">
        <v>0</v>
      </c>
      <c r="I276" s="40">
        <v>0</v>
      </c>
      <c r="J276" s="40">
        <v>0</v>
      </c>
      <c r="K276" s="40">
        <v>0</v>
      </c>
      <c r="L276" s="47">
        <v>400</v>
      </c>
      <c r="M276" s="40">
        <v>78.2</v>
      </c>
    </row>
    <row r="277" spans="1:13" ht="15.75" customHeight="1" x14ac:dyDescent="0.3">
      <c r="A277" s="40">
        <v>78.5</v>
      </c>
      <c r="B277" s="42">
        <v>64</v>
      </c>
      <c r="C277" s="47">
        <v>35</v>
      </c>
      <c r="D277" s="51">
        <v>746</v>
      </c>
      <c r="E277" s="40">
        <v>1119</v>
      </c>
      <c r="F277" s="40">
        <v>140</v>
      </c>
      <c r="G277" s="40">
        <v>4</v>
      </c>
      <c r="H277" s="40">
        <v>0</v>
      </c>
      <c r="I277" s="40">
        <v>0</v>
      </c>
      <c r="J277" s="40">
        <v>0</v>
      </c>
      <c r="K277" s="40">
        <v>0</v>
      </c>
      <c r="L277" s="47">
        <v>400</v>
      </c>
      <c r="M277" s="40">
        <v>80.5</v>
      </c>
    </row>
    <row r="278" spans="1:13" ht="15.75" customHeight="1" x14ac:dyDescent="0.3">
      <c r="A278" s="40">
        <v>117.75</v>
      </c>
      <c r="B278" s="42">
        <v>64</v>
      </c>
      <c r="C278" s="47">
        <v>35</v>
      </c>
      <c r="D278" s="51">
        <v>740</v>
      </c>
      <c r="E278" s="40">
        <v>1111</v>
      </c>
      <c r="F278" s="40">
        <v>140</v>
      </c>
      <c r="G278" s="40">
        <v>4</v>
      </c>
      <c r="H278" s="40">
        <v>0</v>
      </c>
      <c r="I278" s="40">
        <v>0</v>
      </c>
      <c r="J278" s="40">
        <v>0</v>
      </c>
      <c r="K278" s="40">
        <v>0</v>
      </c>
      <c r="L278" s="47">
        <v>400</v>
      </c>
      <c r="M278" s="40">
        <v>81</v>
      </c>
    </row>
    <row r="279" spans="1:13" ht="15.75" customHeight="1" x14ac:dyDescent="0.3">
      <c r="A279" s="40">
        <v>0</v>
      </c>
      <c r="B279" s="42">
        <v>0</v>
      </c>
      <c r="C279" s="47">
        <v>0</v>
      </c>
      <c r="D279" s="51">
        <v>750</v>
      </c>
      <c r="E279" s="40">
        <v>1124</v>
      </c>
      <c r="F279" s="40">
        <v>140</v>
      </c>
      <c r="G279" s="40">
        <v>4</v>
      </c>
      <c r="H279" s="40">
        <v>0</v>
      </c>
      <c r="I279" s="40">
        <v>0</v>
      </c>
      <c r="J279" s="40">
        <v>60</v>
      </c>
      <c r="K279" s="40">
        <v>0</v>
      </c>
      <c r="L279" s="47">
        <v>340</v>
      </c>
      <c r="M279" s="40">
        <v>67.8</v>
      </c>
    </row>
    <row r="280" spans="1:13" ht="15.75" customHeight="1" x14ac:dyDescent="0.3">
      <c r="A280" s="40">
        <v>19.63</v>
      </c>
      <c r="B280" s="42">
        <v>64</v>
      </c>
      <c r="C280" s="47">
        <v>35</v>
      </c>
      <c r="D280" s="51">
        <v>747</v>
      </c>
      <c r="E280" s="40">
        <v>1120</v>
      </c>
      <c r="F280" s="40">
        <v>140</v>
      </c>
      <c r="G280" s="40">
        <v>4</v>
      </c>
      <c r="H280" s="40">
        <v>0</v>
      </c>
      <c r="I280" s="40">
        <v>0</v>
      </c>
      <c r="J280" s="40">
        <v>60</v>
      </c>
      <c r="K280" s="40">
        <v>0</v>
      </c>
      <c r="L280" s="47">
        <v>340</v>
      </c>
      <c r="M280" s="40">
        <v>69.400000000000006</v>
      </c>
    </row>
    <row r="281" spans="1:13" ht="15.75" customHeight="1" x14ac:dyDescent="0.3">
      <c r="A281" s="40">
        <v>39.25</v>
      </c>
      <c r="B281" s="42">
        <v>64</v>
      </c>
      <c r="C281" s="47">
        <v>35</v>
      </c>
      <c r="D281" s="51">
        <v>744</v>
      </c>
      <c r="E281" s="40">
        <v>1116</v>
      </c>
      <c r="F281" s="40">
        <v>140</v>
      </c>
      <c r="G281" s="40">
        <v>4</v>
      </c>
      <c r="H281" s="40">
        <v>0</v>
      </c>
      <c r="I281" s="40">
        <v>0</v>
      </c>
      <c r="J281" s="40">
        <v>60</v>
      </c>
      <c r="K281" s="40">
        <v>0</v>
      </c>
      <c r="L281" s="47">
        <v>340</v>
      </c>
      <c r="M281" s="40">
        <v>68.3</v>
      </c>
    </row>
    <row r="282" spans="1:13" ht="15.75" customHeight="1" x14ac:dyDescent="0.3">
      <c r="A282" s="40">
        <v>78.5</v>
      </c>
      <c r="B282" s="42">
        <v>64</v>
      </c>
      <c r="C282" s="47">
        <v>35</v>
      </c>
      <c r="D282" s="51">
        <v>739</v>
      </c>
      <c r="E282" s="40">
        <v>1108</v>
      </c>
      <c r="F282" s="40">
        <v>140</v>
      </c>
      <c r="G282" s="40">
        <v>4</v>
      </c>
      <c r="H282" s="40">
        <v>0</v>
      </c>
      <c r="I282" s="40">
        <v>0</v>
      </c>
      <c r="J282" s="40">
        <v>60</v>
      </c>
      <c r="K282" s="40">
        <v>0</v>
      </c>
      <c r="L282" s="47">
        <v>340</v>
      </c>
      <c r="M282" s="40">
        <v>71.7</v>
      </c>
    </row>
    <row r="283" spans="1:13" ht="15.75" customHeight="1" x14ac:dyDescent="0.3">
      <c r="A283" s="40">
        <v>117.75</v>
      </c>
      <c r="B283" s="42">
        <v>64</v>
      </c>
      <c r="C283" s="47">
        <v>35</v>
      </c>
      <c r="D283" s="51">
        <v>734</v>
      </c>
      <c r="E283" s="40">
        <v>1100</v>
      </c>
      <c r="F283" s="40">
        <v>140</v>
      </c>
      <c r="G283" s="40">
        <v>4</v>
      </c>
      <c r="H283" s="40">
        <v>0</v>
      </c>
      <c r="I283" s="40">
        <v>0</v>
      </c>
      <c r="J283" s="40">
        <v>60</v>
      </c>
      <c r="K283" s="40">
        <v>0</v>
      </c>
      <c r="L283" s="47">
        <v>340</v>
      </c>
      <c r="M283" s="40">
        <v>72.7</v>
      </c>
    </row>
    <row r="284" spans="1:13" ht="15.75" customHeight="1" x14ac:dyDescent="0.3">
      <c r="A284" s="40">
        <v>0</v>
      </c>
      <c r="B284" s="42">
        <v>0</v>
      </c>
      <c r="C284" s="47">
        <v>0</v>
      </c>
      <c r="D284" s="51">
        <v>742</v>
      </c>
      <c r="E284" s="40">
        <v>1114</v>
      </c>
      <c r="F284" s="40">
        <v>140</v>
      </c>
      <c r="G284" s="40">
        <v>4</v>
      </c>
      <c r="H284" s="40">
        <v>0</v>
      </c>
      <c r="I284" s="40">
        <v>0</v>
      </c>
      <c r="J284" s="40">
        <v>120</v>
      </c>
      <c r="K284" s="40">
        <v>0</v>
      </c>
      <c r="L284" s="47">
        <v>280</v>
      </c>
      <c r="M284" s="40">
        <v>63.6</v>
      </c>
    </row>
    <row r="285" spans="1:13" ht="15.75" customHeight="1" x14ac:dyDescent="0.3">
      <c r="A285" s="40">
        <v>19.63</v>
      </c>
      <c r="B285" s="42">
        <v>64</v>
      </c>
      <c r="C285" s="47">
        <v>35</v>
      </c>
      <c r="D285" s="51">
        <v>740</v>
      </c>
      <c r="E285" s="40">
        <v>1109</v>
      </c>
      <c r="F285" s="40">
        <v>140</v>
      </c>
      <c r="G285" s="40">
        <v>4</v>
      </c>
      <c r="H285" s="40">
        <v>0</v>
      </c>
      <c r="I285" s="40">
        <v>0</v>
      </c>
      <c r="J285" s="40">
        <v>120</v>
      </c>
      <c r="K285" s="40">
        <v>0</v>
      </c>
      <c r="L285" s="47">
        <v>280</v>
      </c>
      <c r="M285" s="40">
        <v>80.400000000000006</v>
      </c>
    </row>
    <row r="286" spans="1:13" ht="15.75" customHeight="1" x14ac:dyDescent="0.3">
      <c r="A286" s="40">
        <v>39.25</v>
      </c>
      <c r="B286" s="42">
        <v>64</v>
      </c>
      <c r="C286" s="47">
        <v>35</v>
      </c>
      <c r="D286" s="51">
        <v>737</v>
      </c>
      <c r="E286" s="40">
        <v>1106</v>
      </c>
      <c r="F286" s="40">
        <v>140</v>
      </c>
      <c r="G286" s="40">
        <v>4</v>
      </c>
      <c r="H286" s="40">
        <v>0</v>
      </c>
      <c r="I286" s="40">
        <v>0</v>
      </c>
      <c r="J286" s="40">
        <v>120</v>
      </c>
      <c r="K286" s="40">
        <v>0</v>
      </c>
      <c r="L286" s="47">
        <v>280</v>
      </c>
      <c r="M286" s="40">
        <v>81.5</v>
      </c>
    </row>
    <row r="287" spans="1:13" ht="15.75" customHeight="1" x14ac:dyDescent="0.3">
      <c r="A287" s="40">
        <v>78.5</v>
      </c>
      <c r="B287" s="42">
        <v>64</v>
      </c>
      <c r="C287" s="47">
        <v>35</v>
      </c>
      <c r="D287" s="51">
        <v>732</v>
      </c>
      <c r="E287" s="40">
        <v>1097</v>
      </c>
      <c r="F287" s="40">
        <v>140</v>
      </c>
      <c r="G287" s="40">
        <v>4</v>
      </c>
      <c r="H287" s="40">
        <v>0</v>
      </c>
      <c r="I287" s="40">
        <v>0</v>
      </c>
      <c r="J287" s="40">
        <v>120</v>
      </c>
      <c r="K287" s="40">
        <v>0</v>
      </c>
      <c r="L287" s="47">
        <v>280</v>
      </c>
      <c r="M287" s="40">
        <v>79.599999999999994</v>
      </c>
    </row>
    <row r="288" spans="1:13" ht="15.75" customHeight="1" x14ac:dyDescent="0.3">
      <c r="A288" s="40">
        <v>117.75</v>
      </c>
      <c r="B288" s="42">
        <v>64</v>
      </c>
      <c r="C288" s="47">
        <v>35</v>
      </c>
      <c r="D288" s="51">
        <v>726</v>
      </c>
      <c r="E288" s="40">
        <v>1090</v>
      </c>
      <c r="F288" s="40">
        <v>140</v>
      </c>
      <c r="G288" s="40">
        <v>4</v>
      </c>
      <c r="H288" s="40">
        <v>0</v>
      </c>
      <c r="I288" s="40">
        <v>0</v>
      </c>
      <c r="J288" s="40">
        <v>120</v>
      </c>
      <c r="K288" s="40">
        <v>0</v>
      </c>
      <c r="L288" s="47">
        <v>280</v>
      </c>
      <c r="M288" s="40">
        <v>78.5</v>
      </c>
    </row>
    <row r="289" spans="1:13" ht="15.75" customHeight="1" x14ac:dyDescent="0.3">
      <c r="A289" s="40">
        <v>0</v>
      </c>
      <c r="B289" s="42">
        <v>0</v>
      </c>
      <c r="C289" s="47">
        <v>0</v>
      </c>
      <c r="D289" s="51">
        <v>811</v>
      </c>
      <c r="E289" s="40">
        <v>1006</v>
      </c>
      <c r="F289" s="40">
        <v>172</v>
      </c>
      <c r="G289" s="40">
        <v>0</v>
      </c>
      <c r="H289" s="40">
        <v>0</v>
      </c>
      <c r="I289" s="40">
        <v>0</v>
      </c>
      <c r="J289" s="40">
        <v>0</v>
      </c>
      <c r="K289" s="40">
        <v>0</v>
      </c>
      <c r="L289" s="47">
        <v>420</v>
      </c>
      <c r="M289" s="40">
        <v>42.3</v>
      </c>
    </row>
    <row r="290" spans="1:13" ht="15.75" customHeight="1" x14ac:dyDescent="0.3">
      <c r="A290" s="40">
        <v>37.5</v>
      </c>
      <c r="B290" s="42">
        <f>60/0.8</f>
        <v>75</v>
      </c>
      <c r="C290" s="47">
        <v>60</v>
      </c>
      <c r="D290" s="51">
        <v>811</v>
      </c>
      <c r="E290" s="40">
        <v>1006</v>
      </c>
      <c r="F290" s="40">
        <v>172</v>
      </c>
      <c r="G290" s="40">
        <f>0.005*L290</f>
        <v>2.1</v>
      </c>
      <c r="H290" s="40">
        <v>0</v>
      </c>
      <c r="I290" s="40">
        <v>0</v>
      </c>
      <c r="J290" s="40">
        <v>0</v>
      </c>
      <c r="K290" s="40">
        <v>0</v>
      </c>
      <c r="L290" s="47">
        <v>420</v>
      </c>
      <c r="M290" s="40">
        <v>42.7</v>
      </c>
    </row>
    <row r="291" spans="1:13" ht="15.75" customHeight="1" x14ac:dyDescent="0.3">
      <c r="A291" s="40">
        <v>56.25</v>
      </c>
      <c r="B291" s="42">
        <f>60/0.8</f>
        <v>75</v>
      </c>
      <c r="C291" s="47">
        <v>60</v>
      </c>
      <c r="D291" s="51">
        <v>811</v>
      </c>
      <c r="E291" s="40">
        <v>1006</v>
      </c>
      <c r="F291" s="40">
        <v>172</v>
      </c>
      <c r="G291" s="40">
        <f>0.006*L290</f>
        <v>2.52</v>
      </c>
      <c r="H291" s="40">
        <v>0</v>
      </c>
      <c r="I291" s="40">
        <v>0</v>
      </c>
      <c r="J291" s="40">
        <v>0</v>
      </c>
      <c r="K291" s="40">
        <v>0</v>
      </c>
      <c r="L291" s="47">
        <v>420</v>
      </c>
      <c r="M291" s="40">
        <v>38.1</v>
      </c>
    </row>
    <row r="292" spans="1:13" ht="15.75" customHeight="1" x14ac:dyDescent="0.3">
      <c r="A292" s="40">
        <v>75</v>
      </c>
      <c r="B292" s="42">
        <f>60/0.8</f>
        <v>75</v>
      </c>
      <c r="C292" s="47">
        <v>60</v>
      </c>
      <c r="D292" s="51">
        <v>811</v>
      </c>
      <c r="E292" s="40">
        <v>1006</v>
      </c>
      <c r="F292" s="40">
        <v>172</v>
      </c>
      <c r="G292" s="40">
        <f>0.006*L291</f>
        <v>2.52</v>
      </c>
      <c r="H292" s="40">
        <v>0</v>
      </c>
      <c r="I292" s="40">
        <v>0</v>
      </c>
      <c r="J292" s="40">
        <v>0</v>
      </c>
      <c r="K292" s="40">
        <v>0</v>
      </c>
      <c r="L292" s="47">
        <v>420</v>
      </c>
      <c r="M292" s="40">
        <v>35.1</v>
      </c>
    </row>
    <row r="293" spans="1:13" ht="15.75" customHeight="1" x14ac:dyDescent="0.3">
      <c r="A293" s="40">
        <v>112.5</v>
      </c>
      <c r="B293" s="42">
        <f>60/0.8</f>
        <v>75</v>
      </c>
      <c r="C293" s="47">
        <v>60</v>
      </c>
      <c r="D293" s="51">
        <v>811</v>
      </c>
      <c r="E293" s="40">
        <v>1006</v>
      </c>
      <c r="F293" s="40">
        <v>172</v>
      </c>
      <c r="G293" s="40">
        <f>0.007*L293</f>
        <v>2.94</v>
      </c>
      <c r="H293" s="40">
        <v>0</v>
      </c>
      <c r="I293" s="40">
        <v>0</v>
      </c>
      <c r="J293" s="40">
        <v>0</v>
      </c>
      <c r="K293" s="40">
        <v>0</v>
      </c>
      <c r="L293" s="47">
        <v>420</v>
      </c>
      <c r="M293" s="40">
        <v>33.700000000000003</v>
      </c>
    </row>
    <row r="294" spans="1:13" ht="15.75" customHeight="1" x14ac:dyDescent="0.3">
      <c r="A294" s="40">
        <v>0</v>
      </c>
      <c r="B294" s="42">
        <v>0</v>
      </c>
      <c r="C294" s="47">
        <v>0</v>
      </c>
      <c r="D294" s="51">
        <v>688</v>
      </c>
      <c r="E294" s="40">
        <v>964</v>
      </c>
      <c r="F294" s="40">
        <v>175</v>
      </c>
      <c r="G294" s="40">
        <v>0</v>
      </c>
      <c r="H294" s="40">
        <v>0</v>
      </c>
      <c r="I294" s="40">
        <v>0</v>
      </c>
      <c r="J294" s="40">
        <v>58</v>
      </c>
      <c r="K294" s="40">
        <v>0</v>
      </c>
      <c r="L294" s="47">
        <v>522</v>
      </c>
      <c r="M294" s="40">
        <v>61.8</v>
      </c>
    </row>
    <row r="295" spans="1:13" ht="15.75" customHeight="1" x14ac:dyDescent="0.3">
      <c r="A295" s="40">
        <v>37.5</v>
      </c>
      <c r="B295" s="42">
        <f>60/0.8</f>
        <v>75</v>
      </c>
      <c r="C295" s="47">
        <v>60</v>
      </c>
      <c r="D295" s="51">
        <v>688</v>
      </c>
      <c r="E295" s="40">
        <v>964</v>
      </c>
      <c r="F295" s="40">
        <v>175</v>
      </c>
      <c r="G295" s="40">
        <f>0.005*L295</f>
        <v>2.61</v>
      </c>
      <c r="H295" s="40">
        <v>0</v>
      </c>
      <c r="I295" s="40">
        <v>0</v>
      </c>
      <c r="J295" s="40">
        <v>58</v>
      </c>
      <c r="K295" s="40">
        <v>0</v>
      </c>
      <c r="L295" s="47">
        <v>522</v>
      </c>
      <c r="M295" s="40">
        <v>61.1</v>
      </c>
    </row>
    <row r="296" spans="1:13" ht="15.75" customHeight="1" x14ac:dyDescent="0.3">
      <c r="A296" s="40">
        <v>56.25</v>
      </c>
      <c r="B296" s="42">
        <f>60/0.8</f>
        <v>75</v>
      </c>
      <c r="C296" s="47">
        <v>60</v>
      </c>
      <c r="D296" s="51">
        <v>688</v>
      </c>
      <c r="E296" s="40">
        <v>964</v>
      </c>
      <c r="F296" s="40">
        <v>175</v>
      </c>
      <c r="G296" s="40">
        <f>0.006*L295</f>
        <v>3.1320000000000001</v>
      </c>
      <c r="H296" s="40">
        <v>0</v>
      </c>
      <c r="I296" s="40">
        <v>0</v>
      </c>
      <c r="J296" s="40">
        <v>58</v>
      </c>
      <c r="K296" s="40">
        <v>0</v>
      </c>
      <c r="L296" s="47">
        <v>522</v>
      </c>
      <c r="M296" s="40">
        <v>61.9</v>
      </c>
    </row>
    <row r="297" spans="1:13" ht="15.75" customHeight="1" x14ac:dyDescent="0.3">
      <c r="A297" s="40">
        <v>75</v>
      </c>
      <c r="B297" s="42">
        <f>60/0.8</f>
        <v>75</v>
      </c>
      <c r="C297" s="47">
        <v>60</v>
      </c>
      <c r="D297" s="51">
        <v>688</v>
      </c>
      <c r="E297" s="40">
        <v>964</v>
      </c>
      <c r="F297" s="40">
        <v>175</v>
      </c>
      <c r="G297" s="40">
        <f>0.006*L296</f>
        <v>3.1320000000000001</v>
      </c>
      <c r="H297" s="40">
        <v>0</v>
      </c>
      <c r="I297" s="40">
        <v>0</v>
      </c>
      <c r="J297" s="40">
        <v>58</v>
      </c>
      <c r="K297" s="40">
        <v>0</v>
      </c>
      <c r="L297" s="47">
        <v>522</v>
      </c>
      <c r="M297" s="40">
        <v>53.9</v>
      </c>
    </row>
    <row r="298" spans="1:13" ht="15.75" customHeight="1" x14ac:dyDescent="0.3">
      <c r="A298" s="40">
        <v>112.5</v>
      </c>
      <c r="B298" s="42">
        <f>60/0.8</f>
        <v>75</v>
      </c>
      <c r="C298" s="47">
        <v>60</v>
      </c>
      <c r="D298" s="51">
        <v>688</v>
      </c>
      <c r="E298" s="40">
        <v>964</v>
      </c>
      <c r="F298" s="40">
        <v>175</v>
      </c>
      <c r="G298" s="40">
        <f>0.007*L298</f>
        <v>3.6539999999999999</v>
      </c>
      <c r="H298" s="40">
        <v>0</v>
      </c>
      <c r="I298" s="40">
        <v>0</v>
      </c>
      <c r="J298" s="40">
        <v>58</v>
      </c>
      <c r="K298" s="40">
        <v>0</v>
      </c>
      <c r="L298" s="47">
        <v>522</v>
      </c>
      <c r="M298" s="40">
        <v>61.6</v>
      </c>
    </row>
    <row r="299" spans="1:13" ht="15.75" customHeight="1" x14ac:dyDescent="0.3">
      <c r="A299" s="40">
        <v>0</v>
      </c>
      <c r="B299" s="42">
        <v>0</v>
      </c>
      <c r="C299" s="47">
        <v>0</v>
      </c>
      <c r="D299" s="51">
        <v>578</v>
      </c>
      <c r="E299" s="40">
        <v>958</v>
      </c>
      <c r="F299" s="40">
        <v>168</v>
      </c>
      <c r="G299" s="40">
        <v>0</v>
      </c>
      <c r="H299" s="40">
        <v>70</v>
      </c>
      <c r="I299" s="40">
        <v>0</v>
      </c>
      <c r="J299" s="40">
        <v>70</v>
      </c>
      <c r="K299" s="40">
        <v>0</v>
      </c>
      <c r="L299" s="47">
        <v>560</v>
      </c>
      <c r="M299" s="40">
        <v>65.900000000000006</v>
      </c>
    </row>
    <row r="300" spans="1:13" ht="15.75" customHeight="1" x14ac:dyDescent="0.3">
      <c r="A300" s="40">
        <v>37.5</v>
      </c>
      <c r="B300" s="42">
        <f>60/0.8</f>
        <v>75</v>
      </c>
      <c r="C300" s="47">
        <v>60</v>
      </c>
      <c r="D300" s="51">
        <v>578</v>
      </c>
      <c r="E300" s="40">
        <v>958</v>
      </c>
      <c r="F300" s="40">
        <v>168</v>
      </c>
      <c r="G300" s="40">
        <f>0.005*L300</f>
        <v>2.8000000000000003</v>
      </c>
      <c r="H300" s="40">
        <v>70</v>
      </c>
      <c r="I300" s="40">
        <v>0</v>
      </c>
      <c r="J300" s="40">
        <v>70</v>
      </c>
      <c r="K300" s="40">
        <v>0</v>
      </c>
      <c r="L300" s="47">
        <v>560</v>
      </c>
      <c r="M300" s="40">
        <v>72.400000000000006</v>
      </c>
    </row>
    <row r="301" spans="1:13" ht="15.75" customHeight="1" x14ac:dyDescent="0.3">
      <c r="A301" s="40">
        <v>56.25</v>
      </c>
      <c r="B301" s="42">
        <f>60/0.8</f>
        <v>75</v>
      </c>
      <c r="C301" s="47">
        <v>60</v>
      </c>
      <c r="D301" s="51">
        <v>578</v>
      </c>
      <c r="E301" s="40">
        <v>958</v>
      </c>
      <c r="F301" s="40">
        <v>168</v>
      </c>
      <c r="G301" s="40">
        <f>0.006*L300</f>
        <v>3.36</v>
      </c>
      <c r="H301" s="40">
        <v>70</v>
      </c>
      <c r="I301" s="40">
        <v>0</v>
      </c>
      <c r="J301" s="40">
        <v>70</v>
      </c>
      <c r="K301" s="40">
        <v>0</v>
      </c>
      <c r="L301" s="47">
        <v>560</v>
      </c>
      <c r="M301" s="40">
        <v>72.8</v>
      </c>
    </row>
    <row r="302" spans="1:13" ht="15.75" customHeight="1" x14ac:dyDescent="0.3">
      <c r="A302" s="40">
        <v>75</v>
      </c>
      <c r="B302" s="42">
        <f>60/0.8</f>
        <v>75</v>
      </c>
      <c r="C302" s="47">
        <v>60</v>
      </c>
      <c r="D302" s="51">
        <v>578</v>
      </c>
      <c r="E302" s="40">
        <v>958</v>
      </c>
      <c r="F302" s="40">
        <v>168</v>
      </c>
      <c r="G302" s="40">
        <f>0.006*L301</f>
        <v>3.36</v>
      </c>
      <c r="H302" s="40">
        <v>70</v>
      </c>
      <c r="I302" s="40">
        <v>0</v>
      </c>
      <c r="J302" s="40">
        <v>70</v>
      </c>
      <c r="K302" s="40">
        <v>0</v>
      </c>
      <c r="L302" s="47">
        <v>560</v>
      </c>
      <c r="M302" s="40">
        <v>72.400000000000006</v>
      </c>
    </row>
    <row r="303" spans="1:13" ht="15.75" customHeight="1" x14ac:dyDescent="0.3">
      <c r="A303" s="40">
        <v>112.5</v>
      </c>
      <c r="B303" s="42">
        <f>60/0.8</f>
        <v>75</v>
      </c>
      <c r="C303" s="47">
        <v>60</v>
      </c>
      <c r="D303" s="51">
        <v>578</v>
      </c>
      <c r="E303" s="40">
        <v>958</v>
      </c>
      <c r="F303" s="40">
        <v>168</v>
      </c>
      <c r="G303" s="40">
        <f>0.007*L303</f>
        <v>3.92</v>
      </c>
      <c r="H303" s="40">
        <v>70</v>
      </c>
      <c r="I303" s="40">
        <v>0</v>
      </c>
      <c r="J303" s="40">
        <v>70</v>
      </c>
      <c r="K303" s="40">
        <v>0</v>
      </c>
      <c r="L303" s="47">
        <v>560</v>
      </c>
      <c r="M303" s="40">
        <v>62.9</v>
      </c>
    </row>
    <row r="304" spans="1:13" ht="15.75" customHeight="1" x14ac:dyDescent="0.3">
      <c r="A304" s="40">
        <v>0</v>
      </c>
      <c r="B304" s="42">
        <v>0</v>
      </c>
      <c r="C304" s="47">
        <v>0</v>
      </c>
      <c r="D304" s="51">
        <f t="shared" ref="D304:D313" si="32">1.78*L304</f>
        <v>632.79</v>
      </c>
      <c r="E304" s="42">
        <f t="shared" ref="E304:E313" si="33">3.71*L304</f>
        <v>1318.905</v>
      </c>
      <c r="F304" s="42">
        <f t="shared" ref="F304:F313" si="34">0.55*L304</f>
        <v>195.52500000000001</v>
      </c>
      <c r="G304" s="40">
        <v>0</v>
      </c>
      <c r="H304" s="40">
        <v>0</v>
      </c>
      <c r="I304" s="40">
        <v>0</v>
      </c>
      <c r="J304" s="40">
        <v>0</v>
      </c>
      <c r="K304" s="40">
        <v>0</v>
      </c>
      <c r="L304" s="47">
        <v>355.5</v>
      </c>
      <c r="M304" s="40">
        <v>22.82</v>
      </c>
    </row>
    <row r="305" spans="1:13" ht="15.75" customHeight="1" x14ac:dyDescent="0.3">
      <c r="A305" s="40">
        <f>7850*0.0025</f>
        <v>19.625</v>
      </c>
      <c r="B305" s="42">
        <f>18.3/1.22</f>
        <v>15.000000000000002</v>
      </c>
      <c r="C305" s="47">
        <v>18.3</v>
      </c>
      <c r="D305" s="51">
        <f t="shared" si="32"/>
        <v>632.79</v>
      </c>
      <c r="E305" s="42">
        <f t="shared" si="33"/>
        <v>1318.905</v>
      </c>
      <c r="F305" s="42">
        <f t="shared" si="34"/>
        <v>195.52500000000001</v>
      </c>
      <c r="G305" s="40">
        <v>0</v>
      </c>
      <c r="H305" s="40">
        <v>0</v>
      </c>
      <c r="I305" s="40">
        <v>0</v>
      </c>
      <c r="J305" s="40">
        <v>0</v>
      </c>
      <c r="K305" s="40">
        <v>0</v>
      </c>
      <c r="L305" s="47">
        <v>355.5</v>
      </c>
      <c r="M305" s="40">
        <v>24.29</v>
      </c>
    </row>
    <row r="306" spans="1:13" ht="15.75" customHeight="1" x14ac:dyDescent="0.3">
      <c r="A306" s="40">
        <f>7850*0.005</f>
        <v>39.25</v>
      </c>
      <c r="B306" s="42">
        <f>18.3/1.22</f>
        <v>15.000000000000002</v>
      </c>
      <c r="C306" s="47">
        <v>18.3</v>
      </c>
      <c r="D306" s="51">
        <f t="shared" si="32"/>
        <v>632.79</v>
      </c>
      <c r="E306" s="42">
        <f t="shared" si="33"/>
        <v>1318.905</v>
      </c>
      <c r="F306" s="42">
        <f t="shared" si="34"/>
        <v>195.52500000000001</v>
      </c>
      <c r="G306" s="40">
        <v>0</v>
      </c>
      <c r="H306" s="40">
        <v>0</v>
      </c>
      <c r="I306" s="40">
        <v>0</v>
      </c>
      <c r="J306" s="40">
        <v>0</v>
      </c>
      <c r="K306" s="40">
        <v>0</v>
      </c>
      <c r="L306" s="47">
        <v>355.5</v>
      </c>
      <c r="M306" s="40">
        <v>26.11</v>
      </c>
    </row>
    <row r="307" spans="1:13" ht="15.75" customHeight="1" x14ac:dyDescent="0.3">
      <c r="A307" s="40">
        <f>7850*0.0075</f>
        <v>58.875</v>
      </c>
      <c r="B307" s="42">
        <f>18.3/1.22</f>
        <v>15.000000000000002</v>
      </c>
      <c r="C307" s="47">
        <v>18.3</v>
      </c>
      <c r="D307" s="51">
        <f t="shared" si="32"/>
        <v>632.79</v>
      </c>
      <c r="E307" s="42">
        <f t="shared" si="33"/>
        <v>1318.905</v>
      </c>
      <c r="F307" s="42">
        <f t="shared" si="34"/>
        <v>195.52500000000001</v>
      </c>
      <c r="G307" s="40">
        <v>0</v>
      </c>
      <c r="H307" s="40">
        <v>0</v>
      </c>
      <c r="I307" s="40">
        <v>0</v>
      </c>
      <c r="J307" s="40">
        <v>0</v>
      </c>
      <c r="K307" s="40">
        <v>0</v>
      </c>
      <c r="L307" s="47">
        <v>355.5</v>
      </c>
      <c r="M307" s="40">
        <v>25.05</v>
      </c>
    </row>
    <row r="308" spans="1:13" ht="15.75" customHeight="1" x14ac:dyDescent="0.3">
      <c r="A308" s="40">
        <f>7850*0.0025</f>
        <v>19.625</v>
      </c>
      <c r="B308" s="42">
        <f>30.5/1.22</f>
        <v>25</v>
      </c>
      <c r="C308" s="47">
        <v>30.5</v>
      </c>
      <c r="D308" s="51">
        <f t="shared" si="32"/>
        <v>632.79</v>
      </c>
      <c r="E308" s="42">
        <f t="shared" si="33"/>
        <v>1318.905</v>
      </c>
      <c r="F308" s="42">
        <f t="shared" si="34"/>
        <v>195.52500000000001</v>
      </c>
      <c r="G308" s="40">
        <v>0</v>
      </c>
      <c r="H308" s="40">
        <v>0</v>
      </c>
      <c r="I308" s="40">
        <v>0</v>
      </c>
      <c r="J308" s="40">
        <v>0</v>
      </c>
      <c r="K308" s="40">
        <v>0</v>
      </c>
      <c r="L308" s="47">
        <v>355.5</v>
      </c>
      <c r="M308" s="40">
        <v>24.16</v>
      </c>
    </row>
    <row r="309" spans="1:13" ht="15.75" customHeight="1" x14ac:dyDescent="0.3">
      <c r="A309" s="40">
        <f>7850*0.005</f>
        <v>39.25</v>
      </c>
      <c r="B309" s="42">
        <f>30.5/1.22</f>
        <v>25</v>
      </c>
      <c r="C309" s="47">
        <v>30.5</v>
      </c>
      <c r="D309" s="51">
        <f t="shared" si="32"/>
        <v>632.79</v>
      </c>
      <c r="E309" s="42">
        <f t="shared" si="33"/>
        <v>1318.905</v>
      </c>
      <c r="F309" s="42">
        <f t="shared" si="34"/>
        <v>195.52500000000001</v>
      </c>
      <c r="G309" s="40">
        <v>0</v>
      </c>
      <c r="H309" s="40">
        <v>0</v>
      </c>
      <c r="I309" s="40">
        <v>0</v>
      </c>
      <c r="J309" s="40">
        <v>0</v>
      </c>
      <c r="K309" s="40">
        <v>0</v>
      </c>
      <c r="L309" s="47">
        <v>355.5</v>
      </c>
      <c r="M309" s="40">
        <v>30.34</v>
      </c>
    </row>
    <row r="310" spans="1:13" ht="15.75" customHeight="1" x14ac:dyDescent="0.3">
      <c r="A310" s="40">
        <f>7850*0.0075</f>
        <v>58.875</v>
      </c>
      <c r="B310" s="42">
        <f>30.5/1.22</f>
        <v>25</v>
      </c>
      <c r="C310" s="47">
        <v>30.5</v>
      </c>
      <c r="D310" s="51">
        <f t="shared" si="32"/>
        <v>632.79</v>
      </c>
      <c r="E310" s="42">
        <f t="shared" si="33"/>
        <v>1318.905</v>
      </c>
      <c r="F310" s="42">
        <f t="shared" si="34"/>
        <v>195.52500000000001</v>
      </c>
      <c r="G310" s="40">
        <v>0</v>
      </c>
      <c r="H310" s="40">
        <v>0</v>
      </c>
      <c r="I310" s="40">
        <v>0</v>
      </c>
      <c r="J310" s="40">
        <v>0</v>
      </c>
      <c r="K310" s="40">
        <v>0</v>
      </c>
      <c r="L310" s="47">
        <v>355.5</v>
      </c>
      <c r="M310" s="40">
        <v>27.21</v>
      </c>
    </row>
    <row r="311" spans="1:13" ht="15.75" customHeight="1" x14ac:dyDescent="0.3">
      <c r="A311" s="40">
        <f>7850*0.0025</f>
        <v>19.625</v>
      </c>
      <c r="B311" s="42">
        <f>42.7/1.22</f>
        <v>35</v>
      </c>
      <c r="C311" s="47">
        <v>42.7</v>
      </c>
      <c r="D311" s="51">
        <f t="shared" si="32"/>
        <v>632.79</v>
      </c>
      <c r="E311" s="42">
        <f t="shared" si="33"/>
        <v>1318.905</v>
      </c>
      <c r="F311" s="42">
        <f t="shared" si="34"/>
        <v>195.52500000000001</v>
      </c>
      <c r="G311" s="40">
        <v>0</v>
      </c>
      <c r="H311" s="40">
        <v>0</v>
      </c>
      <c r="I311" s="40">
        <v>0</v>
      </c>
      <c r="J311" s="40">
        <v>0</v>
      </c>
      <c r="K311" s="40">
        <v>0</v>
      </c>
      <c r="L311" s="47">
        <v>355.5</v>
      </c>
      <c r="M311" s="40">
        <v>25.82</v>
      </c>
    </row>
    <row r="312" spans="1:13" ht="15.75" customHeight="1" x14ac:dyDescent="0.3">
      <c r="A312" s="40">
        <f>7850*0.005</f>
        <v>39.25</v>
      </c>
      <c r="B312" s="42">
        <f>42.7/1.22</f>
        <v>35</v>
      </c>
      <c r="C312" s="47">
        <v>42.7</v>
      </c>
      <c r="D312" s="51">
        <f t="shared" si="32"/>
        <v>632.79</v>
      </c>
      <c r="E312" s="42">
        <f t="shared" si="33"/>
        <v>1318.905</v>
      </c>
      <c r="F312" s="42">
        <f t="shared" si="34"/>
        <v>195.52500000000001</v>
      </c>
      <c r="G312" s="40">
        <v>0</v>
      </c>
      <c r="H312" s="40">
        <v>0</v>
      </c>
      <c r="I312" s="40">
        <v>0</v>
      </c>
      <c r="J312" s="40">
        <v>0</v>
      </c>
      <c r="K312" s="40">
        <v>0</v>
      </c>
      <c r="L312" s="47">
        <v>355.5</v>
      </c>
      <c r="M312" s="40">
        <v>27.21</v>
      </c>
    </row>
    <row r="313" spans="1:13" ht="15.75" customHeight="1" x14ac:dyDescent="0.3">
      <c r="A313" s="40">
        <f>7850*0.0075</f>
        <v>58.875</v>
      </c>
      <c r="B313" s="42">
        <f>42.7/1.22</f>
        <v>35</v>
      </c>
      <c r="C313" s="47">
        <v>42.7</v>
      </c>
      <c r="D313" s="51">
        <f t="shared" si="32"/>
        <v>632.79</v>
      </c>
      <c r="E313" s="42">
        <f t="shared" si="33"/>
        <v>1318.905</v>
      </c>
      <c r="F313" s="42">
        <f t="shared" si="34"/>
        <v>195.52500000000001</v>
      </c>
      <c r="G313" s="40">
        <v>0</v>
      </c>
      <c r="H313" s="40">
        <v>0</v>
      </c>
      <c r="I313" s="40">
        <v>0</v>
      </c>
      <c r="J313" s="40">
        <v>0</v>
      </c>
      <c r="K313" s="40">
        <v>0</v>
      </c>
      <c r="L313" s="51">
        <v>355.5</v>
      </c>
      <c r="M313" s="42">
        <v>26.24</v>
      </c>
    </row>
    <row r="314" spans="1:13" ht="15.75" customHeight="1" x14ac:dyDescent="0.25">
      <c r="A314" s="40">
        <v>0</v>
      </c>
      <c r="B314" s="42">
        <v>0</v>
      </c>
      <c r="C314" s="40">
        <v>0</v>
      </c>
      <c r="D314" s="51">
        <v>756</v>
      </c>
      <c r="E314" s="42">
        <v>1135</v>
      </c>
      <c r="F314" s="42">
        <v>140</v>
      </c>
      <c r="G314" s="40">
        <v>4</v>
      </c>
      <c r="H314" s="40">
        <v>0</v>
      </c>
      <c r="I314" s="40">
        <v>0</v>
      </c>
      <c r="J314" s="40">
        <v>0</v>
      </c>
      <c r="K314" s="40">
        <v>0</v>
      </c>
      <c r="L314" s="51">
        <v>400</v>
      </c>
      <c r="M314" s="42">
        <v>77.099999999999994</v>
      </c>
    </row>
    <row r="315" spans="1:13" ht="15.75" customHeight="1" x14ac:dyDescent="0.3">
      <c r="A315" s="40">
        <v>39.25</v>
      </c>
      <c r="B315" s="42">
        <f>35/0.55</f>
        <v>63.636363636363633</v>
      </c>
      <c r="C315" s="47">
        <v>35</v>
      </c>
      <c r="D315" s="51">
        <v>751</v>
      </c>
      <c r="E315" s="42">
        <v>1127</v>
      </c>
      <c r="F315" s="42">
        <v>140</v>
      </c>
      <c r="G315" s="40">
        <v>4</v>
      </c>
      <c r="H315" s="40">
        <v>0</v>
      </c>
      <c r="I315" s="40">
        <v>0</v>
      </c>
      <c r="J315" s="40">
        <v>0</v>
      </c>
      <c r="K315" s="40">
        <v>0</v>
      </c>
      <c r="L315" s="51">
        <v>400</v>
      </c>
      <c r="M315" s="42">
        <v>78.2</v>
      </c>
    </row>
    <row r="316" spans="1:13" ht="15.75" customHeight="1" x14ac:dyDescent="0.3">
      <c r="A316" s="40">
        <v>78.5</v>
      </c>
      <c r="B316" s="42">
        <f>35/0.55</f>
        <v>63.636363636363633</v>
      </c>
      <c r="C316" s="47">
        <v>35</v>
      </c>
      <c r="D316" s="51">
        <v>746</v>
      </c>
      <c r="E316" s="42">
        <v>1119</v>
      </c>
      <c r="F316" s="42">
        <v>140</v>
      </c>
      <c r="G316" s="40">
        <v>4</v>
      </c>
      <c r="H316" s="40">
        <v>0</v>
      </c>
      <c r="I316" s="40">
        <v>0</v>
      </c>
      <c r="J316" s="40">
        <v>0</v>
      </c>
      <c r="K316" s="40">
        <v>0</v>
      </c>
      <c r="L316" s="51">
        <v>400</v>
      </c>
      <c r="M316" s="42">
        <v>80.5</v>
      </c>
    </row>
    <row r="317" spans="1:13" ht="15.75" customHeight="1" x14ac:dyDescent="0.3">
      <c r="A317" s="40">
        <v>117.75</v>
      </c>
      <c r="B317" s="42">
        <f>35/0.55</f>
        <v>63.636363636363633</v>
      </c>
      <c r="C317" s="47">
        <v>35</v>
      </c>
      <c r="D317" s="51">
        <v>740</v>
      </c>
      <c r="E317" s="42">
        <v>1111</v>
      </c>
      <c r="F317" s="42">
        <v>140</v>
      </c>
      <c r="G317" s="40">
        <v>4</v>
      </c>
      <c r="H317" s="40">
        <v>0</v>
      </c>
      <c r="I317" s="40">
        <v>0</v>
      </c>
      <c r="J317" s="40">
        <v>0</v>
      </c>
      <c r="K317" s="40">
        <v>0</v>
      </c>
      <c r="L317" s="51">
        <v>400</v>
      </c>
      <c r="M317" s="42">
        <v>81</v>
      </c>
    </row>
    <row r="318" spans="1:13" ht="15.75" customHeight="1" x14ac:dyDescent="0.25">
      <c r="A318" s="40">
        <v>0</v>
      </c>
      <c r="B318" s="42">
        <v>0</v>
      </c>
      <c r="C318" s="40">
        <v>0</v>
      </c>
      <c r="D318" s="51">
        <v>750</v>
      </c>
      <c r="E318" s="42">
        <v>1124</v>
      </c>
      <c r="F318" s="42">
        <v>140</v>
      </c>
      <c r="G318" s="40">
        <v>4</v>
      </c>
      <c r="H318" s="40">
        <v>0</v>
      </c>
      <c r="I318" s="40">
        <v>0</v>
      </c>
      <c r="J318" s="40">
        <v>60</v>
      </c>
      <c r="K318" s="40">
        <v>0</v>
      </c>
      <c r="L318" s="51">
        <v>340</v>
      </c>
      <c r="M318" s="42">
        <v>67.8</v>
      </c>
    </row>
    <row r="319" spans="1:13" ht="15.75" customHeight="1" x14ac:dyDescent="0.3">
      <c r="A319" s="40">
        <v>39.25</v>
      </c>
      <c r="B319" s="42">
        <f>35/0.55</f>
        <v>63.636363636363633</v>
      </c>
      <c r="C319" s="47">
        <v>35</v>
      </c>
      <c r="D319" s="51">
        <v>744</v>
      </c>
      <c r="E319" s="42">
        <v>1116</v>
      </c>
      <c r="F319" s="42">
        <v>140</v>
      </c>
      <c r="G319" s="40">
        <v>4</v>
      </c>
      <c r="H319" s="40">
        <v>0</v>
      </c>
      <c r="I319" s="40">
        <v>0</v>
      </c>
      <c r="J319" s="40">
        <v>60</v>
      </c>
      <c r="K319" s="40">
        <v>0</v>
      </c>
      <c r="L319" s="51">
        <v>340</v>
      </c>
      <c r="M319" s="42">
        <v>68.3</v>
      </c>
    </row>
    <row r="320" spans="1:13" ht="15.75" customHeight="1" x14ac:dyDescent="0.3">
      <c r="A320" s="40">
        <v>78.5</v>
      </c>
      <c r="B320" s="42">
        <f>35/0.55</f>
        <v>63.636363636363633</v>
      </c>
      <c r="C320" s="47">
        <v>35</v>
      </c>
      <c r="D320" s="51">
        <v>739</v>
      </c>
      <c r="E320" s="42">
        <v>1108</v>
      </c>
      <c r="F320" s="42">
        <v>140</v>
      </c>
      <c r="G320" s="40">
        <v>4</v>
      </c>
      <c r="H320" s="40">
        <v>0</v>
      </c>
      <c r="I320" s="40">
        <v>0</v>
      </c>
      <c r="J320" s="40">
        <v>60</v>
      </c>
      <c r="K320" s="40">
        <v>0</v>
      </c>
      <c r="L320" s="51">
        <v>340</v>
      </c>
      <c r="M320" s="42">
        <v>71.7</v>
      </c>
    </row>
    <row r="321" spans="1:13" ht="15.75" customHeight="1" x14ac:dyDescent="0.3">
      <c r="A321" s="40">
        <v>117.75</v>
      </c>
      <c r="B321" s="42">
        <f>35/0.55</f>
        <v>63.636363636363633</v>
      </c>
      <c r="C321" s="47">
        <v>35</v>
      </c>
      <c r="D321" s="51">
        <v>734</v>
      </c>
      <c r="E321" s="42">
        <v>1100</v>
      </c>
      <c r="F321" s="42">
        <v>140</v>
      </c>
      <c r="G321" s="40">
        <v>4</v>
      </c>
      <c r="H321" s="40">
        <v>0</v>
      </c>
      <c r="I321" s="40">
        <v>0</v>
      </c>
      <c r="J321" s="40">
        <v>60</v>
      </c>
      <c r="K321" s="40">
        <v>0</v>
      </c>
      <c r="L321" s="51">
        <v>340</v>
      </c>
      <c r="M321" s="42">
        <v>72.7</v>
      </c>
    </row>
    <row r="322" spans="1:13" ht="15.75" customHeight="1" x14ac:dyDescent="0.25">
      <c r="A322" s="40">
        <v>0</v>
      </c>
      <c r="B322" s="42">
        <v>0</v>
      </c>
      <c r="C322" s="40">
        <v>0</v>
      </c>
      <c r="D322" s="51">
        <v>742</v>
      </c>
      <c r="E322" s="42">
        <v>1114</v>
      </c>
      <c r="F322" s="42">
        <v>140</v>
      </c>
      <c r="G322" s="40">
        <v>4</v>
      </c>
      <c r="H322" s="40">
        <v>0</v>
      </c>
      <c r="I322" s="40">
        <v>0</v>
      </c>
      <c r="J322" s="40">
        <v>120</v>
      </c>
      <c r="K322" s="40">
        <v>0</v>
      </c>
      <c r="L322" s="51">
        <v>280</v>
      </c>
      <c r="M322" s="42">
        <v>63.6</v>
      </c>
    </row>
    <row r="323" spans="1:13" ht="15.75" customHeight="1" x14ac:dyDescent="0.3">
      <c r="A323" s="40">
        <v>39.25</v>
      </c>
      <c r="B323" s="42">
        <f>35/0.55</f>
        <v>63.636363636363633</v>
      </c>
      <c r="C323" s="47">
        <v>35</v>
      </c>
      <c r="D323" s="51">
        <v>737</v>
      </c>
      <c r="E323" s="42">
        <v>1106</v>
      </c>
      <c r="F323" s="42">
        <v>140</v>
      </c>
      <c r="G323" s="40">
        <v>4</v>
      </c>
      <c r="H323" s="40">
        <v>0</v>
      </c>
      <c r="I323" s="40">
        <v>0</v>
      </c>
      <c r="J323" s="40">
        <v>120</v>
      </c>
      <c r="K323" s="40">
        <v>0</v>
      </c>
      <c r="L323" s="51">
        <v>280</v>
      </c>
      <c r="M323" s="42">
        <v>64.400000000000006</v>
      </c>
    </row>
    <row r="324" spans="1:13" ht="15.75" customHeight="1" x14ac:dyDescent="0.3">
      <c r="A324" s="40">
        <v>78.5</v>
      </c>
      <c r="B324" s="42">
        <f>35/0.55</f>
        <v>63.636363636363633</v>
      </c>
      <c r="C324" s="47">
        <v>35</v>
      </c>
      <c r="D324" s="51">
        <v>732</v>
      </c>
      <c r="E324" s="42">
        <v>1097</v>
      </c>
      <c r="F324" s="42">
        <v>140</v>
      </c>
      <c r="G324" s="40">
        <v>4</v>
      </c>
      <c r="H324" s="40">
        <v>0</v>
      </c>
      <c r="I324" s="40">
        <v>0</v>
      </c>
      <c r="J324" s="40">
        <v>120</v>
      </c>
      <c r="K324" s="40">
        <v>0</v>
      </c>
      <c r="L324" s="51">
        <v>280</v>
      </c>
      <c r="M324" s="42">
        <v>65</v>
      </c>
    </row>
    <row r="325" spans="1:13" ht="15.75" customHeight="1" x14ac:dyDescent="0.3">
      <c r="A325" s="40">
        <v>117.75</v>
      </c>
      <c r="B325" s="42">
        <f>35/0.55</f>
        <v>63.636363636363633</v>
      </c>
      <c r="C325" s="47">
        <v>35</v>
      </c>
      <c r="D325" s="51">
        <v>726</v>
      </c>
      <c r="E325" s="42">
        <v>1090</v>
      </c>
      <c r="F325" s="42">
        <v>140</v>
      </c>
      <c r="G325" s="40">
        <v>4</v>
      </c>
      <c r="H325" s="40">
        <v>0</v>
      </c>
      <c r="I325" s="40">
        <v>0</v>
      </c>
      <c r="J325" s="40">
        <v>120</v>
      </c>
      <c r="K325" s="40">
        <v>0</v>
      </c>
      <c r="L325" s="51">
        <v>280</v>
      </c>
      <c r="M325" s="42">
        <v>60.7</v>
      </c>
    </row>
    <row r="326" spans="1:13" ht="15.75" customHeight="1" x14ac:dyDescent="0.3">
      <c r="A326" s="40">
        <v>0</v>
      </c>
      <c r="B326" s="42">
        <v>0</v>
      </c>
      <c r="C326" s="47">
        <v>0</v>
      </c>
      <c r="D326" s="51">
        <v>803</v>
      </c>
      <c r="E326" s="42">
        <v>803</v>
      </c>
      <c r="F326" s="42">
        <v>227</v>
      </c>
      <c r="G326" s="40">
        <f t="shared" ref="G326:G339" si="35">0.004*L326</f>
        <v>1.82</v>
      </c>
      <c r="H326" s="40">
        <v>0</v>
      </c>
      <c r="I326" s="40">
        <v>0</v>
      </c>
      <c r="J326" s="40">
        <v>0</v>
      </c>
      <c r="K326" s="40">
        <v>0</v>
      </c>
      <c r="L326" s="40">
        <v>455</v>
      </c>
      <c r="M326" s="42">
        <v>39.9</v>
      </c>
    </row>
    <row r="327" spans="1:13" ht="15.75" customHeight="1" x14ac:dyDescent="0.3">
      <c r="A327" s="40">
        <f>0.005*7850</f>
        <v>39.25</v>
      </c>
      <c r="B327" s="42">
        <v>65</v>
      </c>
      <c r="C327" s="47">
        <v>40</v>
      </c>
      <c r="D327" s="51">
        <v>803</v>
      </c>
      <c r="E327" s="42">
        <v>803</v>
      </c>
      <c r="F327" s="42">
        <v>227</v>
      </c>
      <c r="G327" s="40">
        <f t="shared" si="35"/>
        <v>1.82</v>
      </c>
      <c r="H327" s="40">
        <v>0</v>
      </c>
      <c r="I327" s="40">
        <v>0</v>
      </c>
      <c r="J327" s="40">
        <v>0</v>
      </c>
      <c r="K327" s="40">
        <v>0</v>
      </c>
      <c r="L327" s="40">
        <v>455</v>
      </c>
      <c r="M327" s="42">
        <v>38.200000000000003</v>
      </c>
    </row>
    <row r="328" spans="1:13" ht="15.75" customHeight="1" x14ac:dyDescent="0.3">
      <c r="A328" s="40">
        <f>0.01*7850</f>
        <v>78.5</v>
      </c>
      <c r="B328" s="42">
        <v>65</v>
      </c>
      <c r="C328" s="47">
        <v>40</v>
      </c>
      <c r="D328" s="51">
        <v>803</v>
      </c>
      <c r="E328" s="42">
        <v>803</v>
      </c>
      <c r="F328" s="42">
        <v>227</v>
      </c>
      <c r="G328" s="40">
        <f t="shared" si="35"/>
        <v>1.82</v>
      </c>
      <c r="H328" s="40">
        <v>0</v>
      </c>
      <c r="I328" s="40">
        <v>0</v>
      </c>
      <c r="J328" s="40">
        <v>0</v>
      </c>
      <c r="K328" s="40">
        <v>0</v>
      </c>
      <c r="L328" s="40">
        <v>455</v>
      </c>
      <c r="M328" s="42">
        <v>47.4</v>
      </c>
    </row>
    <row r="329" spans="1:13" ht="15.75" customHeight="1" x14ac:dyDescent="0.3">
      <c r="A329" s="40">
        <f>0.015*7850</f>
        <v>117.75</v>
      </c>
      <c r="B329" s="42">
        <v>65</v>
      </c>
      <c r="C329" s="47">
        <v>40</v>
      </c>
      <c r="D329" s="51">
        <v>803</v>
      </c>
      <c r="E329" s="42">
        <v>803</v>
      </c>
      <c r="F329" s="42">
        <v>227</v>
      </c>
      <c r="G329" s="40">
        <f t="shared" si="35"/>
        <v>1.82</v>
      </c>
      <c r="H329" s="40">
        <v>0</v>
      </c>
      <c r="I329" s="40">
        <v>0</v>
      </c>
      <c r="J329" s="40">
        <v>0</v>
      </c>
      <c r="K329" s="40">
        <v>0</v>
      </c>
      <c r="L329" s="40">
        <v>455</v>
      </c>
      <c r="M329" s="42">
        <v>38.5</v>
      </c>
    </row>
    <row r="330" spans="1:13" ht="15.75" customHeight="1" x14ac:dyDescent="0.3">
      <c r="A330" s="40">
        <f>0.005*7850</f>
        <v>39.25</v>
      </c>
      <c r="B330" s="42">
        <v>80</v>
      </c>
      <c r="C330" s="47">
        <v>60</v>
      </c>
      <c r="D330" s="51">
        <v>803</v>
      </c>
      <c r="E330" s="42">
        <v>803</v>
      </c>
      <c r="F330" s="42">
        <v>227</v>
      </c>
      <c r="G330" s="40">
        <f t="shared" si="35"/>
        <v>1.82</v>
      </c>
      <c r="H330" s="40">
        <v>0</v>
      </c>
      <c r="I330" s="40">
        <v>0</v>
      </c>
      <c r="J330" s="40">
        <v>0</v>
      </c>
      <c r="K330" s="40">
        <v>0</v>
      </c>
      <c r="L330" s="40">
        <v>455</v>
      </c>
      <c r="M330" s="42">
        <v>40.5</v>
      </c>
    </row>
    <row r="331" spans="1:13" ht="15.75" customHeight="1" x14ac:dyDescent="0.3">
      <c r="A331" s="40">
        <f>0.01*7850</f>
        <v>78.5</v>
      </c>
      <c r="B331" s="42">
        <v>80</v>
      </c>
      <c r="C331" s="47">
        <v>60</v>
      </c>
      <c r="D331" s="51">
        <v>803</v>
      </c>
      <c r="E331" s="42">
        <v>803</v>
      </c>
      <c r="F331" s="42">
        <v>227</v>
      </c>
      <c r="G331" s="40">
        <f t="shared" si="35"/>
        <v>1.82</v>
      </c>
      <c r="H331" s="40">
        <v>0</v>
      </c>
      <c r="I331" s="40">
        <v>0</v>
      </c>
      <c r="J331" s="40">
        <v>0</v>
      </c>
      <c r="K331" s="40">
        <v>0</v>
      </c>
      <c r="L331" s="40">
        <v>455</v>
      </c>
      <c r="M331" s="42">
        <v>41.1</v>
      </c>
    </row>
    <row r="332" spans="1:13" ht="15.75" customHeight="1" x14ac:dyDescent="0.3">
      <c r="A332" s="40">
        <f>0.015*7850</f>
        <v>117.75</v>
      </c>
      <c r="B332" s="42">
        <v>80</v>
      </c>
      <c r="C332" s="47">
        <v>60</v>
      </c>
      <c r="D332" s="51">
        <v>803</v>
      </c>
      <c r="E332" s="42">
        <v>803</v>
      </c>
      <c r="F332" s="42">
        <v>227</v>
      </c>
      <c r="G332" s="40">
        <f t="shared" si="35"/>
        <v>1.82</v>
      </c>
      <c r="H332" s="40">
        <v>0</v>
      </c>
      <c r="I332" s="40">
        <v>0</v>
      </c>
      <c r="J332" s="40">
        <v>0</v>
      </c>
      <c r="K332" s="40">
        <v>0</v>
      </c>
      <c r="L332" s="40">
        <v>455</v>
      </c>
      <c r="M332" s="42">
        <v>43.6</v>
      </c>
    </row>
    <row r="333" spans="1:13" ht="15.75" customHeight="1" x14ac:dyDescent="0.3">
      <c r="A333" s="40">
        <v>0</v>
      </c>
      <c r="B333" s="42">
        <v>0</v>
      </c>
      <c r="C333" s="47">
        <v>0</v>
      </c>
      <c r="D333" s="51">
        <v>803</v>
      </c>
      <c r="E333" s="42">
        <v>803</v>
      </c>
      <c r="F333" s="42">
        <v>250</v>
      </c>
      <c r="G333" s="40">
        <f t="shared" si="35"/>
        <v>2.3239999999999998</v>
      </c>
      <c r="H333" s="40">
        <v>0</v>
      </c>
      <c r="I333" s="40">
        <v>0</v>
      </c>
      <c r="J333" s="40">
        <v>0</v>
      </c>
      <c r="K333" s="40">
        <v>0</v>
      </c>
      <c r="L333" s="40">
        <v>581</v>
      </c>
      <c r="M333" s="42">
        <v>55.5</v>
      </c>
    </row>
    <row r="334" spans="1:13" ht="15.75" customHeight="1" x14ac:dyDescent="0.3">
      <c r="A334" s="40">
        <f>0.005*7850</f>
        <v>39.25</v>
      </c>
      <c r="B334" s="42">
        <v>65</v>
      </c>
      <c r="C334" s="47">
        <v>40</v>
      </c>
      <c r="D334" s="51">
        <v>740</v>
      </c>
      <c r="E334" s="42">
        <v>740</v>
      </c>
      <c r="F334" s="42">
        <v>250</v>
      </c>
      <c r="G334" s="40">
        <f t="shared" si="35"/>
        <v>2.3239999999999998</v>
      </c>
      <c r="H334" s="40">
        <v>0</v>
      </c>
      <c r="I334" s="40">
        <v>0</v>
      </c>
      <c r="J334" s="40">
        <v>0</v>
      </c>
      <c r="K334" s="40">
        <v>0</v>
      </c>
      <c r="L334" s="40">
        <v>581</v>
      </c>
      <c r="M334" s="42">
        <v>52.9</v>
      </c>
    </row>
    <row r="335" spans="1:13" ht="15.75" customHeight="1" x14ac:dyDescent="0.3">
      <c r="A335" s="40">
        <f>0.01*7850</f>
        <v>78.5</v>
      </c>
      <c r="B335" s="42">
        <v>65</v>
      </c>
      <c r="C335" s="47">
        <v>40</v>
      </c>
      <c r="D335" s="51">
        <v>740</v>
      </c>
      <c r="E335" s="42">
        <v>740</v>
      </c>
      <c r="F335" s="42">
        <v>250</v>
      </c>
      <c r="G335" s="40">
        <f t="shared" si="35"/>
        <v>2.3239999999999998</v>
      </c>
      <c r="H335" s="40">
        <v>0</v>
      </c>
      <c r="I335" s="40">
        <v>0</v>
      </c>
      <c r="J335" s="40">
        <v>0</v>
      </c>
      <c r="K335" s="40">
        <v>0</v>
      </c>
      <c r="L335" s="40">
        <v>581</v>
      </c>
      <c r="M335" s="42">
        <v>55.3</v>
      </c>
    </row>
    <row r="336" spans="1:13" ht="15.75" customHeight="1" x14ac:dyDescent="0.3">
      <c r="A336" s="40">
        <f>0.015*7850</f>
        <v>117.75</v>
      </c>
      <c r="B336" s="42">
        <v>65</v>
      </c>
      <c r="C336" s="47">
        <v>40</v>
      </c>
      <c r="D336" s="51">
        <v>740</v>
      </c>
      <c r="E336" s="42">
        <v>740</v>
      </c>
      <c r="F336" s="42">
        <v>250</v>
      </c>
      <c r="G336" s="40">
        <f t="shared" si="35"/>
        <v>2.3239999999999998</v>
      </c>
      <c r="H336" s="40">
        <v>0</v>
      </c>
      <c r="I336" s="40">
        <v>0</v>
      </c>
      <c r="J336" s="40">
        <v>0</v>
      </c>
      <c r="K336" s="40">
        <v>0</v>
      </c>
      <c r="L336" s="40">
        <v>581</v>
      </c>
      <c r="M336" s="42">
        <v>58.2</v>
      </c>
    </row>
    <row r="337" spans="1:13" ht="15.75" customHeight="1" x14ac:dyDescent="0.3">
      <c r="A337" s="40">
        <f>0.005*7850</f>
        <v>39.25</v>
      </c>
      <c r="B337" s="42">
        <v>80</v>
      </c>
      <c r="C337" s="47">
        <v>60</v>
      </c>
      <c r="D337" s="51">
        <v>740</v>
      </c>
      <c r="E337" s="42">
        <v>740</v>
      </c>
      <c r="F337" s="42">
        <v>250</v>
      </c>
      <c r="G337" s="40">
        <f t="shared" si="35"/>
        <v>2.3239999999999998</v>
      </c>
      <c r="H337" s="40">
        <v>0</v>
      </c>
      <c r="I337" s="40">
        <v>0</v>
      </c>
      <c r="J337" s="40">
        <v>0</v>
      </c>
      <c r="K337" s="40">
        <v>0</v>
      </c>
      <c r="L337" s="40">
        <v>581</v>
      </c>
      <c r="M337" s="42">
        <v>52.5</v>
      </c>
    </row>
    <row r="338" spans="1:13" ht="15.75" customHeight="1" x14ac:dyDescent="0.3">
      <c r="A338" s="40">
        <f>0.01*7850</f>
        <v>78.5</v>
      </c>
      <c r="B338" s="42">
        <v>80</v>
      </c>
      <c r="C338" s="47">
        <v>60</v>
      </c>
      <c r="D338" s="51">
        <v>740</v>
      </c>
      <c r="E338" s="42">
        <v>740</v>
      </c>
      <c r="F338" s="42">
        <v>250</v>
      </c>
      <c r="G338" s="40">
        <f t="shared" si="35"/>
        <v>2.3239999999999998</v>
      </c>
      <c r="H338" s="40">
        <v>0</v>
      </c>
      <c r="I338" s="40">
        <v>0</v>
      </c>
      <c r="J338" s="40">
        <v>0</v>
      </c>
      <c r="K338" s="40">
        <v>0</v>
      </c>
      <c r="L338" s="40">
        <v>581</v>
      </c>
      <c r="M338" s="42">
        <v>52</v>
      </c>
    </row>
    <row r="339" spans="1:13" ht="15.75" customHeight="1" x14ac:dyDescent="0.3">
      <c r="A339" s="40">
        <f>0.015*7850</f>
        <v>117.75</v>
      </c>
      <c r="B339" s="42">
        <v>80</v>
      </c>
      <c r="C339" s="47">
        <v>60</v>
      </c>
      <c r="D339" s="51">
        <v>740</v>
      </c>
      <c r="E339" s="42">
        <v>740</v>
      </c>
      <c r="F339" s="42">
        <v>250</v>
      </c>
      <c r="G339" s="40">
        <f t="shared" si="35"/>
        <v>2.3239999999999998</v>
      </c>
      <c r="H339" s="40">
        <v>0</v>
      </c>
      <c r="I339" s="40">
        <v>0</v>
      </c>
      <c r="J339" s="40">
        <v>0</v>
      </c>
      <c r="K339" s="40">
        <v>0</v>
      </c>
      <c r="L339" s="40">
        <v>581</v>
      </c>
      <c r="M339" s="42">
        <v>50.4</v>
      </c>
    </row>
    <row r="340" spans="1:13" ht="15.75" customHeight="1" x14ac:dyDescent="0.3">
      <c r="A340" s="40">
        <v>30</v>
      </c>
      <c r="B340" s="42">
        <v>45</v>
      </c>
      <c r="C340" s="47">
        <v>30</v>
      </c>
      <c r="D340" s="51">
        <v>789</v>
      </c>
      <c r="E340" s="42">
        <v>1146</v>
      </c>
      <c r="F340" s="42">
        <v>185.6</v>
      </c>
      <c r="G340" s="40">
        <f>30*0.15</f>
        <v>4.5</v>
      </c>
      <c r="H340" s="40">
        <v>0</v>
      </c>
      <c r="I340" s="40">
        <v>0</v>
      </c>
      <c r="J340" s="40">
        <v>0</v>
      </c>
      <c r="K340" s="40">
        <v>0</v>
      </c>
      <c r="L340" s="40">
        <v>357</v>
      </c>
      <c r="M340" s="42">
        <v>36.119999999999997</v>
      </c>
    </row>
    <row r="341" spans="1:13" ht="15.75" customHeight="1" x14ac:dyDescent="0.3">
      <c r="A341" s="40">
        <v>45</v>
      </c>
      <c r="B341" s="42">
        <v>45</v>
      </c>
      <c r="C341" s="47">
        <v>30</v>
      </c>
      <c r="D341" s="51">
        <v>789</v>
      </c>
      <c r="E341" s="42">
        <v>1146</v>
      </c>
      <c r="F341" s="42">
        <v>185.6</v>
      </c>
      <c r="G341" s="23">
        <f>45*0.15</f>
        <v>6.75</v>
      </c>
      <c r="H341" s="40">
        <v>0</v>
      </c>
      <c r="I341" s="40">
        <v>0</v>
      </c>
      <c r="J341" s="40">
        <v>0</v>
      </c>
      <c r="K341" s="40">
        <v>0</v>
      </c>
      <c r="L341" s="40">
        <v>357</v>
      </c>
      <c r="M341" s="42">
        <v>39.39</v>
      </c>
    </row>
    <row r="342" spans="1:13" ht="15.75" customHeight="1" x14ac:dyDescent="0.3">
      <c r="A342" s="40">
        <v>60</v>
      </c>
      <c r="B342" s="42">
        <v>45</v>
      </c>
      <c r="C342" s="47">
        <v>30</v>
      </c>
      <c r="D342" s="51">
        <v>789</v>
      </c>
      <c r="E342" s="42">
        <v>1146</v>
      </c>
      <c r="F342" s="42">
        <v>185.6</v>
      </c>
      <c r="G342" s="23">
        <f>60*0.225</f>
        <v>13.5</v>
      </c>
      <c r="H342" s="40">
        <v>0</v>
      </c>
      <c r="I342" s="40">
        <v>0</v>
      </c>
      <c r="J342" s="40">
        <v>0</v>
      </c>
      <c r="K342" s="40">
        <v>0</v>
      </c>
      <c r="L342" s="40">
        <v>357</v>
      </c>
      <c r="M342" s="42">
        <v>42.75</v>
      </c>
    </row>
    <row r="343" spans="1:13" ht="15.75" customHeight="1" x14ac:dyDescent="0.3">
      <c r="A343" s="40">
        <v>10</v>
      </c>
      <c r="B343" s="42">
        <v>80</v>
      </c>
      <c r="C343" s="47">
        <v>60</v>
      </c>
      <c r="D343" s="51">
        <v>789</v>
      </c>
      <c r="E343" s="42">
        <v>1146</v>
      </c>
      <c r="F343" s="42">
        <v>185.6</v>
      </c>
      <c r="G343" s="23">
        <f>30*0.15</f>
        <v>4.5</v>
      </c>
      <c r="H343" s="40">
        <v>0</v>
      </c>
      <c r="I343" s="40">
        <v>0</v>
      </c>
      <c r="J343" s="40">
        <v>0</v>
      </c>
      <c r="K343" s="40">
        <v>0</v>
      </c>
      <c r="L343" s="40">
        <v>357</v>
      </c>
      <c r="M343" s="42">
        <v>35.81</v>
      </c>
    </row>
    <row r="344" spans="1:13" ht="15.75" customHeight="1" x14ac:dyDescent="0.3">
      <c r="A344" s="40">
        <v>30</v>
      </c>
      <c r="B344" s="42">
        <v>80</v>
      </c>
      <c r="C344" s="47">
        <v>60</v>
      </c>
      <c r="D344" s="51">
        <v>789</v>
      </c>
      <c r="E344" s="42">
        <v>1146</v>
      </c>
      <c r="F344" s="42">
        <v>185.6</v>
      </c>
      <c r="G344" s="23">
        <f>45*0.15</f>
        <v>6.75</v>
      </c>
      <c r="H344" s="40">
        <v>0</v>
      </c>
      <c r="I344" s="40">
        <v>0</v>
      </c>
      <c r="J344" s="40">
        <v>0</v>
      </c>
      <c r="K344" s="40">
        <v>0</v>
      </c>
      <c r="L344" s="40">
        <v>357</v>
      </c>
      <c r="M344" s="42">
        <v>36</v>
      </c>
    </row>
    <row r="345" spans="1:13" ht="15.75" customHeight="1" x14ac:dyDescent="0.3">
      <c r="A345" s="40">
        <v>45</v>
      </c>
      <c r="B345" s="42">
        <v>80</v>
      </c>
      <c r="C345" s="47">
        <v>60</v>
      </c>
      <c r="D345" s="51">
        <v>789</v>
      </c>
      <c r="E345" s="42">
        <v>1146</v>
      </c>
      <c r="F345" s="42">
        <v>185.6</v>
      </c>
      <c r="G345" s="23">
        <f>60*0.15</f>
        <v>9</v>
      </c>
      <c r="H345" s="40">
        <v>0</v>
      </c>
      <c r="I345" s="40">
        <v>0</v>
      </c>
      <c r="J345" s="40">
        <v>0</v>
      </c>
      <c r="K345" s="40">
        <v>0</v>
      </c>
      <c r="L345" s="40">
        <v>357</v>
      </c>
      <c r="M345" s="42">
        <v>34.71</v>
      </c>
    </row>
    <row r="346" spans="1:13" ht="15.75" customHeight="1" x14ac:dyDescent="0.3">
      <c r="A346" s="40">
        <v>10</v>
      </c>
      <c r="B346" s="42">
        <v>65</v>
      </c>
      <c r="C346" s="47">
        <v>60</v>
      </c>
      <c r="D346" s="51">
        <v>789</v>
      </c>
      <c r="E346" s="42">
        <v>1146</v>
      </c>
      <c r="F346" s="42">
        <v>185.6</v>
      </c>
      <c r="G346" s="23">
        <f>10*0.15</f>
        <v>1.5</v>
      </c>
      <c r="H346" s="40">
        <v>0</v>
      </c>
      <c r="I346" s="40">
        <v>0</v>
      </c>
      <c r="J346" s="40">
        <v>0</v>
      </c>
      <c r="K346" s="40">
        <v>0</v>
      </c>
      <c r="L346" s="40">
        <v>357</v>
      </c>
      <c r="M346" s="42">
        <v>32.99</v>
      </c>
    </row>
    <row r="347" spans="1:13" ht="15.75" customHeight="1" x14ac:dyDescent="0.3">
      <c r="A347" s="40">
        <v>30</v>
      </c>
      <c r="B347" s="42">
        <v>65</v>
      </c>
      <c r="C347" s="47">
        <v>60</v>
      </c>
      <c r="D347" s="51">
        <v>789</v>
      </c>
      <c r="E347" s="42">
        <v>1146</v>
      </c>
      <c r="F347" s="42">
        <v>185.6</v>
      </c>
      <c r="G347" s="23">
        <f>45*0.15</f>
        <v>6.75</v>
      </c>
      <c r="H347" s="40">
        <v>0</v>
      </c>
      <c r="I347" s="40">
        <v>0</v>
      </c>
      <c r="J347" s="40">
        <v>0</v>
      </c>
      <c r="K347" s="40">
        <v>0</v>
      </c>
      <c r="L347" s="40">
        <v>357</v>
      </c>
      <c r="M347" s="42">
        <v>32.99</v>
      </c>
    </row>
    <row r="348" spans="1:13" ht="15.75" customHeight="1" x14ac:dyDescent="0.3">
      <c r="A348" s="40">
        <v>45</v>
      </c>
      <c r="B348" s="42">
        <v>65</v>
      </c>
      <c r="C348" s="47">
        <v>60</v>
      </c>
      <c r="D348" s="51">
        <v>789</v>
      </c>
      <c r="E348" s="42">
        <v>1146</v>
      </c>
      <c r="F348" s="42">
        <v>185.6</v>
      </c>
      <c r="G348" s="23">
        <f>60*0.15</f>
        <v>9</v>
      </c>
      <c r="H348" s="40">
        <v>0</v>
      </c>
      <c r="I348" s="40">
        <v>0</v>
      </c>
      <c r="J348" s="40">
        <v>0</v>
      </c>
      <c r="K348" s="40">
        <v>0</v>
      </c>
      <c r="L348" s="40">
        <v>357</v>
      </c>
      <c r="M348" s="42">
        <v>34.049999999999997</v>
      </c>
    </row>
    <row r="349" spans="1:13" ht="15.75" customHeight="1" x14ac:dyDescent="0.3">
      <c r="A349" s="40">
        <v>30</v>
      </c>
      <c r="B349" s="42">
        <v>45</v>
      </c>
      <c r="C349" s="47">
        <v>50</v>
      </c>
      <c r="D349" s="51">
        <v>789</v>
      </c>
      <c r="E349" s="42">
        <v>1146</v>
      </c>
      <c r="F349" s="42">
        <v>185.6</v>
      </c>
      <c r="G349" s="23">
        <f>10*0.075</f>
        <v>0.75</v>
      </c>
      <c r="H349" s="40">
        <v>0</v>
      </c>
      <c r="I349" s="40">
        <v>0</v>
      </c>
      <c r="J349" s="40">
        <v>0</v>
      </c>
      <c r="K349" s="40">
        <v>0</v>
      </c>
      <c r="L349" s="40">
        <v>357</v>
      </c>
      <c r="M349" s="42">
        <v>42.23</v>
      </c>
    </row>
    <row r="350" spans="1:13" ht="15.75" customHeight="1" x14ac:dyDescent="0.3">
      <c r="A350" s="40">
        <v>45</v>
      </c>
      <c r="B350" s="42">
        <v>45</v>
      </c>
      <c r="C350" s="47">
        <v>50</v>
      </c>
      <c r="D350" s="51">
        <v>789</v>
      </c>
      <c r="E350" s="42">
        <v>1146</v>
      </c>
      <c r="F350" s="42">
        <v>185.6</v>
      </c>
      <c r="G350" s="23">
        <f>45*0.15</f>
        <v>6.75</v>
      </c>
      <c r="H350" s="40">
        <v>0</v>
      </c>
      <c r="I350" s="40">
        <v>0</v>
      </c>
      <c r="J350" s="40">
        <v>0</v>
      </c>
      <c r="K350" s="40">
        <v>0</v>
      </c>
      <c r="L350" s="40">
        <v>357</v>
      </c>
      <c r="M350" s="42">
        <v>35.51</v>
      </c>
    </row>
    <row r="351" spans="1:13" ht="15.75" customHeight="1" x14ac:dyDescent="0.3">
      <c r="A351" s="40">
        <v>60</v>
      </c>
      <c r="B351" s="42">
        <v>45</v>
      </c>
      <c r="C351" s="47">
        <v>50</v>
      </c>
      <c r="D351" s="51">
        <v>789</v>
      </c>
      <c r="E351" s="42">
        <v>1146</v>
      </c>
      <c r="F351" s="42">
        <v>185.6</v>
      </c>
      <c r="G351" s="40">
        <f>60*0.15</f>
        <v>9</v>
      </c>
      <c r="H351" s="40">
        <v>0</v>
      </c>
      <c r="I351" s="40">
        <v>0</v>
      </c>
      <c r="J351" s="40">
        <v>0</v>
      </c>
      <c r="K351" s="40">
        <v>0</v>
      </c>
      <c r="L351" s="40">
        <v>357</v>
      </c>
      <c r="M351" s="42">
        <v>43.61</v>
      </c>
    </row>
    <row r="352" spans="1:13" ht="15.75" customHeight="1" x14ac:dyDescent="0.3">
      <c r="A352" s="40">
        <v>0</v>
      </c>
      <c r="B352" s="42">
        <v>0</v>
      </c>
      <c r="C352" s="47">
        <v>0</v>
      </c>
      <c r="D352" s="51">
        <v>789</v>
      </c>
      <c r="E352" s="42">
        <v>1146</v>
      </c>
      <c r="F352" s="42">
        <v>185.6</v>
      </c>
      <c r="G352" s="40">
        <v>0</v>
      </c>
      <c r="H352" s="40">
        <v>0</v>
      </c>
      <c r="I352" s="40">
        <v>0</v>
      </c>
      <c r="J352" s="40">
        <v>0</v>
      </c>
      <c r="K352" s="40">
        <v>0</v>
      </c>
      <c r="L352" s="40">
        <v>357</v>
      </c>
      <c r="M352" s="42" t="s">
        <v>2</v>
      </c>
    </row>
    <row r="353" spans="1:13" ht="15.75" customHeight="1" x14ac:dyDescent="0.3">
      <c r="A353" s="40">
        <v>20</v>
      </c>
      <c r="B353" s="42">
        <v>65</v>
      </c>
      <c r="C353" s="47">
        <v>60</v>
      </c>
      <c r="D353" s="51">
        <v>857.77</v>
      </c>
      <c r="E353" s="42">
        <v>1063.6400000000001</v>
      </c>
      <c r="F353" s="42">
        <v>188.71</v>
      </c>
      <c r="G353" s="40">
        <v>0</v>
      </c>
      <c r="H353" s="40">
        <v>0</v>
      </c>
      <c r="I353" s="40">
        <v>0</v>
      </c>
      <c r="J353" s="40">
        <v>0</v>
      </c>
      <c r="K353" s="40">
        <v>0</v>
      </c>
      <c r="L353" s="40">
        <v>343</v>
      </c>
      <c r="M353" s="42">
        <v>42.33</v>
      </c>
    </row>
    <row r="354" spans="1:13" ht="15.75" customHeight="1" x14ac:dyDescent="0.3">
      <c r="A354" s="40">
        <v>28</v>
      </c>
      <c r="B354" s="42">
        <v>65</v>
      </c>
      <c r="C354" s="47">
        <v>60</v>
      </c>
      <c r="D354" s="51">
        <v>857.77</v>
      </c>
      <c r="E354" s="42">
        <v>1063.6400000000001</v>
      </c>
      <c r="F354" s="42">
        <v>188.71</v>
      </c>
      <c r="G354" s="40">
        <v>0</v>
      </c>
      <c r="H354" s="40">
        <v>0</v>
      </c>
      <c r="I354" s="40">
        <v>0</v>
      </c>
      <c r="J354" s="40">
        <v>0</v>
      </c>
      <c r="K354" s="40">
        <v>0</v>
      </c>
      <c r="L354" s="40">
        <v>343</v>
      </c>
      <c r="M354" s="42">
        <v>40.32</v>
      </c>
    </row>
    <row r="355" spans="1:13" ht="15.75" customHeight="1" x14ac:dyDescent="0.3">
      <c r="A355" s="40">
        <v>46</v>
      </c>
      <c r="B355" s="42">
        <v>65</v>
      </c>
      <c r="C355" s="47">
        <v>60</v>
      </c>
      <c r="D355" s="51">
        <v>857.77</v>
      </c>
      <c r="E355" s="42">
        <v>1063.6400000000001</v>
      </c>
      <c r="F355" s="42">
        <v>188.71</v>
      </c>
      <c r="G355" s="40">
        <v>0</v>
      </c>
      <c r="H355" s="40">
        <v>0</v>
      </c>
      <c r="I355" s="40">
        <v>0</v>
      </c>
      <c r="J355" s="40">
        <v>0</v>
      </c>
      <c r="K355" s="40">
        <v>0</v>
      </c>
      <c r="L355" s="40">
        <v>343</v>
      </c>
      <c r="M355" s="42">
        <v>40.4</v>
      </c>
    </row>
    <row r="356" spans="1:13" ht="15.75" customHeight="1" x14ac:dyDescent="0.3">
      <c r="A356" s="40">
        <v>20</v>
      </c>
      <c r="B356" s="42">
        <v>80</v>
      </c>
      <c r="C356" s="47">
        <v>59.55</v>
      </c>
      <c r="D356" s="51">
        <v>857.77</v>
      </c>
      <c r="E356" s="42">
        <v>1063.6400000000001</v>
      </c>
      <c r="F356" s="42">
        <v>188.71</v>
      </c>
      <c r="G356" s="40">
        <v>0</v>
      </c>
      <c r="H356" s="40">
        <v>0</v>
      </c>
      <c r="I356" s="40">
        <v>0</v>
      </c>
      <c r="J356" s="40">
        <v>0</v>
      </c>
      <c r="K356" s="40">
        <v>0</v>
      </c>
      <c r="L356" s="40">
        <v>343</v>
      </c>
      <c r="M356" s="42">
        <v>40.04</v>
      </c>
    </row>
    <row r="357" spans="1:13" ht="15.75" customHeight="1" x14ac:dyDescent="0.3">
      <c r="A357" s="40">
        <v>28</v>
      </c>
      <c r="B357" s="42">
        <v>80</v>
      </c>
      <c r="C357" s="47">
        <v>59.55</v>
      </c>
      <c r="D357" s="51">
        <v>857.77</v>
      </c>
      <c r="E357" s="42">
        <v>1063.6400000000001</v>
      </c>
      <c r="F357" s="42">
        <v>188.71</v>
      </c>
      <c r="G357" s="40">
        <v>0</v>
      </c>
      <c r="H357" s="40">
        <v>0</v>
      </c>
      <c r="I357" s="40">
        <v>0</v>
      </c>
      <c r="J357" s="40">
        <v>0</v>
      </c>
      <c r="K357" s="40">
        <v>0</v>
      </c>
      <c r="L357" s="40">
        <v>343</v>
      </c>
      <c r="M357" s="42">
        <v>39.81</v>
      </c>
    </row>
    <row r="358" spans="1:13" ht="15.75" customHeight="1" x14ac:dyDescent="0.3">
      <c r="A358" s="40">
        <v>46</v>
      </c>
      <c r="B358" s="42">
        <v>80</v>
      </c>
      <c r="C358" s="47">
        <v>59.55</v>
      </c>
      <c r="D358" s="51">
        <v>857.77</v>
      </c>
      <c r="E358" s="42">
        <v>1063.6400000000001</v>
      </c>
      <c r="F358" s="42">
        <v>188.71</v>
      </c>
      <c r="G358" s="40">
        <v>0</v>
      </c>
      <c r="H358" s="40">
        <v>0</v>
      </c>
      <c r="I358" s="40">
        <v>0</v>
      </c>
      <c r="J358" s="40">
        <v>0</v>
      </c>
      <c r="K358" s="40">
        <v>0</v>
      </c>
      <c r="L358" s="40">
        <v>343</v>
      </c>
      <c r="M358" s="42">
        <v>42.4</v>
      </c>
    </row>
    <row r="359" spans="1:13" ht="15.75" customHeight="1" x14ac:dyDescent="0.3">
      <c r="A359" s="40">
        <v>0</v>
      </c>
      <c r="B359" s="42">
        <v>0</v>
      </c>
      <c r="C359" s="47">
        <v>0</v>
      </c>
      <c r="D359" s="51">
        <v>857.77</v>
      </c>
      <c r="E359" s="42">
        <v>1063.6400000000001</v>
      </c>
      <c r="F359" s="42">
        <v>188.71</v>
      </c>
      <c r="G359" s="40">
        <v>0</v>
      </c>
      <c r="H359" s="40">
        <v>0</v>
      </c>
      <c r="I359" s="40">
        <v>0</v>
      </c>
      <c r="J359" s="40">
        <v>0</v>
      </c>
      <c r="K359" s="40">
        <v>0</v>
      </c>
      <c r="L359" s="40">
        <v>343</v>
      </c>
      <c r="M359" s="42">
        <v>40.67</v>
      </c>
    </row>
    <row r="360" spans="1:13" ht="15.75" customHeight="1" x14ac:dyDescent="0.3">
      <c r="A360" s="40">
        <v>0</v>
      </c>
      <c r="B360" s="42">
        <v>0</v>
      </c>
      <c r="C360" s="47">
        <v>0</v>
      </c>
      <c r="D360" s="51">
        <v>711</v>
      </c>
      <c r="E360" s="42">
        <v>1006</v>
      </c>
      <c r="F360" s="42">
        <v>207</v>
      </c>
      <c r="G360" s="40">
        <v>0</v>
      </c>
      <c r="H360" s="40">
        <v>0</v>
      </c>
      <c r="I360" s="40">
        <v>0</v>
      </c>
      <c r="J360" s="40">
        <v>0</v>
      </c>
      <c r="K360" s="40">
        <v>0</v>
      </c>
      <c r="L360" s="40">
        <v>421</v>
      </c>
      <c r="M360" s="42">
        <v>28.3</v>
      </c>
    </row>
    <row r="361" spans="1:13" ht="15.75" customHeight="1" x14ac:dyDescent="0.3">
      <c r="A361" s="40">
        <v>78</v>
      </c>
      <c r="B361" s="42">
        <v>50</v>
      </c>
      <c r="C361" s="47">
        <v>34</v>
      </c>
      <c r="D361" s="51">
        <v>711</v>
      </c>
      <c r="E361" s="42">
        <v>1006</v>
      </c>
      <c r="F361" s="42">
        <v>207</v>
      </c>
      <c r="G361" s="40">
        <v>0</v>
      </c>
      <c r="H361" s="40">
        <v>0</v>
      </c>
      <c r="I361" s="40">
        <v>0</v>
      </c>
      <c r="J361" s="40">
        <v>0</v>
      </c>
      <c r="K361" s="40">
        <v>0</v>
      </c>
      <c r="L361" s="40">
        <v>421</v>
      </c>
      <c r="M361" s="42">
        <v>29.5</v>
      </c>
    </row>
    <row r="362" spans="1:13" ht="15.75" customHeight="1" x14ac:dyDescent="0.3">
      <c r="A362" s="40">
        <v>117</v>
      </c>
      <c r="B362" s="42">
        <v>50</v>
      </c>
      <c r="C362" s="47">
        <v>34</v>
      </c>
      <c r="D362" s="51">
        <v>711</v>
      </c>
      <c r="E362" s="42">
        <v>1006</v>
      </c>
      <c r="F362" s="42">
        <v>207</v>
      </c>
      <c r="G362" s="40">
        <v>0</v>
      </c>
      <c r="H362" s="40">
        <v>0</v>
      </c>
      <c r="I362" s="40">
        <v>0</v>
      </c>
      <c r="J362" s="40">
        <v>0</v>
      </c>
      <c r="K362" s="40">
        <v>0</v>
      </c>
      <c r="L362" s="40">
        <v>421</v>
      </c>
      <c r="M362" s="42">
        <v>33.5</v>
      </c>
    </row>
    <row r="363" spans="1:13" ht="15.75" customHeight="1" x14ac:dyDescent="0.3">
      <c r="A363" s="40">
        <v>156</v>
      </c>
      <c r="B363" s="42">
        <v>50</v>
      </c>
      <c r="C363" s="47">
        <v>34</v>
      </c>
      <c r="D363" s="51">
        <v>711</v>
      </c>
      <c r="E363" s="42">
        <v>1006</v>
      </c>
      <c r="F363" s="42">
        <v>207</v>
      </c>
      <c r="G363" s="40">
        <v>0</v>
      </c>
      <c r="H363" s="40">
        <v>0</v>
      </c>
      <c r="I363" s="40">
        <v>0</v>
      </c>
      <c r="J363" s="40">
        <v>0</v>
      </c>
      <c r="K363" s="40">
        <v>0</v>
      </c>
      <c r="L363" s="40">
        <v>421</v>
      </c>
      <c r="M363" s="42">
        <v>30.6</v>
      </c>
    </row>
    <row r="364" spans="1:13" ht="15.75" customHeight="1" x14ac:dyDescent="0.3">
      <c r="A364" s="40">
        <v>195</v>
      </c>
      <c r="B364" s="42">
        <v>50</v>
      </c>
      <c r="C364" s="47">
        <v>34</v>
      </c>
      <c r="D364" s="51">
        <v>711</v>
      </c>
      <c r="E364" s="42">
        <v>1006</v>
      </c>
      <c r="F364" s="42">
        <v>207</v>
      </c>
      <c r="G364" s="40">
        <v>0</v>
      </c>
      <c r="H364" s="40">
        <v>0</v>
      </c>
      <c r="I364" s="40">
        <v>0</v>
      </c>
      <c r="J364" s="40">
        <v>0</v>
      </c>
      <c r="K364" s="40">
        <v>0</v>
      </c>
      <c r="L364" s="40">
        <v>421</v>
      </c>
      <c r="M364" s="42">
        <v>29.2</v>
      </c>
    </row>
    <row r="365" spans="1:13" ht="15.75" customHeight="1" x14ac:dyDescent="0.3">
      <c r="A365" s="40">
        <v>78</v>
      </c>
      <c r="B365" s="42">
        <v>70</v>
      </c>
      <c r="C365" s="47">
        <v>47.6</v>
      </c>
      <c r="D365" s="51">
        <v>711</v>
      </c>
      <c r="E365" s="42">
        <v>1006</v>
      </c>
      <c r="F365" s="42">
        <v>207</v>
      </c>
      <c r="G365" s="40">
        <v>0</v>
      </c>
      <c r="H365" s="40">
        <v>0</v>
      </c>
      <c r="I365" s="40">
        <v>0</v>
      </c>
      <c r="J365" s="40">
        <v>0</v>
      </c>
      <c r="K365" s="40">
        <v>0</v>
      </c>
      <c r="L365" s="40">
        <v>421</v>
      </c>
      <c r="M365" s="42">
        <v>29.2</v>
      </c>
    </row>
    <row r="366" spans="1:13" ht="15.75" customHeight="1" x14ac:dyDescent="0.3">
      <c r="A366" s="40">
        <v>117</v>
      </c>
      <c r="B366" s="42">
        <v>70</v>
      </c>
      <c r="C366" s="47">
        <v>47.6</v>
      </c>
      <c r="D366" s="51">
        <v>711</v>
      </c>
      <c r="E366" s="42">
        <v>1006</v>
      </c>
      <c r="F366" s="42">
        <v>207</v>
      </c>
      <c r="G366" s="40">
        <v>0</v>
      </c>
      <c r="H366" s="40">
        <v>0</v>
      </c>
      <c r="I366" s="40">
        <v>0</v>
      </c>
      <c r="J366" s="40">
        <v>0</v>
      </c>
      <c r="K366" s="40">
        <v>0</v>
      </c>
      <c r="L366" s="40">
        <v>421</v>
      </c>
      <c r="M366" s="42">
        <v>35.200000000000003</v>
      </c>
    </row>
    <row r="367" spans="1:13" ht="15.75" customHeight="1" x14ac:dyDescent="0.3">
      <c r="A367" s="40">
        <v>156</v>
      </c>
      <c r="B367" s="42">
        <v>70</v>
      </c>
      <c r="C367" s="47">
        <v>47.6</v>
      </c>
      <c r="D367" s="51">
        <v>711</v>
      </c>
      <c r="E367" s="42">
        <v>1006</v>
      </c>
      <c r="F367" s="42">
        <v>207</v>
      </c>
      <c r="G367" s="40">
        <v>0</v>
      </c>
      <c r="H367" s="40">
        <v>0</v>
      </c>
      <c r="I367" s="40">
        <v>0</v>
      </c>
      <c r="J367" s="40">
        <v>0</v>
      </c>
      <c r="K367" s="40">
        <v>0</v>
      </c>
      <c r="L367" s="40">
        <v>421</v>
      </c>
      <c r="M367" s="42">
        <v>32.6</v>
      </c>
    </row>
    <row r="368" spans="1:13" ht="15.75" customHeight="1" x14ac:dyDescent="0.3">
      <c r="A368" s="40">
        <v>195</v>
      </c>
      <c r="B368" s="42">
        <v>70</v>
      </c>
      <c r="C368" s="47">
        <v>47.6</v>
      </c>
      <c r="D368" s="51">
        <v>711</v>
      </c>
      <c r="E368" s="42">
        <v>1006</v>
      </c>
      <c r="F368" s="42">
        <v>207</v>
      </c>
      <c r="G368" s="40">
        <v>0</v>
      </c>
      <c r="H368" s="40">
        <v>0</v>
      </c>
      <c r="I368" s="40">
        <v>0</v>
      </c>
      <c r="J368" s="40">
        <v>0</v>
      </c>
      <c r="K368" s="40">
        <v>0</v>
      </c>
      <c r="L368" s="40">
        <v>421</v>
      </c>
      <c r="M368" s="42">
        <v>31.6</v>
      </c>
    </row>
    <row r="369" spans="1:13" ht="15.75" customHeight="1" x14ac:dyDescent="0.3">
      <c r="A369" s="40">
        <v>0</v>
      </c>
      <c r="B369" s="42">
        <v>0</v>
      </c>
      <c r="C369" s="47">
        <v>0</v>
      </c>
      <c r="D369" s="51">
        <v>785</v>
      </c>
      <c r="E369" s="42">
        <v>1120</v>
      </c>
      <c r="F369" s="42">
        <v>183</v>
      </c>
      <c r="G369" s="40">
        <v>1.905</v>
      </c>
      <c r="H369" s="40">
        <v>0</v>
      </c>
      <c r="I369" s="40">
        <v>0</v>
      </c>
      <c r="J369" s="40">
        <v>0</v>
      </c>
      <c r="K369" s="40">
        <v>0</v>
      </c>
      <c r="L369" s="40">
        <v>381</v>
      </c>
      <c r="M369" s="42">
        <v>26.9</v>
      </c>
    </row>
    <row r="370" spans="1:13" ht="15.75" customHeight="1" x14ac:dyDescent="0.3">
      <c r="A370" s="40">
        <v>35</v>
      </c>
      <c r="B370" s="42">
        <v>66.67</v>
      </c>
      <c r="C370" s="47">
        <v>50</v>
      </c>
      <c r="D370" s="51">
        <v>785</v>
      </c>
      <c r="E370" s="42">
        <v>1120</v>
      </c>
      <c r="F370" s="42">
        <v>183</v>
      </c>
      <c r="G370" s="40">
        <v>1.905</v>
      </c>
      <c r="H370" s="40">
        <v>0</v>
      </c>
      <c r="I370" s="40">
        <v>0</v>
      </c>
      <c r="J370" s="40">
        <v>0</v>
      </c>
      <c r="K370" s="40">
        <v>0</v>
      </c>
      <c r="L370" s="40">
        <v>381</v>
      </c>
      <c r="M370" s="42">
        <v>22.5</v>
      </c>
    </row>
    <row r="371" spans="1:13" ht="15.75" customHeight="1" x14ac:dyDescent="0.3">
      <c r="A371" s="40">
        <v>45</v>
      </c>
      <c r="B371" s="42">
        <v>66.67</v>
      </c>
      <c r="C371" s="47">
        <v>50</v>
      </c>
      <c r="D371" s="51">
        <v>785</v>
      </c>
      <c r="E371" s="42">
        <v>1120</v>
      </c>
      <c r="F371" s="42">
        <v>183</v>
      </c>
      <c r="G371" s="40">
        <v>1.905</v>
      </c>
      <c r="H371" s="40">
        <v>0</v>
      </c>
      <c r="I371" s="40">
        <v>0</v>
      </c>
      <c r="J371" s="40">
        <v>0</v>
      </c>
      <c r="K371" s="40">
        <v>0</v>
      </c>
      <c r="L371" s="40">
        <v>381</v>
      </c>
      <c r="M371" s="42">
        <v>29.6</v>
      </c>
    </row>
    <row r="372" spans="1:13" ht="15.75" customHeight="1" x14ac:dyDescent="0.3">
      <c r="A372" s="40">
        <v>0</v>
      </c>
      <c r="B372" s="42">
        <v>66.67</v>
      </c>
      <c r="C372" s="47">
        <v>50</v>
      </c>
      <c r="D372" s="51">
        <v>785</v>
      </c>
      <c r="E372" s="42">
        <v>1120</v>
      </c>
      <c r="F372" s="42">
        <v>183</v>
      </c>
      <c r="G372" s="40">
        <v>1.905</v>
      </c>
      <c r="H372" s="40">
        <v>0</v>
      </c>
      <c r="I372" s="40">
        <v>0</v>
      </c>
      <c r="J372" s="40">
        <v>0</v>
      </c>
      <c r="K372" s="40">
        <v>0</v>
      </c>
      <c r="L372" s="40">
        <v>381</v>
      </c>
      <c r="M372" s="42">
        <v>28.4</v>
      </c>
    </row>
    <row r="373" spans="1:13" ht="15.75" customHeight="1" x14ac:dyDescent="0.3">
      <c r="A373" s="40">
        <v>20</v>
      </c>
      <c r="B373" s="42">
        <v>66.67</v>
      </c>
      <c r="C373" s="47">
        <v>50</v>
      </c>
      <c r="D373" s="51">
        <v>785</v>
      </c>
      <c r="E373" s="42">
        <v>1120</v>
      </c>
      <c r="F373" s="42">
        <v>183</v>
      </c>
      <c r="G373" s="40">
        <v>1.905</v>
      </c>
      <c r="H373" s="40">
        <v>0</v>
      </c>
      <c r="I373" s="40">
        <v>0</v>
      </c>
      <c r="J373" s="40">
        <v>0</v>
      </c>
      <c r="K373" s="40">
        <v>0</v>
      </c>
      <c r="L373" s="40">
        <v>381</v>
      </c>
      <c r="M373" s="42">
        <v>28.9</v>
      </c>
    </row>
    <row r="374" spans="1:13" ht="15.75" customHeight="1" x14ac:dyDescent="0.3">
      <c r="A374" s="40">
        <v>30</v>
      </c>
      <c r="B374" s="42">
        <v>66.67</v>
      </c>
      <c r="C374" s="47">
        <v>50</v>
      </c>
      <c r="D374" s="51">
        <v>785</v>
      </c>
      <c r="E374" s="42">
        <v>1120</v>
      </c>
      <c r="F374" s="42">
        <v>183</v>
      </c>
      <c r="G374" s="40">
        <v>1.905</v>
      </c>
      <c r="H374" s="40">
        <v>0</v>
      </c>
      <c r="I374" s="40">
        <v>0</v>
      </c>
      <c r="J374" s="40">
        <v>0</v>
      </c>
      <c r="K374" s="40">
        <v>0</v>
      </c>
      <c r="L374" s="40">
        <v>381</v>
      </c>
      <c r="M374" s="42">
        <v>34.9</v>
      </c>
    </row>
    <row r="375" spans="1:13" ht="15.75" customHeight="1" x14ac:dyDescent="0.3">
      <c r="A375" s="40">
        <v>40</v>
      </c>
      <c r="B375" s="42">
        <v>66.67</v>
      </c>
      <c r="C375" s="47">
        <v>50</v>
      </c>
      <c r="D375" s="51">
        <v>785</v>
      </c>
      <c r="E375" s="42">
        <v>1120</v>
      </c>
      <c r="F375" s="42">
        <v>183</v>
      </c>
      <c r="G375" s="40">
        <v>1.905</v>
      </c>
      <c r="H375" s="40">
        <v>0</v>
      </c>
      <c r="I375" s="40">
        <v>0</v>
      </c>
      <c r="J375" s="40">
        <v>0</v>
      </c>
      <c r="K375" s="40">
        <v>0</v>
      </c>
      <c r="L375" s="40">
        <v>381</v>
      </c>
      <c r="M375" s="42">
        <v>36.9</v>
      </c>
    </row>
    <row r="376" spans="1:13" ht="15.75" customHeight="1" x14ac:dyDescent="0.3">
      <c r="A376" s="43">
        <v>0</v>
      </c>
      <c r="B376" s="48">
        <v>0</v>
      </c>
      <c r="C376" s="42">
        <v>0</v>
      </c>
      <c r="D376" s="40">
        <f>2*L376</f>
        <v>814</v>
      </c>
      <c r="E376" s="40">
        <f>3*L376</f>
        <v>1221</v>
      </c>
      <c r="F376" s="40">
        <f>0.45*L376</f>
        <v>183.15</v>
      </c>
      <c r="G376" s="40">
        <v>0</v>
      </c>
      <c r="H376" s="40">
        <v>0</v>
      </c>
      <c r="I376" s="40">
        <v>0</v>
      </c>
      <c r="J376" s="40">
        <v>0</v>
      </c>
      <c r="K376" s="40">
        <v>0</v>
      </c>
      <c r="L376" s="42">
        <v>407</v>
      </c>
      <c r="M376" s="47">
        <v>21</v>
      </c>
    </row>
    <row r="377" spans="1:13" ht="15.75" customHeight="1" x14ac:dyDescent="0.3">
      <c r="A377" s="43">
        <f>7850*0.005</f>
        <v>39.25</v>
      </c>
      <c r="B377" s="48">
        <f>25/0.53</f>
        <v>47.169811320754718</v>
      </c>
      <c r="C377" s="42">
        <v>25</v>
      </c>
      <c r="D377" s="40">
        <f>2*L377</f>
        <v>814</v>
      </c>
      <c r="E377" s="40">
        <f>3*L377</f>
        <v>1221</v>
      </c>
      <c r="F377" s="40">
        <f>0.45*L377</f>
        <v>183.15</v>
      </c>
      <c r="G377" s="40">
        <v>0</v>
      </c>
      <c r="H377" s="40">
        <v>0</v>
      </c>
      <c r="I377" s="40">
        <v>0</v>
      </c>
      <c r="J377" s="40">
        <v>0</v>
      </c>
      <c r="K377" s="40">
        <v>0</v>
      </c>
      <c r="L377" s="42">
        <v>407</v>
      </c>
      <c r="M377" s="47">
        <v>21.6</v>
      </c>
    </row>
    <row r="378" spans="1:13" ht="15.75" customHeight="1" x14ac:dyDescent="0.3">
      <c r="A378" s="43">
        <f>7850*0.01</f>
        <v>78.5</v>
      </c>
      <c r="B378" s="48">
        <f>25/0.53</f>
        <v>47.169811320754718</v>
      </c>
      <c r="C378" s="42">
        <v>25</v>
      </c>
      <c r="D378" s="40">
        <f>2*L378</f>
        <v>814</v>
      </c>
      <c r="E378" s="40">
        <f>3*L378</f>
        <v>1221</v>
      </c>
      <c r="F378" s="40">
        <f>0.45*L378</f>
        <v>183.15</v>
      </c>
      <c r="G378" s="40">
        <v>0</v>
      </c>
      <c r="H378" s="40">
        <v>0</v>
      </c>
      <c r="I378" s="40">
        <v>0</v>
      </c>
      <c r="J378" s="40">
        <v>0</v>
      </c>
      <c r="K378" s="40">
        <v>0</v>
      </c>
      <c r="L378" s="42">
        <v>407</v>
      </c>
      <c r="M378" s="47">
        <v>22.9</v>
      </c>
    </row>
    <row r="379" spans="1:13" ht="15.75" customHeight="1" x14ac:dyDescent="0.3">
      <c r="A379" s="43">
        <f>7850*0.015</f>
        <v>117.75</v>
      </c>
      <c r="B379" s="48">
        <f>25/0.53</f>
        <v>47.169811320754718</v>
      </c>
      <c r="C379" s="42">
        <v>25</v>
      </c>
      <c r="D379" s="40">
        <f>2*L379</f>
        <v>814</v>
      </c>
      <c r="E379" s="40">
        <f>3*L379</f>
        <v>1221</v>
      </c>
      <c r="F379" s="40">
        <f>0.45*L379</f>
        <v>183.15</v>
      </c>
      <c r="G379" s="40">
        <v>0</v>
      </c>
      <c r="H379" s="40">
        <v>0</v>
      </c>
      <c r="I379" s="40">
        <v>0</v>
      </c>
      <c r="J379" s="40">
        <v>0</v>
      </c>
      <c r="K379" s="40">
        <v>0</v>
      </c>
      <c r="L379" s="42">
        <v>407</v>
      </c>
      <c r="M379" s="47">
        <v>22.9</v>
      </c>
    </row>
    <row r="380" spans="1:13" ht="15.75" customHeight="1" x14ac:dyDescent="0.3">
      <c r="A380" s="43">
        <v>0</v>
      </c>
      <c r="B380" s="48">
        <v>0</v>
      </c>
      <c r="C380" s="42">
        <v>0</v>
      </c>
      <c r="D380" s="40">
        <v>685.24</v>
      </c>
      <c r="E380" s="40">
        <v>734.42</v>
      </c>
      <c r="F380" s="40">
        <v>176</v>
      </c>
      <c r="G380" s="40">
        <v>3.2</v>
      </c>
      <c r="H380" s="40">
        <v>0</v>
      </c>
      <c r="I380" s="40">
        <v>0</v>
      </c>
      <c r="J380" s="40">
        <v>0</v>
      </c>
      <c r="K380" s="40">
        <v>0</v>
      </c>
      <c r="L380" s="40">
        <v>533.33000000000004</v>
      </c>
      <c r="M380" s="47">
        <v>16</v>
      </c>
    </row>
    <row r="381" spans="1:13" ht="15.75" customHeight="1" x14ac:dyDescent="0.3">
      <c r="A381" s="43">
        <f>0.005*7800</f>
        <v>39</v>
      </c>
      <c r="B381" s="48">
        <f>30/0.88</f>
        <v>34.090909090909093</v>
      </c>
      <c r="C381" s="42">
        <v>30</v>
      </c>
      <c r="D381" s="40">
        <v>685.24</v>
      </c>
      <c r="E381" s="40">
        <v>734.42</v>
      </c>
      <c r="F381" s="40">
        <v>176</v>
      </c>
      <c r="G381" s="40">
        <v>3.2</v>
      </c>
      <c r="H381" s="40">
        <v>0</v>
      </c>
      <c r="I381" s="40">
        <v>0</v>
      </c>
      <c r="J381" s="40">
        <v>0</v>
      </c>
      <c r="K381" s="40">
        <v>0</v>
      </c>
      <c r="L381" s="40">
        <v>533.33000000000004</v>
      </c>
      <c r="M381" s="47">
        <v>16.5</v>
      </c>
    </row>
    <row r="382" spans="1:13" ht="15.75" customHeight="1" x14ac:dyDescent="0.3">
      <c r="A382" s="43">
        <f>0.01* 7800</f>
        <v>78</v>
      </c>
      <c r="B382" s="48">
        <f>30/0.88</f>
        <v>34.090909090909093</v>
      </c>
      <c r="C382" s="42">
        <v>30</v>
      </c>
      <c r="D382" s="40">
        <v>685.24</v>
      </c>
      <c r="E382" s="40">
        <v>734.42</v>
      </c>
      <c r="F382" s="40">
        <v>176</v>
      </c>
      <c r="G382" s="40">
        <v>3.2</v>
      </c>
      <c r="H382" s="40">
        <v>0</v>
      </c>
      <c r="I382" s="40">
        <v>0</v>
      </c>
      <c r="J382" s="40">
        <v>0</v>
      </c>
      <c r="K382" s="40">
        <v>0</v>
      </c>
      <c r="L382" s="40">
        <v>533.33000000000004</v>
      </c>
      <c r="M382" s="47">
        <v>15</v>
      </c>
    </row>
    <row r="383" spans="1:13" ht="15.75" customHeight="1" x14ac:dyDescent="0.3">
      <c r="A383" s="43">
        <v>0</v>
      </c>
      <c r="B383" s="48">
        <v>0</v>
      </c>
      <c r="C383" s="42">
        <v>0</v>
      </c>
      <c r="D383" s="40">
        <f t="shared" ref="D383:D389" si="36">1.35*L383</f>
        <v>705.68550000000005</v>
      </c>
      <c r="E383" s="42">
        <f t="shared" ref="E383:E389" si="37">2.12*L383</f>
        <v>1108.1876000000002</v>
      </c>
      <c r="F383" s="42">
        <f t="shared" ref="F383:F389" si="38">0.35*L383</f>
        <v>182.9555</v>
      </c>
      <c r="G383" s="40">
        <v>0</v>
      </c>
      <c r="H383" s="40">
        <v>0</v>
      </c>
      <c r="I383" s="40">
        <v>0</v>
      </c>
      <c r="J383" s="40">
        <v>0</v>
      </c>
      <c r="K383" s="40">
        <v>0</v>
      </c>
      <c r="L383" s="40">
        <v>522.73</v>
      </c>
      <c r="M383" s="47">
        <v>57.82</v>
      </c>
    </row>
    <row r="384" spans="1:13" ht="15.75" customHeight="1" x14ac:dyDescent="0.3">
      <c r="A384" s="43">
        <f>7800*0.01</f>
        <v>78</v>
      </c>
      <c r="B384" s="45">
        <f>50/1.24</f>
        <v>40.322580645161288</v>
      </c>
      <c r="C384" s="42">
        <v>50</v>
      </c>
      <c r="D384" s="40">
        <f t="shared" si="36"/>
        <v>705.68550000000005</v>
      </c>
      <c r="E384" s="42">
        <f t="shared" si="37"/>
        <v>1108.1876000000002</v>
      </c>
      <c r="F384" s="42">
        <f t="shared" si="38"/>
        <v>182.9555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522.73</v>
      </c>
      <c r="M384" s="47">
        <v>59.8</v>
      </c>
    </row>
    <row r="385" spans="1:13" ht="15.75" customHeight="1" x14ac:dyDescent="0.3">
      <c r="A385" s="43">
        <f>7800*0.01</f>
        <v>78</v>
      </c>
      <c r="B385" s="45">
        <f>25/1.24</f>
        <v>20.161290322580644</v>
      </c>
      <c r="C385" s="42">
        <v>25</v>
      </c>
      <c r="D385" s="40">
        <f t="shared" si="36"/>
        <v>705.68550000000005</v>
      </c>
      <c r="E385" s="42">
        <f t="shared" si="37"/>
        <v>1108.1876000000002</v>
      </c>
      <c r="F385" s="42">
        <f t="shared" si="38"/>
        <v>182.9555</v>
      </c>
      <c r="G385" s="40">
        <v>0</v>
      </c>
      <c r="H385" s="40">
        <v>0</v>
      </c>
      <c r="I385" s="40">
        <v>0</v>
      </c>
      <c r="J385" s="40">
        <v>0</v>
      </c>
      <c r="K385" s="40">
        <v>0</v>
      </c>
      <c r="L385" s="40">
        <v>522.73</v>
      </c>
      <c r="M385" s="47">
        <v>69.83</v>
      </c>
    </row>
    <row r="386" spans="1:13" ht="15.75" customHeight="1" x14ac:dyDescent="0.3">
      <c r="A386" s="43">
        <f>7800*0.015</f>
        <v>117</v>
      </c>
      <c r="B386" s="45">
        <f>50/1.24</f>
        <v>40.322580645161288</v>
      </c>
      <c r="C386" s="42">
        <v>50</v>
      </c>
      <c r="D386" s="40">
        <f t="shared" si="36"/>
        <v>705.68550000000005</v>
      </c>
      <c r="E386" s="42">
        <f t="shared" si="37"/>
        <v>1108.1876000000002</v>
      </c>
      <c r="F386" s="42">
        <f t="shared" si="38"/>
        <v>182.9555</v>
      </c>
      <c r="G386" s="40">
        <v>0</v>
      </c>
      <c r="H386" s="40">
        <v>0</v>
      </c>
      <c r="I386" s="40">
        <v>0</v>
      </c>
      <c r="J386" s="40">
        <v>0</v>
      </c>
      <c r="K386" s="40">
        <v>0</v>
      </c>
      <c r="L386" s="40">
        <v>522.73</v>
      </c>
      <c r="M386" s="47">
        <v>63.98</v>
      </c>
    </row>
    <row r="387" spans="1:13" ht="15.75" customHeight="1" x14ac:dyDescent="0.3">
      <c r="A387" s="43">
        <f>7800*0.015</f>
        <v>117</v>
      </c>
      <c r="B387" s="45">
        <f>25/1.24</f>
        <v>20.161290322580644</v>
      </c>
      <c r="C387" s="42">
        <v>25</v>
      </c>
      <c r="D387" s="40">
        <f t="shared" si="36"/>
        <v>705.68550000000005</v>
      </c>
      <c r="E387" s="42">
        <f t="shared" si="37"/>
        <v>1108.1876000000002</v>
      </c>
      <c r="F387" s="42">
        <f t="shared" si="38"/>
        <v>182.9555</v>
      </c>
      <c r="G387" s="40">
        <v>0</v>
      </c>
      <c r="H387" s="40">
        <v>0</v>
      </c>
      <c r="I387" s="40">
        <v>0</v>
      </c>
      <c r="J387" s="40">
        <v>0</v>
      </c>
      <c r="K387" s="40">
        <v>0</v>
      </c>
      <c r="L387" s="40">
        <v>522.73</v>
      </c>
      <c r="M387" s="47">
        <v>72.13</v>
      </c>
    </row>
    <row r="388" spans="1:13" ht="15.75" customHeight="1" x14ac:dyDescent="0.3">
      <c r="A388" s="43">
        <f>7800*0.02</f>
        <v>156</v>
      </c>
      <c r="B388" s="45">
        <f>50/1.24</f>
        <v>40.322580645161288</v>
      </c>
      <c r="C388" s="42">
        <v>50</v>
      </c>
      <c r="D388" s="40">
        <f t="shared" si="36"/>
        <v>705.68550000000005</v>
      </c>
      <c r="E388" s="42">
        <f t="shared" si="37"/>
        <v>1108.1876000000002</v>
      </c>
      <c r="F388" s="42">
        <f t="shared" si="38"/>
        <v>182.9555</v>
      </c>
      <c r="G388" s="40">
        <v>0</v>
      </c>
      <c r="H388" s="40">
        <v>0</v>
      </c>
      <c r="I388" s="40">
        <v>0</v>
      </c>
      <c r="J388" s="40">
        <v>0</v>
      </c>
      <c r="K388" s="40">
        <v>0</v>
      </c>
      <c r="L388" s="40">
        <v>522.73</v>
      </c>
      <c r="M388" s="47">
        <v>62.06</v>
      </c>
    </row>
    <row r="389" spans="1:13" ht="15.75" customHeight="1" x14ac:dyDescent="0.3">
      <c r="A389" s="43">
        <f>7800*0.02</f>
        <v>156</v>
      </c>
      <c r="B389" s="45">
        <f>25/1.24</f>
        <v>20.161290322580644</v>
      </c>
      <c r="C389" s="42">
        <v>25</v>
      </c>
      <c r="D389" s="40">
        <f t="shared" si="36"/>
        <v>705.68550000000005</v>
      </c>
      <c r="E389" s="42">
        <f t="shared" si="37"/>
        <v>1108.1876000000002</v>
      </c>
      <c r="F389" s="42">
        <f t="shared" si="38"/>
        <v>182.9555</v>
      </c>
      <c r="G389" s="40">
        <v>0</v>
      </c>
      <c r="H389" s="40">
        <v>0</v>
      </c>
      <c r="I389" s="40">
        <v>0</v>
      </c>
      <c r="J389" s="40">
        <v>0</v>
      </c>
      <c r="K389" s="40">
        <v>0</v>
      </c>
      <c r="L389" s="40">
        <v>522.73</v>
      </c>
      <c r="M389" s="47">
        <v>72.819999999999993</v>
      </c>
    </row>
    <row r="390" spans="1:13" ht="15.75" customHeight="1" x14ac:dyDescent="0.3">
      <c r="A390" s="45">
        <v>0</v>
      </c>
      <c r="B390" s="42">
        <v>0</v>
      </c>
      <c r="C390" s="42">
        <v>0</v>
      </c>
      <c r="D390" s="42">
        <v>750</v>
      </c>
      <c r="E390" s="42">
        <v>1058</v>
      </c>
      <c r="F390" s="40">
        <v>180</v>
      </c>
      <c r="G390" s="40">
        <f>0.01*L390</f>
        <v>4</v>
      </c>
      <c r="H390" s="40">
        <v>0</v>
      </c>
      <c r="I390" s="40">
        <v>0</v>
      </c>
      <c r="J390" s="40">
        <v>0</v>
      </c>
      <c r="K390" s="40">
        <v>0</v>
      </c>
      <c r="L390" s="47">
        <v>400</v>
      </c>
      <c r="M390" s="42">
        <v>49.8</v>
      </c>
    </row>
    <row r="391" spans="1:13" ht="15.75" customHeight="1" x14ac:dyDescent="0.3">
      <c r="A391" s="45">
        <v>39</v>
      </c>
      <c r="B391" s="42">
        <f>50/0.79</f>
        <v>63.291139240506325</v>
      </c>
      <c r="C391" s="42">
        <v>50</v>
      </c>
      <c r="D391" s="42">
        <v>750</v>
      </c>
      <c r="E391" s="42">
        <v>1045</v>
      </c>
      <c r="F391" s="40">
        <v>180</v>
      </c>
      <c r="G391" s="40">
        <f>0.015*L391</f>
        <v>6</v>
      </c>
      <c r="H391" s="40">
        <v>0</v>
      </c>
      <c r="I391" s="40">
        <v>0</v>
      </c>
      <c r="J391" s="40">
        <v>0</v>
      </c>
      <c r="K391" s="40">
        <v>0</v>
      </c>
      <c r="L391" s="47">
        <v>400</v>
      </c>
      <c r="M391" s="42">
        <v>53.8</v>
      </c>
    </row>
    <row r="392" spans="1:13" ht="15.75" customHeight="1" x14ac:dyDescent="0.3">
      <c r="A392" s="45">
        <v>78</v>
      </c>
      <c r="B392" s="42">
        <f>50/0.79</f>
        <v>63.291139240506325</v>
      </c>
      <c r="C392" s="42">
        <v>50</v>
      </c>
      <c r="D392" s="42">
        <v>750</v>
      </c>
      <c r="E392" s="42">
        <v>1031.7</v>
      </c>
      <c r="F392" s="40">
        <v>180</v>
      </c>
      <c r="G392" s="40">
        <f>0.02*L392</f>
        <v>8</v>
      </c>
      <c r="H392" s="40">
        <v>0</v>
      </c>
      <c r="I392" s="40">
        <v>0</v>
      </c>
      <c r="J392" s="40">
        <v>0</v>
      </c>
      <c r="K392" s="40">
        <v>0</v>
      </c>
      <c r="L392" s="47">
        <v>400</v>
      </c>
      <c r="M392" s="42">
        <v>56.4</v>
      </c>
    </row>
    <row r="393" spans="1:13" ht="15.75" customHeight="1" x14ac:dyDescent="0.3">
      <c r="A393" s="45">
        <v>117</v>
      </c>
      <c r="B393" s="42">
        <f>50/0.79</f>
        <v>63.291139240506325</v>
      </c>
      <c r="C393" s="42">
        <v>50</v>
      </c>
      <c r="D393" s="42">
        <v>750</v>
      </c>
      <c r="E393" s="42">
        <v>1017.8</v>
      </c>
      <c r="F393" s="40">
        <v>180</v>
      </c>
      <c r="G393" s="40">
        <f>0.025*L393</f>
        <v>10</v>
      </c>
      <c r="H393" s="40">
        <v>0</v>
      </c>
      <c r="I393" s="40">
        <v>0</v>
      </c>
      <c r="J393" s="40">
        <v>0</v>
      </c>
      <c r="K393" s="40">
        <v>0</v>
      </c>
      <c r="L393" s="47">
        <v>400</v>
      </c>
      <c r="M393" s="42">
        <v>59.7</v>
      </c>
    </row>
    <row r="394" spans="1:13" ht="15.75" customHeight="1" x14ac:dyDescent="0.3">
      <c r="A394" s="43">
        <v>0</v>
      </c>
      <c r="B394" s="48">
        <v>0</v>
      </c>
      <c r="C394" s="42">
        <v>0</v>
      </c>
      <c r="D394" s="40">
        <f>634+428</f>
        <v>1062</v>
      </c>
      <c r="E394" s="40">
        <f>423+432</f>
        <v>855</v>
      </c>
      <c r="F394" s="40">
        <v>185</v>
      </c>
      <c r="G394" s="40">
        <v>3.5</v>
      </c>
      <c r="H394" s="40">
        <v>0</v>
      </c>
      <c r="I394" s="40">
        <v>0</v>
      </c>
      <c r="J394" s="40">
        <v>0</v>
      </c>
      <c r="K394" s="40">
        <v>0</v>
      </c>
      <c r="L394" s="40">
        <v>270</v>
      </c>
      <c r="M394" s="47">
        <v>29.4</v>
      </c>
    </row>
    <row r="395" spans="1:13" ht="15.75" customHeight="1" x14ac:dyDescent="0.3">
      <c r="A395" s="43">
        <v>10</v>
      </c>
      <c r="B395" s="48">
        <f t="shared" ref="B395:B400" si="39">30/0.62</f>
        <v>48.387096774193552</v>
      </c>
      <c r="C395" s="42">
        <v>30</v>
      </c>
      <c r="D395" s="40">
        <f>631+426</f>
        <v>1057</v>
      </c>
      <c r="E395" s="40">
        <f>421+429</f>
        <v>850</v>
      </c>
      <c r="F395" s="40">
        <v>185</v>
      </c>
      <c r="G395" s="40">
        <v>3.5</v>
      </c>
      <c r="H395" s="40">
        <v>0</v>
      </c>
      <c r="I395" s="40">
        <v>0</v>
      </c>
      <c r="J395" s="40">
        <v>0</v>
      </c>
      <c r="K395" s="40">
        <v>0</v>
      </c>
      <c r="L395" s="40">
        <v>270</v>
      </c>
      <c r="M395" s="47">
        <v>30.6</v>
      </c>
    </row>
    <row r="396" spans="1:13" ht="15.75" customHeight="1" x14ac:dyDescent="0.3">
      <c r="A396" s="43">
        <v>20</v>
      </c>
      <c r="B396" s="48">
        <f t="shared" si="39"/>
        <v>48.387096774193552</v>
      </c>
      <c r="C396" s="42">
        <v>30</v>
      </c>
      <c r="D396" s="40">
        <f>627+424</f>
        <v>1051</v>
      </c>
      <c r="E396" s="40">
        <f>419+427</f>
        <v>846</v>
      </c>
      <c r="F396" s="40">
        <v>185</v>
      </c>
      <c r="G396" s="40">
        <v>3.5</v>
      </c>
      <c r="H396" s="40">
        <v>0</v>
      </c>
      <c r="I396" s="40">
        <v>0</v>
      </c>
      <c r="J396" s="40">
        <v>0</v>
      </c>
      <c r="K396" s="40">
        <v>0</v>
      </c>
      <c r="L396" s="40">
        <v>270</v>
      </c>
      <c r="M396" s="47">
        <v>31.1</v>
      </c>
    </row>
    <row r="397" spans="1:13" ht="15.75" customHeight="1" x14ac:dyDescent="0.3">
      <c r="A397" s="43">
        <v>30</v>
      </c>
      <c r="B397" s="48">
        <f t="shared" si="39"/>
        <v>48.387096774193552</v>
      </c>
      <c r="C397" s="42">
        <v>30</v>
      </c>
      <c r="D397" s="40">
        <f>625+421</f>
        <v>1046</v>
      </c>
      <c r="E397" s="40">
        <f>416+425</f>
        <v>841</v>
      </c>
      <c r="F397" s="40">
        <v>185</v>
      </c>
      <c r="G397" s="40">
        <v>3.5</v>
      </c>
      <c r="H397" s="40">
        <v>0</v>
      </c>
      <c r="I397" s="40">
        <v>0</v>
      </c>
      <c r="J397" s="40">
        <v>0</v>
      </c>
      <c r="K397" s="40">
        <v>0</v>
      </c>
      <c r="L397" s="40">
        <v>270</v>
      </c>
      <c r="M397" s="47">
        <v>31.5</v>
      </c>
    </row>
    <row r="398" spans="1:13" ht="15.75" customHeight="1" x14ac:dyDescent="0.3">
      <c r="A398" s="43">
        <v>40</v>
      </c>
      <c r="B398" s="48">
        <f t="shared" si="39"/>
        <v>48.387096774193552</v>
      </c>
      <c r="C398" s="42">
        <v>30</v>
      </c>
      <c r="D398" s="40">
        <f>621+419</f>
        <v>1040</v>
      </c>
      <c r="E398" s="40">
        <f>414+423</f>
        <v>837</v>
      </c>
      <c r="F398" s="40">
        <v>185</v>
      </c>
      <c r="G398" s="40">
        <v>3.5</v>
      </c>
      <c r="H398" s="40">
        <v>0</v>
      </c>
      <c r="I398" s="40">
        <v>0</v>
      </c>
      <c r="J398" s="40">
        <v>0</v>
      </c>
      <c r="K398" s="40">
        <v>0</v>
      </c>
      <c r="L398" s="40">
        <v>270</v>
      </c>
      <c r="M398" s="47">
        <v>31.9</v>
      </c>
    </row>
    <row r="399" spans="1:13" ht="15.75" customHeight="1" x14ac:dyDescent="0.3">
      <c r="A399" s="43">
        <v>60</v>
      </c>
      <c r="B399" s="48">
        <f t="shared" si="39"/>
        <v>48.387096774193552</v>
      </c>
      <c r="C399" s="42">
        <v>30</v>
      </c>
      <c r="D399" s="40">
        <f>614+415</f>
        <v>1029</v>
      </c>
      <c r="E399" s="40">
        <f>410+418</f>
        <v>828</v>
      </c>
      <c r="F399" s="40">
        <v>185</v>
      </c>
      <c r="G399" s="40">
        <v>3.5</v>
      </c>
      <c r="H399" s="40">
        <v>0</v>
      </c>
      <c r="I399" s="40">
        <v>0</v>
      </c>
      <c r="J399" s="40">
        <v>0</v>
      </c>
      <c r="K399" s="40">
        <v>0</v>
      </c>
      <c r="L399" s="40">
        <v>270</v>
      </c>
      <c r="M399" s="47">
        <v>33.200000000000003</v>
      </c>
    </row>
    <row r="400" spans="1:13" ht="15.75" customHeight="1" x14ac:dyDescent="0.3">
      <c r="A400" s="43">
        <v>80</v>
      </c>
      <c r="B400" s="48">
        <f t="shared" si="39"/>
        <v>48.387096774193552</v>
      </c>
      <c r="C400" s="42">
        <v>30</v>
      </c>
      <c r="D400" s="40">
        <f>608+410</f>
        <v>1018</v>
      </c>
      <c r="E400" s="40">
        <f>405+414</f>
        <v>819</v>
      </c>
      <c r="F400" s="40">
        <v>185</v>
      </c>
      <c r="G400" s="40">
        <v>3.5</v>
      </c>
      <c r="H400" s="40">
        <v>0</v>
      </c>
      <c r="I400" s="40">
        <v>0</v>
      </c>
      <c r="J400" s="40">
        <v>0</v>
      </c>
      <c r="K400" s="40">
        <v>0</v>
      </c>
      <c r="L400" s="40">
        <v>270</v>
      </c>
      <c r="M400" s="47">
        <v>33.5</v>
      </c>
    </row>
    <row r="401" spans="1:13" ht="15.75" customHeight="1" x14ac:dyDescent="0.3">
      <c r="A401" s="43">
        <v>10</v>
      </c>
      <c r="B401" s="48">
        <f t="shared" ref="B401:B406" si="40">60/0.75</f>
        <v>80</v>
      </c>
      <c r="C401" s="42">
        <v>60</v>
      </c>
      <c r="D401" s="40">
        <f>631+426</f>
        <v>1057</v>
      </c>
      <c r="E401" s="40">
        <f>421+429</f>
        <v>850</v>
      </c>
      <c r="F401" s="40">
        <v>185</v>
      </c>
      <c r="G401" s="40">
        <v>3.5</v>
      </c>
      <c r="H401" s="40">
        <v>0</v>
      </c>
      <c r="I401" s="40">
        <v>0</v>
      </c>
      <c r="J401" s="40">
        <v>0</v>
      </c>
      <c r="K401" s="40">
        <v>0</v>
      </c>
      <c r="L401" s="40">
        <v>270</v>
      </c>
      <c r="M401" s="47">
        <v>31.1</v>
      </c>
    </row>
    <row r="402" spans="1:13" ht="15.75" customHeight="1" x14ac:dyDescent="0.3">
      <c r="A402" s="43">
        <v>20</v>
      </c>
      <c r="B402" s="48">
        <f t="shared" si="40"/>
        <v>80</v>
      </c>
      <c r="C402" s="42">
        <v>60</v>
      </c>
      <c r="D402" s="40">
        <f>627+424</f>
        <v>1051</v>
      </c>
      <c r="E402" s="40">
        <f>419+427</f>
        <v>846</v>
      </c>
      <c r="F402" s="40">
        <v>185</v>
      </c>
      <c r="G402" s="40">
        <v>3.5</v>
      </c>
      <c r="H402" s="40">
        <v>0</v>
      </c>
      <c r="I402" s="40">
        <v>0</v>
      </c>
      <c r="J402" s="40">
        <v>0</v>
      </c>
      <c r="K402" s="40">
        <v>0</v>
      </c>
      <c r="L402" s="40">
        <v>270</v>
      </c>
      <c r="M402" s="47">
        <v>31.6</v>
      </c>
    </row>
    <row r="403" spans="1:13" ht="15.75" customHeight="1" x14ac:dyDescent="0.3">
      <c r="A403" s="43">
        <v>30</v>
      </c>
      <c r="B403" s="48">
        <f t="shared" si="40"/>
        <v>80</v>
      </c>
      <c r="C403" s="42">
        <v>60</v>
      </c>
      <c r="D403" s="40">
        <f>625+421</f>
        <v>1046</v>
      </c>
      <c r="E403" s="40">
        <f>416+425</f>
        <v>841</v>
      </c>
      <c r="F403" s="40">
        <v>185</v>
      </c>
      <c r="G403" s="40">
        <v>3.5</v>
      </c>
      <c r="H403" s="40">
        <v>0</v>
      </c>
      <c r="I403" s="40">
        <v>0</v>
      </c>
      <c r="J403" s="40">
        <v>0</v>
      </c>
      <c r="K403" s="40">
        <v>0</v>
      </c>
      <c r="L403" s="40">
        <v>270</v>
      </c>
      <c r="M403" s="47">
        <v>32.4</v>
      </c>
    </row>
    <row r="404" spans="1:13" ht="15.75" customHeight="1" x14ac:dyDescent="0.3">
      <c r="A404" s="43">
        <v>40</v>
      </c>
      <c r="B404" s="48">
        <f t="shared" si="40"/>
        <v>80</v>
      </c>
      <c r="C404" s="42">
        <v>60</v>
      </c>
      <c r="D404" s="40">
        <f>621+419</f>
        <v>1040</v>
      </c>
      <c r="E404" s="40">
        <f>414+423</f>
        <v>837</v>
      </c>
      <c r="F404" s="40">
        <v>185</v>
      </c>
      <c r="G404" s="40">
        <v>3.5</v>
      </c>
      <c r="H404" s="40">
        <v>0</v>
      </c>
      <c r="I404" s="40">
        <v>0</v>
      </c>
      <c r="J404" s="40">
        <v>0</v>
      </c>
      <c r="K404" s="40">
        <v>0</v>
      </c>
      <c r="L404" s="40">
        <v>270</v>
      </c>
      <c r="M404" s="47">
        <v>32.9</v>
      </c>
    </row>
    <row r="405" spans="1:13" ht="15.75" customHeight="1" x14ac:dyDescent="0.3">
      <c r="A405" s="43">
        <v>60</v>
      </c>
      <c r="B405" s="48">
        <f t="shared" si="40"/>
        <v>80</v>
      </c>
      <c r="C405" s="42">
        <v>60</v>
      </c>
      <c r="D405" s="40">
        <f>614+415</f>
        <v>1029</v>
      </c>
      <c r="E405" s="40">
        <f>410+418</f>
        <v>828</v>
      </c>
      <c r="F405" s="40">
        <v>185</v>
      </c>
      <c r="G405" s="40">
        <v>3.5</v>
      </c>
      <c r="H405" s="40">
        <v>0</v>
      </c>
      <c r="I405" s="40">
        <v>0</v>
      </c>
      <c r="J405" s="40">
        <v>0</v>
      </c>
      <c r="K405" s="40">
        <v>0</v>
      </c>
      <c r="L405" s="40">
        <v>270</v>
      </c>
      <c r="M405" s="47">
        <v>34.1</v>
      </c>
    </row>
    <row r="406" spans="1:13" ht="15.75" customHeight="1" x14ac:dyDescent="0.3">
      <c r="A406" s="43">
        <v>80</v>
      </c>
      <c r="B406" s="48">
        <f t="shared" si="40"/>
        <v>80</v>
      </c>
      <c r="C406" s="42">
        <v>60</v>
      </c>
      <c r="D406" s="40">
        <f>608+410</f>
        <v>1018</v>
      </c>
      <c r="E406" s="40">
        <f>405+414</f>
        <v>819</v>
      </c>
      <c r="F406" s="40">
        <v>185</v>
      </c>
      <c r="G406" s="40">
        <v>3.5</v>
      </c>
      <c r="H406" s="40">
        <v>0</v>
      </c>
      <c r="I406" s="40">
        <v>0</v>
      </c>
      <c r="J406" s="40">
        <v>0</v>
      </c>
      <c r="K406" s="40">
        <v>0</v>
      </c>
      <c r="L406" s="40">
        <v>270</v>
      </c>
      <c r="M406" s="47">
        <v>34.700000000000003</v>
      </c>
    </row>
    <row r="407" spans="1:13" ht="15.75" customHeight="1" x14ac:dyDescent="0.3">
      <c r="A407" s="43">
        <v>0</v>
      </c>
      <c r="B407" s="48">
        <v>0</v>
      </c>
      <c r="C407" s="42">
        <v>0</v>
      </c>
      <c r="D407" s="40">
        <f>545+225</f>
        <v>770</v>
      </c>
      <c r="E407" s="40">
        <f>453+455</f>
        <v>908</v>
      </c>
      <c r="F407" s="40">
        <v>205</v>
      </c>
      <c r="G407" s="40">
        <v>7</v>
      </c>
      <c r="H407" s="40">
        <v>0</v>
      </c>
      <c r="I407" s="40">
        <v>0</v>
      </c>
      <c r="J407" s="40">
        <v>0</v>
      </c>
      <c r="K407" s="40">
        <v>0</v>
      </c>
      <c r="L407" s="40">
        <v>500</v>
      </c>
      <c r="M407" s="47">
        <v>49.9</v>
      </c>
    </row>
    <row r="408" spans="1:13" ht="15.75" customHeight="1" x14ac:dyDescent="0.3">
      <c r="A408" s="43">
        <v>10</v>
      </c>
      <c r="B408" s="48">
        <f t="shared" ref="B408:B413" si="41">30/0.62</f>
        <v>48.387096774193552</v>
      </c>
      <c r="C408" s="42">
        <v>30</v>
      </c>
      <c r="D408" s="40">
        <f>542+224</f>
        <v>766</v>
      </c>
      <c r="E408" s="40">
        <f>450+452</f>
        <v>902</v>
      </c>
      <c r="F408" s="40">
        <v>205</v>
      </c>
      <c r="G408" s="40">
        <v>7</v>
      </c>
      <c r="H408" s="40">
        <v>0</v>
      </c>
      <c r="I408" s="40">
        <v>0</v>
      </c>
      <c r="J408" s="40">
        <v>0</v>
      </c>
      <c r="K408" s="40">
        <v>0</v>
      </c>
      <c r="L408" s="40">
        <v>500</v>
      </c>
      <c r="M408" s="47">
        <v>50.8</v>
      </c>
    </row>
    <row r="409" spans="1:13" ht="15.75" customHeight="1" x14ac:dyDescent="0.3">
      <c r="A409" s="43">
        <v>20</v>
      </c>
      <c r="B409" s="48">
        <f t="shared" si="41"/>
        <v>48.387096774193552</v>
      </c>
      <c r="C409" s="42">
        <v>30</v>
      </c>
      <c r="D409" s="40">
        <f>539+222</f>
        <v>761</v>
      </c>
      <c r="E409" s="40">
        <f>448+450</f>
        <v>898</v>
      </c>
      <c r="F409" s="40">
        <v>205</v>
      </c>
      <c r="G409" s="40">
        <v>7</v>
      </c>
      <c r="H409" s="40">
        <v>0</v>
      </c>
      <c r="I409" s="40">
        <v>0</v>
      </c>
      <c r="J409" s="40">
        <v>0</v>
      </c>
      <c r="K409" s="40">
        <v>0</v>
      </c>
      <c r="L409" s="40">
        <v>500</v>
      </c>
      <c r="M409" s="47">
        <v>51.8</v>
      </c>
    </row>
    <row r="410" spans="1:13" ht="15.75" customHeight="1" x14ac:dyDescent="0.3">
      <c r="A410" s="43">
        <v>30</v>
      </c>
      <c r="B410" s="48">
        <f t="shared" si="41"/>
        <v>48.387096774193552</v>
      </c>
      <c r="C410" s="42">
        <v>30</v>
      </c>
      <c r="D410" s="40">
        <f>535+221</f>
        <v>756</v>
      </c>
      <c r="E410" s="40">
        <f>445+447</f>
        <v>892</v>
      </c>
      <c r="F410" s="40">
        <v>205</v>
      </c>
      <c r="G410" s="40">
        <v>7</v>
      </c>
      <c r="H410" s="40">
        <v>0</v>
      </c>
      <c r="I410" s="40">
        <v>0</v>
      </c>
      <c r="J410" s="40">
        <v>0</v>
      </c>
      <c r="K410" s="40">
        <v>0</v>
      </c>
      <c r="L410" s="40">
        <v>500</v>
      </c>
      <c r="M410" s="47">
        <v>52.2</v>
      </c>
    </row>
    <row r="411" spans="1:13" ht="15.75" customHeight="1" x14ac:dyDescent="0.3">
      <c r="A411" s="43">
        <v>40</v>
      </c>
      <c r="B411" s="48">
        <f t="shared" si="41"/>
        <v>48.387096774193552</v>
      </c>
      <c r="C411" s="42">
        <v>30</v>
      </c>
      <c r="D411" s="40">
        <f>532+220</f>
        <v>752</v>
      </c>
      <c r="E411" s="40">
        <f>442+444</f>
        <v>886</v>
      </c>
      <c r="F411" s="40">
        <v>205</v>
      </c>
      <c r="G411" s="40">
        <v>7</v>
      </c>
      <c r="H411" s="40">
        <v>0</v>
      </c>
      <c r="I411" s="40">
        <v>0</v>
      </c>
      <c r="J411" s="40">
        <v>0</v>
      </c>
      <c r="K411" s="40">
        <v>0</v>
      </c>
      <c r="L411" s="40">
        <v>500</v>
      </c>
      <c r="M411" s="47">
        <v>53.2</v>
      </c>
    </row>
    <row r="412" spans="1:13" ht="15.75" customHeight="1" x14ac:dyDescent="0.3">
      <c r="A412" s="43">
        <v>60</v>
      </c>
      <c r="B412" s="48">
        <f t="shared" si="41"/>
        <v>48.387096774193552</v>
      </c>
      <c r="C412" s="42">
        <v>30</v>
      </c>
      <c r="D412" s="40">
        <f>526+217</f>
        <v>743</v>
      </c>
      <c r="E412" s="40">
        <f>437+439</f>
        <v>876</v>
      </c>
      <c r="F412" s="40">
        <v>205</v>
      </c>
      <c r="G412" s="40">
        <v>7</v>
      </c>
      <c r="H412" s="40">
        <v>0</v>
      </c>
      <c r="I412" s="40">
        <v>0</v>
      </c>
      <c r="J412" s="40">
        <v>0</v>
      </c>
      <c r="K412" s="40">
        <v>0</v>
      </c>
      <c r="L412" s="40">
        <v>500</v>
      </c>
      <c r="M412" s="47">
        <v>54.2</v>
      </c>
    </row>
    <row r="413" spans="1:13" ht="15.75" customHeight="1" x14ac:dyDescent="0.3">
      <c r="A413" s="43">
        <v>80</v>
      </c>
      <c r="B413" s="48">
        <f t="shared" si="41"/>
        <v>48.387096774193552</v>
      </c>
      <c r="C413" s="42">
        <v>30</v>
      </c>
      <c r="D413" s="40">
        <f>519+214</f>
        <v>733</v>
      </c>
      <c r="E413" s="40">
        <f>431+433</f>
        <v>864</v>
      </c>
      <c r="F413" s="40">
        <v>205</v>
      </c>
      <c r="G413" s="40">
        <v>7</v>
      </c>
      <c r="H413" s="40">
        <v>0</v>
      </c>
      <c r="I413" s="40">
        <v>0</v>
      </c>
      <c r="J413" s="40">
        <v>0</v>
      </c>
      <c r="K413" s="40">
        <v>0</v>
      </c>
      <c r="L413" s="40">
        <v>500</v>
      </c>
      <c r="M413" s="47">
        <v>55.5</v>
      </c>
    </row>
    <row r="414" spans="1:13" ht="15.75" customHeight="1" x14ac:dyDescent="0.3">
      <c r="A414" s="43">
        <v>10</v>
      </c>
      <c r="B414" s="48">
        <f t="shared" ref="B414:B419" si="42">60/0.75</f>
        <v>80</v>
      </c>
      <c r="C414" s="42">
        <v>60</v>
      </c>
      <c r="D414" s="40">
        <f>542+224</f>
        <v>766</v>
      </c>
      <c r="E414" s="40">
        <f>450+452</f>
        <v>902</v>
      </c>
      <c r="F414" s="40">
        <v>205</v>
      </c>
      <c r="G414" s="40">
        <v>7</v>
      </c>
      <c r="H414" s="40">
        <v>0</v>
      </c>
      <c r="I414" s="40">
        <v>0</v>
      </c>
      <c r="J414" s="40">
        <v>0</v>
      </c>
      <c r="K414" s="40">
        <v>0</v>
      </c>
      <c r="L414" s="40">
        <v>500</v>
      </c>
      <c r="M414" s="47">
        <v>52.4</v>
      </c>
    </row>
    <row r="415" spans="1:13" ht="15.75" customHeight="1" x14ac:dyDescent="0.3">
      <c r="A415" s="43">
        <v>20</v>
      </c>
      <c r="B415" s="48">
        <f t="shared" si="42"/>
        <v>80</v>
      </c>
      <c r="C415" s="42">
        <v>60</v>
      </c>
      <c r="D415" s="40">
        <f>539+222</f>
        <v>761</v>
      </c>
      <c r="E415" s="40">
        <f>448+450</f>
        <v>898</v>
      </c>
      <c r="F415" s="40">
        <v>205</v>
      </c>
      <c r="G415" s="40">
        <v>7</v>
      </c>
      <c r="H415" s="40">
        <v>0</v>
      </c>
      <c r="I415" s="40">
        <v>0</v>
      </c>
      <c r="J415" s="40">
        <v>0</v>
      </c>
      <c r="K415" s="40">
        <v>0</v>
      </c>
      <c r="L415" s="40">
        <v>500</v>
      </c>
      <c r="M415" s="47">
        <v>52.7</v>
      </c>
    </row>
    <row r="416" spans="1:13" ht="15.75" customHeight="1" x14ac:dyDescent="0.3">
      <c r="A416" s="43">
        <v>30</v>
      </c>
      <c r="B416" s="48">
        <f t="shared" si="42"/>
        <v>80</v>
      </c>
      <c r="C416" s="42">
        <v>60</v>
      </c>
      <c r="D416" s="40">
        <f>535+221</f>
        <v>756</v>
      </c>
      <c r="E416" s="40">
        <f>445+447</f>
        <v>892</v>
      </c>
      <c r="F416" s="40">
        <v>205</v>
      </c>
      <c r="G416" s="40">
        <v>7</v>
      </c>
      <c r="H416" s="40">
        <v>0</v>
      </c>
      <c r="I416" s="40">
        <v>0</v>
      </c>
      <c r="J416" s="40">
        <v>0</v>
      </c>
      <c r="K416" s="40">
        <v>0</v>
      </c>
      <c r="L416" s="40">
        <v>500</v>
      </c>
      <c r="M416" s="47">
        <v>53.9</v>
      </c>
    </row>
    <row r="417" spans="1:13" ht="15.75" customHeight="1" x14ac:dyDescent="0.3">
      <c r="A417" s="43">
        <v>40</v>
      </c>
      <c r="B417" s="48">
        <f t="shared" si="42"/>
        <v>80</v>
      </c>
      <c r="C417" s="42">
        <v>60</v>
      </c>
      <c r="D417" s="40">
        <f>532+220</f>
        <v>752</v>
      </c>
      <c r="E417" s="40">
        <f>442+444</f>
        <v>886</v>
      </c>
      <c r="F417" s="40">
        <v>205</v>
      </c>
      <c r="G417" s="40">
        <v>7</v>
      </c>
      <c r="H417" s="40">
        <v>0</v>
      </c>
      <c r="I417" s="40">
        <v>0</v>
      </c>
      <c r="J417" s="40">
        <v>0</v>
      </c>
      <c r="K417" s="40">
        <v>0</v>
      </c>
      <c r="L417" s="40">
        <v>500</v>
      </c>
      <c r="M417" s="47">
        <v>55</v>
      </c>
    </row>
    <row r="418" spans="1:13" ht="15.75" customHeight="1" x14ac:dyDescent="0.3">
      <c r="A418" s="43">
        <v>60</v>
      </c>
      <c r="B418" s="48">
        <f t="shared" si="42"/>
        <v>80</v>
      </c>
      <c r="C418" s="42">
        <v>60</v>
      </c>
      <c r="D418" s="40">
        <f>526+217</f>
        <v>743</v>
      </c>
      <c r="E418" s="40">
        <f>437+439</f>
        <v>876</v>
      </c>
      <c r="F418" s="40">
        <v>205</v>
      </c>
      <c r="G418" s="40">
        <v>7</v>
      </c>
      <c r="H418" s="40">
        <v>0</v>
      </c>
      <c r="I418" s="40">
        <v>0</v>
      </c>
      <c r="J418" s="40">
        <v>0</v>
      </c>
      <c r="K418" s="40">
        <v>0</v>
      </c>
      <c r="L418" s="40">
        <v>500</v>
      </c>
      <c r="M418" s="47">
        <v>56.1</v>
      </c>
    </row>
    <row r="419" spans="1:13" ht="15.75" customHeight="1" x14ac:dyDescent="0.3">
      <c r="A419" s="43">
        <v>80</v>
      </c>
      <c r="B419" s="48">
        <f t="shared" si="42"/>
        <v>80</v>
      </c>
      <c r="C419" s="42">
        <v>60</v>
      </c>
      <c r="D419" s="40">
        <f>519+214</f>
        <v>733</v>
      </c>
      <c r="E419" s="40">
        <f>431+433</f>
        <v>864</v>
      </c>
      <c r="F419" s="40">
        <v>205</v>
      </c>
      <c r="G419" s="40">
        <v>7</v>
      </c>
      <c r="H419" s="40">
        <v>0</v>
      </c>
      <c r="I419" s="40">
        <v>0</v>
      </c>
      <c r="J419" s="40">
        <v>0</v>
      </c>
      <c r="K419" s="40">
        <v>0</v>
      </c>
      <c r="L419" s="40">
        <v>500</v>
      </c>
      <c r="M419" s="47">
        <v>56.9</v>
      </c>
    </row>
    <row r="420" spans="1:13" ht="15.75" customHeight="1" x14ac:dyDescent="0.3">
      <c r="A420" s="43">
        <v>0</v>
      </c>
      <c r="B420" s="48">
        <v>0</v>
      </c>
      <c r="C420" s="42">
        <v>0</v>
      </c>
      <c r="D420" s="40">
        <f>546+239</f>
        <v>785</v>
      </c>
      <c r="E420" s="40">
        <f>480+480</f>
        <v>960</v>
      </c>
      <c r="F420" s="40">
        <v>143</v>
      </c>
      <c r="G420" s="40">
        <f t="shared" ref="G420:G432" si="43">8.75</f>
        <v>8.75</v>
      </c>
      <c r="H420" s="40">
        <v>52</v>
      </c>
      <c r="I420" s="40">
        <v>0</v>
      </c>
      <c r="J420" s="40">
        <v>0</v>
      </c>
      <c r="K420" s="40">
        <v>0</v>
      </c>
      <c r="L420" s="40">
        <v>471</v>
      </c>
      <c r="M420" s="47">
        <v>75.400000000000006</v>
      </c>
    </row>
    <row r="421" spans="1:13" ht="15.75" customHeight="1" x14ac:dyDescent="0.3">
      <c r="A421" s="43">
        <v>10</v>
      </c>
      <c r="B421" s="48">
        <f t="shared" ref="B421:B426" si="44">30/0.62</f>
        <v>48.387096774193552</v>
      </c>
      <c r="C421" s="42">
        <v>30</v>
      </c>
      <c r="D421" s="40">
        <f>543+238</f>
        <v>781</v>
      </c>
      <c r="E421" s="40">
        <f>477*2</f>
        <v>954</v>
      </c>
      <c r="F421" s="40">
        <v>143</v>
      </c>
      <c r="G421" s="40">
        <f t="shared" si="43"/>
        <v>8.75</v>
      </c>
      <c r="H421" s="40">
        <v>52</v>
      </c>
      <c r="I421" s="40">
        <v>0</v>
      </c>
      <c r="J421" s="40">
        <v>0</v>
      </c>
      <c r="K421" s="40">
        <v>0</v>
      </c>
      <c r="L421" s="40">
        <v>471</v>
      </c>
      <c r="M421" s="47">
        <v>76.5</v>
      </c>
    </row>
    <row r="422" spans="1:13" ht="15.75" customHeight="1" x14ac:dyDescent="0.3">
      <c r="A422" s="43">
        <v>20</v>
      </c>
      <c r="B422" s="48">
        <f t="shared" si="44"/>
        <v>48.387096774193552</v>
      </c>
      <c r="C422" s="42">
        <v>30</v>
      </c>
      <c r="D422" s="40">
        <f>540+236</f>
        <v>776</v>
      </c>
      <c r="E422" s="40">
        <f>475*2</f>
        <v>950</v>
      </c>
      <c r="F422" s="40">
        <v>143</v>
      </c>
      <c r="G422" s="40">
        <f t="shared" si="43"/>
        <v>8.75</v>
      </c>
      <c r="H422" s="40">
        <v>52</v>
      </c>
      <c r="I422" s="40">
        <v>0</v>
      </c>
      <c r="J422" s="40">
        <v>0</v>
      </c>
      <c r="K422" s="40">
        <v>0</v>
      </c>
      <c r="L422" s="40">
        <v>471</v>
      </c>
      <c r="M422" s="47">
        <v>77.400000000000006</v>
      </c>
    </row>
    <row r="423" spans="1:13" ht="15.75" customHeight="1" x14ac:dyDescent="0.3">
      <c r="A423" s="43">
        <v>30</v>
      </c>
      <c r="B423" s="48">
        <f t="shared" si="44"/>
        <v>48.387096774193552</v>
      </c>
      <c r="C423" s="42">
        <v>30</v>
      </c>
      <c r="D423" s="40">
        <f>537+235</f>
        <v>772</v>
      </c>
      <c r="E423" s="40">
        <f>472*2</f>
        <v>944</v>
      </c>
      <c r="F423" s="40">
        <v>143</v>
      </c>
      <c r="G423" s="40">
        <f t="shared" si="43"/>
        <v>8.75</v>
      </c>
      <c r="H423" s="40">
        <v>52</v>
      </c>
      <c r="I423" s="40">
        <v>0</v>
      </c>
      <c r="J423" s="40">
        <v>0</v>
      </c>
      <c r="K423" s="40">
        <v>0</v>
      </c>
      <c r="L423" s="40">
        <v>471</v>
      </c>
      <c r="M423" s="47">
        <v>78.7</v>
      </c>
    </row>
    <row r="424" spans="1:13" ht="15.75" customHeight="1" x14ac:dyDescent="0.3">
      <c r="A424" s="43">
        <v>40</v>
      </c>
      <c r="B424" s="48">
        <f t="shared" si="44"/>
        <v>48.387096774193552</v>
      </c>
      <c r="C424" s="42">
        <v>30</v>
      </c>
      <c r="D424" s="40">
        <f>534+234</f>
        <v>768</v>
      </c>
      <c r="E424" s="40">
        <f>469*2</f>
        <v>938</v>
      </c>
      <c r="F424" s="40">
        <v>143</v>
      </c>
      <c r="G424" s="40">
        <f t="shared" si="43"/>
        <v>8.75</v>
      </c>
      <c r="H424" s="40">
        <v>52</v>
      </c>
      <c r="I424" s="40">
        <v>0</v>
      </c>
      <c r="J424" s="40">
        <v>0</v>
      </c>
      <c r="K424" s="40">
        <v>0</v>
      </c>
      <c r="L424" s="40">
        <v>471</v>
      </c>
      <c r="M424" s="47">
        <v>80.099999999999994</v>
      </c>
    </row>
    <row r="425" spans="1:13" ht="15.75" customHeight="1" x14ac:dyDescent="0.3">
      <c r="A425" s="43">
        <v>60</v>
      </c>
      <c r="B425" s="48">
        <f t="shared" si="44"/>
        <v>48.387096774193552</v>
      </c>
      <c r="C425" s="42">
        <v>30</v>
      </c>
      <c r="D425" s="40">
        <f>528+231</f>
        <v>759</v>
      </c>
      <c r="E425" s="40">
        <f>463*2</f>
        <v>926</v>
      </c>
      <c r="F425" s="40">
        <v>143</v>
      </c>
      <c r="G425" s="40">
        <f t="shared" si="43"/>
        <v>8.75</v>
      </c>
      <c r="H425" s="40">
        <v>52</v>
      </c>
      <c r="I425" s="40">
        <v>0</v>
      </c>
      <c r="J425" s="40">
        <v>0</v>
      </c>
      <c r="K425" s="40">
        <v>0</v>
      </c>
      <c r="L425" s="40">
        <v>471</v>
      </c>
      <c r="M425" s="47">
        <v>81.2</v>
      </c>
    </row>
    <row r="426" spans="1:13" ht="15.75" customHeight="1" x14ac:dyDescent="0.3">
      <c r="A426" s="43">
        <v>80</v>
      </c>
      <c r="B426" s="48">
        <f t="shared" si="44"/>
        <v>48.387096774193552</v>
      </c>
      <c r="C426" s="42">
        <v>30</v>
      </c>
      <c r="D426" s="40">
        <f>522+228</f>
        <v>750</v>
      </c>
      <c r="E426" s="40">
        <f>457*2</f>
        <v>914</v>
      </c>
      <c r="F426" s="40">
        <v>143</v>
      </c>
      <c r="G426" s="40">
        <f t="shared" si="43"/>
        <v>8.75</v>
      </c>
      <c r="H426" s="40">
        <v>52</v>
      </c>
      <c r="I426" s="40">
        <v>0</v>
      </c>
      <c r="J426" s="40">
        <v>0</v>
      </c>
      <c r="K426" s="40">
        <v>0</v>
      </c>
      <c r="L426" s="40">
        <v>471</v>
      </c>
      <c r="M426" s="47">
        <v>82.6</v>
      </c>
    </row>
    <row r="427" spans="1:13" ht="15.75" customHeight="1" x14ac:dyDescent="0.3">
      <c r="A427" s="43">
        <v>10</v>
      </c>
      <c r="B427" s="48">
        <f t="shared" ref="B427:B432" si="45">60/0.75</f>
        <v>80</v>
      </c>
      <c r="C427" s="42">
        <v>60</v>
      </c>
      <c r="D427" s="40">
        <f>543+238</f>
        <v>781</v>
      </c>
      <c r="E427" s="40">
        <f>477*2</f>
        <v>954</v>
      </c>
      <c r="F427" s="40">
        <v>143</v>
      </c>
      <c r="G427" s="40">
        <f t="shared" si="43"/>
        <v>8.75</v>
      </c>
      <c r="H427" s="40">
        <v>52</v>
      </c>
      <c r="I427" s="40">
        <v>0</v>
      </c>
      <c r="J427" s="40">
        <v>0</v>
      </c>
      <c r="K427" s="40">
        <v>0</v>
      </c>
      <c r="L427" s="40">
        <v>471</v>
      </c>
      <c r="M427" s="47">
        <v>77.3</v>
      </c>
    </row>
    <row r="428" spans="1:13" ht="15.75" customHeight="1" x14ac:dyDescent="0.3">
      <c r="A428" s="43">
        <v>20</v>
      </c>
      <c r="B428" s="48">
        <f t="shared" si="45"/>
        <v>80</v>
      </c>
      <c r="C428" s="42">
        <v>60</v>
      </c>
      <c r="D428" s="40">
        <f>540+236</f>
        <v>776</v>
      </c>
      <c r="E428" s="40">
        <f>475*2</f>
        <v>950</v>
      </c>
      <c r="F428" s="40">
        <v>143</v>
      </c>
      <c r="G428" s="40">
        <f t="shared" si="43"/>
        <v>8.75</v>
      </c>
      <c r="H428" s="40">
        <v>52</v>
      </c>
      <c r="I428" s="40">
        <v>0</v>
      </c>
      <c r="J428" s="40">
        <v>0</v>
      </c>
      <c r="K428" s="40">
        <v>0</v>
      </c>
      <c r="L428" s="40">
        <v>471</v>
      </c>
      <c r="M428" s="47">
        <v>79</v>
      </c>
    </row>
    <row r="429" spans="1:13" ht="15.75" customHeight="1" x14ac:dyDescent="0.3">
      <c r="A429" s="43">
        <v>30</v>
      </c>
      <c r="B429" s="48">
        <f t="shared" si="45"/>
        <v>80</v>
      </c>
      <c r="C429" s="42">
        <v>60</v>
      </c>
      <c r="D429" s="40">
        <f>537+235</f>
        <v>772</v>
      </c>
      <c r="E429" s="40">
        <f>472*2</f>
        <v>944</v>
      </c>
      <c r="F429" s="40">
        <v>143</v>
      </c>
      <c r="G429" s="40">
        <f t="shared" si="43"/>
        <v>8.75</v>
      </c>
      <c r="H429" s="40">
        <v>52</v>
      </c>
      <c r="I429" s="40">
        <v>0</v>
      </c>
      <c r="J429" s="40">
        <v>0</v>
      </c>
      <c r="K429" s="40">
        <v>0</v>
      </c>
      <c r="L429" s="40">
        <v>471</v>
      </c>
      <c r="M429" s="47">
        <v>81</v>
      </c>
    </row>
    <row r="430" spans="1:13" ht="15.75" customHeight="1" x14ac:dyDescent="0.3">
      <c r="A430" s="43">
        <v>40</v>
      </c>
      <c r="B430" s="48">
        <f t="shared" si="45"/>
        <v>80</v>
      </c>
      <c r="C430" s="42">
        <v>60</v>
      </c>
      <c r="D430" s="40">
        <f>534+234</f>
        <v>768</v>
      </c>
      <c r="E430" s="40">
        <f>469*2</f>
        <v>938</v>
      </c>
      <c r="F430" s="40">
        <v>143</v>
      </c>
      <c r="G430" s="40">
        <f t="shared" si="43"/>
        <v>8.75</v>
      </c>
      <c r="H430" s="40">
        <v>52</v>
      </c>
      <c r="I430" s="40">
        <v>0</v>
      </c>
      <c r="J430" s="40">
        <v>0</v>
      </c>
      <c r="K430" s="40">
        <v>0</v>
      </c>
      <c r="L430" s="40">
        <v>471</v>
      </c>
      <c r="M430" s="47">
        <v>81.599999999999994</v>
      </c>
    </row>
    <row r="431" spans="1:13" ht="15.75" customHeight="1" x14ac:dyDescent="0.3">
      <c r="A431" s="43">
        <v>60</v>
      </c>
      <c r="B431" s="48">
        <f t="shared" si="45"/>
        <v>80</v>
      </c>
      <c r="C431" s="42">
        <v>60</v>
      </c>
      <c r="D431" s="40">
        <f>528+231</f>
        <v>759</v>
      </c>
      <c r="E431" s="40">
        <f>463*2</f>
        <v>926</v>
      </c>
      <c r="F431" s="40">
        <v>143</v>
      </c>
      <c r="G431" s="40">
        <f t="shared" si="43"/>
        <v>8.75</v>
      </c>
      <c r="H431" s="40">
        <v>52</v>
      </c>
      <c r="I431" s="40">
        <v>0</v>
      </c>
      <c r="J431" s="40">
        <v>0</v>
      </c>
      <c r="K431" s="40">
        <v>0</v>
      </c>
      <c r="L431" s="40">
        <v>471</v>
      </c>
      <c r="M431" s="47">
        <v>82.8</v>
      </c>
    </row>
    <row r="432" spans="1:13" ht="15.75" customHeight="1" x14ac:dyDescent="0.3">
      <c r="A432" s="43">
        <v>80</v>
      </c>
      <c r="B432" s="48">
        <f t="shared" si="45"/>
        <v>80</v>
      </c>
      <c r="C432" s="42">
        <v>60</v>
      </c>
      <c r="D432" s="40">
        <f>522+228</f>
        <v>750</v>
      </c>
      <c r="E432" s="40">
        <f>457*2</f>
        <v>914</v>
      </c>
      <c r="F432" s="40">
        <v>143</v>
      </c>
      <c r="G432" s="40">
        <f t="shared" si="43"/>
        <v>8.75</v>
      </c>
      <c r="H432" s="40">
        <v>52</v>
      </c>
      <c r="I432" s="40">
        <v>0</v>
      </c>
      <c r="J432" s="40">
        <v>0</v>
      </c>
      <c r="K432" s="40">
        <v>0</v>
      </c>
      <c r="L432" s="40">
        <v>471</v>
      </c>
      <c r="M432" s="47">
        <v>83.5</v>
      </c>
    </row>
    <row r="433" spans="1:13" ht="15.75" customHeight="1" x14ac:dyDescent="0.3">
      <c r="A433" s="43">
        <v>0</v>
      </c>
      <c r="B433" s="48">
        <v>0</v>
      </c>
      <c r="C433" s="42">
        <v>0</v>
      </c>
      <c r="D433" s="40">
        <v>664.5</v>
      </c>
      <c r="E433" s="40">
        <v>1181.3</v>
      </c>
      <c r="F433" s="40">
        <v>172</v>
      </c>
      <c r="G433" s="40">
        <v>2.7</v>
      </c>
      <c r="H433" s="40">
        <v>0</v>
      </c>
      <c r="I433" s="40">
        <v>0</v>
      </c>
      <c r="J433" s="40">
        <v>0</v>
      </c>
      <c r="K433" s="40">
        <v>0</v>
      </c>
      <c r="L433" s="40">
        <v>347.5</v>
      </c>
      <c r="M433" s="47">
        <v>53</v>
      </c>
    </row>
    <row r="434" spans="1:13" ht="15.75" customHeight="1" x14ac:dyDescent="0.3">
      <c r="A434" s="43">
        <v>39</v>
      </c>
      <c r="B434" s="48">
        <f>60/0.9</f>
        <v>66.666666666666671</v>
      </c>
      <c r="C434" s="42">
        <v>60</v>
      </c>
      <c r="D434" s="40">
        <v>674.3</v>
      </c>
      <c r="E434" s="40">
        <v>1159.5</v>
      </c>
      <c r="F434" s="40">
        <v>172</v>
      </c>
      <c r="G434" s="40">
        <v>2.7</v>
      </c>
      <c r="H434" s="40">
        <v>0</v>
      </c>
      <c r="I434" s="40">
        <v>0</v>
      </c>
      <c r="J434" s="40">
        <v>0</v>
      </c>
      <c r="K434" s="40">
        <v>0</v>
      </c>
      <c r="L434" s="40">
        <v>347.5</v>
      </c>
      <c r="M434" s="47">
        <v>56.7</v>
      </c>
    </row>
    <row r="435" spans="1:13" ht="15.75" customHeight="1" x14ac:dyDescent="0.3">
      <c r="A435" s="43">
        <v>58.9</v>
      </c>
      <c r="B435" s="48">
        <f>60/0.9</f>
        <v>66.666666666666671</v>
      </c>
      <c r="C435" s="42">
        <v>60</v>
      </c>
      <c r="D435" s="40">
        <v>679.2</v>
      </c>
      <c r="E435" s="40">
        <v>1148.5999999999999</v>
      </c>
      <c r="F435" s="40">
        <v>172</v>
      </c>
      <c r="G435" s="40">
        <v>2.7</v>
      </c>
      <c r="H435" s="40">
        <v>0</v>
      </c>
      <c r="I435" s="40">
        <v>0</v>
      </c>
      <c r="J435" s="40">
        <v>0</v>
      </c>
      <c r="K435" s="40">
        <v>0</v>
      </c>
      <c r="L435" s="40">
        <v>347.5</v>
      </c>
      <c r="M435" s="47">
        <v>60.4</v>
      </c>
    </row>
    <row r="436" spans="1:13" ht="15.75" customHeight="1" x14ac:dyDescent="0.3">
      <c r="A436" s="43">
        <v>78.5</v>
      </c>
      <c r="B436" s="48">
        <f>60/0.9</f>
        <v>66.666666666666671</v>
      </c>
      <c r="C436" s="42">
        <v>60</v>
      </c>
      <c r="D436" s="40">
        <v>684.9</v>
      </c>
      <c r="E436" s="40">
        <v>1137.8</v>
      </c>
      <c r="F436" s="40">
        <v>172</v>
      </c>
      <c r="G436" s="40">
        <v>2.7</v>
      </c>
      <c r="H436" s="40">
        <v>0</v>
      </c>
      <c r="I436" s="40">
        <v>0</v>
      </c>
      <c r="J436" s="40">
        <v>0</v>
      </c>
      <c r="K436" s="40">
        <v>0</v>
      </c>
      <c r="L436" s="40">
        <v>347.5</v>
      </c>
      <c r="M436" s="47">
        <v>62.6</v>
      </c>
    </row>
    <row r="437" spans="1:13" ht="15.75" customHeight="1" x14ac:dyDescent="0.3">
      <c r="A437" s="43">
        <v>117</v>
      </c>
      <c r="B437" s="48">
        <f>60/0.9</f>
        <v>66.666666666666671</v>
      </c>
      <c r="C437" s="42">
        <v>60</v>
      </c>
      <c r="D437" s="40">
        <v>693.7</v>
      </c>
      <c r="E437" s="40">
        <v>1115.0999999999999</v>
      </c>
      <c r="F437" s="40">
        <v>172</v>
      </c>
      <c r="G437" s="40">
        <v>2.7</v>
      </c>
      <c r="H437" s="40">
        <v>0</v>
      </c>
      <c r="I437" s="40">
        <v>0</v>
      </c>
      <c r="J437" s="40">
        <v>0</v>
      </c>
      <c r="K437" s="40">
        <v>0</v>
      </c>
      <c r="L437" s="40">
        <v>347.5</v>
      </c>
      <c r="M437" s="47">
        <v>64.099999999999994</v>
      </c>
    </row>
    <row r="438" spans="1:13" ht="15.75" customHeight="1" x14ac:dyDescent="0.3">
      <c r="A438" s="43">
        <v>0</v>
      </c>
      <c r="B438" s="48">
        <v>0</v>
      </c>
      <c r="C438" s="42">
        <v>0</v>
      </c>
      <c r="D438" s="40">
        <v>660.8</v>
      </c>
      <c r="E438" s="40">
        <v>1078.2</v>
      </c>
      <c r="F438" s="40">
        <v>164</v>
      </c>
      <c r="G438" s="40">
        <v>4.9000000000000004</v>
      </c>
      <c r="H438" s="40">
        <v>0</v>
      </c>
      <c r="I438" s="40">
        <v>0</v>
      </c>
      <c r="J438" s="40">
        <v>0</v>
      </c>
      <c r="K438" s="40">
        <v>0</v>
      </c>
      <c r="L438" s="40">
        <v>451.8</v>
      </c>
      <c r="M438" s="47">
        <v>61.8</v>
      </c>
    </row>
    <row r="439" spans="1:13" ht="15.75" customHeight="1" x14ac:dyDescent="0.3">
      <c r="A439" s="43">
        <v>39</v>
      </c>
      <c r="B439" s="48">
        <f t="shared" ref="B439:B451" si="46">60/0.9</f>
        <v>66.666666666666671</v>
      </c>
      <c r="C439" s="42">
        <v>60</v>
      </c>
      <c r="D439" s="40">
        <v>671.2</v>
      </c>
      <c r="E439" s="40">
        <v>1055.8</v>
      </c>
      <c r="F439" s="40">
        <v>164</v>
      </c>
      <c r="G439" s="40">
        <v>4.9000000000000004</v>
      </c>
      <c r="H439" s="40">
        <v>0</v>
      </c>
      <c r="I439" s="40">
        <v>0</v>
      </c>
      <c r="J439" s="40">
        <v>0</v>
      </c>
      <c r="K439" s="40">
        <v>0</v>
      </c>
      <c r="L439" s="40">
        <v>451.8</v>
      </c>
      <c r="M439" s="47">
        <v>65.5</v>
      </c>
    </row>
    <row r="440" spans="1:13" ht="15.75" customHeight="1" x14ac:dyDescent="0.3">
      <c r="A440" s="43">
        <v>58.9</v>
      </c>
      <c r="B440" s="48">
        <f t="shared" si="46"/>
        <v>66.666666666666671</v>
      </c>
      <c r="C440" s="42">
        <v>60</v>
      </c>
      <c r="D440" s="40">
        <v>681.5</v>
      </c>
      <c r="E440" s="40">
        <v>1033.5</v>
      </c>
      <c r="F440" s="40">
        <v>164</v>
      </c>
      <c r="G440" s="40">
        <v>4.9000000000000004</v>
      </c>
      <c r="H440" s="40">
        <v>0</v>
      </c>
      <c r="I440" s="40">
        <v>0</v>
      </c>
      <c r="J440" s="40">
        <v>0</v>
      </c>
      <c r="K440" s="40">
        <v>0</v>
      </c>
      <c r="L440" s="40">
        <v>451.8</v>
      </c>
      <c r="M440" s="47">
        <v>74.900000000000006</v>
      </c>
    </row>
    <row r="441" spans="1:13" ht="15.75" customHeight="1" x14ac:dyDescent="0.3">
      <c r="A441" s="43">
        <v>78.5</v>
      </c>
      <c r="B441" s="48">
        <f t="shared" si="46"/>
        <v>66.666666666666671</v>
      </c>
      <c r="C441" s="42">
        <v>60</v>
      </c>
      <c r="D441" s="40">
        <v>691.9</v>
      </c>
      <c r="E441" s="40">
        <v>1011.1</v>
      </c>
      <c r="F441" s="40">
        <v>164</v>
      </c>
      <c r="G441" s="40">
        <v>4.9000000000000004</v>
      </c>
      <c r="H441" s="40">
        <v>0</v>
      </c>
      <c r="I441" s="40">
        <v>0</v>
      </c>
      <c r="J441" s="40">
        <v>0</v>
      </c>
      <c r="K441" s="40">
        <v>0</v>
      </c>
      <c r="L441" s="40">
        <v>451.8</v>
      </c>
      <c r="M441" s="47">
        <v>77</v>
      </c>
    </row>
    <row r="442" spans="1:13" ht="15.75" customHeight="1" x14ac:dyDescent="0.3">
      <c r="A442" s="43">
        <v>117</v>
      </c>
      <c r="B442" s="48">
        <f t="shared" si="46"/>
        <v>66.666666666666671</v>
      </c>
      <c r="C442" s="42">
        <v>60</v>
      </c>
      <c r="D442" s="40">
        <v>702.2</v>
      </c>
      <c r="E442" s="40">
        <v>988.8</v>
      </c>
      <c r="F442" s="40">
        <v>164</v>
      </c>
      <c r="G442" s="40">
        <v>4.9000000000000004</v>
      </c>
      <c r="H442" s="40">
        <v>0</v>
      </c>
      <c r="I442" s="40">
        <v>0</v>
      </c>
      <c r="J442" s="40">
        <v>0</v>
      </c>
      <c r="K442" s="40">
        <v>0</v>
      </c>
      <c r="L442" s="40">
        <v>451.8</v>
      </c>
      <c r="M442" s="47">
        <v>78.2</v>
      </c>
    </row>
    <row r="443" spans="1:13" ht="15.75" customHeight="1" x14ac:dyDescent="0.3">
      <c r="A443" s="43">
        <v>20</v>
      </c>
      <c r="B443" s="48">
        <f t="shared" si="46"/>
        <v>66.666666666666671</v>
      </c>
      <c r="C443" s="42">
        <v>60</v>
      </c>
      <c r="D443" s="40">
        <v>871</v>
      </c>
      <c r="E443" s="40">
        <v>758</v>
      </c>
      <c r="F443" s="40">
        <v>222</v>
      </c>
      <c r="G443" s="40">
        <v>0</v>
      </c>
      <c r="H443" s="40">
        <v>0</v>
      </c>
      <c r="I443" s="40">
        <v>0</v>
      </c>
      <c r="J443" s="40">
        <v>0</v>
      </c>
      <c r="K443" s="40">
        <v>0</v>
      </c>
      <c r="L443" s="40">
        <v>418</v>
      </c>
      <c r="M443" s="47">
        <v>38.6</v>
      </c>
    </row>
    <row r="444" spans="1:13" ht="15.75" customHeight="1" x14ac:dyDescent="0.3">
      <c r="A444" s="43">
        <v>40</v>
      </c>
      <c r="B444" s="48">
        <f t="shared" si="46"/>
        <v>66.666666666666671</v>
      </c>
      <c r="C444" s="42">
        <v>60</v>
      </c>
      <c r="D444" s="40">
        <v>871</v>
      </c>
      <c r="E444" s="40">
        <v>758</v>
      </c>
      <c r="F444" s="40">
        <v>222</v>
      </c>
      <c r="G444" s="40">
        <v>0</v>
      </c>
      <c r="H444" s="40">
        <v>0</v>
      </c>
      <c r="I444" s="40">
        <v>0</v>
      </c>
      <c r="J444" s="40">
        <v>0</v>
      </c>
      <c r="K444" s="40">
        <v>0</v>
      </c>
      <c r="L444" s="40">
        <v>418</v>
      </c>
      <c r="M444" s="47">
        <v>37.299999999999997</v>
      </c>
    </row>
    <row r="445" spans="1:13" ht="15.75" customHeight="1" x14ac:dyDescent="0.3">
      <c r="A445" s="43">
        <v>60</v>
      </c>
      <c r="B445" s="48">
        <f t="shared" si="46"/>
        <v>66.666666666666671</v>
      </c>
      <c r="C445" s="42">
        <v>60</v>
      </c>
      <c r="D445" s="40">
        <v>871</v>
      </c>
      <c r="E445" s="40">
        <v>758</v>
      </c>
      <c r="F445" s="40">
        <v>222</v>
      </c>
      <c r="G445" s="40">
        <v>0</v>
      </c>
      <c r="H445" s="40">
        <v>0</v>
      </c>
      <c r="I445" s="40">
        <v>0</v>
      </c>
      <c r="J445" s="40">
        <v>0</v>
      </c>
      <c r="K445" s="40">
        <v>0</v>
      </c>
      <c r="L445" s="40">
        <v>418</v>
      </c>
      <c r="M445" s="47">
        <v>36</v>
      </c>
    </row>
    <row r="446" spans="1:13" ht="15.75" customHeight="1" x14ac:dyDescent="0.3">
      <c r="A446" s="43">
        <v>80</v>
      </c>
      <c r="B446" s="48">
        <f t="shared" si="46"/>
        <v>66.666666666666671</v>
      </c>
      <c r="C446" s="42">
        <v>60</v>
      </c>
      <c r="D446" s="40">
        <v>871</v>
      </c>
      <c r="E446" s="40">
        <v>758</v>
      </c>
      <c r="F446" s="40">
        <v>222</v>
      </c>
      <c r="G446" s="40">
        <v>0</v>
      </c>
      <c r="H446" s="40">
        <v>0</v>
      </c>
      <c r="I446" s="40">
        <v>0</v>
      </c>
      <c r="J446" s="40">
        <v>0</v>
      </c>
      <c r="K446" s="40">
        <v>0</v>
      </c>
      <c r="L446" s="40">
        <v>418</v>
      </c>
      <c r="M446" s="47">
        <v>41.1</v>
      </c>
    </row>
    <row r="447" spans="1:13" ht="15.75" customHeight="1" x14ac:dyDescent="0.3">
      <c r="A447" s="43">
        <v>40</v>
      </c>
      <c r="B447" s="48">
        <f t="shared" si="46"/>
        <v>66.666666666666671</v>
      </c>
      <c r="C447" s="42">
        <v>60</v>
      </c>
      <c r="D447" s="40">
        <v>971</v>
      </c>
      <c r="E447" s="40">
        <v>758</v>
      </c>
      <c r="F447" s="40">
        <v>222</v>
      </c>
      <c r="G447" s="40">
        <v>0</v>
      </c>
      <c r="H447" s="40">
        <v>0</v>
      </c>
      <c r="I447" s="40">
        <v>0</v>
      </c>
      <c r="J447" s="40">
        <v>0</v>
      </c>
      <c r="K447" s="40">
        <v>0</v>
      </c>
      <c r="L447" s="40">
        <v>299</v>
      </c>
      <c r="M447" s="47">
        <v>28.1</v>
      </c>
    </row>
    <row r="448" spans="1:13" ht="15.75" customHeight="1" x14ac:dyDescent="0.3">
      <c r="A448" s="43">
        <v>20</v>
      </c>
      <c r="B448" s="48">
        <f t="shared" si="46"/>
        <v>66.666666666666671</v>
      </c>
      <c r="C448" s="42">
        <v>60</v>
      </c>
      <c r="D448" s="40">
        <v>730</v>
      </c>
      <c r="E448" s="40">
        <v>758</v>
      </c>
      <c r="F448" s="40">
        <v>223</v>
      </c>
      <c r="G448" s="40">
        <v>7.33</v>
      </c>
      <c r="H448" s="40">
        <v>0</v>
      </c>
      <c r="I448" s="40">
        <v>0</v>
      </c>
      <c r="J448" s="40">
        <v>0</v>
      </c>
      <c r="K448" s="40">
        <v>0</v>
      </c>
      <c r="L448" s="40">
        <v>584</v>
      </c>
      <c r="M448" s="47">
        <v>46.1</v>
      </c>
    </row>
    <row r="449" spans="1:13" ht="15.75" customHeight="1" x14ac:dyDescent="0.3">
      <c r="A449" s="43">
        <v>40</v>
      </c>
      <c r="B449" s="48">
        <f t="shared" si="46"/>
        <v>66.666666666666671</v>
      </c>
      <c r="C449" s="42">
        <v>60</v>
      </c>
      <c r="D449" s="40">
        <v>730</v>
      </c>
      <c r="E449" s="40">
        <v>758</v>
      </c>
      <c r="F449" s="40">
        <v>223</v>
      </c>
      <c r="G449" s="40">
        <v>7.33</v>
      </c>
      <c r="H449" s="40">
        <v>0</v>
      </c>
      <c r="I449" s="40">
        <v>0</v>
      </c>
      <c r="J449" s="40">
        <v>0</v>
      </c>
      <c r="K449" s="40">
        <v>0</v>
      </c>
      <c r="L449" s="40">
        <v>584</v>
      </c>
      <c r="M449" s="47">
        <v>46.7</v>
      </c>
    </row>
    <row r="450" spans="1:13" ht="15.75" customHeight="1" x14ac:dyDescent="0.3">
      <c r="A450" s="43">
        <v>60</v>
      </c>
      <c r="B450" s="48">
        <f t="shared" si="46"/>
        <v>66.666666666666671</v>
      </c>
      <c r="C450" s="42">
        <v>60</v>
      </c>
      <c r="D450" s="40">
        <v>730</v>
      </c>
      <c r="E450" s="40">
        <v>758</v>
      </c>
      <c r="F450" s="40">
        <v>223</v>
      </c>
      <c r="G450" s="40">
        <v>7.33</v>
      </c>
      <c r="H450" s="40">
        <v>0</v>
      </c>
      <c r="I450" s="40">
        <v>0</v>
      </c>
      <c r="J450" s="40">
        <v>0</v>
      </c>
      <c r="K450" s="40">
        <v>0</v>
      </c>
      <c r="L450" s="40">
        <v>584</v>
      </c>
      <c r="M450" s="47">
        <v>48</v>
      </c>
    </row>
    <row r="451" spans="1:13" ht="15.75" customHeight="1" x14ac:dyDescent="0.3">
      <c r="A451" s="43">
        <v>80</v>
      </c>
      <c r="B451" s="48">
        <f t="shared" si="46"/>
        <v>66.666666666666671</v>
      </c>
      <c r="C451" s="42">
        <v>60</v>
      </c>
      <c r="D451" s="40">
        <v>730</v>
      </c>
      <c r="E451" s="40">
        <v>758</v>
      </c>
      <c r="F451" s="40">
        <v>223</v>
      </c>
      <c r="G451" s="40">
        <v>7.33</v>
      </c>
      <c r="H451" s="40">
        <v>0</v>
      </c>
      <c r="I451" s="40">
        <v>0</v>
      </c>
      <c r="J451" s="40">
        <v>0</v>
      </c>
      <c r="K451" s="40">
        <v>0</v>
      </c>
      <c r="L451" s="40">
        <v>584</v>
      </c>
      <c r="M451" s="47">
        <v>48.5</v>
      </c>
    </row>
    <row r="452" spans="1:13" ht="15.75" customHeight="1" x14ac:dyDescent="0.3">
      <c r="A452" s="43">
        <v>40</v>
      </c>
      <c r="B452" s="48">
        <f>60/0.75</f>
        <v>80</v>
      </c>
      <c r="C452" s="42">
        <v>60</v>
      </c>
      <c r="D452" s="40">
        <v>730</v>
      </c>
      <c r="E452" s="40">
        <v>758</v>
      </c>
      <c r="F452" s="40">
        <v>223</v>
      </c>
      <c r="G452" s="40">
        <v>7.33</v>
      </c>
      <c r="H452" s="40">
        <v>0</v>
      </c>
      <c r="I452" s="40">
        <v>0</v>
      </c>
      <c r="J452" s="40">
        <v>0</v>
      </c>
      <c r="K452" s="40">
        <v>0</v>
      </c>
      <c r="L452" s="40">
        <v>584</v>
      </c>
      <c r="M452" s="47">
        <v>47.6</v>
      </c>
    </row>
    <row r="453" spans="1:13" ht="15.75" customHeight="1" x14ac:dyDescent="0.3">
      <c r="A453" s="43">
        <v>40</v>
      </c>
      <c r="B453" s="48">
        <f>35/0.55</f>
        <v>63.636363636363633</v>
      </c>
      <c r="C453" s="42">
        <v>60</v>
      </c>
      <c r="D453" s="40">
        <v>730</v>
      </c>
      <c r="E453" s="40">
        <v>758</v>
      </c>
      <c r="F453" s="40">
        <v>223</v>
      </c>
      <c r="G453" s="40">
        <v>7.33</v>
      </c>
      <c r="H453" s="40">
        <v>0</v>
      </c>
      <c r="I453" s="40">
        <v>0</v>
      </c>
      <c r="J453" s="40">
        <v>0</v>
      </c>
      <c r="K453" s="40">
        <v>0</v>
      </c>
      <c r="L453" s="40">
        <v>584</v>
      </c>
      <c r="M453" s="47">
        <v>45.4</v>
      </c>
    </row>
    <row r="454" spans="1:13" ht="15.75" customHeight="1" x14ac:dyDescent="0.3">
      <c r="A454" s="43">
        <f>0.005*7850</f>
        <v>39.25</v>
      </c>
      <c r="B454" s="42">
        <f>40/0.615</f>
        <v>65.040650406504071</v>
      </c>
      <c r="C454" s="42">
        <v>40</v>
      </c>
      <c r="D454" s="40">
        <v>835</v>
      </c>
      <c r="E454" s="40">
        <f>665+382</f>
        <v>1047</v>
      </c>
      <c r="F454" s="40">
        <f>0.38*L454</f>
        <v>152</v>
      </c>
      <c r="G454" s="40">
        <v>4</v>
      </c>
      <c r="H454" s="40">
        <v>0</v>
      </c>
      <c r="I454" s="40">
        <v>0</v>
      </c>
      <c r="J454" s="40">
        <v>0</v>
      </c>
      <c r="K454" s="40">
        <v>0</v>
      </c>
      <c r="L454" s="40">
        <v>400</v>
      </c>
      <c r="M454" s="47">
        <v>33.4</v>
      </c>
    </row>
    <row r="455" spans="1:13" ht="15.75" customHeight="1" x14ac:dyDescent="0.3">
      <c r="A455" s="43">
        <f>0.01*7850</f>
        <v>78.5</v>
      </c>
      <c r="B455" s="42">
        <f>40/0.615</f>
        <v>65.040650406504071</v>
      </c>
      <c r="C455" s="42">
        <v>40</v>
      </c>
      <c r="D455" s="40">
        <v>835</v>
      </c>
      <c r="E455" s="40">
        <f>665+382</f>
        <v>1047</v>
      </c>
      <c r="F455" s="40">
        <f>0.38*L455</f>
        <v>152</v>
      </c>
      <c r="G455" s="40">
        <v>4</v>
      </c>
      <c r="H455" s="40">
        <v>0</v>
      </c>
      <c r="I455" s="40">
        <v>0</v>
      </c>
      <c r="J455" s="40">
        <v>0</v>
      </c>
      <c r="K455" s="40">
        <v>0</v>
      </c>
      <c r="L455" s="40">
        <v>400</v>
      </c>
      <c r="M455" s="47">
        <v>37.299999999999997</v>
      </c>
    </row>
    <row r="456" spans="1:13" ht="15.75" customHeight="1" x14ac:dyDescent="0.3">
      <c r="A456" s="43">
        <f>0.005*7850</f>
        <v>39.25</v>
      </c>
      <c r="B456" s="48">
        <f>60/0.75</f>
        <v>80</v>
      </c>
      <c r="C456" s="42">
        <v>60</v>
      </c>
      <c r="D456" s="40">
        <v>835</v>
      </c>
      <c r="E456" s="40">
        <f>665+382</f>
        <v>1047</v>
      </c>
      <c r="F456" s="40">
        <f>0.38*L456</f>
        <v>152</v>
      </c>
      <c r="G456" s="40">
        <v>4</v>
      </c>
      <c r="H456" s="40">
        <v>0</v>
      </c>
      <c r="I456" s="40">
        <v>0</v>
      </c>
      <c r="J456" s="40">
        <v>0</v>
      </c>
      <c r="K456" s="40">
        <v>0</v>
      </c>
      <c r="L456" s="40">
        <v>400</v>
      </c>
      <c r="M456" s="47">
        <v>34.1</v>
      </c>
    </row>
    <row r="457" spans="1:13" ht="15.75" customHeight="1" x14ac:dyDescent="0.3">
      <c r="A457" s="43">
        <f>0.01*7850</f>
        <v>78.5</v>
      </c>
      <c r="B457" s="48">
        <f>60/0.75</f>
        <v>80</v>
      </c>
      <c r="C457" s="42">
        <v>60</v>
      </c>
      <c r="D457" s="40">
        <v>835</v>
      </c>
      <c r="E457" s="40">
        <f>665+382</f>
        <v>1047</v>
      </c>
      <c r="F457" s="40">
        <f>0.38*L457</f>
        <v>152</v>
      </c>
      <c r="G457" s="40">
        <v>4</v>
      </c>
      <c r="H457" s="40">
        <v>0</v>
      </c>
      <c r="I457" s="40">
        <v>0</v>
      </c>
      <c r="J457" s="40">
        <v>0</v>
      </c>
      <c r="K457" s="40">
        <v>0</v>
      </c>
      <c r="L457" s="40">
        <v>400</v>
      </c>
      <c r="M457" s="47">
        <v>38.5</v>
      </c>
    </row>
    <row r="458" spans="1:13" ht="15.75" customHeight="1" x14ac:dyDescent="0.3">
      <c r="A458" s="48">
        <v>0</v>
      </c>
      <c r="B458" s="42">
        <v>0</v>
      </c>
      <c r="C458" s="42">
        <v>0</v>
      </c>
      <c r="D458" s="40">
        <f>521+516</f>
        <v>1037</v>
      </c>
      <c r="E458" s="52">
        <v>656</v>
      </c>
      <c r="F458" s="40">
        <v>158.5</v>
      </c>
      <c r="G458" s="40">
        <v>10.95</v>
      </c>
      <c r="H458" s="40">
        <v>0</v>
      </c>
      <c r="I458" s="40">
        <v>0</v>
      </c>
      <c r="J458" s="40">
        <v>0</v>
      </c>
      <c r="K458" s="40">
        <v>0</v>
      </c>
      <c r="L458" s="40">
        <v>438</v>
      </c>
      <c r="M458" s="47">
        <v>49.1</v>
      </c>
    </row>
    <row r="459" spans="1:13" ht="15.75" customHeight="1" x14ac:dyDescent="0.3">
      <c r="A459" s="43">
        <f>0.005*7850</f>
        <v>39.25</v>
      </c>
      <c r="B459" s="42">
        <f>30/0.65</f>
        <v>46.153846153846153</v>
      </c>
      <c r="C459" s="42">
        <v>30</v>
      </c>
      <c r="D459" s="40">
        <f>517+512</f>
        <v>1029</v>
      </c>
      <c r="E459" s="52">
        <v>651</v>
      </c>
      <c r="F459" s="40">
        <v>158.69999999999999</v>
      </c>
      <c r="G459" s="40">
        <v>10.95</v>
      </c>
      <c r="H459" s="40">
        <v>0</v>
      </c>
      <c r="I459" s="40">
        <v>0</v>
      </c>
      <c r="J459" s="40">
        <v>0</v>
      </c>
      <c r="K459" s="40">
        <v>0</v>
      </c>
      <c r="L459" s="40">
        <v>438</v>
      </c>
      <c r="M459" s="47">
        <v>50.8</v>
      </c>
    </row>
    <row r="460" spans="1:13" ht="15.75" customHeight="1" x14ac:dyDescent="0.3">
      <c r="A460" s="43">
        <f>0.01*7850</f>
        <v>78.5</v>
      </c>
      <c r="B460" s="42">
        <f>30/0.65</f>
        <v>46.153846153846153</v>
      </c>
      <c r="C460" s="42">
        <v>30</v>
      </c>
      <c r="D460" s="40">
        <f>513+508</f>
        <v>1021</v>
      </c>
      <c r="E460" s="52">
        <v>646</v>
      </c>
      <c r="F460" s="40">
        <v>159</v>
      </c>
      <c r="G460" s="40">
        <v>10.95</v>
      </c>
      <c r="H460" s="40">
        <v>0</v>
      </c>
      <c r="I460" s="40">
        <v>0</v>
      </c>
      <c r="J460" s="40">
        <v>0</v>
      </c>
      <c r="K460" s="40">
        <v>0</v>
      </c>
      <c r="L460" s="40">
        <v>438</v>
      </c>
      <c r="M460" s="47">
        <v>53.7</v>
      </c>
    </row>
    <row r="461" spans="1:13" ht="15.75" customHeight="1" x14ac:dyDescent="0.3">
      <c r="A461" s="43">
        <f>0.015*7850</f>
        <v>117.75</v>
      </c>
      <c r="B461" s="42">
        <f>30/0.65</f>
        <v>46.153846153846153</v>
      </c>
      <c r="C461" s="42">
        <v>30</v>
      </c>
      <c r="D461" s="40">
        <f>510+505</f>
        <v>1015</v>
      </c>
      <c r="E461" s="52">
        <v>641</v>
      </c>
      <c r="F461" s="40">
        <v>159</v>
      </c>
      <c r="G461" s="40">
        <v>10.95</v>
      </c>
      <c r="H461" s="40">
        <v>0</v>
      </c>
      <c r="I461" s="40">
        <v>0</v>
      </c>
      <c r="J461" s="40">
        <v>0</v>
      </c>
      <c r="K461" s="40">
        <v>0</v>
      </c>
      <c r="L461" s="40">
        <v>438</v>
      </c>
      <c r="M461" s="47">
        <v>57.7</v>
      </c>
    </row>
    <row r="462" spans="1:13" ht="15.75" customHeight="1" x14ac:dyDescent="0.3">
      <c r="A462" s="43">
        <f>0.005*7850</f>
        <v>39.25</v>
      </c>
      <c r="B462" s="42">
        <f>60/0.9</f>
        <v>66.666666666666671</v>
      </c>
      <c r="C462" s="42">
        <v>60</v>
      </c>
      <c r="D462" s="40">
        <f>517+512</f>
        <v>1029</v>
      </c>
      <c r="E462" s="52">
        <v>651</v>
      </c>
      <c r="F462" s="40">
        <v>158.69999999999999</v>
      </c>
      <c r="G462" s="40">
        <v>10.95</v>
      </c>
      <c r="H462" s="40">
        <v>0</v>
      </c>
      <c r="I462" s="40">
        <v>0</v>
      </c>
      <c r="J462" s="40">
        <v>0</v>
      </c>
      <c r="K462" s="40">
        <v>0</v>
      </c>
      <c r="L462" s="40">
        <v>438</v>
      </c>
      <c r="M462" s="47">
        <v>53.5</v>
      </c>
    </row>
    <row r="463" spans="1:13" ht="15.75" customHeight="1" x14ac:dyDescent="0.3">
      <c r="A463" s="43">
        <f>0.01*7850</f>
        <v>78.5</v>
      </c>
      <c r="B463" s="42">
        <f>60/0.9</f>
        <v>66.666666666666671</v>
      </c>
      <c r="C463" s="42">
        <v>60</v>
      </c>
      <c r="D463" s="40">
        <f>513+508</f>
        <v>1021</v>
      </c>
      <c r="E463" s="52">
        <v>646</v>
      </c>
      <c r="F463" s="40">
        <v>159</v>
      </c>
      <c r="G463" s="40">
        <v>10.95</v>
      </c>
      <c r="H463" s="40">
        <v>0</v>
      </c>
      <c r="I463" s="40">
        <v>0</v>
      </c>
      <c r="J463" s="40">
        <v>0</v>
      </c>
      <c r="K463" s="40">
        <v>0</v>
      </c>
      <c r="L463" s="40">
        <v>438</v>
      </c>
      <c r="M463" s="47">
        <v>58.3</v>
      </c>
    </row>
    <row r="464" spans="1:13" ht="15.75" customHeight="1" x14ac:dyDescent="0.3">
      <c r="A464" s="43">
        <f>0.015*7850</f>
        <v>117.75</v>
      </c>
      <c r="B464" s="42">
        <f>60/0.9</f>
        <v>66.666666666666671</v>
      </c>
      <c r="C464" s="42">
        <v>60</v>
      </c>
      <c r="D464" s="40">
        <f>510+505</f>
        <v>1015</v>
      </c>
      <c r="E464" s="52">
        <v>641</v>
      </c>
      <c r="F464" s="40">
        <v>159</v>
      </c>
      <c r="G464" s="40">
        <v>10.95</v>
      </c>
      <c r="H464" s="40">
        <v>0</v>
      </c>
      <c r="I464" s="40">
        <v>0</v>
      </c>
      <c r="J464" s="40">
        <v>0</v>
      </c>
      <c r="K464" s="40">
        <v>0</v>
      </c>
      <c r="L464" s="40">
        <v>438</v>
      </c>
      <c r="M464" s="47">
        <v>56.4</v>
      </c>
    </row>
    <row r="465" spans="1:13" ht="15.75" customHeight="1" x14ac:dyDescent="0.3">
      <c r="A465" s="43">
        <f>0.005*7850</f>
        <v>39.25</v>
      </c>
      <c r="B465" s="42">
        <f>60/0.75</f>
        <v>80</v>
      </c>
      <c r="C465" s="42">
        <v>60</v>
      </c>
      <c r="D465" s="40">
        <f>517+512</f>
        <v>1029</v>
      </c>
      <c r="E465" s="52">
        <v>651</v>
      </c>
      <c r="F465" s="40">
        <v>158.69999999999999</v>
      </c>
      <c r="G465" s="40">
        <v>10.95</v>
      </c>
      <c r="H465" s="40">
        <v>0</v>
      </c>
      <c r="I465" s="40">
        <v>0</v>
      </c>
      <c r="J465" s="40">
        <v>0</v>
      </c>
      <c r="K465" s="40">
        <v>0</v>
      </c>
      <c r="L465" s="40">
        <v>438</v>
      </c>
      <c r="M465" s="47">
        <v>56</v>
      </c>
    </row>
    <row r="466" spans="1:13" ht="15.75" customHeight="1" x14ac:dyDescent="0.3">
      <c r="A466" s="43">
        <f>0.01*7850</f>
        <v>78.5</v>
      </c>
      <c r="B466" s="42">
        <f>60/0.75</f>
        <v>80</v>
      </c>
      <c r="C466" s="42">
        <v>60</v>
      </c>
      <c r="D466" s="40">
        <f>513+508</f>
        <v>1021</v>
      </c>
      <c r="E466" s="52">
        <v>646</v>
      </c>
      <c r="F466" s="40">
        <v>159</v>
      </c>
      <c r="G466" s="40">
        <v>10.95</v>
      </c>
      <c r="H466" s="40">
        <v>0</v>
      </c>
      <c r="I466" s="40">
        <v>0</v>
      </c>
      <c r="J466" s="40">
        <v>0</v>
      </c>
      <c r="K466" s="40">
        <v>0</v>
      </c>
      <c r="L466" s="40">
        <v>438</v>
      </c>
      <c r="M466" s="47">
        <v>58.3</v>
      </c>
    </row>
    <row r="467" spans="1:13" ht="15.75" customHeight="1" x14ac:dyDescent="0.3">
      <c r="A467" s="43">
        <f>0.015*7850</f>
        <v>117.75</v>
      </c>
      <c r="B467" s="42">
        <f>60/0.75</f>
        <v>80</v>
      </c>
      <c r="C467" s="42">
        <v>60</v>
      </c>
      <c r="D467" s="40">
        <f>510+505</f>
        <v>1015</v>
      </c>
      <c r="E467" s="52">
        <v>641</v>
      </c>
      <c r="F467" s="40">
        <v>159</v>
      </c>
      <c r="G467" s="40">
        <v>10.95</v>
      </c>
      <c r="H467" s="40">
        <v>0</v>
      </c>
      <c r="I467" s="40">
        <v>0</v>
      </c>
      <c r="J467" s="40">
        <v>0</v>
      </c>
      <c r="K467" s="40">
        <v>0</v>
      </c>
      <c r="L467" s="40">
        <v>438</v>
      </c>
      <c r="M467" s="47">
        <v>52.1</v>
      </c>
    </row>
    <row r="468" spans="1:13" ht="15.75" customHeight="1" x14ac:dyDescent="0.3">
      <c r="A468" s="43">
        <v>0</v>
      </c>
      <c r="B468" s="42">
        <v>0</v>
      </c>
      <c r="C468" s="42">
        <v>0</v>
      </c>
      <c r="D468" s="42">
        <v>851</v>
      </c>
      <c r="E468" s="52">
        <v>877</v>
      </c>
      <c r="F468" s="40">
        <v>156</v>
      </c>
      <c r="G468" s="40">
        <f>0.01*468</f>
        <v>4.68</v>
      </c>
      <c r="H468" s="40">
        <v>52</v>
      </c>
      <c r="I468" s="40">
        <v>0</v>
      </c>
      <c r="J468" s="40">
        <v>0</v>
      </c>
      <c r="K468" s="40">
        <v>0</v>
      </c>
      <c r="L468" s="40">
        <v>468</v>
      </c>
      <c r="M468" s="47">
        <v>88.8</v>
      </c>
    </row>
    <row r="469" spans="1:13" ht="15.75" customHeight="1" x14ac:dyDescent="0.3">
      <c r="A469" s="43">
        <f t="shared" ref="A469" si="47">0.0025*7850</f>
        <v>19.625</v>
      </c>
      <c r="B469" s="42">
        <f t="shared" ref="B469:B472" si="48">60/0.75</f>
        <v>80</v>
      </c>
      <c r="C469" s="42">
        <v>60</v>
      </c>
      <c r="D469" s="42">
        <v>847</v>
      </c>
      <c r="E469" s="52">
        <v>873</v>
      </c>
      <c r="F469" s="40">
        <v>156</v>
      </c>
      <c r="G469" s="40">
        <f>0.011*468</f>
        <v>5.1479999999999997</v>
      </c>
      <c r="H469" s="40">
        <v>52</v>
      </c>
      <c r="I469" s="40">
        <v>0</v>
      </c>
      <c r="J469" s="40">
        <v>0</v>
      </c>
      <c r="K469" s="40">
        <v>0</v>
      </c>
      <c r="L469" s="40">
        <v>468</v>
      </c>
      <c r="M469" s="47">
        <v>92.3</v>
      </c>
    </row>
    <row r="470" spans="1:13" ht="15.75" customHeight="1" x14ac:dyDescent="0.3">
      <c r="A470" s="43">
        <f>0.005*7850</f>
        <v>39.25</v>
      </c>
      <c r="B470" s="42">
        <f t="shared" si="48"/>
        <v>80</v>
      </c>
      <c r="C470" s="42">
        <v>60</v>
      </c>
      <c r="D470" s="42">
        <v>844</v>
      </c>
      <c r="E470" s="52">
        <v>870</v>
      </c>
      <c r="F470" s="40">
        <v>156</v>
      </c>
      <c r="G470" s="40">
        <f>0.011*468</f>
        <v>5.1479999999999997</v>
      </c>
      <c r="H470" s="40">
        <v>52</v>
      </c>
      <c r="I470" s="40">
        <v>0</v>
      </c>
      <c r="J470" s="40">
        <v>0</v>
      </c>
      <c r="K470" s="40">
        <v>0</v>
      </c>
      <c r="L470" s="40">
        <v>468</v>
      </c>
      <c r="M470" s="47">
        <v>93.8</v>
      </c>
    </row>
    <row r="471" spans="1:13" ht="15.75" customHeight="1" x14ac:dyDescent="0.3">
      <c r="A471" s="43">
        <f>0.0075*7850</f>
        <v>58.875</v>
      </c>
      <c r="B471" s="42">
        <f t="shared" si="48"/>
        <v>80</v>
      </c>
      <c r="C471" s="42">
        <v>60</v>
      </c>
      <c r="D471" s="42">
        <v>841</v>
      </c>
      <c r="E471" s="52">
        <v>867</v>
      </c>
      <c r="F471" s="40">
        <v>156</v>
      </c>
      <c r="G471" s="40">
        <f>0.012*468</f>
        <v>5.6160000000000005</v>
      </c>
      <c r="H471" s="40">
        <v>52</v>
      </c>
      <c r="I471" s="40">
        <v>0</v>
      </c>
      <c r="J471" s="40">
        <v>0</v>
      </c>
      <c r="K471" s="40">
        <v>0</v>
      </c>
      <c r="L471" s="40">
        <v>468</v>
      </c>
      <c r="M471" s="47">
        <v>95</v>
      </c>
    </row>
    <row r="472" spans="1:13" ht="15.75" customHeight="1" thickBot="1" x14ac:dyDescent="0.35">
      <c r="A472" s="43">
        <f>0.01*7850</f>
        <v>78.5</v>
      </c>
      <c r="B472" s="42">
        <f t="shared" si="48"/>
        <v>80</v>
      </c>
      <c r="C472" s="42">
        <v>60</v>
      </c>
      <c r="D472" s="42">
        <v>838</v>
      </c>
      <c r="E472" s="52">
        <v>863</v>
      </c>
      <c r="F472" s="40">
        <v>156</v>
      </c>
      <c r="G472" s="40">
        <f>0.012*468</f>
        <v>5.6160000000000005</v>
      </c>
      <c r="H472" s="40">
        <v>52</v>
      </c>
      <c r="I472" s="40">
        <v>0</v>
      </c>
      <c r="J472" s="40">
        <v>0</v>
      </c>
      <c r="K472" s="40">
        <v>0</v>
      </c>
      <c r="L472" s="40">
        <v>468</v>
      </c>
      <c r="M472" s="47">
        <v>98.7</v>
      </c>
    </row>
    <row r="473" spans="1:13" ht="15.75" customHeight="1" x14ac:dyDescent="0.25">
      <c r="A473" s="54">
        <v>0</v>
      </c>
      <c r="B473" s="55">
        <v>0</v>
      </c>
      <c r="C473" s="53">
        <v>0</v>
      </c>
      <c r="D473" s="53">
        <f>189+484.44</f>
        <v>673.44</v>
      </c>
      <c r="E473" s="53">
        <f>531.32+648</f>
        <v>1179.3200000000002</v>
      </c>
      <c r="F473" s="53">
        <v>185</v>
      </c>
      <c r="G473" s="53">
        <v>2.06</v>
      </c>
      <c r="H473" s="53">
        <v>0</v>
      </c>
      <c r="I473" s="53">
        <v>0</v>
      </c>
      <c r="J473" s="53">
        <v>0</v>
      </c>
      <c r="K473" s="53">
        <v>0</v>
      </c>
      <c r="L473" s="53">
        <v>308</v>
      </c>
      <c r="M473" s="55">
        <v>30.26</v>
      </c>
    </row>
    <row r="474" spans="1:13" ht="15.75" customHeight="1" x14ac:dyDescent="0.25">
      <c r="A474" s="57">
        <v>28</v>
      </c>
      <c r="B474" s="32">
        <f>60/0.9</f>
        <v>66.666666666666671</v>
      </c>
      <c r="C474" s="56">
        <v>60</v>
      </c>
      <c r="D474" s="56">
        <f t="shared" ref="D474:D477" si="49">189+484.44</f>
        <v>673.44</v>
      </c>
      <c r="E474" s="30">
        <f t="shared" ref="E474:E477" si="50">531.32+648</f>
        <v>1179.3200000000002</v>
      </c>
      <c r="F474" s="56">
        <v>185</v>
      </c>
      <c r="G474" s="56">
        <v>2.06</v>
      </c>
      <c r="H474" s="56">
        <v>0</v>
      </c>
      <c r="I474" s="56">
        <v>0</v>
      </c>
      <c r="J474" s="56">
        <v>0</v>
      </c>
      <c r="K474" s="56">
        <v>0</v>
      </c>
      <c r="L474" s="56">
        <v>308</v>
      </c>
      <c r="M474" s="32">
        <v>33.090000000000003</v>
      </c>
    </row>
    <row r="475" spans="1:13" ht="15.75" customHeight="1" x14ac:dyDescent="0.25">
      <c r="A475" s="57">
        <v>28</v>
      </c>
      <c r="B475" s="32">
        <v>40</v>
      </c>
      <c r="C475" s="56">
        <v>40</v>
      </c>
      <c r="D475" s="56">
        <f t="shared" si="49"/>
        <v>673.44</v>
      </c>
      <c r="E475" s="30">
        <f t="shared" si="50"/>
        <v>1179.3200000000002</v>
      </c>
      <c r="F475" s="56">
        <v>185</v>
      </c>
      <c r="G475" s="56">
        <v>2.06</v>
      </c>
      <c r="H475" s="56">
        <v>0</v>
      </c>
      <c r="I475" s="56">
        <v>0</v>
      </c>
      <c r="J475" s="56">
        <v>0</v>
      </c>
      <c r="K475" s="56">
        <v>0</v>
      </c>
      <c r="L475" s="56">
        <v>308</v>
      </c>
      <c r="M475" s="32">
        <v>32.979999999999997</v>
      </c>
    </row>
    <row r="476" spans="1:13" ht="15.75" customHeight="1" x14ac:dyDescent="0.25">
      <c r="A476" s="57">
        <v>28</v>
      </c>
      <c r="B476" s="32">
        <f>29/1</f>
        <v>29</v>
      </c>
      <c r="C476" s="56">
        <v>29</v>
      </c>
      <c r="D476" s="56">
        <f t="shared" si="49"/>
        <v>673.44</v>
      </c>
      <c r="E476" s="30">
        <f t="shared" si="50"/>
        <v>1179.3200000000002</v>
      </c>
      <c r="F476" s="56">
        <v>185</v>
      </c>
      <c r="G476" s="56">
        <v>2.06</v>
      </c>
      <c r="H476" s="56">
        <v>0</v>
      </c>
      <c r="I476" s="56">
        <v>0</v>
      </c>
      <c r="J476" s="56">
        <v>0</v>
      </c>
      <c r="K476" s="56">
        <v>0</v>
      </c>
      <c r="L476" s="56">
        <v>308</v>
      </c>
      <c r="M476" s="32">
        <v>27.36</v>
      </c>
    </row>
    <row r="477" spans="1:13" ht="15.75" customHeight="1" x14ac:dyDescent="0.25">
      <c r="A477" s="57">
        <v>27</v>
      </c>
      <c r="B477" s="32">
        <f>25/0.5</f>
        <v>50</v>
      </c>
      <c r="C477" s="56">
        <v>25</v>
      </c>
      <c r="D477" s="56">
        <f t="shared" si="49"/>
        <v>673.44</v>
      </c>
      <c r="E477" s="30">
        <f t="shared" si="50"/>
        <v>1179.3200000000002</v>
      </c>
      <c r="F477" s="56">
        <v>185</v>
      </c>
      <c r="G477" s="56">
        <v>2.06</v>
      </c>
      <c r="H477" s="56">
        <v>0</v>
      </c>
      <c r="I477" s="56">
        <v>0</v>
      </c>
      <c r="J477" s="56">
        <v>0</v>
      </c>
      <c r="K477" s="56">
        <v>0</v>
      </c>
      <c r="L477" s="56">
        <v>308</v>
      </c>
      <c r="M477" s="32">
        <v>32.44</v>
      </c>
    </row>
    <row r="478" spans="1:13" ht="15.75" customHeight="1" x14ac:dyDescent="0.25">
      <c r="A478" s="57">
        <v>0</v>
      </c>
      <c r="B478" s="32">
        <v>0</v>
      </c>
      <c r="C478" s="56">
        <v>0</v>
      </c>
      <c r="D478" s="32">
        <f>68.2*(1/0.065)</f>
        <v>1049.2307692307693</v>
      </c>
      <c r="E478" s="56">
        <f>49.4*(1/0.065)</f>
        <v>759.99999999999989</v>
      </c>
      <c r="F478" s="56">
        <f>15*(1/0.065)</f>
        <v>230.76923076923075</v>
      </c>
      <c r="G478" s="31">
        <f>1.21*45*(1/0.065)/1000</f>
        <v>0.83769230769230751</v>
      </c>
      <c r="H478" s="56">
        <v>0</v>
      </c>
      <c r="I478" s="56">
        <v>0</v>
      </c>
      <c r="J478" s="56">
        <v>0</v>
      </c>
      <c r="K478" s="56">
        <v>0</v>
      </c>
      <c r="L478" s="32">
        <f>22*(1/0.065)</f>
        <v>338.46153846153845</v>
      </c>
      <c r="M478" s="32">
        <v>35.1</v>
      </c>
    </row>
    <row r="479" spans="1:13" ht="15.75" customHeight="1" x14ac:dyDescent="0.25">
      <c r="A479" s="57">
        <f>0.005*7850</f>
        <v>39.25</v>
      </c>
      <c r="B479" s="32">
        <f>60/0.75</f>
        <v>80</v>
      </c>
      <c r="C479" s="56">
        <v>60</v>
      </c>
      <c r="D479" s="32">
        <f t="shared" ref="D479:D482" si="51">68.2*(1/0.065)</f>
        <v>1049.2307692307693</v>
      </c>
      <c r="E479" s="56">
        <f t="shared" ref="E479:E482" si="52">49.4*(1/0.065)</f>
        <v>759.99999999999989</v>
      </c>
      <c r="F479" s="56">
        <f t="shared" ref="F479:F482" si="53">15*(1/0.065)</f>
        <v>230.76923076923075</v>
      </c>
      <c r="G479" s="31">
        <f t="shared" ref="G479:G482" si="54">1.21*45*(1/0.065)/1000</f>
        <v>0.83769230769230751</v>
      </c>
      <c r="H479" s="56">
        <v>0</v>
      </c>
      <c r="I479" s="56">
        <v>0</v>
      </c>
      <c r="J479" s="56">
        <v>0</v>
      </c>
      <c r="K479" s="56">
        <v>0</v>
      </c>
      <c r="L479" s="32">
        <f t="shared" ref="L479:L482" si="55">22*(1/0.065)</f>
        <v>338.46153846153845</v>
      </c>
      <c r="M479" s="32">
        <v>31.9</v>
      </c>
    </row>
    <row r="480" spans="1:13" ht="15.75" customHeight="1" x14ac:dyDescent="0.25">
      <c r="A480" s="57">
        <f>0.0075*7850</f>
        <v>58.875</v>
      </c>
      <c r="B480" s="32">
        <f t="shared" ref="B480:B482" si="56">60/0.75</f>
        <v>80</v>
      </c>
      <c r="C480" s="56">
        <v>60</v>
      </c>
      <c r="D480" s="32">
        <f t="shared" si="51"/>
        <v>1049.2307692307693</v>
      </c>
      <c r="E480" s="56">
        <f t="shared" si="52"/>
        <v>759.99999999999989</v>
      </c>
      <c r="F480" s="56">
        <f t="shared" si="53"/>
        <v>230.76923076923075</v>
      </c>
      <c r="G480" s="31">
        <f t="shared" si="54"/>
        <v>0.83769230769230751</v>
      </c>
      <c r="H480" s="56">
        <v>0</v>
      </c>
      <c r="I480" s="56">
        <v>0</v>
      </c>
      <c r="J480" s="56">
        <v>0</v>
      </c>
      <c r="K480" s="56">
        <v>0</v>
      </c>
      <c r="L480" s="32">
        <f t="shared" si="55"/>
        <v>338.46153846153845</v>
      </c>
      <c r="M480" s="32">
        <v>32.799999999999997</v>
      </c>
    </row>
    <row r="481" spans="1:13" ht="15.75" customHeight="1" x14ac:dyDescent="0.25">
      <c r="A481" s="57">
        <f>0.01*7850</f>
        <v>78.5</v>
      </c>
      <c r="B481" s="32">
        <f t="shared" si="56"/>
        <v>80</v>
      </c>
      <c r="C481" s="56">
        <v>60</v>
      </c>
      <c r="D481" s="32">
        <f t="shared" si="51"/>
        <v>1049.2307692307693</v>
      </c>
      <c r="E481" s="56">
        <f t="shared" si="52"/>
        <v>759.99999999999989</v>
      </c>
      <c r="F481" s="56">
        <f t="shared" si="53"/>
        <v>230.76923076923075</v>
      </c>
      <c r="G481" s="31">
        <f t="shared" si="54"/>
        <v>0.83769230769230751</v>
      </c>
      <c r="H481" s="56">
        <v>0</v>
      </c>
      <c r="I481" s="56">
        <v>0</v>
      </c>
      <c r="J481" s="56">
        <v>0</v>
      </c>
      <c r="K481" s="56">
        <v>0</v>
      </c>
      <c r="L481" s="32">
        <f t="shared" si="55"/>
        <v>338.46153846153845</v>
      </c>
      <c r="M481" s="32">
        <v>34.200000000000003</v>
      </c>
    </row>
    <row r="482" spans="1:13" ht="15.75" customHeight="1" x14ac:dyDescent="0.25">
      <c r="A482" s="57">
        <f>0.0125*7850</f>
        <v>98.125</v>
      </c>
      <c r="B482" s="32">
        <f t="shared" si="56"/>
        <v>80</v>
      </c>
      <c r="C482" s="56">
        <v>60</v>
      </c>
      <c r="D482" s="32">
        <f t="shared" si="51"/>
        <v>1049.2307692307693</v>
      </c>
      <c r="E482" s="56">
        <f t="shared" si="52"/>
        <v>759.99999999999989</v>
      </c>
      <c r="F482" s="56">
        <f t="shared" si="53"/>
        <v>230.76923076923075</v>
      </c>
      <c r="G482" s="31">
        <f t="shared" si="54"/>
        <v>0.83769230769230751</v>
      </c>
      <c r="H482" s="56">
        <v>0</v>
      </c>
      <c r="I482" s="56">
        <v>0</v>
      </c>
      <c r="J482" s="56">
        <v>0</v>
      </c>
      <c r="K482" s="56">
        <v>0</v>
      </c>
      <c r="L482" s="32">
        <f t="shared" si="55"/>
        <v>338.46153846153845</v>
      </c>
      <c r="M482" s="31">
        <v>34.6</v>
      </c>
    </row>
    <row r="483" spans="1:13" ht="15.75" customHeight="1" x14ac:dyDescent="0.25">
      <c r="A483" s="58">
        <v>0</v>
      </c>
      <c r="B483" s="58">
        <v>0</v>
      </c>
      <c r="C483" s="58">
        <v>0</v>
      </c>
      <c r="D483" s="30">
        <f>1*L483</f>
        <v>557</v>
      </c>
      <c r="E483" s="30">
        <f>2*L483</f>
        <v>1114</v>
      </c>
      <c r="F483" s="30">
        <f>0.37*L483</f>
        <v>206.09</v>
      </c>
      <c r="G483" s="31">
        <f>0.02*L483</f>
        <v>11.14</v>
      </c>
      <c r="H483" s="56">
        <v>0</v>
      </c>
      <c r="I483" s="56">
        <v>0</v>
      </c>
      <c r="J483" s="56">
        <v>0</v>
      </c>
      <c r="K483" s="56">
        <v>0</v>
      </c>
      <c r="L483" s="30">
        <v>557</v>
      </c>
      <c r="M483" s="31">
        <v>48.61</v>
      </c>
    </row>
    <row r="484" spans="1:13" ht="15.75" customHeight="1" x14ac:dyDescent="0.25">
      <c r="A484" s="58">
        <f>0.005*7850</f>
        <v>39.25</v>
      </c>
      <c r="B484" s="31">
        <f>60/0.8</f>
        <v>75</v>
      </c>
      <c r="C484" s="30">
        <v>60</v>
      </c>
      <c r="D484" s="30">
        <f>1*L484</f>
        <v>557</v>
      </c>
      <c r="E484" s="30">
        <f t="shared" ref="E484:E485" si="57">2*L484</f>
        <v>1114</v>
      </c>
      <c r="F484" s="30">
        <f t="shared" ref="F484:F485" si="58">0.37*L484</f>
        <v>206.09</v>
      </c>
      <c r="G484" s="31">
        <f t="shared" ref="G484:G485" si="59">0.02*L484</f>
        <v>11.14</v>
      </c>
      <c r="H484" s="56">
        <v>0</v>
      </c>
      <c r="I484" s="56">
        <v>0</v>
      </c>
      <c r="J484" s="56">
        <v>0</v>
      </c>
      <c r="K484" s="56">
        <v>0</v>
      </c>
      <c r="L484" s="30">
        <v>557</v>
      </c>
      <c r="M484" s="31">
        <v>55.82</v>
      </c>
    </row>
    <row r="485" spans="1:13" ht="15.75" customHeight="1" x14ac:dyDescent="0.25">
      <c r="A485" s="58">
        <f>0.01*7850</f>
        <v>78.5</v>
      </c>
      <c r="B485" s="31">
        <f>60/0.8</f>
        <v>75</v>
      </c>
      <c r="C485" s="30">
        <v>60</v>
      </c>
      <c r="D485" s="30">
        <f>1*L485</f>
        <v>557</v>
      </c>
      <c r="E485" s="30">
        <f t="shared" si="57"/>
        <v>1114</v>
      </c>
      <c r="F485" s="30">
        <f t="shared" si="58"/>
        <v>206.09</v>
      </c>
      <c r="G485" s="31">
        <f t="shared" si="59"/>
        <v>11.14</v>
      </c>
      <c r="H485" s="56">
        <v>0</v>
      </c>
      <c r="I485" s="56">
        <v>0</v>
      </c>
      <c r="J485" s="56">
        <v>0</v>
      </c>
      <c r="K485" s="56">
        <v>0</v>
      </c>
      <c r="L485" s="30">
        <v>557</v>
      </c>
      <c r="M485" s="31">
        <v>65.16</v>
      </c>
    </row>
    <row r="486" spans="1:13" ht="15.75" customHeight="1" x14ac:dyDescent="0.25">
      <c r="A486" s="58">
        <v>0</v>
      </c>
      <c r="B486" s="58">
        <v>0</v>
      </c>
      <c r="C486" s="58">
        <v>0</v>
      </c>
      <c r="D486" s="30">
        <f>1.2*L486</f>
        <v>718.68</v>
      </c>
      <c r="E486" s="30">
        <f>1.8*L486</f>
        <v>1078.02</v>
      </c>
      <c r="F486" s="30">
        <f>0.24*L486</f>
        <v>143.73599999999999</v>
      </c>
      <c r="G486" s="31">
        <f>0.06*L486</f>
        <v>35.933999999999997</v>
      </c>
      <c r="H486" s="56">
        <v>0</v>
      </c>
      <c r="I486" s="56">
        <v>0</v>
      </c>
      <c r="J486" s="56">
        <v>0</v>
      </c>
      <c r="K486" s="56">
        <v>0</v>
      </c>
      <c r="L486" s="30">
        <v>598.9</v>
      </c>
      <c r="M486" s="31">
        <v>78.8</v>
      </c>
    </row>
    <row r="487" spans="1:13" ht="15.75" customHeight="1" x14ac:dyDescent="0.25">
      <c r="A487" s="58">
        <f>0.005*7850</f>
        <v>39.25</v>
      </c>
      <c r="B487" s="31">
        <f>60/0.8</f>
        <v>75</v>
      </c>
      <c r="C487" s="30">
        <v>60</v>
      </c>
      <c r="D487" s="30">
        <f t="shared" ref="D487:D488" si="60">1.2*L487</f>
        <v>718.68</v>
      </c>
      <c r="E487" s="30">
        <f t="shared" ref="E487:E488" si="61">1.8*L487</f>
        <v>1078.02</v>
      </c>
      <c r="F487" s="30">
        <f t="shared" ref="F487:F488" si="62">0.24*L487</f>
        <v>143.73599999999999</v>
      </c>
      <c r="G487" s="31">
        <f t="shared" ref="G487:G488" si="63">0.06*L487</f>
        <v>35.933999999999997</v>
      </c>
      <c r="H487" s="56">
        <v>0</v>
      </c>
      <c r="I487" s="56">
        <v>0</v>
      </c>
      <c r="J487" s="56">
        <v>0</v>
      </c>
      <c r="K487" s="56">
        <v>0</v>
      </c>
      <c r="L487" s="30">
        <v>598.9</v>
      </c>
      <c r="M487" s="31">
        <v>81.99</v>
      </c>
    </row>
    <row r="488" spans="1:13" ht="15.75" customHeight="1" x14ac:dyDescent="0.25">
      <c r="A488" s="58">
        <f>0.01*7850</f>
        <v>78.5</v>
      </c>
      <c r="B488" s="31">
        <f>60/0.8</f>
        <v>75</v>
      </c>
      <c r="C488" s="30">
        <v>60</v>
      </c>
      <c r="D488" s="30">
        <f t="shared" si="60"/>
        <v>718.68</v>
      </c>
      <c r="E488" s="30">
        <f t="shared" si="61"/>
        <v>1078.02</v>
      </c>
      <c r="F488" s="30">
        <f t="shared" si="62"/>
        <v>143.73599999999999</v>
      </c>
      <c r="G488" s="31">
        <f t="shared" si="63"/>
        <v>35.933999999999997</v>
      </c>
      <c r="H488" s="56">
        <v>0</v>
      </c>
      <c r="I488" s="56">
        <v>0</v>
      </c>
      <c r="J488" s="56">
        <v>0</v>
      </c>
      <c r="K488" s="56">
        <v>0</v>
      </c>
      <c r="L488" s="30">
        <v>598.9</v>
      </c>
      <c r="M488" s="31">
        <v>87.37</v>
      </c>
    </row>
    <row r="489" spans="1:13" ht="15.75" customHeight="1" x14ac:dyDescent="0.25">
      <c r="A489" s="58">
        <v>0</v>
      </c>
      <c r="B489" s="58">
        <v>0</v>
      </c>
      <c r="C489" s="58">
        <v>0</v>
      </c>
      <c r="D489" s="30">
        <f>1*L489/0.8</f>
        <v>604.20000000000005</v>
      </c>
      <c r="E489" s="30">
        <f>2*L489/0.8</f>
        <v>1208.4000000000001</v>
      </c>
      <c r="F489" s="30">
        <f>0.23*L489/0.8</f>
        <v>138.96600000000001</v>
      </c>
      <c r="G489" s="31">
        <f>0.06*L489/0.8</f>
        <v>36.252000000000002</v>
      </c>
      <c r="H489" s="56">
        <f>0.2*604.2</f>
        <v>120.84000000000002</v>
      </c>
      <c r="I489" s="56">
        <v>0</v>
      </c>
      <c r="J489" s="56">
        <v>0</v>
      </c>
      <c r="K489" s="56">
        <v>0</v>
      </c>
      <c r="L489" s="30">
        <f>604.2*0.8</f>
        <v>483.36000000000007</v>
      </c>
      <c r="M489" s="31">
        <v>102.4</v>
      </c>
    </row>
    <row r="490" spans="1:13" ht="15.75" customHeight="1" x14ac:dyDescent="0.25">
      <c r="A490" s="58">
        <f>0.005*7850</f>
        <v>39.25</v>
      </c>
      <c r="B490" s="31">
        <f>60/0.8</f>
        <v>75</v>
      </c>
      <c r="C490" s="30">
        <v>60</v>
      </c>
      <c r="D490" s="30">
        <f t="shared" ref="D490:D491" si="64">1*L490/0.8</f>
        <v>604.20000000000005</v>
      </c>
      <c r="E490" s="30">
        <f t="shared" ref="E490:E491" si="65">2*L490/0.8</f>
        <v>1208.4000000000001</v>
      </c>
      <c r="F490" s="30">
        <f t="shared" ref="F490:F491" si="66">0.23*L490/0.8</f>
        <v>138.96600000000001</v>
      </c>
      <c r="G490" s="31">
        <f t="shared" ref="G490:G491" si="67">0.06*L490/0.8</f>
        <v>36.252000000000002</v>
      </c>
      <c r="H490" s="56">
        <f t="shared" ref="H490:H491" si="68">0.2*604.2</f>
        <v>120.84000000000002</v>
      </c>
      <c r="I490" s="56">
        <v>0</v>
      </c>
      <c r="J490" s="56">
        <v>0</v>
      </c>
      <c r="K490" s="56">
        <v>0</v>
      </c>
      <c r="L490" s="30">
        <f t="shared" ref="L490:L491" si="69">604.2*0.8</f>
        <v>483.36000000000007</v>
      </c>
      <c r="M490" s="31">
        <v>106.93</v>
      </c>
    </row>
    <row r="491" spans="1:13" ht="15.75" customHeight="1" x14ac:dyDescent="0.25">
      <c r="A491" s="58">
        <f>0.01*7850</f>
        <v>78.5</v>
      </c>
      <c r="B491" s="31">
        <f>60/0.8</f>
        <v>75</v>
      </c>
      <c r="C491" s="30">
        <v>60</v>
      </c>
      <c r="D491" s="30">
        <f t="shared" si="64"/>
        <v>604.20000000000005</v>
      </c>
      <c r="E491" s="30">
        <f t="shared" si="65"/>
        <v>1208.4000000000001</v>
      </c>
      <c r="F491" s="30">
        <f t="shared" si="66"/>
        <v>138.96600000000001</v>
      </c>
      <c r="G491" s="31">
        <f t="shared" si="67"/>
        <v>36.252000000000002</v>
      </c>
      <c r="H491" s="56">
        <f t="shared" si="68"/>
        <v>120.84000000000002</v>
      </c>
      <c r="I491" s="56">
        <v>0</v>
      </c>
      <c r="J491" s="56">
        <v>0</v>
      </c>
      <c r="K491" s="56">
        <v>0</v>
      </c>
      <c r="L491" s="30">
        <f t="shared" si="69"/>
        <v>483.36000000000007</v>
      </c>
      <c r="M491" s="31">
        <v>111.44</v>
      </c>
    </row>
    <row r="492" spans="1:13" ht="15.75" customHeight="1" x14ac:dyDescent="0.25">
      <c r="A492" s="58">
        <v>0</v>
      </c>
      <c r="B492" s="31">
        <v>0</v>
      </c>
      <c r="C492" s="30">
        <v>0</v>
      </c>
      <c r="D492" s="30">
        <v>1170</v>
      </c>
      <c r="E492" s="30">
        <v>680</v>
      </c>
      <c r="F492" s="30">
        <f>0.43*L492</f>
        <v>199.95</v>
      </c>
      <c r="G492" s="31">
        <v>6.6</v>
      </c>
      <c r="H492" s="30">
        <v>35</v>
      </c>
      <c r="I492" s="56">
        <v>0</v>
      </c>
      <c r="J492" s="56">
        <v>0</v>
      </c>
      <c r="K492" s="56">
        <v>0</v>
      </c>
      <c r="L492" s="31">
        <v>465</v>
      </c>
      <c r="M492" s="31">
        <v>63.3</v>
      </c>
    </row>
    <row r="493" spans="1:13" ht="15.75" customHeight="1" x14ac:dyDescent="0.25">
      <c r="A493" s="58">
        <v>39.200000000000003</v>
      </c>
      <c r="B493" s="31">
        <f>30/0.55</f>
        <v>54.54545454545454</v>
      </c>
      <c r="C493" s="30">
        <v>30</v>
      </c>
      <c r="D493" s="30">
        <v>1170</v>
      </c>
      <c r="E493" s="30">
        <v>680</v>
      </c>
      <c r="F493" s="30">
        <f t="shared" ref="F493:F495" si="70">0.43*L493</f>
        <v>199.95</v>
      </c>
      <c r="G493" s="31">
        <v>6.7</v>
      </c>
      <c r="H493" s="30">
        <v>35</v>
      </c>
      <c r="I493" s="56">
        <v>0</v>
      </c>
      <c r="J493" s="56">
        <v>0</v>
      </c>
      <c r="K493" s="56">
        <v>0</v>
      </c>
      <c r="L493" s="31">
        <v>465</v>
      </c>
      <c r="M493" s="31">
        <v>61.7</v>
      </c>
    </row>
    <row r="494" spans="1:13" ht="15.75" customHeight="1" x14ac:dyDescent="0.25">
      <c r="A494" s="58">
        <v>78.5</v>
      </c>
      <c r="B494" s="31">
        <f t="shared" ref="B494:B495" si="71">30/0.55</f>
        <v>54.54545454545454</v>
      </c>
      <c r="C494" s="30">
        <v>30</v>
      </c>
      <c r="D494" s="30">
        <v>1170</v>
      </c>
      <c r="E494" s="30">
        <v>680</v>
      </c>
      <c r="F494" s="30">
        <f t="shared" si="70"/>
        <v>199.95</v>
      </c>
      <c r="G494" s="31">
        <v>6.7</v>
      </c>
      <c r="H494" s="30">
        <v>35</v>
      </c>
      <c r="I494" s="56">
        <v>0</v>
      </c>
      <c r="J494" s="56">
        <v>0</v>
      </c>
      <c r="K494" s="56">
        <v>0</v>
      </c>
      <c r="L494" s="31">
        <v>465</v>
      </c>
      <c r="M494" s="31">
        <v>73.3</v>
      </c>
    </row>
    <row r="495" spans="1:13" ht="15.75" customHeight="1" x14ac:dyDescent="0.25">
      <c r="A495" s="58">
        <v>117.7</v>
      </c>
      <c r="B495" s="31">
        <f t="shared" si="71"/>
        <v>54.54545454545454</v>
      </c>
      <c r="C495" s="30">
        <v>30</v>
      </c>
      <c r="D495" s="30">
        <v>1170</v>
      </c>
      <c r="E495" s="30">
        <v>680</v>
      </c>
      <c r="F495" s="30">
        <f t="shared" si="70"/>
        <v>199.95</v>
      </c>
      <c r="G495" s="31">
        <v>6.8</v>
      </c>
      <c r="H495" s="30">
        <v>35</v>
      </c>
      <c r="I495" s="56">
        <v>0</v>
      </c>
      <c r="J495" s="56">
        <v>0</v>
      </c>
      <c r="K495" s="56">
        <v>0</v>
      </c>
      <c r="L495" s="31">
        <v>465</v>
      </c>
      <c r="M495" s="31">
        <v>73.400000000000006</v>
      </c>
    </row>
    <row r="496" spans="1:13" ht="15.75" customHeight="1" x14ac:dyDescent="0.25">
      <c r="A496" s="58">
        <v>0</v>
      </c>
      <c r="B496" s="31">
        <v>0</v>
      </c>
      <c r="C496" s="30">
        <v>0</v>
      </c>
      <c r="D496" s="30">
        <f>439+409</f>
        <v>848</v>
      </c>
      <c r="E496" s="30">
        <v>1128</v>
      </c>
      <c r="F496" s="30">
        <v>148</v>
      </c>
      <c r="G496" s="31">
        <v>2.11</v>
      </c>
      <c r="H496" s="30">
        <v>0</v>
      </c>
      <c r="I496" s="30">
        <v>0</v>
      </c>
      <c r="J496" s="30">
        <v>0</v>
      </c>
      <c r="K496" s="30">
        <v>0</v>
      </c>
      <c r="L496" s="30">
        <v>423</v>
      </c>
      <c r="M496" s="31">
        <v>48.12</v>
      </c>
    </row>
    <row r="497" spans="1:13" ht="15.75" customHeight="1" x14ac:dyDescent="0.25">
      <c r="A497" s="58">
        <v>47.1</v>
      </c>
      <c r="B497" s="31">
        <f t="shared" ref="B497:B500" si="72">60/0.8</f>
        <v>75</v>
      </c>
      <c r="C497" s="30">
        <v>60</v>
      </c>
      <c r="D497" s="30">
        <f t="shared" ref="D497:D500" si="73">439+409</f>
        <v>848</v>
      </c>
      <c r="E497" s="30">
        <v>1128</v>
      </c>
      <c r="F497" s="30">
        <v>148</v>
      </c>
      <c r="G497" s="31">
        <v>2.11</v>
      </c>
      <c r="H497" s="30">
        <v>0</v>
      </c>
      <c r="I497" s="30">
        <v>0</v>
      </c>
      <c r="J497" s="30">
        <v>0</v>
      </c>
      <c r="K497" s="30">
        <v>0</v>
      </c>
      <c r="L497" s="30">
        <v>423</v>
      </c>
      <c r="M497" s="31">
        <v>47.34</v>
      </c>
    </row>
    <row r="498" spans="1:13" ht="15.75" customHeight="1" x14ac:dyDescent="0.25">
      <c r="A498" s="58">
        <v>70.650000000000006</v>
      </c>
      <c r="B498" s="31">
        <f t="shared" si="72"/>
        <v>75</v>
      </c>
      <c r="C498" s="30">
        <v>60</v>
      </c>
      <c r="D498" s="30">
        <f t="shared" si="73"/>
        <v>848</v>
      </c>
      <c r="E498" s="30">
        <v>1128</v>
      </c>
      <c r="F498" s="30">
        <v>148</v>
      </c>
      <c r="G498" s="31">
        <v>2.11</v>
      </c>
      <c r="H498" s="30">
        <v>0</v>
      </c>
      <c r="I498" s="30">
        <v>0</v>
      </c>
      <c r="J498" s="30">
        <v>0</v>
      </c>
      <c r="K498" s="30">
        <v>0</v>
      </c>
      <c r="L498" s="30">
        <v>423</v>
      </c>
      <c r="M498" s="31">
        <v>49.78</v>
      </c>
    </row>
    <row r="499" spans="1:13" ht="15.75" customHeight="1" x14ac:dyDescent="0.25">
      <c r="A499" s="58">
        <v>94.2</v>
      </c>
      <c r="B499" s="31">
        <f t="shared" si="72"/>
        <v>75</v>
      </c>
      <c r="C499" s="30">
        <v>60</v>
      </c>
      <c r="D499" s="30">
        <f t="shared" si="73"/>
        <v>848</v>
      </c>
      <c r="E499" s="30">
        <v>1128</v>
      </c>
      <c r="F499" s="30">
        <v>148</v>
      </c>
      <c r="G499" s="31">
        <v>2.11</v>
      </c>
      <c r="H499" s="30">
        <v>0</v>
      </c>
      <c r="I499" s="30">
        <v>0</v>
      </c>
      <c r="J499" s="30">
        <v>0</v>
      </c>
      <c r="K499" s="30">
        <v>0</v>
      </c>
      <c r="L499" s="30">
        <v>423</v>
      </c>
      <c r="M499" s="31">
        <v>53.61</v>
      </c>
    </row>
    <row r="500" spans="1:13" ht="15.75" customHeight="1" x14ac:dyDescent="0.25">
      <c r="A500" s="58">
        <v>117.75</v>
      </c>
      <c r="B500" s="31">
        <f t="shared" si="72"/>
        <v>75</v>
      </c>
      <c r="C500" s="30">
        <v>60</v>
      </c>
      <c r="D500" s="30">
        <f t="shared" si="73"/>
        <v>848</v>
      </c>
      <c r="E500" s="30">
        <v>1128</v>
      </c>
      <c r="F500" s="30">
        <v>148</v>
      </c>
      <c r="G500" s="31">
        <v>2.11</v>
      </c>
      <c r="H500" s="30">
        <v>0</v>
      </c>
      <c r="I500" s="30">
        <v>0</v>
      </c>
      <c r="J500" s="30">
        <v>0</v>
      </c>
      <c r="K500" s="30">
        <v>0</v>
      </c>
      <c r="L500" s="30">
        <v>423</v>
      </c>
      <c r="M500" s="31">
        <v>56.72</v>
      </c>
    </row>
    <row r="501" spans="1:13" ht="15.75" customHeight="1" x14ac:dyDescent="0.25">
      <c r="A501" s="58">
        <v>0</v>
      </c>
      <c r="B501" s="31">
        <v>0</v>
      </c>
      <c r="C501" s="30">
        <v>0</v>
      </c>
      <c r="D501" s="30">
        <f>0.92*L501</f>
        <v>506</v>
      </c>
      <c r="E501" s="30">
        <f>2.04*L501</f>
        <v>1122</v>
      </c>
      <c r="F501" s="30">
        <f>0.4*L501</f>
        <v>220</v>
      </c>
      <c r="G501" s="31">
        <f>0.0027*L501</f>
        <v>1.4850000000000001</v>
      </c>
      <c r="H501" s="30">
        <v>0</v>
      </c>
      <c r="I501" s="30">
        <v>0</v>
      </c>
      <c r="J501" s="30">
        <v>0</v>
      </c>
      <c r="K501" s="30">
        <v>0</v>
      </c>
      <c r="L501" s="30">
        <v>550</v>
      </c>
      <c r="M501" s="59">
        <v>49.2</v>
      </c>
    </row>
    <row r="502" spans="1:13" ht="15.75" customHeight="1" x14ac:dyDescent="0.25">
      <c r="A502" s="58">
        <f>0.004*7850</f>
        <v>31.400000000000002</v>
      </c>
      <c r="B502" s="31">
        <v>40</v>
      </c>
      <c r="C502" s="30">
        <v>33</v>
      </c>
      <c r="D502" s="30">
        <f t="shared" ref="D502:D508" si="74">0.92*L502</f>
        <v>506</v>
      </c>
      <c r="E502" s="30">
        <f t="shared" ref="E502:E508" si="75">2.04*L502</f>
        <v>1122</v>
      </c>
      <c r="F502" s="30">
        <f t="shared" ref="F502:F508" si="76">0.4*L502</f>
        <v>220</v>
      </c>
      <c r="G502" s="31">
        <f t="shared" ref="G502:G508" si="77">0.0027*L502</f>
        <v>1.4850000000000001</v>
      </c>
      <c r="H502" s="30">
        <v>0</v>
      </c>
      <c r="I502" s="30">
        <v>0</v>
      </c>
      <c r="J502" s="30">
        <v>0</v>
      </c>
      <c r="K502" s="30">
        <v>0</v>
      </c>
      <c r="L502" s="30">
        <v>550</v>
      </c>
      <c r="M502" s="59">
        <v>48.7</v>
      </c>
    </row>
    <row r="503" spans="1:13" ht="15.75" customHeight="1" x14ac:dyDescent="0.25">
      <c r="A503" s="58">
        <f>0.006*7850</f>
        <v>47.1</v>
      </c>
      <c r="B503" s="31">
        <v>40</v>
      </c>
      <c r="C503" s="30">
        <v>33</v>
      </c>
      <c r="D503" s="30">
        <f t="shared" si="74"/>
        <v>506</v>
      </c>
      <c r="E503" s="30">
        <f t="shared" si="75"/>
        <v>1122</v>
      </c>
      <c r="F503" s="30">
        <f t="shared" si="76"/>
        <v>220</v>
      </c>
      <c r="G503" s="31">
        <f t="shared" si="77"/>
        <v>1.4850000000000001</v>
      </c>
      <c r="H503" s="30">
        <v>0</v>
      </c>
      <c r="I503" s="30">
        <v>0</v>
      </c>
      <c r="J503" s="30">
        <v>0</v>
      </c>
      <c r="K503" s="30">
        <v>0</v>
      </c>
      <c r="L503" s="30">
        <v>550</v>
      </c>
      <c r="M503" s="59">
        <v>52.2</v>
      </c>
    </row>
    <row r="504" spans="1:13" ht="15.75" customHeight="1" x14ac:dyDescent="0.25">
      <c r="A504" s="58">
        <f>0.008*7850</f>
        <v>62.800000000000004</v>
      </c>
      <c r="B504" s="31">
        <v>40</v>
      </c>
      <c r="C504" s="30">
        <v>33</v>
      </c>
      <c r="D504" s="30">
        <f t="shared" si="74"/>
        <v>506</v>
      </c>
      <c r="E504" s="30">
        <f t="shared" si="75"/>
        <v>1122</v>
      </c>
      <c r="F504" s="30">
        <f t="shared" si="76"/>
        <v>220</v>
      </c>
      <c r="G504" s="31">
        <f t="shared" si="77"/>
        <v>1.4850000000000001</v>
      </c>
      <c r="H504" s="30">
        <v>0</v>
      </c>
      <c r="I504" s="30">
        <v>0</v>
      </c>
      <c r="J504" s="30">
        <v>0</v>
      </c>
      <c r="K504" s="30">
        <v>0</v>
      </c>
      <c r="L504" s="30">
        <v>550</v>
      </c>
      <c r="M504" s="59">
        <v>51.7</v>
      </c>
    </row>
    <row r="505" spans="1:13" ht="15.75" customHeight="1" x14ac:dyDescent="0.25">
      <c r="A505" s="58">
        <f>0.01*7850</f>
        <v>78.5</v>
      </c>
      <c r="B505" s="31">
        <v>40</v>
      </c>
      <c r="C505" s="30">
        <v>33</v>
      </c>
      <c r="D505" s="30">
        <f t="shared" si="74"/>
        <v>506</v>
      </c>
      <c r="E505" s="30">
        <f t="shared" si="75"/>
        <v>1122</v>
      </c>
      <c r="F505" s="30">
        <f t="shared" si="76"/>
        <v>220</v>
      </c>
      <c r="G505" s="31">
        <f t="shared" si="77"/>
        <v>1.4850000000000001</v>
      </c>
      <c r="H505" s="30">
        <v>0</v>
      </c>
      <c r="I505" s="30">
        <v>0</v>
      </c>
      <c r="J505" s="30">
        <v>0</v>
      </c>
      <c r="K505" s="30">
        <v>0</v>
      </c>
      <c r="L505" s="30">
        <v>550</v>
      </c>
      <c r="M505" s="59">
        <v>52.9</v>
      </c>
    </row>
    <row r="506" spans="1:13" ht="15.75" customHeight="1" x14ac:dyDescent="0.25">
      <c r="A506" s="58">
        <f>0.012*7850</f>
        <v>94.2</v>
      </c>
      <c r="B506" s="31">
        <v>40</v>
      </c>
      <c r="C506" s="30">
        <v>33</v>
      </c>
      <c r="D506" s="30">
        <f t="shared" si="74"/>
        <v>506</v>
      </c>
      <c r="E506" s="30">
        <f t="shared" si="75"/>
        <v>1122</v>
      </c>
      <c r="F506" s="30">
        <f t="shared" si="76"/>
        <v>220</v>
      </c>
      <c r="G506" s="31">
        <f t="shared" si="77"/>
        <v>1.4850000000000001</v>
      </c>
      <c r="H506" s="30">
        <v>0</v>
      </c>
      <c r="I506" s="30">
        <v>0</v>
      </c>
      <c r="J506" s="30">
        <v>0</v>
      </c>
      <c r="K506" s="30">
        <v>0</v>
      </c>
      <c r="L506" s="30">
        <v>550</v>
      </c>
      <c r="M506" s="59">
        <v>54.8</v>
      </c>
    </row>
    <row r="507" spans="1:13" ht="15.75" customHeight="1" x14ac:dyDescent="0.25">
      <c r="A507" s="58">
        <f>0.015*7850</f>
        <v>117.75</v>
      </c>
      <c r="B507" s="31">
        <v>40</v>
      </c>
      <c r="C507" s="30">
        <v>33</v>
      </c>
      <c r="D507" s="30">
        <f t="shared" si="74"/>
        <v>506</v>
      </c>
      <c r="E507" s="30">
        <f t="shared" si="75"/>
        <v>1122</v>
      </c>
      <c r="F507" s="30">
        <f t="shared" si="76"/>
        <v>220</v>
      </c>
      <c r="G507" s="31">
        <f t="shared" si="77"/>
        <v>1.4850000000000001</v>
      </c>
      <c r="H507" s="30">
        <v>0</v>
      </c>
      <c r="I507" s="30">
        <v>0</v>
      </c>
      <c r="J507" s="30">
        <v>0</v>
      </c>
      <c r="K507" s="30">
        <v>0</v>
      </c>
      <c r="L507" s="30">
        <v>550</v>
      </c>
      <c r="M507" s="59">
        <v>56.8</v>
      </c>
    </row>
    <row r="508" spans="1:13" ht="15.75" customHeight="1" x14ac:dyDescent="0.25">
      <c r="A508" s="58">
        <f>0.018*7850</f>
        <v>141.29999999999998</v>
      </c>
      <c r="B508" s="31">
        <v>40</v>
      </c>
      <c r="C508" s="30">
        <v>33</v>
      </c>
      <c r="D508" s="30">
        <f t="shared" si="74"/>
        <v>506</v>
      </c>
      <c r="E508" s="30">
        <f t="shared" si="75"/>
        <v>1122</v>
      </c>
      <c r="F508" s="30">
        <f t="shared" si="76"/>
        <v>220</v>
      </c>
      <c r="G508" s="31">
        <f t="shared" si="77"/>
        <v>1.4850000000000001</v>
      </c>
      <c r="H508" s="30">
        <v>0</v>
      </c>
      <c r="I508" s="30">
        <v>0</v>
      </c>
      <c r="J508" s="30">
        <v>0</v>
      </c>
      <c r="K508" s="30">
        <v>0</v>
      </c>
      <c r="L508" s="30">
        <v>550</v>
      </c>
      <c r="M508" s="59">
        <v>61</v>
      </c>
    </row>
    <row r="509" spans="1:13" ht="15.75" customHeight="1" x14ac:dyDescent="0.25">
      <c r="A509" s="58">
        <v>0</v>
      </c>
      <c r="B509" s="31">
        <v>0</v>
      </c>
      <c r="C509" s="30">
        <v>0</v>
      </c>
      <c r="D509" s="30">
        <v>562</v>
      </c>
      <c r="E509" s="30">
        <v>1152</v>
      </c>
      <c r="F509" s="30">
        <f>0.49*L509</f>
        <v>194.53</v>
      </c>
      <c r="G509" s="31">
        <v>0</v>
      </c>
      <c r="H509" s="30">
        <v>0</v>
      </c>
      <c r="I509" s="30">
        <v>0</v>
      </c>
      <c r="J509" s="30">
        <v>0</v>
      </c>
      <c r="K509" s="30">
        <v>0</v>
      </c>
      <c r="L509" s="30">
        <v>397</v>
      </c>
      <c r="M509" s="31">
        <v>29.42</v>
      </c>
    </row>
    <row r="510" spans="1:13" ht="15.75" customHeight="1" x14ac:dyDescent="0.25">
      <c r="A510" s="58">
        <v>39</v>
      </c>
      <c r="B510" s="31">
        <v>55</v>
      </c>
      <c r="C510" s="30">
        <v>27.5</v>
      </c>
      <c r="D510" s="30">
        <v>562</v>
      </c>
      <c r="E510" s="30">
        <v>1152</v>
      </c>
      <c r="F510" s="30">
        <f t="shared" ref="F510:F515" si="78">0.49*L510</f>
        <v>194.53</v>
      </c>
      <c r="G510" s="31">
        <v>0</v>
      </c>
      <c r="H510" s="30">
        <v>0</v>
      </c>
      <c r="I510" s="30">
        <v>0</v>
      </c>
      <c r="J510" s="30">
        <v>0</v>
      </c>
      <c r="K510" s="30">
        <v>0</v>
      </c>
      <c r="L510" s="30">
        <v>397</v>
      </c>
      <c r="M510" s="31">
        <v>36.03</v>
      </c>
    </row>
    <row r="511" spans="1:13" ht="15.75" customHeight="1" x14ac:dyDescent="0.25">
      <c r="A511" s="58">
        <v>58</v>
      </c>
      <c r="B511" s="31">
        <v>55</v>
      </c>
      <c r="C511" s="30">
        <v>27.5</v>
      </c>
      <c r="D511" s="30">
        <v>562</v>
      </c>
      <c r="E511" s="30">
        <v>1152</v>
      </c>
      <c r="F511" s="30">
        <f t="shared" si="78"/>
        <v>194.53</v>
      </c>
      <c r="G511" s="31">
        <v>0</v>
      </c>
      <c r="H511" s="30">
        <v>0</v>
      </c>
      <c r="I511" s="30">
        <v>0</v>
      </c>
      <c r="J511" s="30">
        <v>0</v>
      </c>
      <c r="K511" s="30">
        <v>0</v>
      </c>
      <c r="L511" s="30">
        <v>397</v>
      </c>
      <c r="M511" s="31">
        <v>33.479999999999997</v>
      </c>
    </row>
    <row r="512" spans="1:13" ht="15.75" customHeight="1" x14ac:dyDescent="0.25">
      <c r="A512" s="58">
        <v>78</v>
      </c>
      <c r="B512" s="31">
        <v>55</v>
      </c>
      <c r="C512" s="30">
        <v>27.5</v>
      </c>
      <c r="D512" s="30">
        <v>562</v>
      </c>
      <c r="E512" s="30">
        <v>1152</v>
      </c>
      <c r="F512" s="30">
        <f t="shared" si="78"/>
        <v>194.53</v>
      </c>
      <c r="G512" s="31">
        <v>0</v>
      </c>
      <c r="H512" s="30">
        <v>0</v>
      </c>
      <c r="I512" s="30">
        <v>0</v>
      </c>
      <c r="J512" s="30">
        <v>0</v>
      </c>
      <c r="K512" s="30">
        <v>0</v>
      </c>
      <c r="L512" s="30">
        <v>397</v>
      </c>
      <c r="M512" s="31">
        <v>38.479999999999997</v>
      </c>
    </row>
    <row r="513" spans="1:13" ht="15.75" customHeight="1" x14ac:dyDescent="0.25">
      <c r="A513" s="58">
        <v>39</v>
      </c>
      <c r="B513" s="31">
        <v>82</v>
      </c>
      <c r="C513" s="30">
        <v>41</v>
      </c>
      <c r="D513" s="30">
        <v>562</v>
      </c>
      <c r="E513" s="30">
        <v>1152</v>
      </c>
      <c r="F513" s="30">
        <f t="shared" si="78"/>
        <v>194.53</v>
      </c>
      <c r="G513" s="31">
        <v>0</v>
      </c>
      <c r="H513" s="30">
        <v>0</v>
      </c>
      <c r="I513" s="30">
        <v>0</v>
      </c>
      <c r="J513" s="30">
        <v>0</v>
      </c>
      <c r="K513" s="30">
        <v>0</v>
      </c>
      <c r="L513" s="30">
        <v>397</v>
      </c>
      <c r="M513" s="31">
        <v>32.83</v>
      </c>
    </row>
    <row r="514" spans="1:13" ht="15.75" customHeight="1" x14ac:dyDescent="0.25">
      <c r="A514" s="58">
        <v>58</v>
      </c>
      <c r="B514" s="31">
        <v>82</v>
      </c>
      <c r="C514" s="30">
        <v>41</v>
      </c>
      <c r="D514" s="30">
        <v>562</v>
      </c>
      <c r="E514" s="30">
        <v>1152</v>
      </c>
      <c r="F514" s="30">
        <f t="shared" si="78"/>
        <v>194.53</v>
      </c>
      <c r="G514" s="31">
        <v>0</v>
      </c>
      <c r="H514" s="30">
        <v>0</v>
      </c>
      <c r="I514" s="30">
        <v>0</v>
      </c>
      <c r="J514" s="30">
        <v>0</v>
      </c>
      <c r="K514" s="30">
        <v>0</v>
      </c>
      <c r="L514" s="30">
        <v>397</v>
      </c>
      <c r="M514" s="31">
        <v>36.31</v>
      </c>
    </row>
    <row r="515" spans="1:13" ht="15.75" customHeight="1" x14ac:dyDescent="0.25">
      <c r="A515" s="58">
        <v>78</v>
      </c>
      <c r="B515" s="31">
        <v>82</v>
      </c>
      <c r="C515" s="30">
        <v>41</v>
      </c>
      <c r="D515" s="30">
        <v>562</v>
      </c>
      <c r="E515" s="30">
        <v>1152</v>
      </c>
      <c r="F515" s="30">
        <f t="shared" si="78"/>
        <v>194.53</v>
      </c>
      <c r="G515" s="31">
        <v>0</v>
      </c>
      <c r="H515" s="30">
        <v>0</v>
      </c>
      <c r="I515" s="30">
        <v>0</v>
      </c>
      <c r="J515" s="30">
        <v>0</v>
      </c>
      <c r="K515" s="30">
        <v>0</v>
      </c>
      <c r="L515" s="30">
        <v>397</v>
      </c>
      <c r="M515" s="31">
        <v>34.700000000000003</v>
      </c>
    </row>
    <row r="516" spans="1:13" ht="15.75" customHeight="1" x14ac:dyDescent="0.25">
      <c r="A516" s="58">
        <v>0</v>
      </c>
      <c r="B516" s="31">
        <v>0</v>
      </c>
      <c r="C516" s="30">
        <v>0</v>
      </c>
      <c r="D516" s="30">
        <v>493</v>
      </c>
      <c r="E516" s="30">
        <v>1122</v>
      </c>
      <c r="F516" s="30">
        <f>0.38*L516</f>
        <v>196.46</v>
      </c>
      <c r="G516" s="31">
        <f>0.0075*L516</f>
        <v>3.8774999999999999</v>
      </c>
      <c r="H516" s="30">
        <v>0</v>
      </c>
      <c r="I516" s="30">
        <v>0</v>
      </c>
      <c r="J516" s="30">
        <v>0</v>
      </c>
      <c r="K516" s="30">
        <v>0</v>
      </c>
      <c r="L516" s="30">
        <v>517</v>
      </c>
      <c r="M516" s="31">
        <v>43.01</v>
      </c>
    </row>
    <row r="517" spans="1:13" ht="15.75" customHeight="1" x14ac:dyDescent="0.25">
      <c r="A517" s="58">
        <v>39</v>
      </c>
      <c r="B517" s="31">
        <v>55</v>
      </c>
      <c r="C517" s="30">
        <v>27.5</v>
      </c>
      <c r="D517" s="30">
        <v>493</v>
      </c>
      <c r="E517" s="30">
        <v>1122</v>
      </c>
      <c r="F517" s="30">
        <f t="shared" ref="F517:F522" si="79">0.38*L517</f>
        <v>196.46</v>
      </c>
      <c r="G517" s="31">
        <f t="shared" ref="G517:G522" si="80">0.0075*L517</f>
        <v>3.8774999999999999</v>
      </c>
      <c r="H517" s="30">
        <v>0</v>
      </c>
      <c r="I517" s="30">
        <v>0</v>
      </c>
      <c r="J517" s="30">
        <v>0</v>
      </c>
      <c r="K517" s="30">
        <v>0</v>
      </c>
      <c r="L517" s="30">
        <v>517</v>
      </c>
      <c r="M517" s="31">
        <v>45.85</v>
      </c>
    </row>
    <row r="518" spans="1:13" ht="15.75" customHeight="1" x14ac:dyDescent="0.25">
      <c r="A518" s="58">
        <v>58</v>
      </c>
      <c r="B518" s="31">
        <v>55</v>
      </c>
      <c r="C518" s="30">
        <v>27.5</v>
      </c>
      <c r="D518" s="30">
        <v>493</v>
      </c>
      <c r="E518" s="30">
        <v>1122</v>
      </c>
      <c r="F518" s="30">
        <f t="shared" si="79"/>
        <v>196.46</v>
      </c>
      <c r="G518" s="31">
        <f t="shared" si="80"/>
        <v>3.8774999999999999</v>
      </c>
      <c r="H518" s="30">
        <v>0</v>
      </c>
      <c r="I518" s="30">
        <v>0</v>
      </c>
      <c r="J518" s="30">
        <v>0</v>
      </c>
      <c r="K518" s="30">
        <v>0</v>
      </c>
      <c r="L518" s="30">
        <v>517</v>
      </c>
      <c r="M518" s="31">
        <v>41.59</v>
      </c>
    </row>
    <row r="519" spans="1:13" ht="15.75" customHeight="1" x14ac:dyDescent="0.25">
      <c r="A519" s="58">
        <v>78</v>
      </c>
      <c r="B519" s="31">
        <v>55</v>
      </c>
      <c r="C519" s="30">
        <v>27.5</v>
      </c>
      <c r="D519" s="30">
        <v>493</v>
      </c>
      <c r="E519" s="30">
        <v>1122</v>
      </c>
      <c r="F519" s="30">
        <f t="shared" si="79"/>
        <v>196.46</v>
      </c>
      <c r="G519" s="31">
        <f t="shared" si="80"/>
        <v>3.8774999999999999</v>
      </c>
      <c r="H519" s="30">
        <v>0</v>
      </c>
      <c r="I519" s="30">
        <v>0</v>
      </c>
      <c r="J519" s="30">
        <v>0</v>
      </c>
      <c r="K519" s="30">
        <v>0</v>
      </c>
      <c r="L519" s="30">
        <v>517</v>
      </c>
      <c r="M519" s="31">
        <v>46.97</v>
      </c>
    </row>
    <row r="520" spans="1:13" ht="15.75" customHeight="1" x14ac:dyDescent="0.25">
      <c r="A520" s="58">
        <v>39</v>
      </c>
      <c r="B520" s="31">
        <v>82</v>
      </c>
      <c r="C520" s="30">
        <v>41</v>
      </c>
      <c r="D520" s="30">
        <v>493</v>
      </c>
      <c r="E520" s="30">
        <v>1122</v>
      </c>
      <c r="F520" s="30">
        <f t="shared" si="79"/>
        <v>196.46</v>
      </c>
      <c r="G520" s="31">
        <f t="shared" si="80"/>
        <v>3.8774999999999999</v>
      </c>
      <c r="H520" s="30">
        <v>0</v>
      </c>
      <c r="I520" s="30">
        <v>0</v>
      </c>
      <c r="J520" s="30">
        <v>0</v>
      </c>
      <c r="K520" s="30">
        <v>0</v>
      </c>
      <c r="L520" s="30">
        <v>517</v>
      </c>
      <c r="M520" s="31">
        <v>45.67</v>
      </c>
    </row>
    <row r="521" spans="1:13" ht="15.75" customHeight="1" x14ac:dyDescent="0.25">
      <c r="A521" s="58">
        <v>58</v>
      </c>
      <c r="B521" s="31">
        <v>82</v>
      </c>
      <c r="C521" s="30">
        <v>41</v>
      </c>
      <c r="D521" s="30">
        <v>493</v>
      </c>
      <c r="E521" s="30">
        <v>1122</v>
      </c>
      <c r="F521" s="30">
        <f t="shared" si="79"/>
        <v>196.46</v>
      </c>
      <c r="G521" s="31">
        <f t="shared" si="80"/>
        <v>3.8774999999999999</v>
      </c>
      <c r="H521" s="30">
        <v>0</v>
      </c>
      <c r="I521" s="30">
        <v>0</v>
      </c>
      <c r="J521" s="30">
        <v>0</v>
      </c>
      <c r="K521" s="30">
        <v>0</v>
      </c>
      <c r="L521" s="30">
        <v>517</v>
      </c>
      <c r="M521" s="31">
        <v>46.12</v>
      </c>
    </row>
    <row r="522" spans="1:13" ht="15.75" customHeight="1" x14ac:dyDescent="0.25">
      <c r="A522" s="58">
        <v>78</v>
      </c>
      <c r="B522" s="31">
        <v>82</v>
      </c>
      <c r="C522" s="30">
        <v>41</v>
      </c>
      <c r="D522" s="30">
        <v>493</v>
      </c>
      <c r="E522" s="30">
        <v>1122</v>
      </c>
      <c r="F522" s="30">
        <f t="shared" si="79"/>
        <v>196.46</v>
      </c>
      <c r="G522" s="31">
        <f t="shared" si="80"/>
        <v>3.8774999999999999</v>
      </c>
      <c r="H522" s="30">
        <v>0</v>
      </c>
      <c r="I522" s="30">
        <v>0</v>
      </c>
      <c r="J522" s="30">
        <v>0</v>
      </c>
      <c r="K522" s="30">
        <v>0</v>
      </c>
      <c r="L522" s="30">
        <v>517</v>
      </c>
      <c r="M522" s="31">
        <v>49.23</v>
      </c>
    </row>
    <row r="523" spans="1:13" ht="15.75" customHeight="1" x14ac:dyDescent="0.25"/>
    <row r="524" spans="1:13" ht="15.75" customHeight="1" x14ac:dyDescent="0.25"/>
    <row r="525" spans="1:13" ht="15.75" customHeight="1" x14ac:dyDescent="0.25"/>
    <row r="526" spans="1:13" ht="15.75" customHeight="1" x14ac:dyDescent="0.25"/>
    <row r="527" spans="1:13" ht="15.75" customHeight="1" x14ac:dyDescent="0.25"/>
    <row r="528" spans="1:13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6" type="noConversion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68"/>
  <sheetViews>
    <sheetView workbookViewId="0">
      <pane ySplit="1" topLeftCell="A2" activePane="bottomLeft" state="frozen"/>
      <selection pane="bottomLeft" activeCell="N4" sqref="N4"/>
    </sheetView>
  </sheetViews>
  <sheetFormatPr defaultColWidth="12.59765625" defaultRowHeight="15" customHeight="1" x14ac:dyDescent="0.25"/>
  <cols>
    <col min="1" max="1" width="9.09765625" customWidth="1"/>
    <col min="2" max="2" width="7.19921875" customWidth="1"/>
    <col min="3" max="3" width="9.09765625" customWidth="1"/>
    <col min="4" max="4" width="9.59765625" customWidth="1"/>
    <col min="5" max="5" width="8.3984375" customWidth="1"/>
    <col min="6" max="6" width="9.69921875" customWidth="1"/>
    <col min="7" max="7" width="8.3984375" customWidth="1"/>
    <col min="8" max="8" width="8" customWidth="1"/>
    <col min="9" max="9" width="6.69921875" customWidth="1"/>
    <col min="10" max="11" width="7.3984375" customWidth="1"/>
    <col min="12" max="12" width="10.8984375" customWidth="1"/>
    <col min="13" max="13" width="9.5" customWidth="1"/>
  </cols>
  <sheetData>
    <row r="1" spans="1:13" ht="39.75" customHeight="1" thickBot="1" x14ac:dyDescent="0.3">
      <c r="A1" s="2" t="s">
        <v>8</v>
      </c>
      <c r="B1" s="3" t="s">
        <v>3</v>
      </c>
      <c r="C1" s="4" t="s">
        <v>4</v>
      </c>
      <c r="D1" s="2" t="s">
        <v>6</v>
      </c>
      <c r="E1" s="2" t="s">
        <v>5</v>
      </c>
      <c r="F1" s="2" t="s">
        <v>7</v>
      </c>
      <c r="G1" s="2" t="s">
        <v>10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9</v>
      </c>
      <c r="M1" s="29" t="s">
        <v>16</v>
      </c>
    </row>
    <row r="2" spans="1:13" ht="14.4" x14ac:dyDescent="0.25">
      <c r="A2" s="61">
        <v>0</v>
      </c>
      <c r="B2" s="62">
        <v>0</v>
      </c>
      <c r="C2" s="63">
        <v>0</v>
      </c>
      <c r="D2" s="64">
        <f t="shared" ref="D2:D5" si="0">450*1.67</f>
        <v>751.5</v>
      </c>
      <c r="E2" s="64">
        <f t="shared" ref="E2:E5" si="1">450*2.25</f>
        <v>1012.5</v>
      </c>
      <c r="F2" s="64">
        <f t="shared" ref="F2:F5" si="2">450*0.36</f>
        <v>162</v>
      </c>
      <c r="G2" s="65">
        <v>0</v>
      </c>
      <c r="H2" s="64">
        <v>0</v>
      </c>
      <c r="I2" s="64">
        <v>0</v>
      </c>
      <c r="J2" s="63">
        <v>0</v>
      </c>
      <c r="K2" s="63">
        <v>0</v>
      </c>
      <c r="L2" s="63">
        <v>450</v>
      </c>
      <c r="M2" s="62">
        <v>3.6</v>
      </c>
    </row>
    <row r="3" spans="1:13" ht="14.4" x14ac:dyDescent="0.25">
      <c r="A3" s="66">
        <v>23.55</v>
      </c>
      <c r="B3" s="67">
        <f t="shared" ref="B3:B5" si="3">35/0.75</f>
        <v>46.666666666666664</v>
      </c>
      <c r="C3" s="68">
        <v>35</v>
      </c>
      <c r="D3" s="64">
        <f t="shared" si="0"/>
        <v>751.5</v>
      </c>
      <c r="E3" s="64">
        <f t="shared" si="1"/>
        <v>1012.5</v>
      </c>
      <c r="F3" s="64">
        <f t="shared" si="2"/>
        <v>162</v>
      </c>
      <c r="G3" s="65">
        <v>0</v>
      </c>
      <c r="H3" s="64">
        <v>0</v>
      </c>
      <c r="I3" s="64">
        <v>0</v>
      </c>
      <c r="J3" s="68">
        <v>0</v>
      </c>
      <c r="K3" s="68">
        <v>0</v>
      </c>
      <c r="L3" s="68">
        <v>450</v>
      </c>
      <c r="M3" s="67">
        <v>3.89</v>
      </c>
    </row>
    <row r="4" spans="1:13" ht="14.4" x14ac:dyDescent="0.25">
      <c r="A4" s="66">
        <v>47.1</v>
      </c>
      <c r="B4" s="67">
        <f t="shared" si="3"/>
        <v>46.666666666666664</v>
      </c>
      <c r="C4" s="68">
        <v>35</v>
      </c>
      <c r="D4" s="64">
        <f t="shared" si="0"/>
        <v>751.5</v>
      </c>
      <c r="E4" s="64">
        <f t="shared" si="1"/>
        <v>1012.5</v>
      </c>
      <c r="F4" s="64">
        <f t="shared" si="2"/>
        <v>162</v>
      </c>
      <c r="G4" s="65">
        <v>0</v>
      </c>
      <c r="H4" s="64">
        <v>0</v>
      </c>
      <c r="I4" s="64">
        <v>0</v>
      </c>
      <c r="J4" s="68">
        <v>0</v>
      </c>
      <c r="K4" s="68">
        <v>0</v>
      </c>
      <c r="L4" s="68">
        <v>450</v>
      </c>
      <c r="M4" s="67">
        <v>4.0599999999999996</v>
      </c>
    </row>
    <row r="5" spans="1:13" ht="14.4" x14ac:dyDescent="0.25">
      <c r="A5" s="66">
        <v>70.650000000000006</v>
      </c>
      <c r="B5" s="67">
        <f t="shared" si="3"/>
        <v>46.666666666666664</v>
      </c>
      <c r="C5" s="68">
        <v>35</v>
      </c>
      <c r="D5" s="69">
        <f t="shared" si="0"/>
        <v>751.5</v>
      </c>
      <c r="E5" s="69">
        <f t="shared" si="1"/>
        <v>1012.5</v>
      </c>
      <c r="F5" s="69">
        <f t="shared" si="2"/>
        <v>162</v>
      </c>
      <c r="G5" s="70">
        <v>0</v>
      </c>
      <c r="H5" s="69">
        <v>0</v>
      </c>
      <c r="I5" s="69">
        <v>0</v>
      </c>
      <c r="J5" s="68">
        <v>0</v>
      </c>
      <c r="K5" s="68">
        <v>0</v>
      </c>
      <c r="L5" s="68">
        <v>450</v>
      </c>
      <c r="M5" s="67">
        <v>4.2699999999999996</v>
      </c>
    </row>
    <row r="6" spans="1:13" ht="14.4" x14ac:dyDescent="0.25">
      <c r="A6" s="66">
        <v>0</v>
      </c>
      <c r="B6" s="67">
        <v>0</v>
      </c>
      <c r="C6" s="68">
        <v>0</v>
      </c>
      <c r="D6" s="69">
        <v>785</v>
      </c>
      <c r="E6" s="69">
        <v>1093</v>
      </c>
      <c r="F6" s="69">
        <v>178</v>
      </c>
      <c r="G6" s="65">
        <v>0</v>
      </c>
      <c r="H6" s="64">
        <v>0</v>
      </c>
      <c r="I6" s="71">
        <v>0</v>
      </c>
      <c r="J6" s="68">
        <v>0</v>
      </c>
      <c r="K6" s="68">
        <v>0</v>
      </c>
      <c r="L6" s="68">
        <v>324</v>
      </c>
      <c r="M6" s="67">
        <v>3.27</v>
      </c>
    </row>
    <row r="7" spans="1:13" ht="14.4" x14ac:dyDescent="0.25">
      <c r="A7" s="66">
        <v>0</v>
      </c>
      <c r="B7" s="67">
        <v>0</v>
      </c>
      <c r="C7" s="68">
        <v>0</v>
      </c>
      <c r="D7" s="69">
        <v>785</v>
      </c>
      <c r="E7" s="69">
        <v>1093</v>
      </c>
      <c r="F7" s="69">
        <v>178</v>
      </c>
      <c r="G7" s="65">
        <v>0.13</v>
      </c>
      <c r="H7" s="69">
        <v>32</v>
      </c>
      <c r="I7" s="69">
        <v>97.2</v>
      </c>
      <c r="J7" s="71">
        <v>0</v>
      </c>
      <c r="K7" s="68">
        <v>0</v>
      </c>
      <c r="L7" s="68">
        <v>194.8</v>
      </c>
      <c r="M7" s="67">
        <v>3.77</v>
      </c>
    </row>
    <row r="8" spans="1:13" ht="14.4" x14ac:dyDescent="0.25">
      <c r="A8" s="66">
        <v>39.25</v>
      </c>
      <c r="B8" s="67">
        <f t="shared" ref="B8:B11" si="4">30/0.5</f>
        <v>60</v>
      </c>
      <c r="C8" s="68">
        <v>30</v>
      </c>
      <c r="D8" s="69">
        <v>785</v>
      </c>
      <c r="E8" s="69">
        <v>1093</v>
      </c>
      <c r="F8" s="69">
        <v>178</v>
      </c>
      <c r="G8" s="65">
        <v>0.79</v>
      </c>
      <c r="H8" s="69">
        <v>32</v>
      </c>
      <c r="I8" s="69">
        <v>97.2</v>
      </c>
      <c r="J8" s="71">
        <v>0</v>
      </c>
      <c r="K8" s="68">
        <v>0</v>
      </c>
      <c r="L8" s="68">
        <v>194.8</v>
      </c>
      <c r="M8" s="67">
        <v>4.12</v>
      </c>
    </row>
    <row r="9" spans="1:13" ht="14.4" x14ac:dyDescent="0.25">
      <c r="A9" s="66">
        <v>78.5</v>
      </c>
      <c r="B9" s="67">
        <f t="shared" si="4"/>
        <v>60</v>
      </c>
      <c r="C9" s="68">
        <v>30</v>
      </c>
      <c r="D9" s="69">
        <v>785</v>
      </c>
      <c r="E9" s="69">
        <v>1093</v>
      </c>
      <c r="F9" s="69">
        <v>178</v>
      </c>
      <c r="G9" s="65">
        <v>1.19</v>
      </c>
      <c r="H9" s="69">
        <v>32</v>
      </c>
      <c r="I9" s="69">
        <v>97.2</v>
      </c>
      <c r="J9" s="71">
        <v>0</v>
      </c>
      <c r="K9" s="68">
        <v>0</v>
      </c>
      <c r="L9" s="68">
        <v>194.8</v>
      </c>
      <c r="M9" s="67">
        <v>4.28</v>
      </c>
    </row>
    <row r="10" spans="1:13" ht="14.4" x14ac:dyDescent="0.25">
      <c r="A10" s="66">
        <v>117.8</v>
      </c>
      <c r="B10" s="67">
        <f t="shared" si="4"/>
        <v>60</v>
      </c>
      <c r="C10" s="68">
        <v>30</v>
      </c>
      <c r="D10" s="69">
        <v>785</v>
      </c>
      <c r="E10" s="69">
        <v>1093</v>
      </c>
      <c r="F10" s="69">
        <v>178</v>
      </c>
      <c r="G10" s="65">
        <v>1.63</v>
      </c>
      <c r="H10" s="69">
        <v>32</v>
      </c>
      <c r="I10" s="69">
        <v>97.2</v>
      </c>
      <c r="J10" s="71">
        <v>0</v>
      </c>
      <c r="K10" s="68">
        <v>0</v>
      </c>
      <c r="L10" s="68">
        <v>194.8</v>
      </c>
      <c r="M10" s="67">
        <v>4.34</v>
      </c>
    </row>
    <row r="11" spans="1:13" ht="14.4" x14ac:dyDescent="0.25">
      <c r="A11" s="66">
        <v>157</v>
      </c>
      <c r="B11" s="67">
        <f t="shared" si="4"/>
        <v>60</v>
      </c>
      <c r="C11" s="68">
        <v>30</v>
      </c>
      <c r="D11" s="69">
        <v>785</v>
      </c>
      <c r="E11" s="69">
        <v>1093</v>
      </c>
      <c r="F11" s="69">
        <v>178</v>
      </c>
      <c r="G11" s="65">
        <v>1.78</v>
      </c>
      <c r="H11" s="69">
        <v>32</v>
      </c>
      <c r="I11" s="69">
        <v>97.2</v>
      </c>
      <c r="J11" s="71">
        <v>0</v>
      </c>
      <c r="K11" s="68">
        <v>0</v>
      </c>
      <c r="L11" s="68">
        <v>195.8</v>
      </c>
      <c r="M11" s="65">
        <v>4.4400000000000004</v>
      </c>
    </row>
    <row r="12" spans="1:13" ht="15.75" customHeight="1" x14ac:dyDescent="0.25">
      <c r="A12" s="72">
        <v>0</v>
      </c>
      <c r="B12" s="70">
        <v>0</v>
      </c>
      <c r="C12" s="69">
        <v>0</v>
      </c>
      <c r="D12" s="69">
        <f t="shared" ref="D12:D14" si="5">300*1.57</f>
        <v>471</v>
      </c>
      <c r="E12" s="69">
        <f t="shared" ref="E12:E14" si="6">300*3.42</f>
        <v>1026</v>
      </c>
      <c r="F12" s="69">
        <f t="shared" ref="F12:F14" si="7">300*0.54</f>
        <v>162</v>
      </c>
      <c r="G12" s="70">
        <v>0</v>
      </c>
      <c r="H12" s="69">
        <v>0</v>
      </c>
      <c r="I12" s="69">
        <v>0</v>
      </c>
      <c r="J12" s="69">
        <v>0</v>
      </c>
      <c r="K12" s="69">
        <v>0</v>
      </c>
      <c r="L12" s="69">
        <v>300</v>
      </c>
      <c r="M12" s="70">
        <v>1.59</v>
      </c>
    </row>
    <row r="13" spans="1:13" ht="15.75" customHeight="1" x14ac:dyDescent="0.25">
      <c r="A13" s="73">
        <v>30</v>
      </c>
      <c r="B13" s="65">
        <v>80</v>
      </c>
      <c r="C13" s="71">
        <v>60</v>
      </c>
      <c r="D13" s="69">
        <f t="shared" si="5"/>
        <v>471</v>
      </c>
      <c r="E13" s="69">
        <f t="shared" si="6"/>
        <v>1026</v>
      </c>
      <c r="F13" s="69">
        <f t="shared" si="7"/>
        <v>162</v>
      </c>
      <c r="G13" s="65">
        <v>0</v>
      </c>
      <c r="H13" s="69">
        <v>0</v>
      </c>
      <c r="I13" s="69">
        <v>0</v>
      </c>
      <c r="J13" s="69">
        <v>0</v>
      </c>
      <c r="K13" s="69">
        <v>0</v>
      </c>
      <c r="L13" s="71">
        <v>300</v>
      </c>
      <c r="M13" s="65">
        <v>2.2999999999999998</v>
      </c>
    </row>
    <row r="14" spans="1:13" ht="15.75" customHeight="1" x14ac:dyDescent="0.25">
      <c r="A14" s="73">
        <v>60</v>
      </c>
      <c r="B14" s="65">
        <v>80</v>
      </c>
      <c r="C14" s="71">
        <v>60</v>
      </c>
      <c r="D14" s="69">
        <f t="shared" si="5"/>
        <v>471</v>
      </c>
      <c r="E14" s="69">
        <f t="shared" si="6"/>
        <v>1026</v>
      </c>
      <c r="F14" s="69">
        <f t="shared" si="7"/>
        <v>162</v>
      </c>
      <c r="G14" s="65">
        <v>0</v>
      </c>
      <c r="H14" s="69">
        <v>0</v>
      </c>
      <c r="I14" s="69">
        <v>0</v>
      </c>
      <c r="J14" s="69">
        <v>0</v>
      </c>
      <c r="K14" s="69">
        <v>0</v>
      </c>
      <c r="L14" s="71">
        <v>300</v>
      </c>
      <c r="M14" s="65">
        <v>2.5499999999999998</v>
      </c>
    </row>
    <row r="15" spans="1:13" ht="15.75" customHeight="1" x14ac:dyDescent="0.25">
      <c r="A15" s="72">
        <v>0</v>
      </c>
      <c r="B15" s="70">
        <v>0</v>
      </c>
      <c r="C15" s="69">
        <v>0</v>
      </c>
      <c r="D15" s="69">
        <f t="shared" ref="D15:D17" si="8">385*1.16</f>
        <v>446.59999999999997</v>
      </c>
      <c r="E15" s="69">
        <f t="shared" ref="E15:E17" si="9">385*2.55</f>
        <v>981.74999999999989</v>
      </c>
      <c r="F15" s="69">
        <f t="shared" ref="F15:F17" si="10">385*0.44</f>
        <v>169.4</v>
      </c>
      <c r="G15" s="70">
        <v>0</v>
      </c>
      <c r="H15" s="69">
        <v>0</v>
      </c>
      <c r="I15" s="69">
        <v>0</v>
      </c>
      <c r="J15" s="69">
        <v>0</v>
      </c>
      <c r="K15" s="69">
        <v>0</v>
      </c>
      <c r="L15" s="69">
        <v>385</v>
      </c>
      <c r="M15" s="70">
        <v>1.95</v>
      </c>
    </row>
    <row r="16" spans="1:13" ht="15.75" customHeight="1" x14ac:dyDescent="0.25">
      <c r="A16" s="73">
        <v>30</v>
      </c>
      <c r="B16" s="65">
        <v>80</v>
      </c>
      <c r="C16" s="71">
        <v>60</v>
      </c>
      <c r="D16" s="69">
        <f t="shared" si="8"/>
        <v>446.59999999999997</v>
      </c>
      <c r="E16" s="69">
        <f t="shared" si="9"/>
        <v>981.74999999999989</v>
      </c>
      <c r="F16" s="69">
        <f t="shared" si="10"/>
        <v>169.4</v>
      </c>
      <c r="G16" s="65">
        <v>0</v>
      </c>
      <c r="H16" s="69">
        <v>0</v>
      </c>
      <c r="I16" s="69">
        <v>0</v>
      </c>
      <c r="J16" s="69">
        <v>0</v>
      </c>
      <c r="K16" s="69">
        <v>0</v>
      </c>
      <c r="L16" s="71">
        <v>385</v>
      </c>
      <c r="M16" s="65">
        <v>2.71</v>
      </c>
    </row>
    <row r="17" spans="1:13" ht="15.75" customHeight="1" x14ac:dyDescent="0.25">
      <c r="A17" s="73">
        <v>60</v>
      </c>
      <c r="B17" s="65">
        <v>80</v>
      </c>
      <c r="C17" s="71">
        <v>60</v>
      </c>
      <c r="D17" s="69">
        <f t="shared" si="8"/>
        <v>446.59999999999997</v>
      </c>
      <c r="E17" s="69">
        <f t="shared" si="9"/>
        <v>981.74999999999989</v>
      </c>
      <c r="F17" s="69">
        <f t="shared" si="10"/>
        <v>169.4</v>
      </c>
      <c r="G17" s="65">
        <v>0</v>
      </c>
      <c r="H17" s="69">
        <v>0</v>
      </c>
      <c r="I17" s="69">
        <v>0</v>
      </c>
      <c r="J17" s="69">
        <v>0</v>
      </c>
      <c r="K17" s="69">
        <v>0</v>
      </c>
      <c r="L17" s="71">
        <v>385</v>
      </c>
      <c r="M17" s="65">
        <v>3.01</v>
      </c>
    </row>
    <row r="18" spans="1:13" ht="15.75" customHeight="1" x14ac:dyDescent="0.25">
      <c r="A18" s="73">
        <v>0</v>
      </c>
      <c r="B18" s="65">
        <v>0</v>
      </c>
      <c r="C18" s="71">
        <v>0</v>
      </c>
      <c r="D18" s="69">
        <f t="shared" ref="D18:D22" si="11">450*2</f>
        <v>900</v>
      </c>
      <c r="E18" s="69">
        <f t="shared" ref="E18:E22" si="12">450*2.33</f>
        <v>1048.5</v>
      </c>
      <c r="F18" s="69">
        <f t="shared" ref="F18:F22" si="13">450*0.35</f>
        <v>157.5</v>
      </c>
      <c r="G18" s="65">
        <v>11.25</v>
      </c>
      <c r="H18" s="69">
        <v>0</v>
      </c>
      <c r="I18" s="69">
        <v>0</v>
      </c>
      <c r="J18" s="71">
        <v>0</v>
      </c>
      <c r="K18" s="71">
        <v>0</v>
      </c>
      <c r="L18" s="71">
        <v>450</v>
      </c>
      <c r="M18" s="65">
        <v>3.9</v>
      </c>
    </row>
    <row r="19" spans="1:13" ht="15.75" customHeight="1" x14ac:dyDescent="0.25">
      <c r="A19" s="73">
        <v>19.62</v>
      </c>
      <c r="B19" s="65">
        <v>80</v>
      </c>
      <c r="C19" s="71">
        <v>60</v>
      </c>
      <c r="D19" s="69">
        <f t="shared" si="11"/>
        <v>900</v>
      </c>
      <c r="E19" s="69">
        <f t="shared" si="12"/>
        <v>1048.5</v>
      </c>
      <c r="F19" s="69">
        <f t="shared" si="13"/>
        <v>157.5</v>
      </c>
      <c r="G19" s="65">
        <v>12.5</v>
      </c>
      <c r="H19" s="69">
        <v>0</v>
      </c>
      <c r="I19" s="69">
        <v>0</v>
      </c>
      <c r="J19" s="71">
        <v>0</v>
      </c>
      <c r="K19" s="71">
        <v>0</v>
      </c>
      <c r="L19" s="71">
        <v>450</v>
      </c>
      <c r="M19" s="65">
        <v>4.8</v>
      </c>
    </row>
    <row r="20" spans="1:13" ht="15.75" customHeight="1" x14ac:dyDescent="0.25">
      <c r="A20" s="73">
        <v>19.62</v>
      </c>
      <c r="B20" s="65">
        <v>40</v>
      </c>
      <c r="C20" s="71">
        <v>30</v>
      </c>
      <c r="D20" s="69">
        <f t="shared" si="11"/>
        <v>900</v>
      </c>
      <c r="E20" s="69">
        <f t="shared" si="12"/>
        <v>1048.5</v>
      </c>
      <c r="F20" s="69">
        <f t="shared" si="13"/>
        <v>157.5</v>
      </c>
      <c r="G20" s="65">
        <v>16</v>
      </c>
      <c r="H20" s="69">
        <v>0</v>
      </c>
      <c r="I20" s="69">
        <v>0</v>
      </c>
      <c r="J20" s="71">
        <v>0</v>
      </c>
      <c r="K20" s="71">
        <v>0</v>
      </c>
      <c r="L20" s="71">
        <v>450</v>
      </c>
      <c r="M20" s="65">
        <v>4.8</v>
      </c>
    </row>
    <row r="21" spans="1:13" ht="15.75" customHeight="1" x14ac:dyDescent="0.25">
      <c r="A21" s="73">
        <v>58.85</v>
      </c>
      <c r="B21" s="65">
        <v>80</v>
      </c>
      <c r="C21" s="71">
        <v>60</v>
      </c>
      <c r="D21" s="69">
        <f t="shared" si="11"/>
        <v>900</v>
      </c>
      <c r="E21" s="69">
        <f t="shared" si="12"/>
        <v>1048.5</v>
      </c>
      <c r="F21" s="69">
        <f t="shared" si="13"/>
        <v>157.5</v>
      </c>
      <c r="G21" s="65">
        <v>13.75</v>
      </c>
      <c r="H21" s="69">
        <v>0</v>
      </c>
      <c r="I21" s="69">
        <v>0</v>
      </c>
      <c r="J21" s="71">
        <v>0</v>
      </c>
      <c r="K21" s="71">
        <v>0</v>
      </c>
      <c r="L21" s="71">
        <v>450</v>
      </c>
      <c r="M21" s="65">
        <v>6</v>
      </c>
    </row>
    <row r="22" spans="1:13" ht="15.75" customHeight="1" x14ac:dyDescent="0.25">
      <c r="A22" s="73">
        <v>58.85</v>
      </c>
      <c r="B22" s="65">
        <v>40</v>
      </c>
      <c r="C22" s="71">
        <v>30</v>
      </c>
      <c r="D22" s="69">
        <f t="shared" si="11"/>
        <v>900</v>
      </c>
      <c r="E22" s="69">
        <f t="shared" si="12"/>
        <v>1048.5</v>
      </c>
      <c r="F22" s="69">
        <f t="shared" si="13"/>
        <v>157.5</v>
      </c>
      <c r="G22" s="65">
        <v>19.5</v>
      </c>
      <c r="H22" s="69">
        <v>0</v>
      </c>
      <c r="I22" s="69">
        <v>0</v>
      </c>
      <c r="J22" s="71">
        <v>0</v>
      </c>
      <c r="K22" s="71">
        <v>0</v>
      </c>
      <c r="L22" s="71">
        <v>450</v>
      </c>
      <c r="M22" s="65">
        <v>5.4</v>
      </c>
    </row>
    <row r="23" spans="1:13" ht="15.75" customHeight="1" x14ac:dyDescent="0.25">
      <c r="A23" s="73">
        <v>0</v>
      </c>
      <c r="B23" s="65">
        <v>0</v>
      </c>
      <c r="C23" s="71">
        <v>0</v>
      </c>
      <c r="D23" s="69">
        <f t="shared" ref="D23:D27" si="14">405*2</f>
        <v>810</v>
      </c>
      <c r="E23" s="69">
        <f t="shared" ref="E23:E27" si="15">405*2.33</f>
        <v>943.65</v>
      </c>
      <c r="F23" s="69">
        <f t="shared" ref="F23:F27" si="16">405*0.35</f>
        <v>141.75</v>
      </c>
      <c r="G23" s="65">
        <v>10</v>
      </c>
      <c r="H23" s="69">
        <v>0</v>
      </c>
      <c r="I23" s="69">
        <v>0</v>
      </c>
      <c r="J23" s="71">
        <v>0</v>
      </c>
      <c r="K23" s="69">
        <f t="shared" ref="K23:K27" si="17">405*0.11</f>
        <v>44.55</v>
      </c>
      <c r="L23" s="71">
        <v>405</v>
      </c>
      <c r="M23" s="65">
        <v>4.5</v>
      </c>
    </row>
    <row r="24" spans="1:13" ht="15.75" customHeight="1" x14ac:dyDescent="0.25">
      <c r="A24" s="73">
        <v>19.62</v>
      </c>
      <c r="B24" s="65">
        <v>80</v>
      </c>
      <c r="C24" s="71">
        <v>60</v>
      </c>
      <c r="D24" s="69">
        <f t="shared" si="14"/>
        <v>810</v>
      </c>
      <c r="E24" s="69">
        <f t="shared" si="15"/>
        <v>943.65</v>
      </c>
      <c r="F24" s="69">
        <f t="shared" si="16"/>
        <v>141.75</v>
      </c>
      <c r="G24" s="65">
        <v>11.25</v>
      </c>
      <c r="H24" s="69">
        <v>0</v>
      </c>
      <c r="I24" s="69">
        <v>0</v>
      </c>
      <c r="J24" s="71">
        <v>0</v>
      </c>
      <c r="K24" s="69">
        <f t="shared" si="17"/>
        <v>44.55</v>
      </c>
      <c r="L24" s="71">
        <v>405</v>
      </c>
      <c r="M24" s="65">
        <v>5.3</v>
      </c>
    </row>
    <row r="25" spans="1:13" ht="15.75" customHeight="1" x14ac:dyDescent="0.25">
      <c r="A25" s="73">
        <v>19.62</v>
      </c>
      <c r="B25" s="65">
        <v>40</v>
      </c>
      <c r="C25" s="71">
        <v>30</v>
      </c>
      <c r="D25" s="69">
        <f t="shared" si="14"/>
        <v>810</v>
      </c>
      <c r="E25" s="69">
        <f t="shared" si="15"/>
        <v>943.65</v>
      </c>
      <c r="F25" s="69">
        <f t="shared" si="16"/>
        <v>141.75</v>
      </c>
      <c r="G25" s="65">
        <v>19.5</v>
      </c>
      <c r="H25" s="69">
        <v>0</v>
      </c>
      <c r="I25" s="69">
        <v>0</v>
      </c>
      <c r="J25" s="71">
        <v>0</v>
      </c>
      <c r="K25" s="69">
        <f t="shared" si="17"/>
        <v>44.55</v>
      </c>
      <c r="L25" s="71">
        <v>405</v>
      </c>
      <c r="M25" s="65">
        <v>5.2</v>
      </c>
    </row>
    <row r="26" spans="1:13" ht="15.75" customHeight="1" x14ac:dyDescent="0.25">
      <c r="A26" s="73">
        <v>58.85</v>
      </c>
      <c r="B26" s="65">
        <v>80</v>
      </c>
      <c r="C26" s="71">
        <v>60</v>
      </c>
      <c r="D26" s="69">
        <f t="shared" si="14"/>
        <v>810</v>
      </c>
      <c r="E26" s="69">
        <f t="shared" si="15"/>
        <v>943.65</v>
      </c>
      <c r="F26" s="69">
        <f t="shared" si="16"/>
        <v>141.75</v>
      </c>
      <c r="G26" s="65">
        <v>13</v>
      </c>
      <c r="H26" s="69">
        <v>0</v>
      </c>
      <c r="I26" s="69">
        <v>0</v>
      </c>
      <c r="J26" s="71">
        <v>0</v>
      </c>
      <c r="K26" s="69">
        <f t="shared" si="17"/>
        <v>44.55</v>
      </c>
      <c r="L26" s="71">
        <v>405</v>
      </c>
      <c r="M26" s="65">
        <v>7.2</v>
      </c>
    </row>
    <row r="27" spans="1:13" ht="15.75" customHeight="1" x14ac:dyDescent="0.25">
      <c r="A27" s="73">
        <v>58.85</v>
      </c>
      <c r="B27" s="65">
        <v>40</v>
      </c>
      <c r="C27" s="71">
        <v>30</v>
      </c>
      <c r="D27" s="69">
        <f t="shared" si="14"/>
        <v>810</v>
      </c>
      <c r="E27" s="69">
        <f t="shared" si="15"/>
        <v>943.65</v>
      </c>
      <c r="F27" s="69">
        <f t="shared" si="16"/>
        <v>141.75</v>
      </c>
      <c r="G27" s="65">
        <v>20</v>
      </c>
      <c r="H27" s="69">
        <v>0</v>
      </c>
      <c r="I27" s="69">
        <v>0</v>
      </c>
      <c r="J27" s="71">
        <v>0</v>
      </c>
      <c r="K27" s="69">
        <f t="shared" si="17"/>
        <v>44.55</v>
      </c>
      <c r="L27" s="71">
        <v>405</v>
      </c>
      <c r="M27" s="65">
        <v>6.3</v>
      </c>
    </row>
    <row r="28" spans="1:13" ht="15.75" customHeight="1" x14ac:dyDescent="0.25">
      <c r="A28" s="73">
        <v>0</v>
      </c>
      <c r="B28" s="65">
        <v>0</v>
      </c>
      <c r="C28" s="71">
        <v>0</v>
      </c>
      <c r="D28" s="69">
        <f t="shared" ref="D28:E32" si="18">350*2.68</f>
        <v>938</v>
      </c>
      <c r="E28" s="69">
        <f t="shared" si="18"/>
        <v>938</v>
      </c>
      <c r="F28" s="69">
        <f t="shared" ref="F28:F32" si="19">350*0.5</f>
        <v>175</v>
      </c>
      <c r="G28" s="65">
        <v>4.75</v>
      </c>
      <c r="H28" s="69">
        <v>0</v>
      </c>
      <c r="I28" s="69">
        <v>0</v>
      </c>
      <c r="J28" s="71">
        <v>0</v>
      </c>
      <c r="K28" s="71">
        <v>0</v>
      </c>
      <c r="L28" s="71">
        <v>350</v>
      </c>
      <c r="M28" s="65">
        <v>3.7</v>
      </c>
    </row>
    <row r="29" spans="1:13" ht="15.75" customHeight="1" x14ac:dyDescent="0.25">
      <c r="A29" s="73">
        <v>19.62</v>
      </c>
      <c r="B29" s="65">
        <v>80</v>
      </c>
      <c r="C29" s="71">
        <v>60</v>
      </c>
      <c r="D29" s="69">
        <f t="shared" si="18"/>
        <v>938</v>
      </c>
      <c r="E29" s="69">
        <f t="shared" si="18"/>
        <v>938</v>
      </c>
      <c r="F29" s="69">
        <f t="shared" si="19"/>
        <v>175</v>
      </c>
      <c r="G29" s="65">
        <v>4.75</v>
      </c>
      <c r="H29" s="69">
        <v>0</v>
      </c>
      <c r="I29" s="69">
        <v>0</v>
      </c>
      <c r="J29" s="71">
        <v>0</v>
      </c>
      <c r="K29" s="71">
        <v>0</v>
      </c>
      <c r="L29" s="71">
        <v>350</v>
      </c>
      <c r="M29" s="65">
        <v>4.4000000000000004</v>
      </c>
    </row>
    <row r="30" spans="1:13" ht="15.75" customHeight="1" x14ac:dyDescent="0.25">
      <c r="A30" s="73">
        <v>19.62</v>
      </c>
      <c r="B30" s="65">
        <v>40</v>
      </c>
      <c r="C30" s="71">
        <v>30</v>
      </c>
      <c r="D30" s="69">
        <f t="shared" si="18"/>
        <v>938</v>
      </c>
      <c r="E30" s="69">
        <f t="shared" si="18"/>
        <v>938</v>
      </c>
      <c r="F30" s="69">
        <f t="shared" si="19"/>
        <v>175</v>
      </c>
      <c r="G30" s="65">
        <v>6</v>
      </c>
      <c r="H30" s="69">
        <v>0</v>
      </c>
      <c r="I30" s="69">
        <v>0</v>
      </c>
      <c r="J30" s="71">
        <v>0</v>
      </c>
      <c r="K30" s="71">
        <v>0</v>
      </c>
      <c r="L30" s="71">
        <v>350</v>
      </c>
      <c r="M30" s="65">
        <v>4.2</v>
      </c>
    </row>
    <row r="31" spans="1:13" ht="15.75" customHeight="1" x14ac:dyDescent="0.25">
      <c r="A31" s="73">
        <v>58.85</v>
      </c>
      <c r="B31" s="65">
        <v>80</v>
      </c>
      <c r="C31" s="71">
        <v>60</v>
      </c>
      <c r="D31" s="69">
        <f t="shared" si="18"/>
        <v>938</v>
      </c>
      <c r="E31" s="69">
        <f t="shared" si="18"/>
        <v>938</v>
      </c>
      <c r="F31" s="69">
        <f t="shared" si="19"/>
        <v>175</v>
      </c>
      <c r="G31" s="65">
        <v>7.5</v>
      </c>
      <c r="H31" s="69">
        <v>0</v>
      </c>
      <c r="I31" s="69">
        <v>0</v>
      </c>
      <c r="J31" s="71">
        <v>0</v>
      </c>
      <c r="K31" s="71">
        <v>0</v>
      </c>
      <c r="L31" s="71">
        <v>350</v>
      </c>
      <c r="M31" s="65">
        <v>5.2</v>
      </c>
    </row>
    <row r="32" spans="1:13" ht="15.75" customHeight="1" x14ac:dyDescent="0.25">
      <c r="A32" s="73">
        <v>58.85</v>
      </c>
      <c r="B32" s="65">
        <v>40</v>
      </c>
      <c r="C32" s="71">
        <v>30</v>
      </c>
      <c r="D32" s="69">
        <f t="shared" si="18"/>
        <v>938</v>
      </c>
      <c r="E32" s="69">
        <f t="shared" si="18"/>
        <v>938</v>
      </c>
      <c r="F32" s="69">
        <f t="shared" si="19"/>
        <v>175</v>
      </c>
      <c r="G32" s="65">
        <v>10.25</v>
      </c>
      <c r="H32" s="69">
        <v>0</v>
      </c>
      <c r="I32" s="69">
        <v>0</v>
      </c>
      <c r="J32" s="71">
        <v>0</v>
      </c>
      <c r="K32" s="71">
        <v>0</v>
      </c>
      <c r="L32" s="71">
        <v>350</v>
      </c>
      <c r="M32" s="65">
        <v>4.8</v>
      </c>
    </row>
    <row r="33" spans="1:13" ht="15.75" customHeight="1" x14ac:dyDescent="0.25">
      <c r="A33" s="73">
        <v>0</v>
      </c>
      <c r="B33" s="65">
        <v>0</v>
      </c>
      <c r="C33" s="71">
        <v>0</v>
      </c>
      <c r="D33" s="69">
        <f t="shared" ref="D33:E37" si="20">315*2.97</f>
        <v>935.55000000000007</v>
      </c>
      <c r="E33" s="69">
        <f t="shared" si="20"/>
        <v>935.55000000000007</v>
      </c>
      <c r="F33" s="69">
        <f t="shared" ref="F33:F37" si="21">315*0.5</f>
        <v>157.5</v>
      </c>
      <c r="G33" s="65">
        <v>6.25</v>
      </c>
      <c r="H33" s="69">
        <v>0</v>
      </c>
      <c r="I33" s="69">
        <v>0</v>
      </c>
      <c r="J33" s="71">
        <v>0</v>
      </c>
      <c r="K33" s="69">
        <f t="shared" ref="K33:K37" si="22">315*0.11</f>
        <v>34.65</v>
      </c>
      <c r="L33" s="71">
        <v>315</v>
      </c>
      <c r="M33" s="65">
        <v>4.0999999999999996</v>
      </c>
    </row>
    <row r="34" spans="1:13" ht="15.75" customHeight="1" x14ac:dyDescent="0.25">
      <c r="A34" s="73">
        <v>19.62</v>
      </c>
      <c r="B34" s="65">
        <v>80</v>
      </c>
      <c r="C34" s="71">
        <v>60</v>
      </c>
      <c r="D34" s="69">
        <f t="shared" si="20"/>
        <v>935.55000000000007</v>
      </c>
      <c r="E34" s="69">
        <f t="shared" si="20"/>
        <v>935.55000000000007</v>
      </c>
      <c r="F34" s="69">
        <f t="shared" si="21"/>
        <v>157.5</v>
      </c>
      <c r="G34" s="65">
        <v>6.75</v>
      </c>
      <c r="H34" s="69">
        <v>0</v>
      </c>
      <c r="I34" s="69">
        <v>0</v>
      </c>
      <c r="J34" s="71">
        <v>0</v>
      </c>
      <c r="K34" s="69">
        <f t="shared" si="22"/>
        <v>34.65</v>
      </c>
      <c r="L34" s="71">
        <v>315</v>
      </c>
      <c r="M34" s="65">
        <v>4.4000000000000004</v>
      </c>
    </row>
    <row r="35" spans="1:13" ht="15.75" customHeight="1" x14ac:dyDescent="0.25">
      <c r="A35" s="73">
        <v>19.62</v>
      </c>
      <c r="B35" s="65">
        <v>40</v>
      </c>
      <c r="C35" s="71">
        <v>30</v>
      </c>
      <c r="D35" s="69">
        <f t="shared" si="20"/>
        <v>935.55000000000007</v>
      </c>
      <c r="E35" s="69">
        <f t="shared" si="20"/>
        <v>935.55000000000007</v>
      </c>
      <c r="F35" s="69">
        <f t="shared" si="21"/>
        <v>157.5</v>
      </c>
      <c r="G35" s="65">
        <v>12.5</v>
      </c>
      <c r="H35" s="69">
        <v>0</v>
      </c>
      <c r="I35" s="69">
        <v>0</v>
      </c>
      <c r="J35" s="71">
        <v>0</v>
      </c>
      <c r="K35" s="69">
        <f t="shared" si="22"/>
        <v>34.65</v>
      </c>
      <c r="L35" s="71">
        <v>315</v>
      </c>
      <c r="M35" s="65">
        <v>4.4000000000000004</v>
      </c>
    </row>
    <row r="36" spans="1:13" ht="15.75" customHeight="1" x14ac:dyDescent="0.25">
      <c r="A36" s="73">
        <v>58.85</v>
      </c>
      <c r="B36" s="65">
        <v>80</v>
      </c>
      <c r="C36" s="71">
        <v>60</v>
      </c>
      <c r="D36" s="69">
        <f t="shared" si="20"/>
        <v>935.55000000000007</v>
      </c>
      <c r="E36" s="69">
        <f t="shared" si="20"/>
        <v>935.55000000000007</v>
      </c>
      <c r="F36" s="69">
        <f t="shared" si="21"/>
        <v>157.5</v>
      </c>
      <c r="G36" s="65">
        <v>8.5</v>
      </c>
      <c r="H36" s="69">
        <v>0</v>
      </c>
      <c r="I36" s="69">
        <v>0</v>
      </c>
      <c r="J36" s="71">
        <v>0</v>
      </c>
      <c r="K36" s="69">
        <f t="shared" si="22"/>
        <v>34.65</v>
      </c>
      <c r="L36" s="71">
        <v>315</v>
      </c>
      <c r="M36" s="65">
        <v>5.9</v>
      </c>
    </row>
    <row r="37" spans="1:13" ht="15.75" customHeight="1" x14ac:dyDescent="0.25">
      <c r="A37" s="73">
        <v>58.85</v>
      </c>
      <c r="B37" s="65">
        <v>40</v>
      </c>
      <c r="C37" s="71">
        <v>30</v>
      </c>
      <c r="D37" s="69">
        <f t="shared" si="20"/>
        <v>935.55000000000007</v>
      </c>
      <c r="E37" s="69">
        <f t="shared" si="20"/>
        <v>935.55000000000007</v>
      </c>
      <c r="F37" s="69">
        <f t="shared" si="21"/>
        <v>157.5</v>
      </c>
      <c r="G37" s="65">
        <v>11</v>
      </c>
      <c r="H37" s="69">
        <v>0</v>
      </c>
      <c r="I37" s="69">
        <v>0</v>
      </c>
      <c r="J37" s="71">
        <v>0</v>
      </c>
      <c r="K37" s="69">
        <f t="shared" si="22"/>
        <v>34.65</v>
      </c>
      <c r="L37" s="71">
        <v>315</v>
      </c>
      <c r="M37" s="65">
        <v>5.5</v>
      </c>
    </row>
    <row r="38" spans="1:13" ht="15.75" customHeight="1" x14ac:dyDescent="0.25">
      <c r="A38" s="72">
        <v>0</v>
      </c>
      <c r="B38" s="70">
        <v>0</v>
      </c>
      <c r="C38" s="69">
        <v>0</v>
      </c>
      <c r="D38" s="69">
        <f t="shared" ref="D38:D40" si="23">451*1.44</f>
        <v>649.43999999999994</v>
      </c>
      <c r="E38" s="69">
        <f t="shared" ref="E38:E40" si="24">451*2.48</f>
        <v>1118.48</v>
      </c>
      <c r="F38" s="69">
        <f t="shared" ref="F38:F40" si="25">451*0.5</f>
        <v>225.5</v>
      </c>
      <c r="G38" s="70">
        <v>0</v>
      </c>
      <c r="H38" s="69">
        <v>0</v>
      </c>
      <c r="I38" s="69">
        <v>0</v>
      </c>
      <c r="J38" s="71">
        <v>0</v>
      </c>
      <c r="K38" s="69">
        <v>0</v>
      </c>
      <c r="L38" s="69">
        <v>451</v>
      </c>
      <c r="M38" s="70">
        <v>2.2999999999999998</v>
      </c>
    </row>
    <row r="39" spans="1:13" ht="15.75" customHeight="1" x14ac:dyDescent="0.25">
      <c r="A39" s="72">
        <v>117</v>
      </c>
      <c r="B39" s="70">
        <v>76</v>
      </c>
      <c r="C39" s="69">
        <v>38</v>
      </c>
      <c r="D39" s="69">
        <f t="shared" si="23"/>
        <v>649.43999999999994</v>
      </c>
      <c r="E39" s="69">
        <f t="shared" si="24"/>
        <v>1118.48</v>
      </c>
      <c r="F39" s="69">
        <f t="shared" si="25"/>
        <v>225.5</v>
      </c>
      <c r="G39" s="70">
        <v>0</v>
      </c>
      <c r="H39" s="69">
        <v>0</v>
      </c>
      <c r="I39" s="69">
        <v>0</v>
      </c>
      <c r="J39" s="71">
        <v>0</v>
      </c>
      <c r="K39" s="69">
        <v>0</v>
      </c>
      <c r="L39" s="69">
        <v>451</v>
      </c>
      <c r="M39" s="70">
        <v>3.22</v>
      </c>
    </row>
    <row r="40" spans="1:13" ht="15.75" customHeight="1" x14ac:dyDescent="0.25">
      <c r="A40" s="72">
        <v>117</v>
      </c>
      <c r="B40" s="70">
        <v>50</v>
      </c>
      <c r="C40" s="69">
        <v>15</v>
      </c>
      <c r="D40" s="69">
        <f t="shared" si="23"/>
        <v>649.43999999999994</v>
      </c>
      <c r="E40" s="69">
        <f t="shared" si="24"/>
        <v>1118.48</v>
      </c>
      <c r="F40" s="69">
        <f t="shared" si="25"/>
        <v>225.5</v>
      </c>
      <c r="G40" s="70">
        <v>0</v>
      </c>
      <c r="H40" s="69">
        <v>0</v>
      </c>
      <c r="I40" s="69">
        <v>0</v>
      </c>
      <c r="J40" s="71">
        <v>0</v>
      </c>
      <c r="K40" s="69">
        <v>0</v>
      </c>
      <c r="L40" s="69">
        <v>451</v>
      </c>
      <c r="M40" s="70">
        <v>2.8980000000000001</v>
      </c>
    </row>
    <row r="41" spans="1:13" ht="15.75" customHeight="1" x14ac:dyDescent="0.25">
      <c r="A41" s="73">
        <v>0</v>
      </c>
      <c r="B41" s="65">
        <v>0</v>
      </c>
      <c r="C41" s="71">
        <v>0</v>
      </c>
      <c r="D41" s="69">
        <f t="shared" ref="D41:D47" si="26">400*1.83</f>
        <v>732</v>
      </c>
      <c r="E41" s="69">
        <f t="shared" ref="E41:E47" si="27">400*3.46</f>
        <v>1384</v>
      </c>
      <c r="F41" s="69">
        <f t="shared" ref="F41:F47" si="28">400*0.51</f>
        <v>204</v>
      </c>
      <c r="G41" s="65">
        <v>0</v>
      </c>
      <c r="H41" s="69">
        <v>0</v>
      </c>
      <c r="I41" s="69">
        <v>0</v>
      </c>
      <c r="J41" s="71">
        <v>0</v>
      </c>
      <c r="K41" s="69">
        <v>0</v>
      </c>
      <c r="L41" s="71">
        <v>400</v>
      </c>
      <c r="M41" s="65">
        <v>2.2599999999999998</v>
      </c>
    </row>
    <row r="42" spans="1:13" ht="15.75" customHeight="1" x14ac:dyDescent="0.25">
      <c r="A42" s="73">
        <v>20</v>
      </c>
      <c r="B42" s="65">
        <v>21.25</v>
      </c>
      <c r="C42" s="71">
        <v>17</v>
      </c>
      <c r="D42" s="69">
        <f t="shared" si="26"/>
        <v>732</v>
      </c>
      <c r="E42" s="69">
        <f t="shared" si="27"/>
        <v>1384</v>
      </c>
      <c r="F42" s="69">
        <f t="shared" si="28"/>
        <v>204</v>
      </c>
      <c r="G42" s="65">
        <v>0</v>
      </c>
      <c r="H42" s="69">
        <v>0</v>
      </c>
      <c r="I42" s="69">
        <v>0</v>
      </c>
      <c r="J42" s="71">
        <v>0</v>
      </c>
      <c r="K42" s="69">
        <v>0</v>
      </c>
      <c r="L42" s="71">
        <v>400</v>
      </c>
      <c r="M42" s="65">
        <v>2.4</v>
      </c>
    </row>
    <row r="43" spans="1:13" ht="15.75" customHeight="1" x14ac:dyDescent="0.25">
      <c r="A43" s="73">
        <v>40</v>
      </c>
      <c r="B43" s="65">
        <v>21.25</v>
      </c>
      <c r="C43" s="71">
        <v>17</v>
      </c>
      <c r="D43" s="69">
        <f t="shared" si="26"/>
        <v>732</v>
      </c>
      <c r="E43" s="69">
        <f t="shared" si="27"/>
        <v>1384</v>
      </c>
      <c r="F43" s="69">
        <f t="shared" si="28"/>
        <v>204</v>
      </c>
      <c r="G43" s="65">
        <v>0</v>
      </c>
      <c r="H43" s="69">
        <v>0</v>
      </c>
      <c r="I43" s="69">
        <v>0</v>
      </c>
      <c r="J43" s="71">
        <v>0</v>
      </c>
      <c r="K43" s="69">
        <v>0</v>
      </c>
      <c r="L43" s="71">
        <v>400</v>
      </c>
      <c r="M43" s="65">
        <v>2.6</v>
      </c>
    </row>
    <row r="44" spans="1:13" ht="15.75" customHeight="1" x14ac:dyDescent="0.25">
      <c r="A44" s="73">
        <v>60</v>
      </c>
      <c r="B44" s="65">
        <v>21.25</v>
      </c>
      <c r="C44" s="71">
        <v>17</v>
      </c>
      <c r="D44" s="69">
        <f t="shared" si="26"/>
        <v>732</v>
      </c>
      <c r="E44" s="69">
        <f t="shared" si="27"/>
        <v>1384</v>
      </c>
      <c r="F44" s="69">
        <f t="shared" si="28"/>
        <v>204</v>
      </c>
      <c r="G44" s="65">
        <v>0</v>
      </c>
      <c r="H44" s="69">
        <v>0</v>
      </c>
      <c r="I44" s="69">
        <v>0</v>
      </c>
      <c r="J44" s="71">
        <v>0</v>
      </c>
      <c r="K44" s="69">
        <v>0</v>
      </c>
      <c r="L44" s="71">
        <v>400</v>
      </c>
      <c r="M44" s="65">
        <v>2.7</v>
      </c>
    </row>
    <row r="45" spans="1:13" ht="15.75" customHeight="1" x14ac:dyDescent="0.25">
      <c r="A45" s="73">
        <v>20</v>
      </c>
      <c r="B45" s="65">
        <v>21.25</v>
      </c>
      <c r="C45" s="71">
        <v>17</v>
      </c>
      <c r="D45" s="69">
        <f t="shared" si="26"/>
        <v>732</v>
      </c>
      <c r="E45" s="69">
        <f t="shared" si="27"/>
        <v>1384</v>
      </c>
      <c r="F45" s="69">
        <f t="shared" si="28"/>
        <v>204</v>
      </c>
      <c r="G45" s="65">
        <v>0</v>
      </c>
      <c r="H45" s="69">
        <v>0</v>
      </c>
      <c r="I45" s="69">
        <v>0</v>
      </c>
      <c r="J45" s="71">
        <v>0</v>
      </c>
      <c r="K45" s="69">
        <v>0</v>
      </c>
      <c r="L45" s="71">
        <v>400</v>
      </c>
      <c r="M45" s="65">
        <v>2.2999999999999998</v>
      </c>
    </row>
    <row r="46" spans="1:13" ht="15.75" customHeight="1" x14ac:dyDescent="0.25">
      <c r="A46" s="73">
        <v>40</v>
      </c>
      <c r="B46" s="65">
        <v>21.25</v>
      </c>
      <c r="C46" s="71">
        <v>17</v>
      </c>
      <c r="D46" s="69">
        <f t="shared" si="26"/>
        <v>732</v>
      </c>
      <c r="E46" s="69">
        <f t="shared" si="27"/>
        <v>1384</v>
      </c>
      <c r="F46" s="69">
        <f t="shared" si="28"/>
        <v>204</v>
      </c>
      <c r="G46" s="65">
        <v>0</v>
      </c>
      <c r="H46" s="69">
        <v>0</v>
      </c>
      <c r="I46" s="69">
        <v>0</v>
      </c>
      <c r="J46" s="71">
        <v>0</v>
      </c>
      <c r="K46" s="69">
        <v>0</v>
      </c>
      <c r="L46" s="71">
        <v>400</v>
      </c>
      <c r="M46" s="65">
        <v>2.4700000000000002</v>
      </c>
    </row>
    <row r="47" spans="1:13" ht="15.75" customHeight="1" x14ac:dyDescent="0.25">
      <c r="A47" s="73">
        <v>60</v>
      </c>
      <c r="B47" s="65">
        <v>21.25</v>
      </c>
      <c r="C47" s="71">
        <v>17</v>
      </c>
      <c r="D47" s="69">
        <f t="shared" si="26"/>
        <v>732</v>
      </c>
      <c r="E47" s="69">
        <f t="shared" si="27"/>
        <v>1384</v>
      </c>
      <c r="F47" s="69">
        <f t="shared" si="28"/>
        <v>204</v>
      </c>
      <c r="G47" s="65">
        <v>0</v>
      </c>
      <c r="H47" s="69">
        <v>0</v>
      </c>
      <c r="I47" s="69">
        <v>0</v>
      </c>
      <c r="J47" s="71">
        <v>0</v>
      </c>
      <c r="K47" s="69">
        <v>0</v>
      </c>
      <c r="L47" s="71">
        <v>400</v>
      </c>
      <c r="M47" s="65">
        <v>2.56</v>
      </c>
    </row>
    <row r="48" spans="1:13" ht="15.75" customHeight="1" x14ac:dyDescent="0.25">
      <c r="A48" s="74">
        <v>40</v>
      </c>
      <c r="B48" s="75">
        <v>61.904761899999997</v>
      </c>
      <c r="C48" s="76">
        <v>17</v>
      </c>
      <c r="D48" s="76">
        <f t="shared" ref="D48:D51" si="29">320*2.95</f>
        <v>944</v>
      </c>
      <c r="E48" s="76">
        <f t="shared" ref="E48:E51" si="30">320*3</f>
        <v>960</v>
      </c>
      <c r="F48" s="76">
        <f t="shared" ref="F48:F51" si="31">320*0.6</f>
        <v>192</v>
      </c>
      <c r="G48" s="75">
        <v>5.0830000000000002</v>
      </c>
      <c r="H48" s="76">
        <v>0</v>
      </c>
      <c r="I48" s="76">
        <v>0</v>
      </c>
      <c r="J48" s="77">
        <v>0</v>
      </c>
      <c r="K48" s="76">
        <v>0</v>
      </c>
      <c r="L48" s="76">
        <v>320</v>
      </c>
      <c r="M48" s="75">
        <v>3.1</v>
      </c>
    </row>
    <row r="49" spans="1:13" ht="15.75" customHeight="1" x14ac:dyDescent="0.25">
      <c r="A49" s="74">
        <v>75</v>
      </c>
      <c r="B49" s="75">
        <v>61.904761899999997</v>
      </c>
      <c r="C49" s="76">
        <v>17</v>
      </c>
      <c r="D49" s="76">
        <f t="shared" si="29"/>
        <v>944</v>
      </c>
      <c r="E49" s="76">
        <f t="shared" si="30"/>
        <v>960</v>
      </c>
      <c r="F49" s="76">
        <f t="shared" si="31"/>
        <v>192</v>
      </c>
      <c r="G49" s="75">
        <v>5.0830000000000002</v>
      </c>
      <c r="H49" s="76">
        <v>0</v>
      </c>
      <c r="I49" s="76">
        <v>0</v>
      </c>
      <c r="J49" s="77">
        <v>0</v>
      </c>
      <c r="K49" s="76">
        <v>0</v>
      </c>
      <c r="L49" s="76">
        <v>320</v>
      </c>
      <c r="M49" s="75">
        <v>3.1</v>
      </c>
    </row>
    <row r="50" spans="1:13" ht="15.75" customHeight="1" x14ac:dyDescent="0.25">
      <c r="A50" s="74">
        <v>40</v>
      </c>
      <c r="B50" s="75">
        <v>54.545454550000002</v>
      </c>
      <c r="C50" s="76">
        <v>17</v>
      </c>
      <c r="D50" s="76">
        <f t="shared" si="29"/>
        <v>944</v>
      </c>
      <c r="E50" s="76">
        <f t="shared" si="30"/>
        <v>960</v>
      </c>
      <c r="F50" s="76">
        <f t="shared" si="31"/>
        <v>192</v>
      </c>
      <c r="G50" s="75">
        <v>5.0830000000000002</v>
      </c>
      <c r="H50" s="76">
        <v>0</v>
      </c>
      <c r="I50" s="76">
        <v>0</v>
      </c>
      <c r="J50" s="77">
        <v>0</v>
      </c>
      <c r="K50" s="76">
        <v>0</v>
      </c>
      <c r="L50" s="76">
        <v>320</v>
      </c>
      <c r="M50" s="75">
        <v>2.7</v>
      </c>
    </row>
    <row r="51" spans="1:13" ht="15.75" customHeight="1" x14ac:dyDescent="0.25">
      <c r="A51" s="74">
        <v>75</v>
      </c>
      <c r="B51" s="75">
        <v>54.545454550000002</v>
      </c>
      <c r="C51" s="76">
        <v>17</v>
      </c>
      <c r="D51" s="76">
        <f t="shared" si="29"/>
        <v>944</v>
      </c>
      <c r="E51" s="76">
        <f t="shared" si="30"/>
        <v>960</v>
      </c>
      <c r="F51" s="76">
        <f t="shared" si="31"/>
        <v>192</v>
      </c>
      <c r="G51" s="75">
        <v>5.0830000000000002</v>
      </c>
      <c r="H51" s="76">
        <v>0</v>
      </c>
      <c r="I51" s="76">
        <v>0</v>
      </c>
      <c r="J51" s="77">
        <v>0</v>
      </c>
      <c r="K51" s="76">
        <v>0</v>
      </c>
      <c r="L51" s="76">
        <v>320</v>
      </c>
      <c r="M51" s="75">
        <v>2.5</v>
      </c>
    </row>
    <row r="52" spans="1:13" ht="15.75" customHeight="1" x14ac:dyDescent="0.25">
      <c r="A52" s="73">
        <v>0</v>
      </c>
      <c r="B52" s="65">
        <v>0</v>
      </c>
      <c r="C52" s="71">
        <v>0</v>
      </c>
      <c r="D52" s="69">
        <f>385*2.39</f>
        <v>920.15000000000009</v>
      </c>
      <c r="E52" s="69">
        <f>385*2.29</f>
        <v>881.65</v>
      </c>
      <c r="F52" s="69">
        <f t="shared" ref="F52:F54" si="32">385*0.46</f>
        <v>177.1</v>
      </c>
      <c r="G52" s="65">
        <f>0.006*L52</f>
        <v>2.31</v>
      </c>
      <c r="H52" s="69">
        <v>0</v>
      </c>
      <c r="I52" s="69">
        <v>0</v>
      </c>
      <c r="J52" s="71">
        <v>0</v>
      </c>
      <c r="K52" s="69">
        <v>0</v>
      </c>
      <c r="L52" s="71">
        <v>385</v>
      </c>
      <c r="M52" s="65">
        <v>3.22</v>
      </c>
    </row>
    <row r="53" spans="1:13" ht="15.75" customHeight="1" x14ac:dyDescent="0.25">
      <c r="A53" s="73">
        <v>39</v>
      </c>
      <c r="B53" s="65">
        <f t="shared" ref="B53:B57" si="33">60/0.75</f>
        <v>80</v>
      </c>
      <c r="C53" s="71">
        <v>60</v>
      </c>
      <c r="D53" s="69">
        <f>385*2.37</f>
        <v>912.45</v>
      </c>
      <c r="E53" s="69">
        <f>385*2.27</f>
        <v>873.95</v>
      </c>
      <c r="F53" s="69">
        <f t="shared" si="32"/>
        <v>177.1</v>
      </c>
      <c r="G53" s="65">
        <f>0.01*L53</f>
        <v>3.85</v>
      </c>
      <c r="H53" s="69">
        <v>0</v>
      </c>
      <c r="I53" s="69">
        <v>0</v>
      </c>
      <c r="J53" s="71">
        <v>0</v>
      </c>
      <c r="K53" s="69">
        <v>0</v>
      </c>
      <c r="L53" s="71">
        <v>385</v>
      </c>
      <c r="M53" s="65">
        <v>3.84</v>
      </c>
    </row>
    <row r="54" spans="1:13" ht="15.75" customHeight="1" x14ac:dyDescent="0.25">
      <c r="A54" s="73">
        <v>78</v>
      </c>
      <c r="B54" s="65">
        <f t="shared" si="33"/>
        <v>80</v>
      </c>
      <c r="C54" s="71">
        <v>60</v>
      </c>
      <c r="D54" s="69">
        <f>385*2.35</f>
        <v>904.75</v>
      </c>
      <c r="E54" s="69">
        <f>385*2.26</f>
        <v>870.09999999999991</v>
      </c>
      <c r="F54" s="69">
        <f t="shared" si="32"/>
        <v>177.1</v>
      </c>
      <c r="G54" s="65">
        <f>0.012*L54</f>
        <v>4.62</v>
      </c>
      <c r="H54" s="69">
        <v>0</v>
      </c>
      <c r="I54" s="69">
        <v>0</v>
      </c>
      <c r="J54" s="71">
        <v>0</v>
      </c>
      <c r="K54" s="69">
        <v>0</v>
      </c>
      <c r="L54" s="71">
        <v>385</v>
      </c>
      <c r="M54" s="65">
        <v>5.22</v>
      </c>
    </row>
    <row r="55" spans="1:13" ht="15.75" customHeight="1" x14ac:dyDescent="0.25">
      <c r="A55" s="73">
        <v>0</v>
      </c>
      <c r="B55" s="65">
        <f t="shared" si="33"/>
        <v>80</v>
      </c>
      <c r="C55" s="71">
        <v>60</v>
      </c>
      <c r="D55" s="69">
        <f>450*2.03</f>
        <v>913.49999999999989</v>
      </c>
      <c r="E55" s="69">
        <f>450*1.95</f>
        <v>877.5</v>
      </c>
      <c r="F55" s="69">
        <f>450*0.36</f>
        <v>162</v>
      </c>
      <c r="G55" s="65">
        <f>0.011*L55</f>
        <v>4.9499999999999993</v>
      </c>
      <c r="H55" s="69">
        <v>0</v>
      </c>
      <c r="I55" s="69">
        <v>0</v>
      </c>
      <c r="J55" s="71">
        <v>0</v>
      </c>
      <c r="K55" s="69">
        <v>0</v>
      </c>
      <c r="L55" s="71">
        <v>450</v>
      </c>
      <c r="M55" s="65">
        <v>4.3899999999999997</v>
      </c>
    </row>
    <row r="56" spans="1:13" ht="15.75" customHeight="1" x14ac:dyDescent="0.25">
      <c r="A56" s="73">
        <v>39</v>
      </c>
      <c r="B56" s="65">
        <f t="shared" si="33"/>
        <v>80</v>
      </c>
      <c r="C56" s="71">
        <v>60</v>
      </c>
      <c r="D56" s="69">
        <f>450*2.01</f>
        <v>904.49999999999989</v>
      </c>
      <c r="E56" s="69">
        <f>450*1.93</f>
        <v>868.5</v>
      </c>
      <c r="F56" s="69">
        <v>162</v>
      </c>
      <c r="G56" s="65">
        <f>0.013*L56</f>
        <v>5.85</v>
      </c>
      <c r="H56" s="69">
        <v>0</v>
      </c>
      <c r="I56" s="69">
        <v>0</v>
      </c>
      <c r="J56" s="71">
        <v>0</v>
      </c>
      <c r="K56" s="69">
        <v>0</v>
      </c>
      <c r="L56" s="71">
        <v>450</v>
      </c>
      <c r="M56" s="65">
        <v>4.7699999999999996</v>
      </c>
    </row>
    <row r="57" spans="1:13" ht="15.75" customHeight="1" x14ac:dyDescent="0.25">
      <c r="A57" s="73">
        <v>78</v>
      </c>
      <c r="B57" s="65">
        <f t="shared" si="33"/>
        <v>80</v>
      </c>
      <c r="C57" s="71">
        <v>60</v>
      </c>
      <c r="D57" s="69">
        <f>450*2</f>
        <v>900</v>
      </c>
      <c r="E57" s="69">
        <f>450*1.92</f>
        <v>864</v>
      </c>
      <c r="F57" s="69">
        <v>162</v>
      </c>
      <c r="G57" s="65">
        <f>0.015*L57</f>
        <v>6.75</v>
      </c>
      <c r="H57" s="69">
        <v>0</v>
      </c>
      <c r="I57" s="69">
        <v>0</v>
      </c>
      <c r="J57" s="71">
        <v>0</v>
      </c>
      <c r="K57" s="69">
        <v>0</v>
      </c>
      <c r="L57" s="71">
        <v>450</v>
      </c>
      <c r="M57" s="65">
        <v>5.68</v>
      </c>
    </row>
    <row r="58" spans="1:13" ht="15.75" customHeight="1" x14ac:dyDescent="0.25">
      <c r="A58" s="73">
        <v>0</v>
      </c>
      <c r="B58" s="65">
        <v>0</v>
      </c>
      <c r="C58" s="71">
        <v>0</v>
      </c>
      <c r="D58" s="69">
        <f t="shared" ref="D58:D67" si="34">350*2.28</f>
        <v>797.99999999999989</v>
      </c>
      <c r="E58" s="69">
        <f t="shared" ref="E58:E67" si="35">350*3.08</f>
        <v>1078</v>
      </c>
      <c r="F58" s="69">
        <f t="shared" ref="F58:F67" si="36">350*0.45</f>
        <v>157.5</v>
      </c>
      <c r="G58" s="67">
        <f t="shared" ref="G58:G67" si="37">0.0012*L58</f>
        <v>0.42</v>
      </c>
      <c r="H58" s="69">
        <v>0</v>
      </c>
      <c r="I58" s="69">
        <v>0</v>
      </c>
      <c r="J58" s="71">
        <v>0</v>
      </c>
      <c r="K58" s="69">
        <v>0</v>
      </c>
      <c r="L58" s="71">
        <v>350</v>
      </c>
      <c r="M58" s="65">
        <v>3.26</v>
      </c>
    </row>
    <row r="59" spans="1:13" ht="15.75" customHeight="1" x14ac:dyDescent="0.25">
      <c r="A59" s="73">
        <v>39</v>
      </c>
      <c r="B59" s="65">
        <f t="shared" ref="B59:B61" si="38">40/0.62</f>
        <v>64.516129032258064</v>
      </c>
      <c r="C59" s="71">
        <v>40</v>
      </c>
      <c r="D59" s="69">
        <f t="shared" si="34"/>
        <v>797.99999999999989</v>
      </c>
      <c r="E59" s="69">
        <f t="shared" si="35"/>
        <v>1078</v>
      </c>
      <c r="F59" s="69">
        <f t="shared" si="36"/>
        <v>157.5</v>
      </c>
      <c r="G59" s="67">
        <f t="shared" si="37"/>
        <v>0.42</v>
      </c>
      <c r="H59" s="69">
        <v>0</v>
      </c>
      <c r="I59" s="69">
        <v>0</v>
      </c>
      <c r="J59" s="71">
        <v>0</v>
      </c>
      <c r="K59" s="69">
        <v>0</v>
      </c>
      <c r="L59" s="71">
        <v>350</v>
      </c>
      <c r="M59" s="65">
        <v>3.36</v>
      </c>
    </row>
    <row r="60" spans="1:13" ht="15.75" customHeight="1" x14ac:dyDescent="0.25">
      <c r="A60" s="73">
        <v>78</v>
      </c>
      <c r="B60" s="65">
        <f t="shared" si="38"/>
        <v>64.516129032258064</v>
      </c>
      <c r="C60" s="71">
        <v>40</v>
      </c>
      <c r="D60" s="69">
        <f t="shared" si="34"/>
        <v>797.99999999999989</v>
      </c>
      <c r="E60" s="69">
        <f t="shared" si="35"/>
        <v>1078</v>
      </c>
      <c r="F60" s="69">
        <f t="shared" si="36"/>
        <v>157.5</v>
      </c>
      <c r="G60" s="67">
        <f t="shared" si="37"/>
        <v>0.42</v>
      </c>
      <c r="H60" s="69">
        <v>0</v>
      </c>
      <c r="I60" s="69">
        <v>0</v>
      </c>
      <c r="J60" s="71">
        <v>0</v>
      </c>
      <c r="K60" s="69">
        <v>0</v>
      </c>
      <c r="L60" s="71">
        <v>350</v>
      </c>
      <c r="M60" s="65">
        <v>4.04</v>
      </c>
    </row>
    <row r="61" spans="1:13" ht="15.75" customHeight="1" x14ac:dyDescent="0.25">
      <c r="A61" s="73">
        <f>78+39</f>
        <v>117</v>
      </c>
      <c r="B61" s="65">
        <f t="shared" si="38"/>
        <v>64.516129032258064</v>
      </c>
      <c r="C61" s="71">
        <v>40</v>
      </c>
      <c r="D61" s="69">
        <f t="shared" si="34"/>
        <v>797.99999999999989</v>
      </c>
      <c r="E61" s="69">
        <f t="shared" si="35"/>
        <v>1078</v>
      </c>
      <c r="F61" s="69">
        <f t="shared" si="36"/>
        <v>157.5</v>
      </c>
      <c r="G61" s="67">
        <f t="shared" si="37"/>
        <v>0.42</v>
      </c>
      <c r="H61" s="69">
        <v>0</v>
      </c>
      <c r="I61" s="69">
        <v>0</v>
      </c>
      <c r="J61" s="71">
        <v>0</v>
      </c>
      <c r="K61" s="69">
        <v>0</v>
      </c>
      <c r="L61" s="71">
        <v>350</v>
      </c>
      <c r="M61" s="65">
        <v>4.47</v>
      </c>
    </row>
    <row r="62" spans="1:13" ht="15.75" customHeight="1" x14ac:dyDescent="0.25">
      <c r="A62" s="73">
        <v>39</v>
      </c>
      <c r="B62" s="65">
        <f t="shared" ref="B62:B64" si="39">50/0.62</f>
        <v>80.645161290322577</v>
      </c>
      <c r="C62" s="71">
        <v>50</v>
      </c>
      <c r="D62" s="69">
        <f t="shared" si="34"/>
        <v>797.99999999999989</v>
      </c>
      <c r="E62" s="69">
        <f t="shared" si="35"/>
        <v>1078</v>
      </c>
      <c r="F62" s="69">
        <f t="shared" si="36"/>
        <v>157.5</v>
      </c>
      <c r="G62" s="67">
        <f t="shared" si="37"/>
        <v>0.42</v>
      </c>
      <c r="H62" s="69">
        <v>0</v>
      </c>
      <c r="I62" s="69">
        <v>0</v>
      </c>
      <c r="J62" s="71">
        <v>0</v>
      </c>
      <c r="K62" s="69">
        <v>0</v>
      </c>
      <c r="L62" s="71">
        <v>350</v>
      </c>
      <c r="M62" s="65">
        <v>3.63</v>
      </c>
    </row>
    <row r="63" spans="1:13" ht="15.75" customHeight="1" x14ac:dyDescent="0.25">
      <c r="A63" s="73">
        <v>78</v>
      </c>
      <c r="B63" s="65">
        <f t="shared" si="39"/>
        <v>80.645161290322577</v>
      </c>
      <c r="C63" s="71">
        <v>50</v>
      </c>
      <c r="D63" s="69">
        <f t="shared" si="34"/>
        <v>797.99999999999989</v>
      </c>
      <c r="E63" s="69">
        <f t="shared" si="35"/>
        <v>1078</v>
      </c>
      <c r="F63" s="69">
        <f t="shared" si="36"/>
        <v>157.5</v>
      </c>
      <c r="G63" s="67">
        <f t="shared" si="37"/>
        <v>0.42</v>
      </c>
      <c r="H63" s="69">
        <v>0</v>
      </c>
      <c r="I63" s="69">
        <v>0</v>
      </c>
      <c r="J63" s="71">
        <v>0</v>
      </c>
      <c r="K63" s="69">
        <v>0</v>
      </c>
      <c r="L63" s="71">
        <v>350</v>
      </c>
      <c r="M63" s="65">
        <v>4.26</v>
      </c>
    </row>
    <row r="64" spans="1:13" ht="15.75" customHeight="1" x14ac:dyDescent="0.25">
      <c r="A64" s="73">
        <f>78+39</f>
        <v>117</v>
      </c>
      <c r="B64" s="65">
        <f t="shared" si="39"/>
        <v>80.645161290322577</v>
      </c>
      <c r="C64" s="71">
        <v>50</v>
      </c>
      <c r="D64" s="69">
        <f t="shared" si="34"/>
        <v>797.99999999999989</v>
      </c>
      <c r="E64" s="69">
        <f t="shared" si="35"/>
        <v>1078</v>
      </c>
      <c r="F64" s="69">
        <f t="shared" si="36"/>
        <v>157.5</v>
      </c>
      <c r="G64" s="67">
        <f t="shared" si="37"/>
        <v>0.42</v>
      </c>
      <c r="H64" s="69">
        <v>0</v>
      </c>
      <c r="I64" s="69">
        <v>0</v>
      </c>
      <c r="J64" s="71">
        <v>0</v>
      </c>
      <c r="K64" s="69">
        <v>0</v>
      </c>
      <c r="L64" s="71">
        <v>350</v>
      </c>
      <c r="M64" s="65">
        <v>4.71</v>
      </c>
    </row>
    <row r="65" spans="1:13" ht="15.75" customHeight="1" x14ac:dyDescent="0.25">
      <c r="A65" s="73">
        <v>39</v>
      </c>
      <c r="B65" s="65">
        <f t="shared" ref="B65:B67" si="40">60/0.75</f>
        <v>80</v>
      </c>
      <c r="C65" s="71">
        <v>60</v>
      </c>
      <c r="D65" s="69">
        <f t="shared" si="34"/>
        <v>797.99999999999989</v>
      </c>
      <c r="E65" s="69">
        <f t="shared" si="35"/>
        <v>1078</v>
      </c>
      <c r="F65" s="69">
        <f t="shared" si="36"/>
        <v>157.5</v>
      </c>
      <c r="G65" s="67">
        <f t="shared" si="37"/>
        <v>0.42</v>
      </c>
      <c r="H65" s="69">
        <v>0</v>
      </c>
      <c r="I65" s="69">
        <v>0</v>
      </c>
      <c r="J65" s="71">
        <v>0</v>
      </c>
      <c r="K65" s="69">
        <v>0</v>
      </c>
      <c r="L65" s="71">
        <v>350</v>
      </c>
      <c r="M65" s="65">
        <v>3.62</v>
      </c>
    </row>
    <row r="66" spans="1:13" ht="15.75" customHeight="1" x14ac:dyDescent="0.25">
      <c r="A66" s="73">
        <v>78</v>
      </c>
      <c r="B66" s="65">
        <f t="shared" si="40"/>
        <v>80</v>
      </c>
      <c r="C66" s="71">
        <v>60</v>
      </c>
      <c r="D66" s="69">
        <f t="shared" si="34"/>
        <v>797.99999999999989</v>
      </c>
      <c r="E66" s="69">
        <f t="shared" si="35"/>
        <v>1078</v>
      </c>
      <c r="F66" s="69">
        <f t="shared" si="36"/>
        <v>157.5</v>
      </c>
      <c r="G66" s="67">
        <f t="shared" si="37"/>
        <v>0.42</v>
      </c>
      <c r="H66" s="69">
        <v>0</v>
      </c>
      <c r="I66" s="69">
        <v>0</v>
      </c>
      <c r="J66" s="71">
        <v>0</v>
      </c>
      <c r="K66" s="69">
        <v>0</v>
      </c>
      <c r="L66" s="71">
        <v>350</v>
      </c>
      <c r="M66" s="65">
        <v>4.18</v>
      </c>
    </row>
    <row r="67" spans="1:13" ht="15.75" customHeight="1" x14ac:dyDescent="0.25">
      <c r="A67" s="73">
        <f>78+39</f>
        <v>117</v>
      </c>
      <c r="B67" s="65">
        <f t="shared" si="40"/>
        <v>80</v>
      </c>
      <c r="C67" s="71">
        <v>60</v>
      </c>
      <c r="D67" s="69">
        <f t="shared" si="34"/>
        <v>797.99999999999989</v>
      </c>
      <c r="E67" s="69">
        <f t="shared" si="35"/>
        <v>1078</v>
      </c>
      <c r="F67" s="69">
        <f t="shared" si="36"/>
        <v>157.5</v>
      </c>
      <c r="G67" s="67">
        <f t="shared" si="37"/>
        <v>0.42</v>
      </c>
      <c r="H67" s="69">
        <v>0</v>
      </c>
      <c r="I67" s="69">
        <v>0</v>
      </c>
      <c r="J67" s="71">
        <v>0</v>
      </c>
      <c r="K67" s="69">
        <v>0</v>
      </c>
      <c r="L67" s="71">
        <v>350</v>
      </c>
      <c r="M67" s="65">
        <v>4.79</v>
      </c>
    </row>
    <row r="68" spans="1:13" ht="15.75" customHeight="1" x14ac:dyDescent="0.25">
      <c r="A68" s="73">
        <v>0</v>
      </c>
      <c r="B68" s="65">
        <v>0</v>
      </c>
      <c r="C68" s="71">
        <v>0</v>
      </c>
      <c r="D68" s="69">
        <f t="shared" ref="D68:D77" si="41">450*1.59</f>
        <v>715.5</v>
      </c>
      <c r="E68" s="69">
        <f t="shared" ref="E68:E77" si="42">450*2.34</f>
        <v>1053</v>
      </c>
      <c r="F68" s="69">
        <f t="shared" ref="F68:F77" si="43">450*0.35</f>
        <v>157.5</v>
      </c>
      <c r="G68" s="67">
        <f t="shared" ref="G68:G77" si="44">0.0015*L68</f>
        <v>0.67500000000000004</v>
      </c>
      <c r="H68" s="69">
        <v>0</v>
      </c>
      <c r="I68" s="69">
        <v>0</v>
      </c>
      <c r="J68" s="71">
        <v>0</v>
      </c>
      <c r="K68" s="69">
        <v>0</v>
      </c>
      <c r="L68" s="71">
        <v>450</v>
      </c>
      <c r="M68" s="65">
        <v>3.65</v>
      </c>
    </row>
    <row r="69" spans="1:13" ht="15.75" customHeight="1" x14ac:dyDescent="0.25">
      <c r="A69" s="73">
        <v>39</v>
      </c>
      <c r="B69" s="65">
        <f t="shared" ref="B69:B71" si="45">40/0.62</f>
        <v>64.516129032258064</v>
      </c>
      <c r="C69" s="71">
        <v>40</v>
      </c>
      <c r="D69" s="69">
        <f t="shared" si="41"/>
        <v>715.5</v>
      </c>
      <c r="E69" s="69">
        <f t="shared" si="42"/>
        <v>1053</v>
      </c>
      <c r="F69" s="69">
        <f t="shared" si="43"/>
        <v>157.5</v>
      </c>
      <c r="G69" s="67">
        <f t="shared" si="44"/>
        <v>0.67500000000000004</v>
      </c>
      <c r="H69" s="69">
        <v>0</v>
      </c>
      <c r="I69" s="69">
        <v>0</v>
      </c>
      <c r="J69" s="71">
        <v>0</v>
      </c>
      <c r="K69" s="69">
        <v>0</v>
      </c>
      <c r="L69" s="71">
        <v>450</v>
      </c>
      <c r="M69" s="65">
        <v>3.84</v>
      </c>
    </row>
    <row r="70" spans="1:13" ht="15.75" customHeight="1" x14ac:dyDescent="0.25">
      <c r="A70" s="73">
        <v>78</v>
      </c>
      <c r="B70" s="65">
        <f t="shared" si="45"/>
        <v>64.516129032258064</v>
      </c>
      <c r="C70" s="71">
        <v>40</v>
      </c>
      <c r="D70" s="69">
        <f t="shared" si="41"/>
        <v>715.5</v>
      </c>
      <c r="E70" s="69">
        <f t="shared" si="42"/>
        <v>1053</v>
      </c>
      <c r="F70" s="69">
        <f t="shared" si="43"/>
        <v>157.5</v>
      </c>
      <c r="G70" s="67">
        <f t="shared" si="44"/>
        <v>0.67500000000000004</v>
      </c>
      <c r="H70" s="69">
        <v>0</v>
      </c>
      <c r="I70" s="69">
        <v>0</v>
      </c>
      <c r="J70" s="71">
        <v>0</v>
      </c>
      <c r="K70" s="69">
        <v>0</v>
      </c>
      <c r="L70" s="71">
        <v>450</v>
      </c>
      <c r="M70" s="65">
        <v>4.01</v>
      </c>
    </row>
    <row r="71" spans="1:13" ht="15.75" customHeight="1" x14ac:dyDescent="0.25">
      <c r="A71" s="73">
        <f>78+39</f>
        <v>117</v>
      </c>
      <c r="B71" s="65">
        <f t="shared" si="45"/>
        <v>64.516129032258064</v>
      </c>
      <c r="C71" s="71">
        <v>40</v>
      </c>
      <c r="D71" s="69">
        <f t="shared" si="41"/>
        <v>715.5</v>
      </c>
      <c r="E71" s="69">
        <f t="shared" si="42"/>
        <v>1053</v>
      </c>
      <c r="F71" s="69">
        <f t="shared" si="43"/>
        <v>157.5</v>
      </c>
      <c r="G71" s="67">
        <f t="shared" si="44"/>
        <v>0.67500000000000004</v>
      </c>
      <c r="H71" s="69">
        <v>0</v>
      </c>
      <c r="I71" s="69">
        <v>0</v>
      </c>
      <c r="J71" s="71">
        <v>0</v>
      </c>
      <c r="K71" s="69">
        <v>0</v>
      </c>
      <c r="L71" s="71">
        <v>450</v>
      </c>
      <c r="M71" s="65">
        <v>4.21</v>
      </c>
    </row>
    <row r="72" spans="1:13" ht="15.75" customHeight="1" x14ac:dyDescent="0.25">
      <c r="A72" s="73">
        <v>39</v>
      </c>
      <c r="B72" s="65">
        <f t="shared" ref="B72:B74" si="46">50/0.62</f>
        <v>80.645161290322577</v>
      </c>
      <c r="C72" s="71">
        <v>50</v>
      </c>
      <c r="D72" s="69">
        <f t="shared" si="41"/>
        <v>715.5</v>
      </c>
      <c r="E72" s="69">
        <f t="shared" si="42"/>
        <v>1053</v>
      </c>
      <c r="F72" s="69">
        <f t="shared" si="43"/>
        <v>157.5</v>
      </c>
      <c r="G72" s="67">
        <f t="shared" si="44"/>
        <v>0.67500000000000004</v>
      </c>
      <c r="H72" s="69">
        <v>0</v>
      </c>
      <c r="I72" s="69">
        <v>0</v>
      </c>
      <c r="J72" s="71">
        <v>0</v>
      </c>
      <c r="K72" s="69">
        <v>0</v>
      </c>
      <c r="L72" s="71">
        <v>450</v>
      </c>
      <c r="M72" s="65">
        <v>4.0599999999999996</v>
      </c>
    </row>
    <row r="73" spans="1:13" ht="15.75" customHeight="1" x14ac:dyDescent="0.25">
      <c r="A73" s="73">
        <v>78</v>
      </c>
      <c r="B73" s="65">
        <f t="shared" si="46"/>
        <v>80.645161290322577</v>
      </c>
      <c r="C73" s="71">
        <v>50</v>
      </c>
      <c r="D73" s="69">
        <f t="shared" si="41"/>
        <v>715.5</v>
      </c>
      <c r="E73" s="69">
        <f t="shared" si="42"/>
        <v>1053</v>
      </c>
      <c r="F73" s="69">
        <f t="shared" si="43"/>
        <v>157.5</v>
      </c>
      <c r="G73" s="67">
        <f t="shared" si="44"/>
        <v>0.67500000000000004</v>
      </c>
      <c r="H73" s="69">
        <v>0</v>
      </c>
      <c r="I73" s="69">
        <v>0</v>
      </c>
      <c r="J73" s="71">
        <v>0</v>
      </c>
      <c r="K73" s="69">
        <v>0</v>
      </c>
      <c r="L73" s="71">
        <v>450</v>
      </c>
      <c r="M73" s="65">
        <v>4.2</v>
      </c>
    </row>
    <row r="74" spans="1:13" ht="15.75" customHeight="1" x14ac:dyDescent="0.25">
      <c r="A74" s="73">
        <f>78+39</f>
        <v>117</v>
      </c>
      <c r="B74" s="65">
        <f t="shared" si="46"/>
        <v>80.645161290322577</v>
      </c>
      <c r="C74" s="71">
        <v>50</v>
      </c>
      <c r="D74" s="69">
        <f t="shared" si="41"/>
        <v>715.5</v>
      </c>
      <c r="E74" s="69">
        <f t="shared" si="42"/>
        <v>1053</v>
      </c>
      <c r="F74" s="69">
        <f t="shared" si="43"/>
        <v>157.5</v>
      </c>
      <c r="G74" s="67">
        <f t="shared" si="44"/>
        <v>0.67500000000000004</v>
      </c>
      <c r="H74" s="69">
        <v>0</v>
      </c>
      <c r="I74" s="69">
        <v>0</v>
      </c>
      <c r="J74" s="71">
        <v>0</v>
      </c>
      <c r="K74" s="69">
        <v>0</v>
      </c>
      <c r="L74" s="71">
        <v>450</v>
      </c>
      <c r="M74" s="65">
        <v>4.3099999999999996</v>
      </c>
    </row>
    <row r="75" spans="1:13" ht="15.75" customHeight="1" x14ac:dyDescent="0.25">
      <c r="A75" s="73">
        <v>39</v>
      </c>
      <c r="B75" s="65">
        <f t="shared" ref="B75:B77" si="47">60/0.75</f>
        <v>80</v>
      </c>
      <c r="C75" s="71">
        <v>60</v>
      </c>
      <c r="D75" s="69">
        <f t="shared" si="41"/>
        <v>715.5</v>
      </c>
      <c r="E75" s="69">
        <f t="shared" si="42"/>
        <v>1053</v>
      </c>
      <c r="F75" s="69">
        <f t="shared" si="43"/>
        <v>157.5</v>
      </c>
      <c r="G75" s="67">
        <f t="shared" si="44"/>
        <v>0.67500000000000004</v>
      </c>
      <c r="H75" s="69">
        <v>0</v>
      </c>
      <c r="I75" s="69">
        <v>0</v>
      </c>
      <c r="J75" s="71">
        <v>0</v>
      </c>
      <c r="K75" s="69">
        <v>0</v>
      </c>
      <c r="L75" s="71">
        <v>450</v>
      </c>
      <c r="M75" s="65">
        <v>3.94</v>
      </c>
    </row>
    <row r="76" spans="1:13" ht="15.75" customHeight="1" x14ac:dyDescent="0.25">
      <c r="A76" s="73">
        <v>78</v>
      </c>
      <c r="B76" s="65">
        <f t="shared" si="47"/>
        <v>80</v>
      </c>
      <c r="C76" s="71">
        <v>60</v>
      </c>
      <c r="D76" s="69">
        <f t="shared" si="41"/>
        <v>715.5</v>
      </c>
      <c r="E76" s="69">
        <f t="shared" si="42"/>
        <v>1053</v>
      </c>
      <c r="F76" s="69">
        <f t="shared" si="43"/>
        <v>157.5</v>
      </c>
      <c r="G76" s="67">
        <f t="shared" si="44"/>
        <v>0.67500000000000004</v>
      </c>
      <c r="H76" s="69">
        <v>0</v>
      </c>
      <c r="I76" s="69">
        <v>0</v>
      </c>
      <c r="J76" s="71">
        <v>0</v>
      </c>
      <c r="K76" s="69">
        <v>0</v>
      </c>
      <c r="L76" s="71">
        <v>450</v>
      </c>
      <c r="M76" s="65">
        <v>4.55</v>
      </c>
    </row>
    <row r="77" spans="1:13" ht="15.75" customHeight="1" x14ac:dyDescent="0.25">
      <c r="A77" s="73">
        <f>78+39</f>
        <v>117</v>
      </c>
      <c r="B77" s="65">
        <f t="shared" si="47"/>
        <v>80</v>
      </c>
      <c r="C77" s="71">
        <v>60</v>
      </c>
      <c r="D77" s="69">
        <f t="shared" si="41"/>
        <v>715.5</v>
      </c>
      <c r="E77" s="69">
        <f t="shared" si="42"/>
        <v>1053</v>
      </c>
      <c r="F77" s="69">
        <f t="shared" si="43"/>
        <v>157.5</v>
      </c>
      <c r="G77" s="67">
        <f t="shared" si="44"/>
        <v>0.67500000000000004</v>
      </c>
      <c r="H77" s="69">
        <v>0</v>
      </c>
      <c r="I77" s="69">
        <v>0</v>
      </c>
      <c r="J77" s="71">
        <v>0</v>
      </c>
      <c r="K77" s="69">
        <v>0</v>
      </c>
      <c r="L77" s="71">
        <v>450</v>
      </c>
      <c r="M77" s="65">
        <v>4.6900000000000004</v>
      </c>
    </row>
    <row r="78" spans="1:13" ht="15.75" customHeight="1" x14ac:dyDescent="0.25">
      <c r="A78" s="73">
        <v>0</v>
      </c>
      <c r="B78" s="65">
        <v>0</v>
      </c>
      <c r="C78" s="71">
        <v>0</v>
      </c>
      <c r="D78" s="69">
        <f t="shared" ref="D78:D87" si="48">1.24*L78</f>
        <v>682</v>
      </c>
      <c r="E78" s="69">
        <f t="shared" ref="E78:E87" si="49">1.91*L78</f>
        <v>1050.5</v>
      </c>
      <c r="F78" s="69">
        <f t="shared" ref="F78:F87" si="50">0.25*L78</f>
        <v>137.5</v>
      </c>
      <c r="G78" s="67">
        <f t="shared" ref="G78:G87" si="51">0.0025*L78</f>
        <v>1.375</v>
      </c>
      <c r="H78" s="69">
        <v>0</v>
      </c>
      <c r="I78" s="69">
        <v>0</v>
      </c>
      <c r="J78" s="71">
        <v>0</v>
      </c>
      <c r="K78" s="69">
        <v>0</v>
      </c>
      <c r="L78" s="71">
        <v>550</v>
      </c>
      <c r="M78" s="65">
        <v>4.1139999999999999</v>
      </c>
    </row>
    <row r="79" spans="1:13" ht="15.75" customHeight="1" x14ac:dyDescent="0.25">
      <c r="A79" s="73">
        <v>39</v>
      </c>
      <c r="B79" s="65">
        <f t="shared" ref="B79:B81" si="52">40/0.62</f>
        <v>64.516129032258064</v>
      </c>
      <c r="C79" s="71">
        <v>40</v>
      </c>
      <c r="D79" s="69">
        <f t="shared" si="48"/>
        <v>682</v>
      </c>
      <c r="E79" s="69">
        <f t="shared" si="49"/>
        <v>1050.5</v>
      </c>
      <c r="F79" s="69">
        <f t="shared" si="50"/>
        <v>137.5</v>
      </c>
      <c r="G79" s="67">
        <f t="shared" si="51"/>
        <v>1.375</v>
      </c>
      <c r="H79" s="69">
        <v>0</v>
      </c>
      <c r="I79" s="69">
        <v>0</v>
      </c>
      <c r="J79" s="71">
        <v>0</v>
      </c>
      <c r="K79" s="69">
        <v>0</v>
      </c>
      <c r="L79" s="71">
        <v>550</v>
      </c>
      <c r="M79" s="78">
        <v>4.4509999999999996</v>
      </c>
    </row>
    <row r="80" spans="1:13" ht="15.75" customHeight="1" x14ac:dyDescent="0.25">
      <c r="A80" s="73">
        <v>78</v>
      </c>
      <c r="B80" s="65">
        <f t="shared" si="52"/>
        <v>64.516129032258064</v>
      </c>
      <c r="C80" s="71">
        <v>40</v>
      </c>
      <c r="D80" s="69">
        <f t="shared" si="48"/>
        <v>682</v>
      </c>
      <c r="E80" s="69">
        <f t="shared" si="49"/>
        <v>1050.5</v>
      </c>
      <c r="F80" s="69">
        <f t="shared" si="50"/>
        <v>137.5</v>
      </c>
      <c r="G80" s="67">
        <f t="shared" si="51"/>
        <v>1.375</v>
      </c>
      <c r="H80" s="69">
        <v>0</v>
      </c>
      <c r="I80" s="69">
        <v>0</v>
      </c>
      <c r="J80" s="71">
        <v>0</v>
      </c>
      <c r="K80" s="69">
        <v>0</v>
      </c>
      <c r="L80" s="71">
        <v>550</v>
      </c>
      <c r="M80" s="78">
        <v>4.851</v>
      </c>
    </row>
    <row r="81" spans="1:13" ht="15.75" customHeight="1" x14ac:dyDescent="0.25">
      <c r="A81" s="73">
        <f>78+39</f>
        <v>117</v>
      </c>
      <c r="B81" s="65">
        <f t="shared" si="52"/>
        <v>64.516129032258064</v>
      </c>
      <c r="C81" s="71">
        <v>40</v>
      </c>
      <c r="D81" s="69">
        <f t="shared" si="48"/>
        <v>682</v>
      </c>
      <c r="E81" s="69">
        <f t="shared" si="49"/>
        <v>1050.5</v>
      </c>
      <c r="F81" s="69">
        <f t="shared" si="50"/>
        <v>137.5</v>
      </c>
      <c r="G81" s="67">
        <f t="shared" si="51"/>
        <v>1.375</v>
      </c>
      <c r="H81" s="69">
        <v>0</v>
      </c>
      <c r="I81" s="69">
        <v>0</v>
      </c>
      <c r="J81" s="71">
        <v>0</v>
      </c>
      <c r="K81" s="69">
        <v>0</v>
      </c>
      <c r="L81" s="71">
        <v>550</v>
      </c>
      <c r="M81" s="78">
        <v>5.3289999999999997</v>
      </c>
    </row>
    <row r="82" spans="1:13" ht="15.75" customHeight="1" x14ac:dyDescent="0.25">
      <c r="A82" s="73">
        <v>39</v>
      </c>
      <c r="B82" s="65">
        <f t="shared" ref="B82:B84" si="53">50/0.62</f>
        <v>80.645161290322577</v>
      </c>
      <c r="C82" s="71">
        <v>50</v>
      </c>
      <c r="D82" s="69">
        <f t="shared" si="48"/>
        <v>682</v>
      </c>
      <c r="E82" s="69">
        <f t="shared" si="49"/>
        <v>1050.5</v>
      </c>
      <c r="F82" s="69">
        <f t="shared" si="50"/>
        <v>137.5</v>
      </c>
      <c r="G82" s="67">
        <f t="shared" si="51"/>
        <v>1.375</v>
      </c>
      <c r="H82" s="69">
        <v>0</v>
      </c>
      <c r="I82" s="69">
        <v>0</v>
      </c>
      <c r="J82" s="71">
        <v>0</v>
      </c>
      <c r="K82" s="69">
        <v>0</v>
      </c>
      <c r="L82" s="71">
        <v>550</v>
      </c>
      <c r="M82" s="78">
        <v>4.617</v>
      </c>
    </row>
    <row r="83" spans="1:13" ht="15.75" customHeight="1" x14ac:dyDescent="0.25">
      <c r="A83" s="73">
        <v>78</v>
      </c>
      <c r="B83" s="65">
        <f t="shared" si="53"/>
        <v>80.645161290322577</v>
      </c>
      <c r="C83" s="71">
        <v>50</v>
      </c>
      <c r="D83" s="69">
        <f t="shared" si="48"/>
        <v>682</v>
      </c>
      <c r="E83" s="69">
        <f t="shared" si="49"/>
        <v>1050.5</v>
      </c>
      <c r="F83" s="69">
        <f t="shared" si="50"/>
        <v>137.5</v>
      </c>
      <c r="G83" s="67">
        <f t="shared" si="51"/>
        <v>1.375</v>
      </c>
      <c r="H83" s="69">
        <v>0</v>
      </c>
      <c r="I83" s="69">
        <v>0</v>
      </c>
      <c r="J83" s="71">
        <v>0</v>
      </c>
      <c r="K83" s="69">
        <v>0</v>
      </c>
      <c r="L83" s="71">
        <v>550</v>
      </c>
      <c r="M83" s="78">
        <v>4.9509999999999996</v>
      </c>
    </row>
    <row r="84" spans="1:13" ht="15.75" customHeight="1" x14ac:dyDescent="0.25">
      <c r="A84" s="73">
        <f>78+39</f>
        <v>117</v>
      </c>
      <c r="B84" s="65">
        <f t="shared" si="53"/>
        <v>80.645161290322577</v>
      </c>
      <c r="C84" s="71">
        <v>50</v>
      </c>
      <c r="D84" s="69">
        <f t="shared" si="48"/>
        <v>682</v>
      </c>
      <c r="E84" s="69">
        <f t="shared" si="49"/>
        <v>1050.5</v>
      </c>
      <c r="F84" s="69">
        <f t="shared" si="50"/>
        <v>137.5</v>
      </c>
      <c r="G84" s="67">
        <f t="shared" si="51"/>
        <v>1.375</v>
      </c>
      <c r="H84" s="69">
        <v>0</v>
      </c>
      <c r="I84" s="69">
        <v>0</v>
      </c>
      <c r="J84" s="71">
        <v>0</v>
      </c>
      <c r="K84" s="69">
        <v>0</v>
      </c>
      <c r="L84" s="71">
        <v>550</v>
      </c>
      <c r="M84" s="78">
        <v>5.319</v>
      </c>
    </row>
    <row r="85" spans="1:13" ht="15.75" customHeight="1" x14ac:dyDescent="0.25">
      <c r="A85" s="73">
        <v>39</v>
      </c>
      <c r="B85" s="65">
        <f t="shared" ref="B85:B87" si="54">60/0.75</f>
        <v>80</v>
      </c>
      <c r="C85" s="71">
        <v>60</v>
      </c>
      <c r="D85" s="69">
        <f t="shared" si="48"/>
        <v>682</v>
      </c>
      <c r="E85" s="69">
        <f t="shared" si="49"/>
        <v>1050.5</v>
      </c>
      <c r="F85" s="69">
        <f t="shared" si="50"/>
        <v>137.5</v>
      </c>
      <c r="G85" s="67">
        <f t="shared" si="51"/>
        <v>1.375</v>
      </c>
      <c r="H85" s="69">
        <v>0</v>
      </c>
      <c r="I85" s="69">
        <v>0</v>
      </c>
      <c r="J85" s="71">
        <v>0</v>
      </c>
      <c r="K85" s="69">
        <v>0</v>
      </c>
      <c r="L85" s="71">
        <v>550</v>
      </c>
      <c r="M85" s="78">
        <v>4.5570000000000004</v>
      </c>
    </row>
    <row r="86" spans="1:13" ht="15.75" customHeight="1" x14ac:dyDescent="0.25">
      <c r="A86" s="73">
        <v>78</v>
      </c>
      <c r="B86" s="65">
        <f t="shared" si="54"/>
        <v>80</v>
      </c>
      <c r="C86" s="71">
        <v>60</v>
      </c>
      <c r="D86" s="69">
        <f t="shared" si="48"/>
        <v>682</v>
      </c>
      <c r="E86" s="69">
        <f t="shared" si="49"/>
        <v>1050.5</v>
      </c>
      <c r="F86" s="69">
        <f t="shared" si="50"/>
        <v>137.5</v>
      </c>
      <c r="G86" s="67">
        <f t="shared" si="51"/>
        <v>1.375</v>
      </c>
      <c r="H86" s="69">
        <v>0</v>
      </c>
      <c r="I86" s="69">
        <v>0</v>
      </c>
      <c r="J86" s="71">
        <v>0</v>
      </c>
      <c r="K86" s="69">
        <v>0</v>
      </c>
      <c r="L86" s="71">
        <v>550</v>
      </c>
      <c r="M86" s="65">
        <v>4.8949999999999996</v>
      </c>
    </row>
    <row r="87" spans="1:13" ht="15.75" customHeight="1" x14ac:dyDescent="0.25">
      <c r="A87" s="73">
        <f>78+39</f>
        <v>117</v>
      </c>
      <c r="B87" s="65">
        <f t="shared" si="54"/>
        <v>80</v>
      </c>
      <c r="C87" s="71">
        <v>60</v>
      </c>
      <c r="D87" s="69">
        <f t="shared" si="48"/>
        <v>682</v>
      </c>
      <c r="E87" s="69">
        <f t="shared" si="49"/>
        <v>1050.5</v>
      </c>
      <c r="F87" s="69">
        <f t="shared" si="50"/>
        <v>137.5</v>
      </c>
      <c r="G87" s="67">
        <f t="shared" si="51"/>
        <v>1.375</v>
      </c>
      <c r="H87" s="69">
        <v>0</v>
      </c>
      <c r="I87" s="69">
        <v>0</v>
      </c>
      <c r="J87" s="71">
        <v>0</v>
      </c>
      <c r="K87" s="69">
        <v>0</v>
      </c>
      <c r="L87" s="71">
        <v>550</v>
      </c>
      <c r="M87" s="65">
        <v>5.4130000000000003</v>
      </c>
    </row>
    <row r="88" spans="1:13" ht="15.75" customHeight="1" x14ac:dyDescent="0.25">
      <c r="A88" s="73">
        <v>0</v>
      </c>
      <c r="B88" s="70">
        <v>0</v>
      </c>
      <c r="C88" s="69">
        <v>0</v>
      </c>
      <c r="D88" s="69">
        <f t="shared" ref="D88:D102" si="55">417*1.74</f>
        <v>725.58</v>
      </c>
      <c r="E88" s="69">
        <f t="shared" ref="E88:E102" si="56">417*2.6</f>
        <v>1084.2</v>
      </c>
      <c r="F88" s="69">
        <f t="shared" ref="F88:F102" si="57">417*0.42</f>
        <v>175.14</v>
      </c>
      <c r="G88" s="70">
        <v>4.2</v>
      </c>
      <c r="H88" s="69">
        <v>0</v>
      </c>
      <c r="I88" s="69">
        <v>0</v>
      </c>
      <c r="J88" s="71">
        <v>0</v>
      </c>
      <c r="K88" s="69">
        <v>0</v>
      </c>
      <c r="L88" s="69">
        <v>417</v>
      </c>
      <c r="M88" s="70">
        <v>2.75</v>
      </c>
    </row>
    <row r="89" spans="1:13" ht="15.75" customHeight="1" x14ac:dyDescent="0.25">
      <c r="A89" s="73">
        <f>79/2</f>
        <v>39.5</v>
      </c>
      <c r="B89" s="70">
        <f t="shared" ref="B89:B92" si="58">12/0.2</f>
        <v>60</v>
      </c>
      <c r="C89" s="69">
        <v>12</v>
      </c>
      <c r="D89" s="69">
        <f t="shared" si="55"/>
        <v>725.58</v>
      </c>
      <c r="E89" s="69">
        <f t="shared" si="56"/>
        <v>1084.2</v>
      </c>
      <c r="F89" s="69">
        <f t="shared" si="57"/>
        <v>175.14</v>
      </c>
      <c r="G89" s="70">
        <v>4.2</v>
      </c>
      <c r="H89" s="69">
        <v>0</v>
      </c>
      <c r="I89" s="69">
        <v>0</v>
      </c>
      <c r="J89" s="71">
        <v>0</v>
      </c>
      <c r="K89" s="69">
        <v>0</v>
      </c>
      <c r="L89" s="69">
        <v>417</v>
      </c>
      <c r="M89" s="70">
        <v>3.24</v>
      </c>
    </row>
    <row r="90" spans="1:13" ht="15.75" customHeight="1" x14ac:dyDescent="0.25">
      <c r="A90" s="73">
        <v>79</v>
      </c>
      <c r="B90" s="70">
        <f t="shared" si="58"/>
        <v>60</v>
      </c>
      <c r="C90" s="69">
        <v>12</v>
      </c>
      <c r="D90" s="69">
        <f t="shared" si="55"/>
        <v>725.58</v>
      </c>
      <c r="E90" s="69">
        <f t="shared" si="56"/>
        <v>1084.2</v>
      </c>
      <c r="F90" s="69">
        <f t="shared" si="57"/>
        <v>175.14</v>
      </c>
      <c r="G90" s="70">
        <v>4.2</v>
      </c>
      <c r="H90" s="69">
        <v>0</v>
      </c>
      <c r="I90" s="69">
        <v>0</v>
      </c>
      <c r="J90" s="71">
        <v>0</v>
      </c>
      <c r="K90" s="69">
        <v>0</v>
      </c>
      <c r="L90" s="69">
        <v>417</v>
      </c>
      <c r="M90" s="70">
        <v>3.79</v>
      </c>
    </row>
    <row r="91" spans="1:13" ht="15.75" customHeight="1" x14ac:dyDescent="0.25">
      <c r="A91" s="72">
        <f>79*1.5</f>
        <v>118.5</v>
      </c>
      <c r="B91" s="70">
        <f t="shared" si="58"/>
        <v>60</v>
      </c>
      <c r="C91" s="69">
        <v>12</v>
      </c>
      <c r="D91" s="69">
        <f t="shared" si="55"/>
        <v>725.58</v>
      </c>
      <c r="E91" s="69">
        <f t="shared" si="56"/>
        <v>1084.2</v>
      </c>
      <c r="F91" s="69">
        <f t="shared" si="57"/>
        <v>175.14</v>
      </c>
      <c r="G91" s="70">
        <v>4.2</v>
      </c>
      <c r="H91" s="69">
        <v>0</v>
      </c>
      <c r="I91" s="69">
        <v>0</v>
      </c>
      <c r="J91" s="71">
        <v>0</v>
      </c>
      <c r="K91" s="69">
        <v>0</v>
      </c>
      <c r="L91" s="69">
        <v>417</v>
      </c>
      <c r="M91" s="70">
        <v>3.95</v>
      </c>
    </row>
    <row r="92" spans="1:13" ht="15.75" customHeight="1" x14ac:dyDescent="0.25">
      <c r="A92" s="72">
        <f>79*2</f>
        <v>158</v>
      </c>
      <c r="B92" s="70">
        <f t="shared" si="58"/>
        <v>60</v>
      </c>
      <c r="C92" s="69">
        <v>12</v>
      </c>
      <c r="D92" s="69">
        <f t="shared" si="55"/>
        <v>725.58</v>
      </c>
      <c r="E92" s="69">
        <f t="shared" si="56"/>
        <v>1084.2</v>
      </c>
      <c r="F92" s="69">
        <f t="shared" si="57"/>
        <v>175.14</v>
      </c>
      <c r="G92" s="70">
        <v>4.2</v>
      </c>
      <c r="H92" s="69">
        <v>0</v>
      </c>
      <c r="I92" s="69">
        <v>0</v>
      </c>
      <c r="J92" s="71">
        <v>0</v>
      </c>
      <c r="K92" s="69">
        <v>0</v>
      </c>
      <c r="L92" s="69">
        <v>417</v>
      </c>
      <c r="M92" s="70">
        <v>4.12</v>
      </c>
    </row>
    <row r="93" spans="1:13" ht="15.75" customHeight="1" x14ac:dyDescent="0.25">
      <c r="A93" s="72">
        <f>79/2</f>
        <v>39.5</v>
      </c>
      <c r="B93" s="70">
        <f t="shared" ref="B93:B96" si="59">30/0.5</f>
        <v>60</v>
      </c>
      <c r="C93" s="69">
        <v>30</v>
      </c>
      <c r="D93" s="69">
        <f t="shared" si="55"/>
        <v>725.58</v>
      </c>
      <c r="E93" s="69">
        <f t="shared" si="56"/>
        <v>1084.2</v>
      </c>
      <c r="F93" s="69">
        <f t="shared" si="57"/>
        <v>175.14</v>
      </c>
      <c r="G93" s="70">
        <v>4.2</v>
      </c>
      <c r="H93" s="69">
        <v>0</v>
      </c>
      <c r="I93" s="69">
        <v>0</v>
      </c>
      <c r="J93" s="71">
        <v>0</v>
      </c>
      <c r="K93" s="69">
        <v>0</v>
      </c>
      <c r="L93" s="69">
        <v>417</v>
      </c>
      <c r="M93" s="70">
        <v>3.61</v>
      </c>
    </row>
    <row r="94" spans="1:13" ht="15.75" customHeight="1" x14ac:dyDescent="0.25">
      <c r="A94" s="72">
        <v>79</v>
      </c>
      <c r="B94" s="70">
        <f t="shared" si="59"/>
        <v>60</v>
      </c>
      <c r="C94" s="69">
        <v>30</v>
      </c>
      <c r="D94" s="69">
        <f t="shared" si="55"/>
        <v>725.58</v>
      </c>
      <c r="E94" s="69">
        <f t="shared" si="56"/>
        <v>1084.2</v>
      </c>
      <c r="F94" s="69">
        <f t="shared" si="57"/>
        <v>175.14</v>
      </c>
      <c r="G94" s="70">
        <v>4.2</v>
      </c>
      <c r="H94" s="69">
        <v>0</v>
      </c>
      <c r="I94" s="69">
        <v>0</v>
      </c>
      <c r="J94" s="71">
        <v>0</v>
      </c>
      <c r="K94" s="69">
        <v>0</v>
      </c>
      <c r="L94" s="69">
        <v>417</v>
      </c>
      <c r="M94" s="70">
        <v>3.96</v>
      </c>
    </row>
    <row r="95" spans="1:13" ht="15.75" customHeight="1" x14ac:dyDescent="0.25">
      <c r="A95" s="72">
        <f>79*1.5</f>
        <v>118.5</v>
      </c>
      <c r="B95" s="70">
        <f t="shared" si="59"/>
        <v>60</v>
      </c>
      <c r="C95" s="69">
        <v>30</v>
      </c>
      <c r="D95" s="69">
        <f t="shared" si="55"/>
        <v>725.58</v>
      </c>
      <c r="E95" s="69">
        <f t="shared" si="56"/>
        <v>1084.2</v>
      </c>
      <c r="F95" s="69">
        <f t="shared" si="57"/>
        <v>175.14</v>
      </c>
      <c r="G95" s="70">
        <v>4.2</v>
      </c>
      <c r="H95" s="69">
        <v>0</v>
      </c>
      <c r="I95" s="69">
        <v>0</v>
      </c>
      <c r="J95" s="71">
        <v>0</v>
      </c>
      <c r="K95" s="69">
        <v>0</v>
      </c>
      <c r="L95" s="69">
        <v>417</v>
      </c>
      <c r="M95" s="70">
        <v>4.47</v>
      </c>
    </row>
    <row r="96" spans="1:13" ht="15.75" customHeight="1" x14ac:dyDescent="0.25">
      <c r="A96" s="72">
        <f>79*2</f>
        <v>158</v>
      </c>
      <c r="B96" s="70">
        <f t="shared" si="59"/>
        <v>60</v>
      </c>
      <c r="C96" s="69">
        <v>30</v>
      </c>
      <c r="D96" s="69">
        <f t="shared" si="55"/>
        <v>725.58</v>
      </c>
      <c r="E96" s="69">
        <f t="shared" si="56"/>
        <v>1084.2</v>
      </c>
      <c r="F96" s="69">
        <f t="shared" si="57"/>
        <v>175.14</v>
      </c>
      <c r="G96" s="70">
        <v>4.2</v>
      </c>
      <c r="H96" s="69">
        <v>0</v>
      </c>
      <c r="I96" s="69">
        <v>0</v>
      </c>
      <c r="J96" s="71">
        <v>0</v>
      </c>
      <c r="K96" s="69">
        <v>0</v>
      </c>
      <c r="L96" s="69">
        <v>417</v>
      </c>
      <c r="M96" s="70">
        <v>4.67</v>
      </c>
    </row>
    <row r="97" spans="1:13" ht="15.75" customHeight="1" x14ac:dyDescent="0.25">
      <c r="A97" s="72">
        <f>79/2</f>
        <v>39.5</v>
      </c>
      <c r="B97" s="70">
        <f t="shared" ref="B97:B100" si="60">45/0.75</f>
        <v>60</v>
      </c>
      <c r="C97" s="69">
        <v>45</v>
      </c>
      <c r="D97" s="69">
        <f t="shared" si="55"/>
        <v>725.58</v>
      </c>
      <c r="E97" s="69">
        <f t="shared" si="56"/>
        <v>1084.2</v>
      </c>
      <c r="F97" s="69">
        <f t="shared" si="57"/>
        <v>175.14</v>
      </c>
      <c r="G97" s="70">
        <v>4.2</v>
      </c>
      <c r="H97" s="69">
        <v>0</v>
      </c>
      <c r="I97" s="69">
        <v>0</v>
      </c>
      <c r="J97" s="71">
        <v>0</v>
      </c>
      <c r="K97" s="69">
        <v>0</v>
      </c>
      <c r="L97" s="69">
        <v>417</v>
      </c>
      <c r="M97" s="70">
        <v>3.44</v>
      </c>
    </row>
    <row r="98" spans="1:13" ht="15.75" customHeight="1" x14ac:dyDescent="0.25">
      <c r="A98" s="72">
        <v>79</v>
      </c>
      <c r="B98" s="70">
        <f t="shared" si="60"/>
        <v>60</v>
      </c>
      <c r="C98" s="69">
        <v>45</v>
      </c>
      <c r="D98" s="69">
        <f t="shared" si="55"/>
        <v>725.58</v>
      </c>
      <c r="E98" s="69">
        <f t="shared" si="56"/>
        <v>1084.2</v>
      </c>
      <c r="F98" s="69">
        <f t="shared" si="57"/>
        <v>175.14</v>
      </c>
      <c r="G98" s="70">
        <v>4.2</v>
      </c>
      <c r="H98" s="69">
        <v>0</v>
      </c>
      <c r="I98" s="69">
        <v>0</v>
      </c>
      <c r="J98" s="71">
        <v>0</v>
      </c>
      <c r="K98" s="69">
        <v>0</v>
      </c>
      <c r="L98" s="69">
        <v>417</v>
      </c>
      <c r="M98" s="70">
        <v>3.94</v>
      </c>
    </row>
    <row r="99" spans="1:13" ht="15.75" customHeight="1" x14ac:dyDescent="0.25">
      <c r="A99" s="72">
        <f>79*1.5</f>
        <v>118.5</v>
      </c>
      <c r="B99" s="70">
        <f t="shared" si="60"/>
        <v>60</v>
      </c>
      <c r="C99" s="69">
        <v>45</v>
      </c>
      <c r="D99" s="69">
        <f t="shared" si="55"/>
        <v>725.58</v>
      </c>
      <c r="E99" s="69">
        <f t="shared" si="56"/>
        <v>1084.2</v>
      </c>
      <c r="F99" s="69">
        <f t="shared" si="57"/>
        <v>175.14</v>
      </c>
      <c r="G99" s="70">
        <v>4.2</v>
      </c>
      <c r="H99" s="69">
        <v>0</v>
      </c>
      <c r="I99" s="69">
        <v>0</v>
      </c>
      <c r="J99" s="71">
        <v>0</v>
      </c>
      <c r="K99" s="69">
        <v>0</v>
      </c>
      <c r="L99" s="69">
        <v>417</v>
      </c>
      <c r="M99" s="70">
        <v>4.28</v>
      </c>
    </row>
    <row r="100" spans="1:13" ht="15.75" customHeight="1" x14ac:dyDescent="0.25">
      <c r="A100" s="72">
        <f>79*2</f>
        <v>158</v>
      </c>
      <c r="B100" s="70">
        <f t="shared" si="60"/>
        <v>60</v>
      </c>
      <c r="C100" s="69">
        <v>45</v>
      </c>
      <c r="D100" s="69">
        <f t="shared" si="55"/>
        <v>725.58</v>
      </c>
      <c r="E100" s="69">
        <f t="shared" si="56"/>
        <v>1084.2</v>
      </c>
      <c r="F100" s="69">
        <f t="shared" si="57"/>
        <v>175.14</v>
      </c>
      <c r="G100" s="70">
        <v>4.2</v>
      </c>
      <c r="H100" s="69">
        <v>0</v>
      </c>
      <c r="I100" s="69">
        <v>0</v>
      </c>
      <c r="J100" s="71">
        <v>0</v>
      </c>
      <c r="K100" s="69">
        <v>0</v>
      </c>
      <c r="L100" s="69">
        <v>417</v>
      </c>
      <c r="M100" s="70">
        <v>4.4400000000000004</v>
      </c>
    </row>
    <row r="101" spans="1:13" ht="15.75" customHeight="1" x14ac:dyDescent="0.25">
      <c r="A101" s="72">
        <f t="shared" ref="A101:A102" si="61">79*1.5</f>
        <v>118.5</v>
      </c>
      <c r="B101" s="70">
        <f>30/0.75</f>
        <v>40</v>
      </c>
      <c r="C101" s="69">
        <v>30</v>
      </c>
      <c r="D101" s="69">
        <f t="shared" si="55"/>
        <v>725.58</v>
      </c>
      <c r="E101" s="69">
        <f t="shared" si="56"/>
        <v>1084.2</v>
      </c>
      <c r="F101" s="69">
        <f t="shared" si="57"/>
        <v>175.14</v>
      </c>
      <c r="G101" s="70">
        <v>4.2</v>
      </c>
      <c r="H101" s="69">
        <v>0</v>
      </c>
      <c r="I101" s="69">
        <v>0</v>
      </c>
      <c r="J101" s="71">
        <v>0</v>
      </c>
      <c r="K101" s="69">
        <v>0</v>
      </c>
      <c r="L101" s="69">
        <v>417</v>
      </c>
      <c r="M101" s="70">
        <v>4.0199999999999996</v>
      </c>
    </row>
    <row r="102" spans="1:13" ht="15.75" customHeight="1" x14ac:dyDescent="0.25">
      <c r="A102" s="72">
        <f t="shared" si="61"/>
        <v>118.5</v>
      </c>
      <c r="B102" s="70">
        <f>60/0.75</f>
        <v>80</v>
      </c>
      <c r="C102" s="69">
        <v>60</v>
      </c>
      <c r="D102" s="69">
        <f t="shared" si="55"/>
        <v>725.58</v>
      </c>
      <c r="E102" s="69">
        <f t="shared" si="56"/>
        <v>1084.2</v>
      </c>
      <c r="F102" s="69">
        <f t="shared" si="57"/>
        <v>175.14</v>
      </c>
      <c r="G102" s="70">
        <v>4.2</v>
      </c>
      <c r="H102" s="69">
        <v>0</v>
      </c>
      <c r="I102" s="69">
        <v>0</v>
      </c>
      <c r="J102" s="71">
        <v>0</v>
      </c>
      <c r="K102" s="69">
        <v>0</v>
      </c>
      <c r="L102" s="69">
        <v>417</v>
      </c>
      <c r="M102" s="70">
        <v>4.3899999999999997</v>
      </c>
    </row>
    <row r="103" spans="1:13" ht="15.75" customHeight="1" x14ac:dyDescent="0.25">
      <c r="A103" s="72">
        <v>0</v>
      </c>
      <c r="B103" s="70">
        <v>0</v>
      </c>
      <c r="C103" s="69">
        <v>0</v>
      </c>
      <c r="D103" s="69">
        <f t="shared" ref="D103:D106" si="62">438*1.46</f>
        <v>639.48</v>
      </c>
      <c r="E103" s="69">
        <f t="shared" ref="E103:E106" si="63">438*2.58</f>
        <v>1130.04</v>
      </c>
      <c r="F103" s="69">
        <f>438*0.45</f>
        <v>197.1</v>
      </c>
      <c r="G103" s="70">
        <v>0</v>
      </c>
      <c r="H103" s="69">
        <v>0</v>
      </c>
      <c r="I103" s="69">
        <v>0</v>
      </c>
      <c r="J103" s="71">
        <v>0</v>
      </c>
      <c r="K103" s="69">
        <v>0</v>
      </c>
      <c r="L103" s="79">
        <v>437.77</v>
      </c>
      <c r="M103" s="70">
        <v>2.72</v>
      </c>
    </row>
    <row r="104" spans="1:13" ht="15.75" customHeight="1" x14ac:dyDescent="0.25">
      <c r="A104" s="72">
        <v>78.5</v>
      </c>
      <c r="B104" s="70">
        <f t="shared" ref="B104:B106" si="64">C104/0.5</f>
        <v>60</v>
      </c>
      <c r="C104" s="69">
        <v>30</v>
      </c>
      <c r="D104" s="69">
        <f t="shared" si="62"/>
        <v>639.48</v>
      </c>
      <c r="E104" s="69">
        <f t="shared" si="63"/>
        <v>1130.04</v>
      </c>
      <c r="F104" s="69">
        <f>438*0.46</f>
        <v>201.48000000000002</v>
      </c>
      <c r="G104" s="70">
        <v>0</v>
      </c>
      <c r="H104" s="69">
        <v>0</v>
      </c>
      <c r="I104" s="69">
        <v>0</v>
      </c>
      <c r="J104" s="71">
        <v>0</v>
      </c>
      <c r="K104" s="69">
        <v>0</v>
      </c>
      <c r="L104" s="79">
        <v>437.77</v>
      </c>
      <c r="M104" s="70">
        <v>2.96</v>
      </c>
    </row>
    <row r="105" spans="1:13" ht="15.75" customHeight="1" x14ac:dyDescent="0.25">
      <c r="A105" s="72">
        <v>157</v>
      </c>
      <c r="B105" s="70">
        <f t="shared" si="64"/>
        <v>60</v>
      </c>
      <c r="C105" s="69">
        <v>30</v>
      </c>
      <c r="D105" s="69">
        <f t="shared" si="62"/>
        <v>639.48</v>
      </c>
      <c r="E105" s="69">
        <f t="shared" si="63"/>
        <v>1130.04</v>
      </c>
      <c r="F105" s="69">
        <f>438*0.47</f>
        <v>205.85999999999999</v>
      </c>
      <c r="G105" s="70">
        <v>0</v>
      </c>
      <c r="H105" s="69">
        <v>0</v>
      </c>
      <c r="I105" s="69">
        <v>0</v>
      </c>
      <c r="J105" s="71">
        <v>0</v>
      </c>
      <c r="K105" s="69">
        <v>0</v>
      </c>
      <c r="L105" s="79">
        <v>437.77</v>
      </c>
      <c r="M105" s="70">
        <v>3.1</v>
      </c>
    </row>
    <row r="106" spans="1:13" ht="15.75" customHeight="1" x14ac:dyDescent="0.25">
      <c r="A106" s="73">
        <v>235.5</v>
      </c>
      <c r="B106" s="65">
        <f t="shared" si="64"/>
        <v>60</v>
      </c>
      <c r="C106" s="71">
        <v>30</v>
      </c>
      <c r="D106" s="71">
        <f t="shared" si="62"/>
        <v>639.48</v>
      </c>
      <c r="E106" s="71">
        <f t="shared" si="63"/>
        <v>1130.04</v>
      </c>
      <c r="F106" s="71">
        <f>438*0.48</f>
        <v>210.23999999999998</v>
      </c>
      <c r="G106" s="67">
        <v>0</v>
      </c>
      <c r="H106" s="71">
        <v>0</v>
      </c>
      <c r="I106" s="71">
        <v>0</v>
      </c>
      <c r="J106" s="71">
        <v>0</v>
      </c>
      <c r="K106" s="71">
        <v>0</v>
      </c>
      <c r="L106" s="80">
        <v>437.77</v>
      </c>
      <c r="M106" s="65">
        <v>3.14</v>
      </c>
    </row>
    <row r="107" spans="1:13" ht="15.75" customHeight="1" x14ac:dyDescent="0.25">
      <c r="A107" s="73">
        <v>0</v>
      </c>
      <c r="B107" s="65">
        <v>0</v>
      </c>
      <c r="C107" s="71">
        <v>0</v>
      </c>
      <c r="D107" s="69">
        <f>336*2.17</f>
        <v>729.12</v>
      </c>
      <c r="E107" s="69">
        <f>336*3.54</f>
        <v>1189.44</v>
      </c>
      <c r="F107" s="69">
        <f>336*0.58</f>
        <v>194.88</v>
      </c>
      <c r="G107" s="65">
        <v>0</v>
      </c>
      <c r="H107" s="69">
        <v>0</v>
      </c>
      <c r="I107" s="69">
        <v>0</v>
      </c>
      <c r="J107" s="71">
        <v>0</v>
      </c>
      <c r="K107" s="69">
        <v>0</v>
      </c>
      <c r="L107" s="71">
        <v>336</v>
      </c>
      <c r="M107" s="65">
        <v>2.75</v>
      </c>
    </row>
    <row r="108" spans="1:13" ht="15.75" customHeight="1" x14ac:dyDescent="0.25">
      <c r="A108" s="73">
        <v>78.5</v>
      </c>
      <c r="B108" s="65">
        <f t="shared" ref="B108:B116" si="65">C108/0.75</f>
        <v>40</v>
      </c>
      <c r="C108" s="71">
        <v>30</v>
      </c>
      <c r="D108" s="69">
        <f t="shared" ref="D108:D111" si="66">336*2.23</f>
        <v>749.28</v>
      </c>
      <c r="E108" s="69">
        <f t="shared" ref="E108:E111" si="67">336*3.41</f>
        <v>1145.76</v>
      </c>
      <c r="F108" s="69">
        <v>194.88</v>
      </c>
      <c r="G108" s="65">
        <v>0</v>
      </c>
      <c r="H108" s="69">
        <v>0</v>
      </c>
      <c r="I108" s="69">
        <v>0</v>
      </c>
      <c r="J108" s="71">
        <v>0</v>
      </c>
      <c r="K108" s="69">
        <v>0</v>
      </c>
      <c r="L108" s="71">
        <v>336</v>
      </c>
      <c r="M108" s="65">
        <v>3.1</v>
      </c>
    </row>
    <row r="109" spans="1:13" ht="15.75" customHeight="1" x14ac:dyDescent="0.25">
      <c r="A109" s="73">
        <v>78.5</v>
      </c>
      <c r="B109" s="65">
        <f t="shared" si="65"/>
        <v>53.333333333333336</v>
      </c>
      <c r="C109" s="71">
        <v>40</v>
      </c>
      <c r="D109" s="71">
        <f t="shared" si="66"/>
        <v>749.28</v>
      </c>
      <c r="E109" s="71">
        <f t="shared" si="67"/>
        <v>1145.76</v>
      </c>
      <c r="F109" s="71">
        <v>194.88</v>
      </c>
      <c r="G109" s="65">
        <v>0</v>
      </c>
      <c r="H109" s="71">
        <v>0</v>
      </c>
      <c r="I109" s="71">
        <v>0</v>
      </c>
      <c r="J109" s="71">
        <v>0</v>
      </c>
      <c r="K109" s="71">
        <v>0</v>
      </c>
      <c r="L109" s="71">
        <v>336</v>
      </c>
      <c r="M109" s="65">
        <v>3.3</v>
      </c>
    </row>
    <row r="110" spans="1:13" ht="15.75" customHeight="1" x14ac:dyDescent="0.25">
      <c r="A110" s="73">
        <v>78.5</v>
      </c>
      <c r="B110" s="65">
        <f t="shared" si="65"/>
        <v>66.666666666666671</v>
      </c>
      <c r="C110" s="71">
        <v>50</v>
      </c>
      <c r="D110" s="71">
        <f t="shared" si="66"/>
        <v>749.28</v>
      </c>
      <c r="E110" s="71">
        <f t="shared" si="67"/>
        <v>1145.76</v>
      </c>
      <c r="F110" s="71">
        <v>194.88</v>
      </c>
      <c r="G110" s="65">
        <v>0</v>
      </c>
      <c r="H110" s="71">
        <v>0</v>
      </c>
      <c r="I110" s="71">
        <v>0</v>
      </c>
      <c r="J110" s="71">
        <v>0</v>
      </c>
      <c r="K110" s="71">
        <v>0</v>
      </c>
      <c r="L110" s="71">
        <v>336</v>
      </c>
      <c r="M110" s="65">
        <v>3.4</v>
      </c>
    </row>
    <row r="111" spans="1:13" ht="15.75" customHeight="1" x14ac:dyDescent="0.25">
      <c r="A111" s="73">
        <v>78.5</v>
      </c>
      <c r="B111" s="65">
        <f t="shared" si="65"/>
        <v>80</v>
      </c>
      <c r="C111" s="71">
        <v>60</v>
      </c>
      <c r="D111" s="71">
        <f t="shared" si="66"/>
        <v>749.28</v>
      </c>
      <c r="E111" s="71">
        <f t="shared" si="67"/>
        <v>1145.76</v>
      </c>
      <c r="F111" s="71">
        <v>194.88</v>
      </c>
      <c r="G111" s="65">
        <v>0</v>
      </c>
      <c r="H111" s="71">
        <v>0</v>
      </c>
      <c r="I111" s="71">
        <v>0</v>
      </c>
      <c r="J111" s="71">
        <v>0</v>
      </c>
      <c r="K111" s="71">
        <v>0</v>
      </c>
      <c r="L111" s="71">
        <v>336</v>
      </c>
      <c r="M111" s="65">
        <v>3.5</v>
      </c>
    </row>
    <row r="112" spans="1:13" ht="15.75" customHeight="1" x14ac:dyDescent="0.25">
      <c r="A112" s="71">
        <v>0</v>
      </c>
      <c r="B112" s="65">
        <f t="shared" si="65"/>
        <v>0</v>
      </c>
      <c r="C112" s="71">
        <v>0</v>
      </c>
      <c r="D112" s="71">
        <v>630.41</v>
      </c>
      <c r="E112" s="71">
        <v>1125.3599999999999</v>
      </c>
      <c r="F112" s="71">
        <v>171.93</v>
      </c>
      <c r="G112" s="71">
        <v>5.21</v>
      </c>
      <c r="H112" s="71">
        <v>0</v>
      </c>
      <c r="I112" s="71">
        <v>0</v>
      </c>
      <c r="J112" s="71">
        <v>0</v>
      </c>
      <c r="K112" s="71">
        <v>0</v>
      </c>
      <c r="L112" s="71">
        <v>521</v>
      </c>
      <c r="M112" s="65">
        <v>4.2</v>
      </c>
    </row>
    <row r="113" spans="1:13" ht="15.75" customHeight="1" x14ac:dyDescent="0.25">
      <c r="A113" s="71">
        <v>78.5</v>
      </c>
      <c r="B113" s="65">
        <f t="shared" si="65"/>
        <v>40</v>
      </c>
      <c r="C113" s="71">
        <v>30</v>
      </c>
      <c r="D113" s="71">
        <v>651.25</v>
      </c>
      <c r="E113" s="71">
        <v>1078.47</v>
      </c>
      <c r="F113" s="71">
        <v>171.93</v>
      </c>
      <c r="G113" s="71">
        <v>5.21</v>
      </c>
      <c r="H113" s="71">
        <v>0</v>
      </c>
      <c r="I113" s="71">
        <v>0</v>
      </c>
      <c r="J113" s="71">
        <v>0</v>
      </c>
      <c r="K113" s="71">
        <v>0</v>
      </c>
      <c r="L113" s="71">
        <v>521</v>
      </c>
      <c r="M113" s="65">
        <v>4.5</v>
      </c>
    </row>
    <row r="114" spans="1:13" ht="15.75" customHeight="1" x14ac:dyDescent="0.25">
      <c r="A114" s="71">
        <v>78.5</v>
      </c>
      <c r="B114" s="65">
        <f t="shared" si="65"/>
        <v>53.333333333333336</v>
      </c>
      <c r="C114" s="71">
        <v>40</v>
      </c>
      <c r="D114" s="71">
        <v>651.25</v>
      </c>
      <c r="E114" s="71">
        <v>1078.47</v>
      </c>
      <c r="F114" s="71">
        <v>171.93</v>
      </c>
      <c r="G114" s="71">
        <v>5.21</v>
      </c>
      <c r="H114" s="71">
        <v>0</v>
      </c>
      <c r="I114" s="71">
        <v>0</v>
      </c>
      <c r="J114" s="71">
        <v>0</v>
      </c>
      <c r="K114" s="71">
        <v>0</v>
      </c>
      <c r="L114" s="71">
        <v>521</v>
      </c>
      <c r="M114" s="65">
        <v>4.5999999999999996</v>
      </c>
    </row>
    <row r="115" spans="1:13" ht="15.75" customHeight="1" x14ac:dyDescent="0.25">
      <c r="A115" s="69">
        <v>78.5</v>
      </c>
      <c r="B115" s="65">
        <f t="shared" si="65"/>
        <v>66.666666666666671</v>
      </c>
      <c r="C115" s="69">
        <v>50</v>
      </c>
      <c r="D115" s="69">
        <v>651.25</v>
      </c>
      <c r="E115" s="69">
        <v>1078.47</v>
      </c>
      <c r="F115" s="69">
        <v>171.93</v>
      </c>
      <c r="G115" s="69">
        <v>5.21</v>
      </c>
      <c r="H115" s="69">
        <v>0</v>
      </c>
      <c r="I115" s="69">
        <v>0</v>
      </c>
      <c r="J115" s="71">
        <v>0</v>
      </c>
      <c r="K115" s="69">
        <v>0</v>
      </c>
      <c r="L115" s="69">
        <v>521</v>
      </c>
      <c r="M115" s="67">
        <v>4.8</v>
      </c>
    </row>
    <row r="116" spans="1:13" ht="15.75" customHeight="1" x14ac:dyDescent="0.25">
      <c r="A116" s="69">
        <v>78.5</v>
      </c>
      <c r="B116" s="65">
        <f t="shared" si="65"/>
        <v>80</v>
      </c>
      <c r="C116" s="69">
        <v>60</v>
      </c>
      <c r="D116" s="69">
        <v>651.25</v>
      </c>
      <c r="E116" s="69">
        <v>1078.47</v>
      </c>
      <c r="F116" s="69">
        <v>171.93</v>
      </c>
      <c r="G116" s="69">
        <v>5.21</v>
      </c>
      <c r="H116" s="69">
        <v>0</v>
      </c>
      <c r="I116" s="69">
        <v>0</v>
      </c>
      <c r="J116" s="71">
        <v>0</v>
      </c>
      <c r="K116" s="69">
        <v>0</v>
      </c>
      <c r="L116" s="69">
        <v>521</v>
      </c>
      <c r="M116" s="67">
        <v>5.2</v>
      </c>
    </row>
    <row r="117" spans="1:13" ht="15.75" customHeight="1" x14ac:dyDescent="0.3">
      <c r="A117" s="69">
        <v>0</v>
      </c>
      <c r="B117" s="70">
        <v>0</v>
      </c>
      <c r="C117" s="69">
        <v>0</v>
      </c>
      <c r="D117" s="69">
        <v>610</v>
      </c>
      <c r="E117" s="69">
        <v>1130</v>
      </c>
      <c r="F117" s="69">
        <v>192</v>
      </c>
      <c r="G117" s="69">
        <v>0</v>
      </c>
      <c r="H117" s="69">
        <v>30</v>
      </c>
      <c r="I117" s="69">
        <v>0</v>
      </c>
      <c r="J117" s="71">
        <v>0</v>
      </c>
      <c r="K117" s="69">
        <v>0</v>
      </c>
      <c r="L117" s="69">
        <v>400</v>
      </c>
      <c r="M117" s="81">
        <v>3.93</v>
      </c>
    </row>
    <row r="118" spans="1:13" ht="15.75" customHeight="1" x14ac:dyDescent="0.3">
      <c r="A118" s="69">
        <v>40</v>
      </c>
      <c r="B118" s="70">
        <v>55</v>
      </c>
      <c r="C118" s="69">
        <v>30</v>
      </c>
      <c r="D118" s="69">
        <v>600</v>
      </c>
      <c r="E118" s="69">
        <v>1120</v>
      </c>
      <c r="F118" s="69">
        <v>192</v>
      </c>
      <c r="G118" s="69">
        <v>0</v>
      </c>
      <c r="H118" s="69">
        <v>30</v>
      </c>
      <c r="I118" s="69">
        <v>0</v>
      </c>
      <c r="J118" s="71">
        <v>0</v>
      </c>
      <c r="K118" s="69">
        <v>0</v>
      </c>
      <c r="L118" s="69">
        <v>400</v>
      </c>
      <c r="M118" s="82">
        <v>4.37</v>
      </c>
    </row>
    <row r="119" spans="1:13" ht="15.75" customHeight="1" x14ac:dyDescent="0.3">
      <c r="A119" s="69">
        <v>80</v>
      </c>
      <c r="B119" s="70">
        <v>55</v>
      </c>
      <c r="C119" s="69">
        <v>30</v>
      </c>
      <c r="D119" s="69">
        <v>600</v>
      </c>
      <c r="E119" s="69">
        <v>1110</v>
      </c>
      <c r="F119" s="69">
        <v>192</v>
      </c>
      <c r="G119" s="69">
        <v>0</v>
      </c>
      <c r="H119" s="69">
        <v>30</v>
      </c>
      <c r="I119" s="69">
        <v>0</v>
      </c>
      <c r="J119" s="71">
        <v>0</v>
      </c>
      <c r="K119" s="69">
        <v>0</v>
      </c>
      <c r="L119" s="69">
        <v>400</v>
      </c>
      <c r="M119" s="82">
        <v>4.87</v>
      </c>
    </row>
    <row r="120" spans="1:13" ht="15.75" customHeight="1" x14ac:dyDescent="0.3">
      <c r="A120" s="69">
        <v>120</v>
      </c>
      <c r="B120" s="70">
        <v>55</v>
      </c>
      <c r="C120" s="69">
        <v>30</v>
      </c>
      <c r="D120" s="69">
        <v>590</v>
      </c>
      <c r="E120" s="69">
        <v>1110</v>
      </c>
      <c r="F120" s="69">
        <v>192</v>
      </c>
      <c r="G120" s="69">
        <v>0</v>
      </c>
      <c r="H120" s="69">
        <v>30</v>
      </c>
      <c r="I120" s="69">
        <v>0</v>
      </c>
      <c r="J120" s="71">
        <v>0</v>
      </c>
      <c r="K120" s="69">
        <v>0</v>
      </c>
      <c r="L120" s="69">
        <v>400</v>
      </c>
      <c r="M120" s="82">
        <v>5.43</v>
      </c>
    </row>
    <row r="121" spans="1:13" ht="15.75" customHeight="1" x14ac:dyDescent="0.3">
      <c r="A121" s="69">
        <v>0</v>
      </c>
      <c r="B121" s="70">
        <v>0</v>
      </c>
      <c r="C121" s="69">
        <v>0</v>
      </c>
      <c r="D121" s="69">
        <v>610</v>
      </c>
      <c r="E121" s="69">
        <v>1140</v>
      </c>
      <c r="F121" s="69">
        <v>216</v>
      </c>
      <c r="G121" s="69">
        <v>5.4</v>
      </c>
      <c r="H121" s="69">
        <v>0</v>
      </c>
      <c r="I121" s="69">
        <v>0</v>
      </c>
      <c r="J121" s="71">
        <v>0</v>
      </c>
      <c r="K121" s="69">
        <v>0</v>
      </c>
      <c r="L121" s="69">
        <v>450</v>
      </c>
      <c r="M121" s="82">
        <v>5.19</v>
      </c>
    </row>
    <row r="122" spans="1:13" ht="15.75" customHeight="1" x14ac:dyDescent="0.3">
      <c r="A122" s="69">
        <v>40</v>
      </c>
      <c r="B122" s="70">
        <v>55</v>
      </c>
      <c r="C122" s="69">
        <v>30</v>
      </c>
      <c r="D122" s="69">
        <v>610</v>
      </c>
      <c r="E122" s="69">
        <v>1130</v>
      </c>
      <c r="F122" s="69">
        <v>216</v>
      </c>
      <c r="G122" s="69">
        <v>5.4</v>
      </c>
      <c r="H122" s="69">
        <v>0</v>
      </c>
      <c r="I122" s="69">
        <v>0</v>
      </c>
      <c r="J122" s="71">
        <v>0</v>
      </c>
      <c r="K122" s="69">
        <v>0</v>
      </c>
      <c r="L122" s="69">
        <v>450</v>
      </c>
      <c r="M122" s="82">
        <v>5.81</v>
      </c>
    </row>
    <row r="123" spans="1:13" ht="15.75" customHeight="1" x14ac:dyDescent="0.3">
      <c r="A123" s="69">
        <v>80</v>
      </c>
      <c r="B123" s="70">
        <v>55</v>
      </c>
      <c r="C123" s="69">
        <v>30</v>
      </c>
      <c r="D123" s="69">
        <v>600</v>
      </c>
      <c r="E123" s="69">
        <v>1120</v>
      </c>
      <c r="F123" s="69">
        <v>216</v>
      </c>
      <c r="G123" s="69">
        <v>5.4</v>
      </c>
      <c r="H123" s="69">
        <v>0</v>
      </c>
      <c r="I123" s="69">
        <v>0</v>
      </c>
      <c r="J123" s="71">
        <v>0</v>
      </c>
      <c r="K123" s="69">
        <v>0</v>
      </c>
      <c r="L123" s="69">
        <v>450</v>
      </c>
      <c r="M123" s="82">
        <v>6.49</v>
      </c>
    </row>
    <row r="124" spans="1:13" ht="15.75" customHeight="1" x14ac:dyDescent="0.3">
      <c r="A124" s="69">
        <v>120</v>
      </c>
      <c r="B124" s="70">
        <v>55</v>
      </c>
      <c r="C124" s="69">
        <v>30</v>
      </c>
      <c r="D124" s="69">
        <v>600</v>
      </c>
      <c r="E124" s="69">
        <v>1110</v>
      </c>
      <c r="F124" s="69">
        <v>216</v>
      </c>
      <c r="G124" s="69">
        <v>5.4</v>
      </c>
      <c r="H124" s="69">
        <v>0</v>
      </c>
      <c r="I124" s="69">
        <v>0</v>
      </c>
      <c r="J124" s="71">
        <v>0</v>
      </c>
      <c r="K124" s="69">
        <v>0</v>
      </c>
      <c r="L124" s="69">
        <v>450</v>
      </c>
      <c r="M124" s="82">
        <v>7.33</v>
      </c>
    </row>
    <row r="125" spans="1:13" ht="15.75" customHeight="1" x14ac:dyDescent="0.3">
      <c r="A125" s="69">
        <v>0</v>
      </c>
      <c r="B125" s="70">
        <v>0</v>
      </c>
      <c r="C125" s="69">
        <v>0</v>
      </c>
      <c r="D125" s="69">
        <v>630</v>
      </c>
      <c r="E125" s="69">
        <v>1170</v>
      </c>
      <c r="F125" s="69">
        <v>240</v>
      </c>
      <c r="G125" s="69">
        <v>5.4</v>
      </c>
      <c r="H125" s="69">
        <v>0</v>
      </c>
      <c r="I125" s="69">
        <v>0</v>
      </c>
      <c r="J125" s="71">
        <v>0</v>
      </c>
      <c r="K125" s="69">
        <v>0</v>
      </c>
      <c r="L125" s="69">
        <v>450</v>
      </c>
      <c r="M125" s="82">
        <v>5.76</v>
      </c>
    </row>
    <row r="126" spans="1:13" ht="15.75" customHeight="1" x14ac:dyDescent="0.3">
      <c r="A126" s="69">
        <v>40</v>
      </c>
      <c r="B126" s="70">
        <v>55</v>
      </c>
      <c r="C126" s="69">
        <v>30</v>
      </c>
      <c r="D126" s="69">
        <v>625</v>
      </c>
      <c r="E126" s="69">
        <v>1160</v>
      </c>
      <c r="F126" s="69">
        <v>240</v>
      </c>
      <c r="G126" s="69">
        <v>5.4</v>
      </c>
      <c r="H126" s="69">
        <v>0</v>
      </c>
      <c r="I126" s="69">
        <v>0</v>
      </c>
      <c r="J126" s="71">
        <v>0</v>
      </c>
      <c r="K126" s="69">
        <v>0</v>
      </c>
      <c r="L126" s="69">
        <v>450</v>
      </c>
      <c r="M126" s="82">
        <v>6.48</v>
      </c>
    </row>
    <row r="127" spans="1:13" ht="15.75" customHeight="1" x14ac:dyDescent="0.3">
      <c r="A127" s="69">
        <v>80</v>
      </c>
      <c r="B127" s="70">
        <v>55</v>
      </c>
      <c r="C127" s="69">
        <v>30</v>
      </c>
      <c r="D127" s="69">
        <v>620</v>
      </c>
      <c r="E127" s="69">
        <v>1150</v>
      </c>
      <c r="F127" s="69">
        <v>240</v>
      </c>
      <c r="G127" s="69">
        <v>5.4</v>
      </c>
      <c r="H127" s="69">
        <v>0</v>
      </c>
      <c r="I127" s="69">
        <v>0</v>
      </c>
      <c r="J127" s="71">
        <v>0</v>
      </c>
      <c r="K127" s="69">
        <v>0</v>
      </c>
      <c r="L127" s="69">
        <v>450</v>
      </c>
      <c r="M127" s="82">
        <v>7.2</v>
      </c>
    </row>
    <row r="128" spans="1:13" ht="15.75" customHeight="1" x14ac:dyDescent="0.3">
      <c r="A128" s="69">
        <v>120</v>
      </c>
      <c r="B128" s="70">
        <v>55</v>
      </c>
      <c r="C128" s="69">
        <v>30</v>
      </c>
      <c r="D128" s="69">
        <v>615</v>
      </c>
      <c r="E128" s="69">
        <v>1140</v>
      </c>
      <c r="F128" s="69">
        <v>240</v>
      </c>
      <c r="G128" s="69">
        <v>5.4</v>
      </c>
      <c r="H128" s="69">
        <v>0</v>
      </c>
      <c r="I128" s="69">
        <v>0</v>
      </c>
      <c r="J128" s="71">
        <v>0</v>
      </c>
      <c r="K128" s="69">
        <v>0</v>
      </c>
      <c r="L128" s="69">
        <v>450</v>
      </c>
      <c r="M128" s="82">
        <v>7.98</v>
      </c>
    </row>
    <row r="129" spans="1:13" ht="15.75" customHeight="1" x14ac:dyDescent="0.3">
      <c r="A129" s="69">
        <v>30</v>
      </c>
      <c r="B129" s="70">
        <v>45</v>
      </c>
      <c r="C129" s="83">
        <v>30</v>
      </c>
      <c r="D129" s="84">
        <v>789</v>
      </c>
      <c r="E129" s="70">
        <v>1146</v>
      </c>
      <c r="F129" s="70">
        <v>185.6</v>
      </c>
      <c r="G129" s="69">
        <f>30*0.15</f>
        <v>4.5</v>
      </c>
      <c r="H129" s="69">
        <v>0</v>
      </c>
      <c r="I129" s="69">
        <v>0</v>
      </c>
      <c r="J129" s="69">
        <v>0</v>
      </c>
      <c r="K129" s="69">
        <v>0</v>
      </c>
      <c r="L129" s="69">
        <v>357</v>
      </c>
      <c r="M129" s="70">
        <v>3</v>
      </c>
    </row>
    <row r="130" spans="1:13" ht="15.75" customHeight="1" x14ac:dyDescent="0.3">
      <c r="A130" s="69">
        <v>45</v>
      </c>
      <c r="B130" s="70">
        <v>45</v>
      </c>
      <c r="C130" s="83">
        <v>30</v>
      </c>
      <c r="D130" s="84">
        <v>789</v>
      </c>
      <c r="E130" s="70">
        <v>1146</v>
      </c>
      <c r="F130" s="70">
        <v>185.6</v>
      </c>
      <c r="G130" s="71">
        <f>45*0.15</f>
        <v>6.75</v>
      </c>
      <c r="H130" s="69">
        <v>0</v>
      </c>
      <c r="I130" s="69">
        <v>0</v>
      </c>
      <c r="J130" s="69">
        <v>0</v>
      </c>
      <c r="K130" s="69">
        <v>0</v>
      </c>
      <c r="L130" s="69">
        <v>357</v>
      </c>
      <c r="M130" s="70">
        <v>3.54</v>
      </c>
    </row>
    <row r="131" spans="1:13" ht="15.75" customHeight="1" x14ac:dyDescent="0.3">
      <c r="A131" s="69">
        <v>60</v>
      </c>
      <c r="B131" s="70">
        <v>45</v>
      </c>
      <c r="C131" s="83">
        <v>30</v>
      </c>
      <c r="D131" s="84">
        <v>789</v>
      </c>
      <c r="E131" s="70">
        <v>1146</v>
      </c>
      <c r="F131" s="70">
        <v>185.6</v>
      </c>
      <c r="G131" s="71">
        <f>60*0.225</f>
        <v>13.5</v>
      </c>
      <c r="H131" s="69">
        <v>0</v>
      </c>
      <c r="I131" s="69">
        <v>0</v>
      </c>
      <c r="J131" s="69">
        <v>0</v>
      </c>
      <c r="K131" s="69">
        <v>0</v>
      </c>
      <c r="L131" s="69">
        <v>357</v>
      </c>
      <c r="M131" s="70">
        <v>4.37</v>
      </c>
    </row>
    <row r="132" spans="1:13" ht="15.75" customHeight="1" x14ac:dyDescent="0.3">
      <c r="A132" s="69">
        <v>10</v>
      </c>
      <c r="B132" s="70">
        <v>80</v>
      </c>
      <c r="C132" s="83">
        <v>60</v>
      </c>
      <c r="D132" s="84">
        <v>789</v>
      </c>
      <c r="E132" s="70">
        <v>1146</v>
      </c>
      <c r="F132" s="70">
        <v>185.6</v>
      </c>
      <c r="G132" s="71">
        <f>30*0.15</f>
        <v>4.5</v>
      </c>
      <c r="H132" s="69">
        <v>0</v>
      </c>
      <c r="I132" s="69">
        <v>0</v>
      </c>
      <c r="J132" s="69">
        <v>0</v>
      </c>
      <c r="K132" s="69">
        <v>0</v>
      </c>
      <c r="L132" s="69">
        <v>357</v>
      </c>
      <c r="M132" s="70">
        <v>2.62</v>
      </c>
    </row>
    <row r="133" spans="1:13" ht="15.75" customHeight="1" x14ac:dyDescent="0.3">
      <c r="A133" s="69">
        <v>30</v>
      </c>
      <c r="B133" s="70">
        <v>80</v>
      </c>
      <c r="C133" s="83">
        <v>60</v>
      </c>
      <c r="D133" s="84">
        <v>789</v>
      </c>
      <c r="E133" s="70">
        <v>1146</v>
      </c>
      <c r="F133" s="70">
        <v>185.6</v>
      </c>
      <c r="G133" s="71">
        <f>45*0.15</f>
        <v>6.75</v>
      </c>
      <c r="H133" s="69">
        <v>0</v>
      </c>
      <c r="I133" s="69">
        <v>0</v>
      </c>
      <c r="J133" s="69">
        <v>0</v>
      </c>
      <c r="K133" s="69">
        <v>0</v>
      </c>
      <c r="L133" s="69">
        <v>357</v>
      </c>
      <c r="M133" s="70">
        <v>2.94</v>
      </c>
    </row>
    <row r="134" spans="1:13" ht="15.75" customHeight="1" x14ac:dyDescent="0.3">
      <c r="A134" s="69">
        <v>45</v>
      </c>
      <c r="B134" s="70">
        <v>80</v>
      </c>
      <c r="C134" s="83">
        <v>60</v>
      </c>
      <c r="D134" s="84">
        <v>789</v>
      </c>
      <c r="E134" s="70">
        <v>1146</v>
      </c>
      <c r="F134" s="70">
        <v>185.6</v>
      </c>
      <c r="G134" s="71">
        <f>60*0.15</f>
        <v>9</v>
      </c>
      <c r="H134" s="69">
        <v>0</v>
      </c>
      <c r="I134" s="69">
        <v>0</v>
      </c>
      <c r="J134" s="69">
        <v>0</v>
      </c>
      <c r="K134" s="69">
        <v>0</v>
      </c>
      <c r="L134" s="69">
        <v>357</v>
      </c>
      <c r="M134" s="70">
        <v>3.81</v>
      </c>
    </row>
    <row r="135" spans="1:13" ht="15.75" customHeight="1" x14ac:dyDescent="0.3">
      <c r="A135" s="69">
        <v>10</v>
      </c>
      <c r="B135" s="70">
        <v>65</v>
      </c>
      <c r="C135" s="83">
        <v>60</v>
      </c>
      <c r="D135" s="84">
        <v>789</v>
      </c>
      <c r="E135" s="70">
        <v>1146</v>
      </c>
      <c r="F135" s="70">
        <v>185.6</v>
      </c>
      <c r="G135" s="71">
        <f>10*0.15</f>
        <v>1.5</v>
      </c>
      <c r="H135" s="69">
        <v>0</v>
      </c>
      <c r="I135" s="69">
        <v>0</v>
      </c>
      <c r="J135" s="69">
        <v>0</v>
      </c>
      <c r="K135" s="69">
        <v>0</v>
      </c>
      <c r="L135" s="69">
        <v>357</v>
      </c>
      <c r="M135" s="70">
        <v>2.92</v>
      </c>
    </row>
    <row r="136" spans="1:13" ht="15.75" customHeight="1" x14ac:dyDescent="0.3">
      <c r="A136" s="69">
        <v>30</v>
      </c>
      <c r="B136" s="70">
        <v>65</v>
      </c>
      <c r="C136" s="83">
        <v>60</v>
      </c>
      <c r="D136" s="84">
        <v>789</v>
      </c>
      <c r="E136" s="70">
        <v>1146</v>
      </c>
      <c r="F136" s="70">
        <v>185.6</v>
      </c>
      <c r="G136" s="71">
        <f>45*0.15</f>
        <v>6.75</v>
      </c>
      <c r="H136" s="69">
        <v>0</v>
      </c>
      <c r="I136" s="69">
        <v>0</v>
      </c>
      <c r="J136" s="69">
        <v>0</v>
      </c>
      <c r="K136" s="69">
        <v>0</v>
      </c>
      <c r="L136" s="69">
        <v>357</v>
      </c>
      <c r="M136" s="70">
        <v>2.79</v>
      </c>
    </row>
    <row r="137" spans="1:13" ht="15.75" customHeight="1" x14ac:dyDescent="0.3">
      <c r="A137" s="69">
        <v>45</v>
      </c>
      <c r="B137" s="70">
        <v>65</v>
      </c>
      <c r="C137" s="83">
        <v>60</v>
      </c>
      <c r="D137" s="84">
        <v>789</v>
      </c>
      <c r="E137" s="70">
        <v>1146</v>
      </c>
      <c r="F137" s="70">
        <v>185.6</v>
      </c>
      <c r="G137" s="71">
        <f>60*0.15</f>
        <v>9</v>
      </c>
      <c r="H137" s="69">
        <v>0</v>
      </c>
      <c r="I137" s="69">
        <v>0</v>
      </c>
      <c r="J137" s="69">
        <v>0</v>
      </c>
      <c r="K137" s="69">
        <v>0</v>
      </c>
      <c r="L137" s="69">
        <v>357</v>
      </c>
      <c r="M137" s="70">
        <v>3.89</v>
      </c>
    </row>
    <row r="138" spans="1:13" ht="15.75" customHeight="1" x14ac:dyDescent="0.3">
      <c r="A138" s="71">
        <v>30</v>
      </c>
      <c r="B138" s="65">
        <v>45</v>
      </c>
      <c r="C138" s="85">
        <v>50</v>
      </c>
      <c r="D138" s="86">
        <v>789</v>
      </c>
      <c r="E138" s="65">
        <v>1146</v>
      </c>
      <c r="F138" s="65">
        <v>185.6</v>
      </c>
      <c r="G138" s="71">
        <f>10*0.075</f>
        <v>0.75</v>
      </c>
      <c r="H138" s="71">
        <v>0</v>
      </c>
      <c r="I138" s="71">
        <v>0</v>
      </c>
      <c r="J138" s="71">
        <v>0</v>
      </c>
      <c r="K138" s="71">
        <v>0</v>
      </c>
      <c r="L138" s="71">
        <v>357</v>
      </c>
      <c r="M138" s="70">
        <v>3.45</v>
      </c>
    </row>
    <row r="139" spans="1:13" ht="15.75" customHeight="1" x14ac:dyDescent="0.3">
      <c r="A139" s="71">
        <v>45</v>
      </c>
      <c r="B139" s="65">
        <v>45</v>
      </c>
      <c r="C139" s="85">
        <v>50</v>
      </c>
      <c r="D139" s="86">
        <v>789</v>
      </c>
      <c r="E139" s="65">
        <v>1146</v>
      </c>
      <c r="F139" s="65">
        <v>185.6</v>
      </c>
      <c r="G139" s="71">
        <f>45*0.15</f>
        <v>6.75</v>
      </c>
      <c r="H139" s="71">
        <v>0</v>
      </c>
      <c r="I139" s="71">
        <v>0</v>
      </c>
      <c r="J139" s="71">
        <v>0</v>
      </c>
      <c r="K139" s="71">
        <v>0</v>
      </c>
      <c r="L139" s="71">
        <v>357</v>
      </c>
      <c r="M139" s="70">
        <v>3.66</v>
      </c>
    </row>
    <row r="140" spans="1:13" ht="15.75" customHeight="1" x14ac:dyDescent="0.3">
      <c r="A140" s="71">
        <v>60</v>
      </c>
      <c r="B140" s="65">
        <v>45</v>
      </c>
      <c r="C140" s="85">
        <v>50</v>
      </c>
      <c r="D140" s="86">
        <v>789</v>
      </c>
      <c r="E140" s="65">
        <v>1146</v>
      </c>
      <c r="F140" s="65">
        <v>185.6</v>
      </c>
      <c r="G140" s="71">
        <f>60*0.15</f>
        <v>9</v>
      </c>
      <c r="H140" s="71">
        <v>0</v>
      </c>
      <c r="I140" s="71">
        <v>0</v>
      </c>
      <c r="J140" s="71">
        <v>0</v>
      </c>
      <c r="K140" s="71">
        <v>0</v>
      </c>
      <c r="L140" s="71">
        <v>357</v>
      </c>
      <c r="M140" s="70">
        <v>3.85</v>
      </c>
    </row>
    <row r="141" spans="1:13" ht="15.75" customHeight="1" x14ac:dyDescent="0.3">
      <c r="A141" s="71">
        <v>0</v>
      </c>
      <c r="B141" s="65">
        <v>0</v>
      </c>
      <c r="C141" s="85">
        <v>0</v>
      </c>
      <c r="D141" s="86">
        <v>789</v>
      </c>
      <c r="E141" s="65">
        <v>1146</v>
      </c>
      <c r="F141" s="65">
        <v>185.6</v>
      </c>
      <c r="G141" s="71">
        <v>0</v>
      </c>
      <c r="H141" s="71">
        <v>0</v>
      </c>
      <c r="I141" s="71">
        <v>0</v>
      </c>
      <c r="J141" s="71">
        <v>0</v>
      </c>
      <c r="K141" s="71">
        <v>0</v>
      </c>
      <c r="L141" s="71">
        <v>357</v>
      </c>
      <c r="M141" s="70">
        <v>3.15</v>
      </c>
    </row>
    <row r="142" spans="1:13" ht="15.75" customHeight="1" x14ac:dyDescent="0.3">
      <c r="A142" s="71">
        <v>35</v>
      </c>
      <c r="B142" s="65">
        <v>66.67</v>
      </c>
      <c r="C142" s="85">
        <v>50</v>
      </c>
      <c r="D142" s="86">
        <v>785</v>
      </c>
      <c r="E142" s="65">
        <v>1120</v>
      </c>
      <c r="F142" s="65">
        <v>183</v>
      </c>
      <c r="G142" s="71">
        <v>1.905</v>
      </c>
      <c r="H142" s="71">
        <v>0</v>
      </c>
      <c r="I142" s="71">
        <v>0</v>
      </c>
      <c r="J142" s="71">
        <v>0</v>
      </c>
      <c r="K142" s="71">
        <v>0</v>
      </c>
      <c r="L142" s="71">
        <v>381</v>
      </c>
      <c r="M142" s="70">
        <v>3.1</v>
      </c>
    </row>
    <row r="143" spans="1:13" ht="15.75" customHeight="1" x14ac:dyDescent="0.3">
      <c r="A143" s="71">
        <v>45</v>
      </c>
      <c r="B143" s="65">
        <v>66.67</v>
      </c>
      <c r="C143" s="85">
        <v>50</v>
      </c>
      <c r="D143" s="86">
        <v>785</v>
      </c>
      <c r="E143" s="65">
        <v>1120</v>
      </c>
      <c r="F143" s="65">
        <v>183</v>
      </c>
      <c r="G143" s="71">
        <v>1.905</v>
      </c>
      <c r="H143" s="71">
        <v>0</v>
      </c>
      <c r="I143" s="71">
        <v>0</v>
      </c>
      <c r="J143" s="71">
        <v>0</v>
      </c>
      <c r="K143" s="71">
        <v>0</v>
      </c>
      <c r="L143" s="71">
        <v>381</v>
      </c>
      <c r="M143" s="70">
        <v>3.7</v>
      </c>
    </row>
    <row r="144" spans="1:13" ht="15.75" customHeight="1" x14ac:dyDescent="0.3">
      <c r="A144" s="71">
        <v>0</v>
      </c>
      <c r="B144" s="65">
        <v>66.67</v>
      </c>
      <c r="C144" s="85">
        <v>50</v>
      </c>
      <c r="D144" s="86">
        <v>785</v>
      </c>
      <c r="E144" s="65">
        <v>1120</v>
      </c>
      <c r="F144" s="65">
        <v>183</v>
      </c>
      <c r="G144" s="71">
        <v>1.905</v>
      </c>
      <c r="H144" s="71">
        <v>0</v>
      </c>
      <c r="I144" s="71">
        <v>0</v>
      </c>
      <c r="J144" s="71">
        <v>0</v>
      </c>
      <c r="K144" s="71">
        <v>0</v>
      </c>
      <c r="L144" s="71">
        <v>381</v>
      </c>
      <c r="M144" s="70">
        <v>3.4</v>
      </c>
    </row>
    <row r="145" spans="1:13" ht="15.75" customHeight="1" x14ac:dyDescent="0.3">
      <c r="A145" s="71">
        <v>20</v>
      </c>
      <c r="B145" s="65">
        <v>66.67</v>
      </c>
      <c r="C145" s="85">
        <v>50</v>
      </c>
      <c r="D145" s="86">
        <v>785</v>
      </c>
      <c r="E145" s="65">
        <v>1120</v>
      </c>
      <c r="F145" s="65">
        <v>183</v>
      </c>
      <c r="G145" s="71">
        <v>1.905</v>
      </c>
      <c r="H145" s="71">
        <v>0</v>
      </c>
      <c r="I145" s="71">
        <v>0</v>
      </c>
      <c r="J145" s="71">
        <v>0</v>
      </c>
      <c r="K145" s="71">
        <v>0</v>
      </c>
      <c r="L145" s="71">
        <v>381</v>
      </c>
      <c r="M145" s="70">
        <v>4.3</v>
      </c>
    </row>
    <row r="146" spans="1:13" ht="15.75" customHeight="1" x14ac:dyDescent="0.3">
      <c r="A146" s="71">
        <v>30</v>
      </c>
      <c r="B146" s="65">
        <v>66.67</v>
      </c>
      <c r="C146" s="85">
        <v>50</v>
      </c>
      <c r="D146" s="86">
        <v>785</v>
      </c>
      <c r="E146" s="65">
        <v>1120</v>
      </c>
      <c r="F146" s="65">
        <v>183</v>
      </c>
      <c r="G146" s="71">
        <v>1.905</v>
      </c>
      <c r="H146" s="71">
        <v>0</v>
      </c>
      <c r="I146" s="71">
        <v>0</v>
      </c>
      <c r="J146" s="71">
        <v>0</v>
      </c>
      <c r="K146" s="71">
        <v>0</v>
      </c>
      <c r="L146" s="71">
        <v>381</v>
      </c>
      <c r="M146" s="70">
        <v>4.3</v>
      </c>
    </row>
    <row r="147" spans="1:13" ht="15.75" customHeight="1" x14ac:dyDescent="0.3">
      <c r="A147" s="71">
        <v>40</v>
      </c>
      <c r="B147" s="65">
        <v>66.67</v>
      </c>
      <c r="C147" s="85">
        <v>50</v>
      </c>
      <c r="D147" s="86">
        <v>785</v>
      </c>
      <c r="E147" s="65">
        <v>1120</v>
      </c>
      <c r="F147" s="65">
        <v>183</v>
      </c>
      <c r="G147" s="71">
        <v>1.905</v>
      </c>
      <c r="H147" s="71">
        <v>0</v>
      </c>
      <c r="I147" s="71">
        <v>0</v>
      </c>
      <c r="J147" s="71">
        <v>0</v>
      </c>
      <c r="K147" s="71">
        <v>0</v>
      </c>
      <c r="L147" s="71">
        <v>381</v>
      </c>
      <c r="M147" s="70">
        <v>4.5</v>
      </c>
    </row>
    <row r="148" spans="1:13" ht="15.75" customHeight="1" x14ac:dyDescent="0.25">
      <c r="A148" s="68">
        <v>0</v>
      </c>
      <c r="B148" s="87">
        <v>0</v>
      </c>
      <c r="C148" s="65">
        <v>0</v>
      </c>
      <c r="D148" s="71">
        <f t="shared" ref="D148:D151" si="68">2*L148</f>
        <v>814</v>
      </c>
      <c r="E148" s="71">
        <f t="shared" ref="E148:E151" si="69">3*L148</f>
        <v>1221</v>
      </c>
      <c r="F148" s="71">
        <f t="shared" ref="F148:F151" si="70">0.45*L148</f>
        <v>183.15</v>
      </c>
      <c r="G148" s="71">
        <v>0</v>
      </c>
      <c r="H148" s="71">
        <v>0</v>
      </c>
      <c r="I148" s="71">
        <v>0</v>
      </c>
      <c r="J148" s="71">
        <v>0</v>
      </c>
      <c r="K148" s="71">
        <v>0</v>
      </c>
      <c r="L148" s="65">
        <v>407</v>
      </c>
      <c r="M148" s="70">
        <v>1.75</v>
      </c>
    </row>
    <row r="149" spans="1:13" ht="15.75" customHeight="1" x14ac:dyDescent="0.25">
      <c r="A149" s="68">
        <f>7850*0.005</f>
        <v>39.25</v>
      </c>
      <c r="B149" s="87">
        <f t="shared" ref="B149:B151" si="71">25/0.53</f>
        <v>47.169811320754718</v>
      </c>
      <c r="C149" s="65">
        <v>25</v>
      </c>
      <c r="D149" s="71">
        <f t="shared" si="68"/>
        <v>814</v>
      </c>
      <c r="E149" s="71">
        <f t="shared" si="69"/>
        <v>1221</v>
      </c>
      <c r="F149" s="71">
        <f t="shared" si="70"/>
        <v>183.15</v>
      </c>
      <c r="G149" s="71">
        <v>0</v>
      </c>
      <c r="H149" s="71">
        <v>0</v>
      </c>
      <c r="I149" s="71">
        <v>0</v>
      </c>
      <c r="J149" s="71">
        <v>0</v>
      </c>
      <c r="K149" s="71">
        <v>0</v>
      </c>
      <c r="L149" s="65">
        <v>407</v>
      </c>
      <c r="M149" s="70">
        <v>2.11</v>
      </c>
    </row>
    <row r="150" spans="1:13" ht="15.75" customHeight="1" x14ac:dyDescent="0.25">
      <c r="A150" s="68">
        <f>7850*0.01</f>
        <v>78.5</v>
      </c>
      <c r="B150" s="87">
        <f t="shared" si="71"/>
        <v>47.169811320754718</v>
      </c>
      <c r="C150" s="65">
        <v>25</v>
      </c>
      <c r="D150" s="71">
        <f t="shared" si="68"/>
        <v>814</v>
      </c>
      <c r="E150" s="71">
        <f t="shared" si="69"/>
        <v>1221</v>
      </c>
      <c r="F150" s="71">
        <f t="shared" si="70"/>
        <v>183.15</v>
      </c>
      <c r="G150" s="71">
        <v>0</v>
      </c>
      <c r="H150" s="71">
        <v>0</v>
      </c>
      <c r="I150" s="71">
        <v>0</v>
      </c>
      <c r="J150" s="71">
        <v>0</v>
      </c>
      <c r="K150" s="71">
        <v>0</v>
      </c>
      <c r="L150" s="65">
        <v>407</v>
      </c>
      <c r="M150" s="70">
        <v>2.19</v>
      </c>
    </row>
    <row r="151" spans="1:13" ht="15.75" customHeight="1" x14ac:dyDescent="0.25">
      <c r="A151" s="68">
        <f>7850*0.015</f>
        <v>117.75</v>
      </c>
      <c r="B151" s="87">
        <f t="shared" si="71"/>
        <v>47.169811320754718</v>
      </c>
      <c r="C151" s="65">
        <v>25</v>
      </c>
      <c r="D151" s="71">
        <f t="shared" si="68"/>
        <v>814</v>
      </c>
      <c r="E151" s="71">
        <f t="shared" si="69"/>
        <v>1221</v>
      </c>
      <c r="F151" s="71">
        <f t="shared" si="70"/>
        <v>183.15</v>
      </c>
      <c r="G151" s="71">
        <v>0</v>
      </c>
      <c r="H151" s="71">
        <v>0</v>
      </c>
      <c r="I151" s="71">
        <v>0</v>
      </c>
      <c r="J151" s="71">
        <v>0</v>
      </c>
      <c r="K151" s="71">
        <v>0</v>
      </c>
      <c r="L151" s="65">
        <v>407</v>
      </c>
      <c r="M151" s="70">
        <v>2.27</v>
      </c>
    </row>
    <row r="152" spans="1:13" ht="15.75" customHeight="1" x14ac:dyDescent="0.25">
      <c r="A152" s="68">
        <v>0</v>
      </c>
      <c r="B152" s="87">
        <v>0</v>
      </c>
      <c r="C152" s="65">
        <v>0</v>
      </c>
      <c r="D152" s="71">
        <v>680</v>
      </c>
      <c r="E152" s="71">
        <v>1116</v>
      </c>
      <c r="F152" s="71">
        <v>140</v>
      </c>
      <c r="G152" s="71">
        <v>7.31</v>
      </c>
      <c r="H152" s="71">
        <v>61</v>
      </c>
      <c r="I152" s="71">
        <v>0</v>
      </c>
      <c r="J152" s="71">
        <v>0</v>
      </c>
      <c r="K152" s="71">
        <v>0</v>
      </c>
      <c r="L152" s="65">
        <v>584</v>
      </c>
      <c r="M152" s="70">
        <v>5.6</v>
      </c>
    </row>
    <row r="153" spans="1:13" ht="15.75" customHeight="1" x14ac:dyDescent="0.25">
      <c r="A153" s="68">
        <v>80</v>
      </c>
      <c r="B153" s="87">
        <f t="shared" ref="B153:B155" si="72">35/0.55</f>
        <v>63.636363636363633</v>
      </c>
      <c r="C153" s="65">
        <v>35</v>
      </c>
      <c r="D153" s="71">
        <v>721</v>
      </c>
      <c r="E153" s="71">
        <v>1089</v>
      </c>
      <c r="F153" s="71">
        <v>140</v>
      </c>
      <c r="G153" s="71">
        <v>7.28</v>
      </c>
      <c r="H153" s="71">
        <v>56</v>
      </c>
      <c r="I153" s="71">
        <v>0</v>
      </c>
      <c r="J153" s="71">
        <v>0</v>
      </c>
      <c r="K153" s="71">
        <v>0</v>
      </c>
      <c r="L153" s="65">
        <v>504</v>
      </c>
      <c r="M153" s="70">
        <v>7.9</v>
      </c>
    </row>
    <row r="154" spans="1:13" ht="15.75" customHeight="1" x14ac:dyDescent="0.25">
      <c r="A154" s="68">
        <v>100</v>
      </c>
      <c r="B154" s="87">
        <f t="shared" si="72"/>
        <v>63.636363636363633</v>
      </c>
      <c r="C154" s="65">
        <v>35</v>
      </c>
      <c r="D154" s="71">
        <v>726</v>
      </c>
      <c r="E154" s="71">
        <v>1067</v>
      </c>
      <c r="F154" s="71">
        <v>140</v>
      </c>
      <c r="G154" s="71">
        <v>7.84</v>
      </c>
      <c r="H154" s="71">
        <v>56</v>
      </c>
      <c r="I154" s="71">
        <v>0</v>
      </c>
      <c r="J154" s="71">
        <v>0</v>
      </c>
      <c r="K154" s="71">
        <v>0</v>
      </c>
      <c r="L154" s="65">
        <v>504</v>
      </c>
      <c r="M154" s="70">
        <v>8.8000000000000007</v>
      </c>
    </row>
    <row r="155" spans="1:13" ht="15.75" customHeight="1" x14ac:dyDescent="0.25">
      <c r="A155" s="68">
        <v>120</v>
      </c>
      <c r="B155" s="87">
        <f t="shared" si="72"/>
        <v>63.636363636363633</v>
      </c>
      <c r="C155" s="65">
        <v>35</v>
      </c>
      <c r="D155" s="71">
        <v>750</v>
      </c>
      <c r="E155" s="71">
        <v>1044</v>
      </c>
      <c r="F155" s="71">
        <v>140</v>
      </c>
      <c r="G155" s="71">
        <v>7.84</v>
      </c>
      <c r="H155" s="71">
        <v>56</v>
      </c>
      <c r="I155" s="71">
        <v>0</v>
      </c>
      <c r="J155" s="71">
        <v>0</v>
      </c>
      <c r="K155" s="71">
        <v>0</v>
      </c>
      <c r="L155" s="65">
        <v>504</v>
      </c>
      <c r="M155" s="70">
        <v>9.9</v>
      </c>
    </row>
    <row r="156" spans="1:13" ht="15.75" customHeight="1" x14ac:dyDescent="0.25">
      <c r="A156" s="68">
        <v>0</v>
      </c>
      <c r="B156" s="87">
        <v>0</v>
      </c>
      <c r="C156" s="65">
        <v>0</v>
      </c>
      <c r="D156" s="71">
        <f t="shared" ref="D156:D162" si="73">1.35*L156</f>
        <v>705.68550000000005</v>
      </c>
      <c r="E156" s="65">
        <f t="shared" ref="E156:E162" si="74">2.12*L156</f>
        <v>1108.1876000000002</v>
      </c>
      <c r="F156" s="65">
        <f t="shared" ref="F156:F162" si="75">0.35*L156</f>
        <v>182.9555</v>
      </c>
      <c r="G156" s="71">
        <v>0</v>
      </c>
      <c r="H156" s="71">
        <v>0</v>
      </c>
      <c r="I156" s="71">
        <v>0</v>
      </c>
      <c r="J156" s="71">
        <v>0</v>
      </c>
      <c r="K156" s="71">
        <v>0</v>
      </c>
      <c r="L156" s="71">
        <v>522.73</v>
      </c>
      <c r="M156" s="69">
        <v>3.83</v>
      </c>
    </row>
    <row r="157" spans="1:13" ht="15.75" customHeight="1" x14ac:dyDescent="0.25">
      <c r="A157" s="68">
        <f t="shared" ref="A157:A158" si="76">7800*0.01</f>
        <v>78</v>
      </c>
      <c r="B157" s="67">
        <f>50/1.24</f>
        <v>40.322580645161288</v>
      </c>
      <c r="C157" s="65">
        <v>50</v>
      </c>
      <c r="D157" s="71">
        <f t="shared" si="73"/>
        <v>705.68550000000005</v>
      </c>
      <c r="E157" s="65">
        <f t="shared" si="74"/>
        <v>1108.1876000000002</v>
      </c>
      <c r="F157" s="65">
        <f t="shared" si="75"/>
        <v>182.9555</v>
      </c>
      <c r="G157" s="71">
        <v>0</v>
      </c>
      <c r="H157" s="71">
        <v>0</v>
      </c>
      <c r="I157" s="71">
        <v>0</v>
      </c>
      <c r="J157" s="71">
        <v>0</v>
      </c>
      <c r="K157" s="71">
        <v>0</v>
      </c>
      <c r="L157" s="71">
        <v>522.73</v>
      </c>
      <c r="M157" s="69">
        <v>4.82</v>
      </c>
    </row>
    <row r="158" spans="1:13" ht="15.75" customHeight="1" x14ac:dyDescent="0.25">
      <c r="A158" s="68">
        <f t="shared" si="76"/>
        <v>78</v>
      </c>
      <c r="B158" s="67">
        <f>25/1.24</f>
        <v>20.161290322580644</v>
      </c>
      <c r="C158" s="65">
        <v>25</v>
      </c>
      <c r="D158" s="71">
        <f t="shared" si="73"/>
        <v>705.68550000000005</v>
      </c>
      <c r="E158" s="65">
        <f t="shared" si="74"/>
        <v>1108.1876000000002</v>
      </c>
      <c r="F158" s="65">
        <f t="shared" si="75"/>
        <v>182.9555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522.73</v>
      </c>
      <c r="M158" s="69">
        <v>4.58</v>
      </c>
    </row>
    <row r="159" spans="1:13" ht="15.75" customHeight="1" x14ac:dyDescent="0.25">
      <c r="A159" s="68">
        <f t="shared" ref="A159:A160" si="77">7800*0.015</f>
        <v>117</v>
      </c>
      <c r="B159" s="67">
        <f>50/1.24</f>
        <v>40.322580645161288</v>
      </c>
      <c r="C159" s="65">
        <v>50</v>
      </c>
      <c r="D159" s="71">
        <f t="shared" si="73"/>
        <v>705.68550000000005</v>
      </c>
      <c r="E159" s="65">
        <f t="shared" si="74"/>
        <v>1108.1876000000002</v>
      </c>
      <c r="F159" s="65">
        <f t="shared" si="75"/>
        <v>182.9555</v>
      </c>
      <c r="G159" s="71">
        <v>0</v>
      </c>
      <c r="H159" s="71">
        <v>0</v>
      </c>
      <c r="I159" s="71">
        <v>0</v>
      </c>
      <c r="J159" s="71">
        <v>0</v>
      </c>
      <c r="K159" s="71">
        <v>0</v>
      </c>
      <c r="L159" s="71">
        <v>522.73</v>
      </c>
      <c r="M159" s="69">
        <v>5.78</v>
      </c>
    </row>
    <row r="160" spans="1:13" ht="15.75" customHeight="1" x14ac:dyDescent="0.25">
      <c r="A160" s="68">
        <f t="shared" si="77"/>
        <v>117</v>
      </c>
      <c r="B160" s="67">
        <f>25/1.24</f>
        <v>20.161290322580644</v>
      </c>
      <c r="C160" s="65">
        <v>25</v>
      </c>
      <c r="D160" s="71">
        <f t="shared" si="73"/>
        <v>705.68550000000005</v>
      </c>
      <c r="E160" s="65">
        <f t="shared" si="74"/>
        <v>1108.1876000000002</v>
      </c>
      <c r="F160" s="65">
        <f t="shared" si="75"/>
        <v>182.9555</v>
      </c>
      <c r="G160" s="71">
        <v>0</v>
      </c>
      <c r="H160" s="71">
        <v>0</v>
      </c>
      <c r="I160" s="71">
        <v>0</v>
      </c>
      <c r="J160" s="71">
        <v>0</v>
      </c>
      <c r="K160" s="71">
        <v>0</v>
      </c>
      <c r="L160" s="71">
        <v>522.73</v>
      </c>
      <c r="M160" s="69">
        <v>4.83</v>
      </c>
    </row>
    <row r="161" spans="1:13" ht="15.75" customHeight="1" x14ac:dyDescent="0.25">
      <c r="A161" s="68">
        <f t="shared" ref="A161:A162" si="78">7800*0.02</f>
        <v>156</v>
      </c>
      <c r="B161" s="67">
        <f>50/1.24</f>
        <v>40.322580645161288</v>
      </c>
      <c r="C161" s="65">
        <v>50</v>
      </c>
      <c r="D161" s="71">
        <f t="shared" si="73"/>
        <v>705.68550000000005</v>
      </c>
      <c r="E161" s="65">
        <f t="shared" si="74"/>
        <v>1108.1876000000002</v>
      </c>
      <c r="F161" s="65">
        <f t="shared" si="75"/>
        <v>182.9555</v>
      </c>
      <c r="G161" s="71">
        <v>0</v>
      </c>
      <c r="H161" s="71">
        <v>0</v>
      </c>
      <c r="I161" s="71">
        <v>0</v>
      </c>
      <c r="J161" s="71">
        <v>0</v>
      </c>
      <c r="K161" s="71">
        <v>0</v>
      </c>
      <c r="L161" s="71">
        <v>522.73</v>
      </c>
      <c r="M161" s="69">
        <v>5.97</v>
      </c>
    </row>
    <row r="162" spans="1:13" ht="15.75" customHeight="1" x14ac:dyDescent="0.25">
      <c r="A162" s="68">
        <f t="shared" si="78"/>
        <v>156</v>
      </c>
      <c r="B162" s="67">
        <f>25/1.24</f>
        <v>20.161290322580644</v>
      </c>
      <c r="C162" s="65">
        <v>25</v>
      </c>
      <c r="D162" s="71">
        <f t="shared" si="73"/>
        <v>705.68550000000005</v>
      </c>
      <c r="E162" s="65">
        <f t="shared" si="74"/>
        <v>1108.1876000000002</v>
      </c>
      <c r="F162" s="65">
        <f t="shared" si="75"/>
        <v>182.9555</v>
      </c>
      <c r="G162" s="71">
        <v>0</v>
      </c>
      <c r="H162" s="71">
        <v>0</v>
      </c>
      <c r="I162" s="71">
        <v>0</v>
      </c>
      <c r="J162" s="71">
        <v>0</v>
      </c>
      <c r="K162" s="71">
        <v>0</v>
      </c>
      <c r="L162" s="71">
        <v>522.73</v>
      </c>
      <c r="M162" s="69">
        <v>4.9800000000000004</v>
      </c>
    </row>
    <row r="163" spans="1:13" ht="15.75" customHeight="1" x14ac:dyDescent="0.25">
      <c r="A163" s="68">
        <v>0</v>
      </c>
      <c r="B163" s="87">
        <v>0</v>
      </c>
      <c r="C163" s="65">
        <v>0</v>
      </c>
      <c r="D163" s="71">
        <f>634+428</f>
        <v>1062</v>
      </c>
      <c r="E163" s="71">
        <f>423+432</f>
        <v>855</v>
      </c>
      <c r="F163" s="71">
        <v>185</v>
      </c>
      <c r="G163" s="71">
        <v>3.5</v>
      </c>
      <c r="H163" s="71">
        <v>0</v>
      </c>
      <c r="I163" s="71">
        <v>0</v>
      </c>
      <c r="J163" s="71">
        <v>0</v>
      </c>
      <c r="K163" s="71">
        <v>0</v>
      </c>
      <c r="L163" s="71">
        <v>270</v>
      </c>
      <c r="M163" s="69">
        <v>2.5099999999999998</v>
      </c>
    </row>
    <row r="164" spans="1:13" ht="15.75" customHeight="1" x14ac:dyDescent="0.25">
      <c r="A164" s="68">
        <v>10</v>
      </c>
      <c r="B164" s="87">
        <f t="shared" ref="B164:B169" si="79">30/0.62</f>
        <v>48.387096774193552</v>
      </c>
      <c r="C164" s="65">
        <v>30</v>
      </c>
      <c r="D164" s="71">
        <f>631+426</f>
        <v>1057</v>
      </c>
      <c r="E164" s="71">
        <f>421+429</f>
        <v>850</v>
      </c>
      <c r="F164" s="71">
        <v>185</v>
      </c>
      <c r="G164" s="71">
        <v>3.5</v>
      </c>
      <c r="H164" s="71">
        <v>0</v>
      </c>
      <c r="I164" s="71">
        <v>0</v>
      </c>
      <c r="J164" s="71">
        <v>0</v>
      </c>
      <c r="K164" s="71">
        <v>0</v>
      </c>
      <c r="L164" s="71">
        <v>270</v>
      </c>
      <c r="M164" s="69">
        <v>2.62</v>
      </c>
    </row>
    <row r="165" spans="1:13" ht="15.75" customHeight="1" x14ac:dyDescent="0.25">
      <c r="A165" s="68">
        <v>20</v>
      </c>
      <c r="B165" s="87">
        <f t="shared" si="79"/>
        <v>48.387096774193552</v>
      </c>
      <c r="C165" s="65">
        <v>30</v>
      </c>
      <c r="D165" s="71">
        <f>627+424</f>
        <v>1051</v>
      </c>
      <c r="E165" s="71">
        <f>419+427</f>
        <v>846</v>
      </c>
      <c r="F165" s="71">
        <v>185</v>
      </c>
      <c r="G165" s="71">
        <v>3.5</v>
      </c>
      <c r="H165" s="71">
        <v>0</v>
      </c>
      <c r="I165" s="71">
        <v>0</v>
      </c>
      <c r="J165" s="71">
        <v>0</v>
      </c>
      <c r="K165" s="71">
        <v>0</v>
      </c>
      <c r="L165" s="71">
        <v>270</v>
      </c>
      <c r="M165" s="69">
        <v>2.7</v>
      </c>
    </row>
    <row r="166" spans="1:13" ht="15.75" customHeight="1" x14ac:dyDescent="0.25">
      <c r="A166" s="68">
        <v>30</v>
      </c>
      <c r="B166" s="87">
        <f t="shared" si="79"/>
        <v>48.387096774193552</v>
      </c>
      <c r="C166" s="65">
        <v>30</v>
      </c>
      <c r="D166" s="71">
        <f>625+421</f>
        <v>1046</v>
      </c>
      <c r="E166" s="71">
        <f>416+425</f>
        <v>841</v>
      </c>
      <c r="F166" s="71">
        <v>185</v>
      </c>
      <c r="G166" s="71">
        <v>3.5</v>
      </c>
      <c r="H166" s="71">
        <v>0</v>
      </c>
      <c r="I166" s="71">
        <v>0</v>
      </c>
      <c r="J166" s="71">
        <v>0</v>
      </c>
      <c r="K166" s="71">
        <v>0</v>
      </c>
      <c r="L166" s="71">
        <v>270</v>
      </c>
      <c r="M166" s="69">
        <v>2.85</v>
      </c>
    </row>
    <row r="167" spans="1:13" ht="15.75" customHeight="1" x14ac:dyDescent="0.25">
      <c r="A167" s="68">
        <v>40</v>
      </c>
      <c r="B167" s="87">
        <f t="shared" si="79"/>
        <v>48.387096774193552</v>
      </c>
      <c r="C167" s="65">
        <v>30</v>
      </c>
      <c r="D167" s="71">
        <f>621+419</f>
        <v>1040</v>
      </c>
      <c r="E167" s="71">
        <f>414+423</f>
        <v>837</v>
      </c>
      <c r="F167" s="71">
        <v>185</v>
      </c>
      <c r="G167" s="71">
        <v>3.5</v>
      </c>
      <c r="H167" s="71">
        <v>0</v>
      </c>
      <c r="I167" s="71">
        <v>0</v>
      </c>
      <c r="J167" s="71">
        <v>0</v>
      </c>
      <c r="K167" s="71">
        <v>0</v>
      </c>
      <c r="L167" s="71">
        <v>270</v>
      </c>
      <c r="M167" s="69">
        <v>2.98</v>
      </c>
    </row>
    <row r="168" spans="1:13" ht="15.75" customHeight="1" x14ac:dyDescent="0.25">
      <c r="A168" s="68">
        <v>60</v>
      </c>
      <c r="B168" s="87">
        <f t="shared" si="79"/>
        <v>48.387096774193552</v>
      </c>
      <c r="C168" s="65">
        <v>30</v>
      </c>
      <c r="D168" s="71">
        <f>614+415</f>
        <v>1029</v>
      </c>
      <c r="E168" s="71">
        <f>410+418</f>
        <v>828</v>
      </c>
      <c r="F168" s="71">
        <v>185</v>
      </c>
      <c r="G168" s="71">
        <v>3.5</v>
      </c>
      <c r="H168" s="71">
        <v>0</v>
      </c>
      <c r="I168" s="71">
        <v>0</v>
      </c>
      <c r="J168" s="71">
        <v>0</v>
      </c>
      <c r="K168" s="71">
        <v>0</v>
      </c>
      <c r="L168" s="71">
        <v>270</v>
      </c>
      <c r="M168" s="69">
        <v>3.15</v>
      </c>
    </row>
    <row r="169" spans="1:13" ht="15.75" customHeight="1" x14ac:dyDescent="0.25">
      <c r="A169" s="68">
        <v>80</v>
      </c>
      <c r="B169" s="87">
        <f t="shared" si="79"/>
        <v>48.387096774193552</v>
      </c>
      <c r="C169" s="65">
        <v>30</v>
      </c>
      <c r="D169" s="71">
        <f>608+410</f>
        <v>1018</v>
      </c>
      <c r="E169" s="71">
        <f>405+414</f>
        <v>819</v>
      </c>
      <c r="F169" s="71">
        <v>185</v>
      </c>
      <c r="G169" s="71">
        <v>3.5</v>
      </c>
      <c r="H169" s="71">
        <v>0</v>
      </c>
      <c r="I169" s="71">
        <v>0</v>
      </c>
      <c r="J169" s="71">
        <v>0</v>
      </c>
      <c r="K169" s="71">
        <v>0</v>
      </c>
      <c r="L169" s="71">
        <v>270</v>
      </c>
      <c r="M169" s="69">
        <v>3.22</v>
      </c>
    </row>
    <row r="170" spans="1:13" ht="15.75" customHeight="1" x14ac:dyDescent="0.25">
      <c r="A170" s="68">
        <v>10</v>
      </c>
      <c r="B170" s="87">
        <f t="shared" ref="B170:B175" si="80">60/0.75</f>
        <v>80</v>
      </c>
      <c r="C170" s="65">
        <v>60</v>
      </c>
      <c r="D170" s="71">
        <f>631+426</f>
        <v>1057</v>
      </c>
      <c r="E170" s="71">
        <f>421+429</f>
        <v>850</v>
      </c>
      <c r="F170" s="71">
        <v>185</v>
      </c>
      <c r="G170" s="71">
        <v>3.5</v>
      </c>
      <c r="H170" s="71">
        <v>0</v>
      </c>
      <c r="I170" s="71">
        <v>0</v>
      </c>
      <c r="J170" s="71">
        <v>0</v>
      </c>
      <c r="K170" s="71">
        <v>0</v>
      </c>
      <c r="L170" s="71">
        <v>270</v>
      </c>
      <c r="M170" s="69">
        <v>2.63</v>
      </c>
    </row>
    <row r="171" spans="1:13" ht="15.75" customHeight="1" x14ac:dyDescent="0.25">
      <c r="A171" s="68">
        <v>20</v>
      </c>
      <c r="B171" s="87">
        <f t="shared" si="80"/>
        <v>80</v>
      </c>
      <c r="C171" s="65">
        <v>60</v>
      </c>
      <c r="D171" s="71">
        <f>627+424</f>
        <v>1051</v>
      </c>
      <c r="E171" s="71">
        <f>419+427</f>
        <v>846</v>
      </c>
      <c r="F171" s="71">
        <v>185</v>
      </c>
      <c r="G171" s="71">
        <v>3.5</v>
      </c>
      <c r="H171" s="71">
        <v>0</v>
      </c>
      <c r="I171" s="71">
        <v>0</v>
      </c>
      <c r="J171" s="71">
        <v>0</v>
      </c>
      <c r="K171" s="71">
        <v>0</v>
      </c>
      <c r="L171" s="71">
        <v>270</v>
      </c>
      <c r="M171" s="69">
        <v>2.74</v>
      </c>
    </row>
    <row r="172" spans="1:13" ht="15.75" customHeight="1" x14ac:dyDescent="0.25">
      <c r="A172" s="68">
        <v>30</v>
      </c>
      <c r="B172" s="87">
        <f t="shared" si="80"/>
        <v>80</v>
      </c>
      <c r="C172" s="65">
        <v>60</v>
      </c>
      <c r="D172" s="71">
        <f>625+421</f>
        <v>1046</v>
      </c>
      <c r="E172" s="71">
        <f>416+425</f>
        <v>841</v>
      </c>
      <c r="F172" s="71">
        <v>185</v>
      </c>
      <c r="G172" s="71">
        <v>3.5</v>
      </c>
      <c r="H172" s="71">
        <v>0</v>
      </c>
      <c r="I172" s="71">
        <v>0</v>
      </c>
      <c r="J172" s="71">
        <v>0</v>
      </c>
      <c r="K172" s="71">
        <v>0</v>
      </c>
      <c r="L172" s="71">
        <v>270</v>
      </c>
      <c r="M172" s="69">
        <v>2.81</v>
      </c>
    </row>
    <row r="173" spans="1:13" ht="15.75" customHeight="1" x14ac:dyDescent="0.25">
      <c r="A173" s="68">
        <v>40</v>
      </c>
      <c r="B173" s="87">
        <f t="shared" si="80"/>
        <v>80</v>
      </c>
      <c r="C173" s="65">
        <v>60</v>
      </c>
      <c r="D173" s="71">
        <f>621+419</f>
        <v>1040</v>
      </c>
      <c r="E173" s="71">
        <f>414+423</f>
        <v>837</v>
      </c>
      <c r="F173" s="71">
        <v>185</v>
      </c>
      <c r="G173" s="71">
        <v>3.5</v>
      </c>
      <c r="H173" s="71">
        <v>0</v>
      </c>
      <c r="I173" s="71">
        <v>0</v>
      </c>
      <c r="J173" s="71">
        <v>0</v>
      </c>
      <c r="K173" s="71">
        <v>0</v>
      </c>
      <c r="L173" s="71">
        <v>270</v>
      </c>
      <c r="M173" s="69">
        <v>3.02</v>
      </c>
    </row>
    <row r="174" spans="1:13" ht="15.75" customHeight="1" x14ac:dyDescent="0.25">
      <c r="A174" s="68">
        <v>60</v>
      </c>
      <c r="B174" s="87">
        <f t="shared" si="80"/>
        <v>80</v>
      </c>
      <c r="C174" s="65">
        <v>60</v>
      </c>
      <c r="D174" s="71">
        <f>614+415</f>
        <v>1029</v>
      </c>
      <c r="E174" s="71">
        <f>410+418</f>
        <v>828</v>
      </c>
      <c r="F174" s="71">
        <v>185</v>
      </c>
      <c r="G174" s="71">
        <v>3.5</v>
      </c>
      <c r="H174" s="71">
        <v>0</v>
      </c>
      <c r="I174" s="71">
        <v>0</v>
      </c>
      <c r="J174" s="71">
        <v>0</v>
      </c>
      <c r="K174" s="71">
        <v>0</v>
      </c>
      <c r="L174" s="71">
        <v>270</v>
      </c>
      <c r="M174" s="69">
        <v>3.12</v>
      </c>
    </row>
    <row r="175" spans="1:13" ht="15.75" customHeight="1" x14ac:dyDescent="0.25">
      <c r="A175" s="68">
        <v>80</v>
      </c>
      <c r="B175" s="87">
        <f t="shared" si="80"/>
        <v>80</v>
      </c>
      <c r="C175" s="65">
        <v>60</v>
      </c>
      <c r="D175" s="71">
        <f>608+410</f>
        <v>1018</v>
      </c>
      <c r="E175" s="71">
        <f>405+414</f>
        <v>819</v>
      </c>
      <c r="F175" s="71">
        <v>185</v>
      </c>
      <c r="G175" s="71">
        <v>3.5</v>
      </c>
      <c r="H175" s="71">
        <v>0</v>
      </c>
      <c r="I175" s="71">
        <v>0</v>
      </c>
      <c r="J175" s="71">
        <v>0</v>
      </c>
      <c r="K175" s="71">
        <v>0</v>
      </c>
      <c r="L175" s="71">
        <v>270</v>
      </c>
      <c r="M175" s="69">
        <v>3.35</v>
      </c>
    </row>
    <row r="176" spans="1:13" ht="15.75" customHeight="1" x14ac:dyDescent="0.25">
      <c r="A176" s="68">
        <v>0</v>
      </c>
      <c r="B176" s="87">
        <v>0</v>
      </c>
      <c r="C176" s="65">
        <v>0</v>
      </c>
      <c r="D176" s="71">
        <f>545+225</f>
        <v>770</v>
      </c>
      <c r="E176" s="71">
        <f>453+455</f>
        <v>908</v>
      </c>
      <c r="F176" s="71">
        <v>205</v>
      </c>
      <c r="G176" s="71">
        <v>7</v>
      </c>
      <c r="H176" s="71">
        <v>0</v>
      </c>
      <c r="I176" s="71">
        <v>0</v>
      </c>
      <c r="J176" s="71">
        <v>0</v>
      </c>
      <c r="K176" s="71">
        <v>0</v>
      </c>
      <c r="L176" s="71">
        <v>500</v>
      </c>
      <c r="M176" s="69">
        <v>4.12</v>
      </c>
    </row>
    <row r="177" spans="1:13" ht="15.75" customHeight="1" x14ac:dyDescent="0.25">
      <c r="A177" s="68">
        <v>10</v>
      </c>
      <c r="B177" s="87">
        <f t="shared" ref="B177:B182" si="81">30/0.62</f>
        <v>48.387096774193552</v>
      </c>
      <c r="C177" s="65">
        <v>30</v>
      </c>
      <c r="D177" s="71">
        <f>542+224</f>
        <v>766</v>
      </c>
      <c r="E177" s="71">
        <f>450+452</f>
        <v>902</v>
      </c>
      <c r="F177" s="71">
        <v>205</v>
      </c>
      <c r="G177" s="71">
        <v>7</v>
      </c>
      <c r="H177" s="71">
        <v>0</v>
      </c>
      <c r="I177" s="71">
        <v>0</v>
      </c>
      <c r="J177" s="71">
        <v>0</v>
      </c>
      <c r="K177" s="71">
        <v>0</v>
      </c>
      <c r="L177" s="71">
        <v>500</v>
      </c>
      <c r="M177" s="69">
        <v>4.22</v>
      </c>
    </row>
    <row r="178" spans="1:13" ht="15.75" customHeight="1" x14ac:dyDescent="0.25">
      <c r="A178" s="68">
        <v>20</v>
      </c>
      <c r="B178" s="87">
        <f t="shared" si="81"/>
        <v>48.387096774193552</v>
      </c>
      <c r="C178" s="65">
        <v>30</v>
      </c>
      <c r="D178" s="71">
        <f>539+222</f>
        <v>761</v>
      </c>
      <c r="E178" s="71">
        <f>448+450</f>
        <v>898</v>
      </c>
      <c r="F178" s="71">
        <v>205</v>
      </c>
      <c r="G178" s="71">
        <v>7</v>
      </c>
      <c r="H178" s="71">
        <v>0</v>
      </c>
      <c r="I178" s="71">
        <v>0</v>
      </c>
      <c r="J178" s="71">
        <v>0</v>
      </c>
      <c r="K178" s="71">
        <v>0</v>
      </c>
      <c r="L178" s="71">
        <v>500</v>
      </c>
      <c r="M178" s="69">
        <v>4.4000000000000004</v>
      </c>
    </row>
    <row r="179" spans="1:13" ht="15.75" customHeight="1" x14ac:dyDescent="0.25">
      <c r="A179" s="68">
        <v>30</v>
      </c>
      <c r="B179" s="87">
        <f t="shared" si="81"/>
        <v>48.387096774193552</v>
      </c>
      <c r="C179" s="65">
        <v>30</v>
      </c>
      <c r="D179" s="71">
        <f>535+221</f>
        <v>756</v>
      </c>
      <c r="E179" s="71">
        <f>445+447</f>
        <v>892</v>
      </c>
      <c r="F179" s="71">
        <v>205</v>
      </c>
      <c r="G179" s="71">
        <v>7</v>
      </c>
      <c r="H179" s="71">
        <v>0</v>
      </c>
      <c r="I179" s="71">
        <v>0</v>
      </c>
      <c r="J179" s="71">
        <v>0</v>
      </c>
      <c r="K179" s="71">
        <v>0</v>
      </c>
      <c r="L179" s="71">
        <v>500</v>
      </c>
      <c r="M179" s="69">
        <v>4.5599999999999996</v>
      </c>
    </row>
    <row r="180" spans="1:13" ht="15.75" customHeight="1" x14ac:dyDescent="0.25">
      <c r="A180" s="68">
        <v>40</v>
      </c>
      <c r="B180" s="87">
        <f t="shared" si="81"/>
        <v>48.387096774193552</v>
      </c>
      <c r="C180" s="65">
        <v>30</v>
      </c>
      <c r="D180" s="71">
        <f>532+220</f>
        <v>752</v>
      </c>
      <c r="E180" s="71">
        <f>442+444</f>
        <v>886</v>
      </c>
      <c r="F180" s="71">
        <v>205</v>
      </c>
      <c r="G180" s="71">
        <v>7</v>
      </c>
      <c r="H180" s="71">
        <v>0</v>
      </c>
      <c r="I180" s="71">
        <v>0</v>
      </c>
      <c r="J180" s="71">
        <v>0</v>
      </c>
      <c r="K180" s="71">
        <v>0</v>
      </c>
      <c r="L180" s="71">
        <v>500</v>
      </c>
      <c r="M180" s="69">
        <v>4.68</v>
      </c>
    </row>
    <row r="181" spans="1:13" ht="15.75" customHeight="1" x14ac:dyDescent="0.25">
      <c r="A181" s="68">
        <v>60</v>
      </c>
      <c r="B181" s="87">
        <f t="shared" si="81"/>
        <v>48.387096774193552</v>
      </c>
      <c r="C181" s="65">
        <v>30</v>
      </c>
      <c r="D181" s="71">
        <f>526+217</f>
        <v>743</v>
      </c>
      <c r="E181" s="71">
        <f>437+439</f>
        <v>876</v>
      </c>
      <c r="F181" s="71">
        <v>205</v>
      </c>
      <c r="G181" s="71">
        <v>7</v>
      </c>
      <c r="H181" s="71">
        <v>0</v>
      </c>
      <c r="I181" s="71">
        <v>0</v>
      </c>
      <c r="J181" s="71">
        <v>0</v>
      </c>
      <c r="K181" s="71">
        <v>0</v>
      </c>
      <c r="L181" s="71">
        <v>500</v>
      </c>
      <c r="M181" s="69">
        <v>4.9000000000000004</v>
      </c>
    </row>
    <row r="182" spans="1:13" ht="15.75" customHeight="1" x14ac:dyDescent="0.25">
      <c r="A182" s="68">
        <v>80</v>
      </c>
      <c r="B182" s="87">
        <f t="shared" si="81"/>
        <v>48.387096774193552</v>
      </c>
      <c r="C182" s="65">
        <v>30</v>
      </c>
      <c r="D182" s="71">
        <f>519+214</f>
        <v>733</v>
      </c>
      <c r="E182" s="71">
        <f>431+433</f>
        <v>864</v>
      </c>
      <c r="F182" s="71">
        <v>205</v>
      </c>
      <c r="G182" s="71">
        <v>7</v>
      </c>
      <c r="H182" s="71">
        <v>0</v>
      </c>
      <c r="I182" s="71">
        <v>0</v>
      </c>
      <c r="J182" s="71">
        <v>0</v>
      </c>
      <c r="K182" s="71">
        <v>0</v>
      </c>
      <c r="L182" s="71">
        <v>500</v>
      </c>
      <c r="M182" s="69">
        <v>5.05</v>
      </c>
    </row>
    <row r="183" spans="1:13" ht="15.75" customHeight="1" x14ac:dyDescent="0.25">
      <c r="A183" s="68">
        <v>10</v>
      </c>
      <c r="B183" s="87">
        <f t="shared" ref="B183:B188" si="82">60/0.75</f>
        <v>80</v>
      </c>
      <c r="C183" s="65">
        <v>60</v>
      </c>
      <c r="D183" s="71">
        <f>542+224</f>
        <v>766</v>
      </c>
      <c r="E183" s="71">
        <f>450+452</f>
        <v>902</v>
      </c>
      <c r="F183" s="71">
        <v>205</v>
      </c>
      <c r="G183" s="71">
        <v>7</v>
      </c>
      <c r="H183" s="71">
        <v>0</v>
      </c>
      <c r="I183" s="71">
        <v>0</v>
      </c>
      <c r="J183" s="71">
        <v>0</v>
      </c>
      <c r="K183" s="71">
        <v>0</v>
      </c>
      <c r="L183" s="71">
        <v>500</v>
      </c>
      <c r="M183" s="69">
        <v>4.28</v>
      </c>
    </row>
    <row r="184" spans="1:13" ht="15.75" customHeight="1" x14ac:dyDescent="0.25">
      <c r="A184" s="68">
        <v>20</v>
      </c>
      <c r="B184" s="87">
        <f t="shared" si="82"/>
        <v>80</v>
      </c>
      <c r="C184" s="65">
        <v>60</v>
      </c>
      <c r="D184" s="71">
        <f>539+222</f>
        <v>761</v>
      </c>
      <c r="E184" s="71">
        <f>448+450</f>
        <v>898</v>
      </c>
      <c r="F184" s="71">
        <v>205</v>
      </c>
      <c r="G184" s="71">
        <v>7</v>
      </c>
      <c r="H184" s="71">
        <v>0</v>
      </c>
      <c r="I184" s="71">
        <v>0</v>
      </c>
      <c r="J184" s="71">
        <v>0</v>
      </c>
      <c r="K184" s="71">
        <v>0</v>
      </c>
      <c r="L184" s="71">
        <v>500</v>
      </c>
      <c r="M184" s="69">
        <v>4.4400000000000004</v>
      </c>
    </row>
    <row r="185" spans="1:13" ht="15.75" customHeight="1" x14ac:dyDescent="0.25">
      <c r="A185" s="68">
        <v>30</v>
      </c>
      <c r="B185" s="87">
        <f t="shared" si="82"/>
        <v>80</v>
      </c>
      <c r="C185" s="65">
        <v>60</v>
      </c>
      <c r="D185" s="71">
        <f>535+221</f>
        <v>756</v>
      </c>
      <c r="E185" s="71">
        <f>445+447</f>
        <v>892</v>
      </c>
      <c r="F185" s="71">
        <v>205</v>
      </c>
      <c r="G185" s="71">
        <v>7</v>
      </c>
      <c r="H185" s="71">
        <v>0</v>
      </c>
      <c r="I185" s="71">
        <v>0</v>
      </c>
      <c r="J185" s="71">
        <v>0</v>
      </c>
      <c r="K185" s="71">
        <v>0</v>
      </c>
      <c r="L185" s="71">
        <v>500</v>
      </c>
      <c r="M185" s="69">
        <v>4.59</v>
      </c>
    </row>
    <row r="186" spans="1:13" ht="15.75" customHeight="1" x14ac:dyDescent="0.25">
      <c r="A186" s="68">
        <v>40</v>
      </c>
      <c r="B186" s="87">
        <f t="shared" si="82"/>
        <v>80</v>
      </c>
      <c r="C186" s="65">
        <v>60</v>
      </c>
      <c r="D186" s="71">
        <f>532+220</f>
        <v>752</v>
      </c>
      <c r="E186" s="71">
        <f>442+444</f>
        <v>886</v>
      </c>
      <c r="F186" s="71">
        <v>205</v>
      </c>
      <c r="G186" s="71">
        <v>7</v>
      </c>
      <c r="H186" s="71">
        <v>0</v>
      </c>
      <c r="I186" s="71">
        <v>0</v>
      </c>
      <c r="J186" s="71">
        <v>0</v>
      </c>
      <c r="K186" s="71">
        <v>0</v>
      </c>
      <c r="L186" s="71">
        <v>500</v>
      </c>
      <c r="M186" s="69">
        <v>4.8099999999999996</v>
      </c>
    </row>
    <row r="187" spans="1:13" ht="15.75" customHeight="1" x14ac:dyDescent="0.25">
      <c r="A187" s="68">
        <v>60</v>
      </c>
      <c r="B187" s="87">
        <f t="shared" si="82"/>
        <v>80</v>
      </c>
      <c r="C187" s="65">
        <v>60</v>
      </c>
      <c r="D187" s="71">
        <f>526+217</f>
        <v>743</v>
      </c>
      <c r="E187" s="71">
        <f>437+439</f>
        <v>876</v>
      </c>
      <c r="F187" s="71">
        <v>205</v>
      </c>
      <c r="G187" s="71">
        <v>7</v>
      </c>
      <c r="H187" s="71">
        <v>0</v>
      </c>
      <c r="I187" s="71">
        <v>0</v>
      </c>
      <c r="J187" s="71">
        <v>0</v>
      </c>
      <c r="K187" s="71">
        <v>0</v>
      </c>
      <c r="L187" s="71">
        <v>500</v>
      </c>
      <c r="M187" s="69">
        <v>5</v>
      </c>
    </row>
    <row r="188" spans="1:13" ht="15.75" customHeight="1" x14ac:dyDescent="0.25">
      <c r="A188" s="68">
        <v>80</v>
      </c>
      <c r="B188" s="87">
        <f t="shared" si="82"/>
        <v>80</v>
      </c>
      <c r="C188" s="65">
        <v>60</v>
      </c>
      <c r="D188" s="71">
        <f>519+214</f>
        <v>733</v>
      </c>
      <c r="E188" s="71">
        <f>431+433</f>
        <v>864</v>
      </c>
      <c r="F188" s="71">
        <v>205</v>
      </c>
      <c r="G188" s="71">
        <v>7</v>
      </c>
      <c r="H188" s="71">
        <v>0</v>
      </c>
      <c r="I188" s="71">
        <v>0</v>
      </c>
      <c r="J188" s="71">
        <v>0</v>
      </c>
      <c r="K188" s="71">
        <v>0</v>
      </c>
      <c r="L188" s="71">
        <v>500</v>
      </c>
      <c r="M188" s="69">
        <v>5.27</v>
      </c>
    </row>
    <row r="189" spans="1:13" ht="15.75" customHeight="1" x14ac:dyDescent="0.25">
      <c r="A189" s="68">
        <v>0</v>
      </c>
      <c r="B189" s="87">
        <v>0</v>
      </c>
      <c r="C189" s="65">
        <v>0</v>
      </c>
      <c r="D189" s="71">
        <f>546+239</f>
        <v>785</v>
      </c>
      <c r="E189" s="71">
        <f>480+480</f>
        <v>960</v>
      </c>
      <c r="F189" s="71">
        <v>143</v>
      </c>
      <c r="G189" s="71">
        <f t="shared" ref="G189:G201" si="83">8.75</f>
        <v>8.75</v>
      </c>
      <c r="H189" s="71">
        <v>52</v>
      </c>
      <c r="I189" s="71">
        <v>0</v>
      </c>
      <c r="J189" s="71">
        <v>0</v>
      </c>
      <c r="K189" s="71">
        <v>0</v>
      </c>
      <c r="L189" s="71">
        <v>471</v>
      </c>
      <c r="M189" s="69">
        <v>5.31</v>
      </c>
    </row>
    <row r="190" spans="1:13" ht="15.75" customHeight="1" x14ac:dyDescent="0.25">
      <c r="A190" s="68">
        <v>10</v>
      </c>
      <c r="B190" s="87">
        <f t="shared" ref="B190:B195" si="84">30/0.62</f>
        <v>48.387096774193552</v>
      </c>
      <c r="C190" s="65">
        <v>30</v>
      </c>
      <c r="D190" s="71">
        <f>543+238</f>
        <v>781</v>
      </c>
      <c r="E190" s="71">
        <f>477*2</f>
        <v>954</v>
      </c>
      <c r="F190" s="71">
        <v>143</v>
      </c>
      <c r="G190" s="71">
        <f t="shared" si="83"/>
        <v>8.75</v>
      </c>
      <c r="H190" s="71">
        <v>52</v>
      </c>
      <c r="I190" s="71">
        <v>0</v>
      </c>
      <c r="J190" s="71">
        <v>0</v>
      </c>
      <c r="K190" s="71">
        <v>0</v>
      </c>
      <c r="L190" s="71">
        <v>471</v>
      </c>
      <c r="M190" s="69">
        <v>5.31</v>
      </c>
    </row>
    <row r="191" spans="1:13" ht="15.75" customHeight="1" x14ac:dyDescent="0.25">
      <c r="A191" s="68">
        <v>20</v>
      </c>
      <c r="B191" s="87">
        <f t="shared" si="84"/>
        <v>48.387096774193552</v>
      </c>
      <c r="C191" s="65">
        <v>30</v>
      </c>
      <c r="D191" s="71">
        <f>540+236</f>
        <v>776</v>
      </c>
      <c r="E191" s="71">
        <f>475*2</f>
        <v>950</v>
      </c>
      <c r="F191" s="71">
        <v>143</v>
      </c>
      <c r="G191" s="71">
        <f t="shared" si="83"/>
        <v>8.75</v>
      </c>
      <c r="H191" s="71">
        <v>52</v>
      </c>
      <c r="I191" s="71">
        <v>0</v>
      </c>
      <c r="J191" s="71">
        <v>0</v>
      </c>
      <c r="K191" s="71">
        <v>0</v>
      </c>
      <c r="L191" s="71">
        <v>471</v>
      </c>
      <c r="M191" s="69">
        <v>5.56</v>
      </c>
    </row>
    <row r="192" spans="1:13" ht="15.75" customHeight="1" x14ac:dyDescent="0.25">
      <c r="A192" s="68">
        <v>30</v>
      </c>
      <c r="B192" s="87">
        <f t="shared" si="84"/>
        <v>48.387096774193552</v>
      </c>
      <c r="C192" s="65">
        <v>30</v>
      </c>
      <c r="D192" s="71">
        <f>537+235</f>
        <v>772</v>
      </c>
      <c r="E192" s="71">
        <f>472*2</f>
        <v>944</v>
      </c>
      <c r="F192" s="71">
        <v>143</v>
      </c>
      <c r="G192" s="71">
        <f t="shared" si="83"/>
        <v>8.75</v>
      </c>
      <c r="H192" s="71">
        <v>52</v>
      </c>
      <c r="I192" s="71">
        <v>0</v>
      </c>
      <c r="J192" s="71">
        <v>0</v>
      </c>
      <c r="K192" s="71">
        <v>0</v>
      </c>
      <c r="L192" s="71">
        <v>471</v>
      </c>
      <c r="M192" s="69">
        <v>5.71</v>
      </c>
    </row>
    <row r="193" spans="1:13" ht="15.75" customHeight="1" x14ac:dyDescent="0.25">
      <c r="A193" s="68">
        <v>40</v>
      </c>
      <c r="B193" s="87">
        <f t="shared" si="84"/>
        <v>48.387096774193552</v>
      </c>
      <c r="C193" s="65">
        <v>30</v>
      </c>
      <c r="D193" s="71">
        <f>534+234</f>
        <v>768</v>
      </c>
      <c r="E193" s="71">
        <f>469*2</f>
        <v>938</v>
      </c>
      <c r="F193" s="71">
        <v>143</v>
      </c>
      <c r="G193" s="71">
        <f t="shared" si="83"/>
        <v>8.75</v>
      </c>
      <c r="H193" s="71">
        <v>52</v>
      </c>
      <c r="I193" s="71">
        <v>0</v>
      </c>
      <c r="J193" s="71">
        <v>0</v>
      </c>
      <c r="K193" s="71">
        <v>0</v>
      </c>
      <c r="L193" s="71">
        <v>471</v>
      </c>
      <c r="M193" s="69">
        <v>5.92</v>
      </c>
    </row>
    <row r="194" spans="1:13" ht="15.75" customHeight="1" x14ac:dyDescent="0.25">
      <c r="A194" s="68">
        <v>60</v>
      </c>
      <c r="B194" s="87">
        <f t="shared" si="84"/>
        <v>48.387096774193552</v>
      </c>
      <c r="C194" s="65">
        <v>30</v>
      </c>
      <c r="D194" s="71">
        <f>528+231</f>
        <v>759</v>
      </c>
      <c r="E194" s="71">
        <f>463*2</f>
        <v>926</v>
      </c>
      <c r="F194" s="71">
        <v>143</v>
      </c>
      <c r="G194" s="71">
        <f t="shared" si="83"/>
        <v>8.75</v>
      </c>
      <c r="H194" s="71">
        <v>52</v>
      </c>
      <c r="I194" s="71">
        <v>0</v>
      </c>
      <c r="J194" s="71">
        <v>0</v>
      </c>
      <c r="K194" s="71">
        <v>0</v>
      </c>
      <c r="L194" s="71">
        <v>471</v>
      </c>
      <c r="M194" s="69">
        <v>6.21</v>
      </c>
    </row>
    <row r="195" spans="1:13" ht="15.75" customHeight="1" x14ac:dyDescent="0.25">
      <c r="A195" s="68">
        <v>80</v>
      </c>
      <c r="B195" s="87">
        <f t="shared" si="84"/>
        <v>48.387096774193552</v>
      </c>
      <c r="C195" s="65">
        <v>30</v>
      </c>
      <c r="D195" s="71">
        <f>522+228</f>
        <v>750</v>
      </c>
      <c r="E195" s="71">
        <f>457*2</f>
        <v>914</v>
      </c>
      <c r="F195" s="71">
        <v>143</v>
      </c>
      <c r="G195" s="71">
        <f t="shared" si="83"/>
        <v>8.75</v>
      </c>
      <c r="H195" s="71">
        <v>52</v>
      </c>
      <c r="I195" s="71">
        <v>0</v>
      </c>
      <c r="J195" s="71">
        <v>0</v>
      </c>
      <c r="K195" s="71">
        <v>0</v>
      </c>
      <c r="L195" s="71">
        <v>471</v>
      </c>
      <c r="M195" s="69">
        <v>6.43</v>
      </c>
    </row>
    <row r="196" spans="1:13" ht="15.75" customHeight="1" x14ac:dyDescent="0.25">
      <c r="A196" s="68">
        <v>10</v>
      </c>
      <c r="B196" s="87">
        <f t="shared" ref="B196:B201" si="85">60/0.75</f>
        <v>80</v>
      </c>
      <c r="C196" s="65">
        <v>60</v>
      </c>
      <c r="D196" s="71">
        <f>543+238</f>
        <v>781</v>
      </c>
      <c r="E196" s="71">
        <f>477*2</f>
        <v>954</v>
      </c>
      <c r="F196" s="71">
        <v>143</v>
      </c>
      <c r="G196" s="71">
        <f t="shared" si="83"/>
        <v>8.75</v>
      </c>
      <c r="H196" s="71">
        <v>52</v>
      </c>
      <c r="I196" s="71">
        <v>0</v>
      </c>
      <c r="J196" s="71">
        <v>0</v>
      </c>
      <c r="K196" s="71">
        <v>0</v>
      </c>
      <c r="L196" s="71">
        <v>471</v>
      </c>
      <c r="M196" s="69">
        <v>5.4</v>
      </c>
    </row>
    <row r="197" spans="1:13" ht="15.75" customHeight="1" x14ac:dyDescent="0.25">
      <c r="A197" s="68">
        <v>20</v>
      </c>
      <c r="B197" s="87">
        <f t="shared" si="85"/>
        <v>80</v>
      </c>
      <c r="C197" s="65">
        <v>60</v>
      </c>
      <c r="D197" s="71">
        <f>540+236</f>
        <v>776</v>
      </c>
      <c r="E197" s="71">
        <f>475*2</f>
        <v>950</v>
      </c>
      <c r="F197" s="71">
        <v>143</v>
      </c>
      <c r="G197" s="71">
        <f t="shared" si="83"/>
        <v>8.75</v>
      </c>
      <c r="H197" s="71">
        <v>52</v>
      </c>
      <c r="I197" s="71">
        <v>0</v>
      </c>
      <c r="J197" s="71">
        <v>0</v>
      </c>
      <c r="K197" s="71">
        <v>0</v>
      </c>
      <c r="L197" s="71">
        <v>471</v>
      </c>
      <c r="M197" s="69">
        <v>5.51</v>
      </c>
    </row>
    <row r="198" spans="1:13" ht="15.75" customHeight="1" x14ac:dyDescent="0.25">
      <c r="A198" s="68">
        <v>30</v>
      </c>
      <c r="B198" s="87">
        <f t="shared" si="85"/>
        <v>80</v>
      </c>
      <c r="C198" s="65">
        <v>60</v>
      </c>
      <c r="D198" s="71">
        <f>537+235</f>
        <v>772</v>
      </c>
      <c r="E198" s="71">
        <f>472*2</f>
        <v>944</v>
      </c>
      <c r="F198" s="71">
        <v>143</v>
      </c>
      <c r="G198" s="71">
        <f t="shared" si="83"/>
        <v>8.75</v>
      </c>
      <c r="H198" s="71">
        <v>52</v>
      </c>
      <c r="I198" s="71">
        <v>0</v>
      </c>
      <c r="J198" s="71">
        <v>0</v>
      </c>
      <c r="K198" s="71">
        <v>0</v>
      </c>
      <c r="L198" s="71">
        <v>471</v>
      </c>
      <c r="M198" s="69">
        <v>5.71</v>
      </c>
    </row>
    <row r="199" spans="1:13" ht="15.75" customHeight="1" x14ac:dyDescent="0.25">
      <c r="A199" s="68">
        <v>40</v>
      </c>
      <c r="B199" s="87">
        <f t="shared" si="85"/>
        <v>80</v>
      </c>
      <c r="C199" s="65">
        <v>60</v>
      </c>
      <c r="D199" s="71">
        <f>534+234</f>
        <v>768</v>
      </c>
      <c r="E199" s="71">
        <f>469*2</f>
        <v>938</v>
      </c>
      <c r="F199" s="71">
        <v>143</v>
      </c>
      <c r="G199" s="71">
        <f t="shared" si="83"/>
        <v>8.75</v>
      </c>
      <c r="H199" s="71">
        <v>52</v>
      </c>
      <c r="I199" s="71">
        <v>0</v>
      </c>
      <c r="J199" s="71">
        <v>0</v>
      </c>
      <c r="K199" s="71">
        <v>0</v>
      </c>
      <c r="L199" s="71">
        <v>471</v>
      </c>
      <c r="M199" s="69">
        <v>5.88</v>
      </c>
    </row>
    <row r="200" spans="1:13" ht="15.75" customHeight="1" x14ac:dyDescent="0.25">
      <c r="A200" s="68">
        <v>60</v>
      </c>
      <c r="B200" s="87">
        <f t="shared" si="85"/>
        <v>80</v>
      </c>
      <c r="C200" s="65">
        <v>60</v>
      </c>
      <c r="D200" s="71">
        <f>528+231</f>
        <v>759</v>
      </c>
      <c r="E200" s="71">
        <f>463*2</f>
        <v>926</v>
      </c>
      <c r="F200" s="71">
        <v>143</v>
      </c>
      <c r="G200" s="71">
        <f t="shared" si="83"/>
        <v>8.75</v>
      </c>
      <c r="H200" s="71">
        <v>52</v>
      </c>
      <c r="I200" s="71">
        <v>0</v>
      </c>
      <c r="J200" s="71">
        <v>0</v>
      </c>
      <c r="K200" s="71">
        <v>0</v>
      </c>
      <c r="L200" s="71">
        <v>471</v>
      </c>
      <c r="M200" s="69">
        <v>6.23</v>
      </c>
    </row>
    <row r="201" spans="1:13" ht="15.75" customHeight="1" x14ac:dyDescent="0.25">
      <c r="A201" s="68">
        <v>80</v>
      </c>
      <c r="B201" s="87">
        <f t="shared" si="85"/>
        <v>80</v>
      </c>
      <c r="C201" s="65">
        <v>60</v>
      </c>
      <c r="D201" s="71">
        <f>522+228</f>
        <v>750</v>
      </c>
      <c r="E201" s="71">
        <f>457*2</f>
        <v>914</v>
      </c>
      <c r="F201" s="71">
        <v>143</v>
      </c>
      <c r="G201" s="71">
        <f t="shared" si="83"/>
        <v>8.75</v>
      </c>
      <c r="H201" s="71">
        <v>52</v>
      </c>
      <c r="I201" s="71">
        <v>0</v>
      </c>
      <c r="J201" s="71">
        <v>0</v>
      </c>
      <c r="K201" s="71">
        <v>0</v>
      </c>
      <c r="L201" s="71">
        <v>471</v>
      </c>
      <c r="M201" s="69">
        <v>6.54</v>
      </c>
    </row>
    <row r="202" spans="1:13" ht="15.75" customHeight="1" x14ac:dyDescent="0.25">
      <c r="A202" s="68">
        <v>0</v>
      </c>
      <c r="B202" s="87">
        <v>0</v>
      </c>
      <c r="C202" s="65">
        <v>0</v>
      </c>
      <c r="D202" s="71">
        <v>664.5</v>
      </c>
      <c r="E202" s="71">
        <v>1181.3</v>
      </c>
      <c r="F202" s="71">
        <v>172</v>
      </c>
      <c r="G202" s="71">
        <v>2.7</v>
      </c>
      <c r="H202" s="71">
        <v>0</v>
      </c>
      <c r="I202" s="71">
        <v>0</v>
      </c>
      <c r="J202" s="71">
        <v>0</v>
      </c>
      <c r="K202" s="71">
        <v>0</v>
      </c>
      <c r="L202" s="71">
        <v>347.5</v>
      </c>
      <c r="M202" s="88">
        <v>3.85</v>
      </c>
    </row>
    <row r="203" spans="1:13" ht="15.75" customHeight="1" x14ac:dyDescent="0.25">
      <c r="A203" s="68">
        <v>39</v>
      </c>
      <c r="B203" s="87">
        <f t="shared" ref="B203:B206" si="86">60/0.9</f>
        <v>66.666666666666671</v>
      </c>
      <c r="C203" s="65">
        <v>60</v>
      </c>
      <c r="D203" s="71">
        <v>674.3</v>
      </c>
      <c r="E203" s="71">
        <v>1159.5</v>
      </c>
      <c r="F203" s="71">
        <v>172</v>
      </c>
      <c r="G203" s="71">
        <v>2.7</v>
      </c>
      <c r="H203" s="71">
        <v>0</v>
      </c>
      <c r="I203" s="71">
        <v>0</v>
      </c>
      <c r="J203" s="71">
        <v>0</v>
      </c>
      <c r="K203" s="71">
        <v>0</v>
      </c>
      <c r="L203" s="71">
        <v>347.5</v>
      </c>
      <c r="M203" s="88">
        <v>3.92</v>
      </c>
    </row>
    <row r="204" spans="1:13" ht="15.75" customHeight="1" x14ac:dyDescent="0.25">
      <c r="A204" s="68">
        <v>58.9</v>
      </c>
      <c r="B204" s="87">
        <f t="shared" si="86"/>
        <v>66.666666666666671</v>
      </c>
      <c r="C204" s="65">
        <v>60</v>
      </c>
      <c r="D204" s="71">
        <v>679.2</v>
      </c>
      <c r="E204" s="71">
        <v>1148.5999999999999</v>
      </c>
      <c r="F204" s="71">
        <v>172</v>
      </c>
      <c r="G204" s="71">
        <v>2.7</v>
      </c>
      <c r="H204" s="71">
        <v>0</v>
      </c>
      <c r="I204" s="71">
        <v>0</v>
      </c>
      <c r="J204" s="71">
        <v>0</v>
      </c>
      <c r="K204" s="71">
        <v>0</v>
      </c>
      <c r="L204" s="71">
        <v>347.5</v>
      </c>
      <c r="M204" s="88">
        <v>4.3</v>
      </c>
    </row>
    <row r="205" spans="1:13" ht="15.75" customHeight="1" x14ac:dyDescent="0.25">
      <c r="A205" s="68">
        <v>78.5</v>
      </c>
      <c r="B205" s="87">
        <f t="shared" si="86"/>
        <v>66.666666666666671</v>
      </c>
      <c r="C205" s="65">
        <v>60</v>
      </c>
      <c r="D205" s="71">
        <v>684.9</v>
      </c>
      <c r="E205" s="71">
        <v>1137.8</v>
      </c>
      <c r="F205" s="71">
        <v>172</v>
      </c>
      <c r="G205" s="71">
        <v>2.7</v>
      </c>
      <c r="H205" s="71">
        <v>0</v>
      </c>
      <c r="I205" s="71">
        <v>0</v>
      </c>
      <c r="J205" s="71">
        <v>0</v>
      </c>
      <c r="K205" s="71">
        <v>0</v>
      </c>
      <c r="L205" s="71">
        <v>347.5</v>
      </c>
      <c r="M205" s="88">
        <v>4.58</v>
      </c>
    </row>
    <row r="206" spans="1:13" ht="15.75" customHeight="1" x14ac:dyDescent="0.25">
      <c r="A206" s="68">
        <v>117</v>
      </c>
      <c r="B206" s="87">
        <f t="shared" si="86"/>
        <v>66.666666666666671</v>
      </c>
      <c r="C206" s="65">
        <v>60</v>
      </c>
      <c r="D206" s="71">
        <v>693.7</v>
      </c>
      <c r="E206" s="71">
        <v>1115.0999999999999</v>
      </c>
      <c r="F206" s="71">
        <v>172</v>
      </c>
      <c r="G206" s="71">
        <v>2.7</v>
      </c>
      <c r="H206" s="71">
        <v>0</v>
      </c>
      <c r="I206" s="71">
        <v>0</v>
      </c>
      <c r="J206" s="71">
        <v>0</v>
      </c>
      <c r="K206" s="71">
        <v>0</v>
      </c>
      <c r="L206" s="71">
        <v>347.5</v>
      </c>
      <c r="M206" s="88">
        <v>5.18</v>
      </c>
    </row>
    <row r="207" spans="1:13" ht="15.75" customHeight="1" x14ac:dyDescent="0.25">
      <c r="A207" s="68">
        <v>0</v>
      </c>
      <c r="B207" s="87">
        <v>0</v>
      </c>
      <c r="C207" s="65">
        <v>0</v>
      </c>
      <c r="D207" s="71">
        <v>660.8</v>
      </c>
      <c r="E207" s="71">
        <v>1078.2</v>
      </c>
      <c r="F207" s="71">
        <v>164</v>
      </c>
      <c r="G207" s="71">
        <v>4.9000000000000004</v>
      </c>
      <c r="H207" s="71">
        <v>0</v>
      </c>
      <c r="I207" s="71">
        <v>0</v>
      </c>
      <c r="J207" s="71">
        <v>0</v>
      </c>
      <c r="K207" s="71">
        <v>0</v>
      </c>
      <c r="L207" s="71">
        <v>451.8</v>
      </c>
      <c r="M207" s="88">
        <v>4.1100000000000003</v>
      </c>
    </row>
    <row r="208" spans="1:13" ht="15.75" customHeight="1" x14ac:dyDescent="0.25">
      <c r="A208" s="68">
        <v>39</v>
      </c>
      <c r="B208" s="87">
        <f t="shared" ref="B208:B211" si="87">60/0.9</f>
        <v>66.666666666666671</v>
      </c>
      <c r="C208" s="65">
        <v>60</v>
      </c>
      <c r="D208" s="71">
        <v>671.2</v>
      </c>
      <c r="E208" s="71">
        <v>1055.8</v>
      </c>
      <c r="F208" s="71">
        <v>164</v>
      </c>
      <c r="G208" s="71">
        <v>4.9000000000000004</v>
      </c>
      <c r="H208" s="71">
        <v>0</v>
      </c>
      <c r="I208" s="71">
        <v>0</v>
      </c>
      <c r="J208" s="71">
        <v>0</v>
      </c>
      <c r="K208" s="71">
        <v>0</v>
      </c>
      <c r="L208" s="71">
        <v>451.8</v>
      </c>
      <c r="M208" s="88">
        <v>4.38</v>
      </c>
    </row>
    <row r="209" spans="1:13" ht="15.75" customHeight="1" x14ac:dyDescent="0.25">
      <c r="A209" s="68">
        <v>58.9</v>
      </c>
      <c r="B209" s="87">
        <f t="shared" si="87"/>
        <v>66.666666666666671</v>
      </c>
      <c r="C209" s="65">
        <v>60</v>
      </c>
      <c r="D209" s="71">
        <v>681.5</v>
      </c>
      <c r="E209" s="71">
        <v>1033.5</v>
      </c>
      <c r="F209" s="71">
        <v>164</v>
      </c>
      <c r="G209" s="71">
        <v>4.9000000000000004</v>
      </c>
      <c r="H209" s="71">
        <v>0</v>
      </c>
      <c r="I209" s="71">
        <v>0</v>
      </c>
      <c r="J209" s="71">
        <v>0</v>
      </c>
      <c r="K209" s="71">
        <v>0</v>
      </c>
      <c r="L209" s="71">
        <v>451.8</v>
      </c>
      <c r="M209" s="88">
        <v>4.8</v>
      </c>
    </row>
    <row r="210" spans="1:13" ht="15.75" customHeight="1" x14ac:dyDescent="0.25">
      <c r="A210" s="68">
        <v>78.5</v>
      </c>
      <c r="B210" s="87">
        <f t="shared" si="87"/>
        <v>66.666666666666671</v>
      </c>
      <c r="C210" s="65">
        <v>60</v>
      </c>
      <c r="D210" s="71">
        <v>691.9</v>
      </c>
      <c r="E210" s="71">
        <v>1011.1</v>
      </c>
      <c r="F210" s="71">
        <v>164</v>
      </c>
      <c r="G210" s="71">
        <v>4.9000000000000004</v>
      </c>
      <c r="H210" s="71">
        <v>0</v>
      </c>
      <c r="I210" s="71">
        <v>0</v>
      </c>
      <c r="J210" s="71">
        <v>0</v>
      </c>
      <c r="K210" s="71">
        <v>0</v>
      </c>
      <c r="L210" s="71">
        <v>451.8</v>
      </c>
      <c r="M210" s="88">
        <v>5.32</v>
      </c>
    </row>
    <row r="211" spans="1:13" ht="15.75" customHeight="1" x14ac:dyDescent="0.25">
      <c r="A211" s="68">
        <v>117</v>
      </c>
      <c r="B211" s="87">
        <f t="shared" si="87"/>
        <v>66.666666666666671</v>
      </c>
      <c r="C211" s="65">
        <v>60</v>
      </c>
      <c r="D211" s="71">
        <v>702.2</v>
      </c>
      <c r="E211" s="71">
        <v>988.8</v>
      </c>
      <c r="F211" s="71">
        <v>164</v>
      </c>
      <c r="G211" s="71">
        <v>4.9000000000000004</v>
      </c>
      <c r="H211" s="71">
        <v>0</v>
      </c>
      <c r="I211" s="71">
        <v>0</v>
      </c>
      <c r="J211" s="71">
        <v>0</v>
      </c>
      <c r="K211" s="71">
        <v>0</v>
      </c>
      <c r="L211" s="71">
        <v>451.8</v>
      </c>
      <c r="M211" s="88">
        <v>5.67</v>
      </c>
    </row>
    <row r="212" spans="1:13" ht="15.75" customHeight="1" x14ac:dyDescent="0.3">
      <c r="A212" s="68">
        <v>0</v>
      </c>
      <c r="B212" s="87">
        <v>0</v>
      </c>
      <c r="C212" s="65">
        <v>0</v>
      </c>
      <c r="D212" s="71">
        <v>835</v>
      </c>
      <c r="E212" s="71">
        <f t="shared" ref="E212:E215" si="88">665+382</f>
        <v>1047</v>
      </c>
      <c r="F212" s="71">
        <f t="shared" ref="F212:F215" si="89">0.38*L212</f>
        <v>152</v>
      </c>
      <c r="G212" s="71">
        <v>4</v>
      </c>
      <c r="H212" s="71">
        <v>0</v>
      </c>
      <c r="I212" s="71">
        <v>0</v>
      </c>
      <c r="J212" s="71">
        <v>0</v>
      </c>
      <c r="K212" s="71">
        <v>0</v>
      </c>
      <c r="L212" s="71">
        <v>400</v>
      </c>
      <c r="M212" s="83">
        <v>3.48</v>
      </c>
    </row>
    <row r="213" spans="1:13" ht="15.75" customHeight="1" x14ac:dyDescent="0.3">
      <c r="A213" s="68">
        <f>0.005*7850</f>
        <v>39.25</v>
      </c>
      <c r="B213" s="65">
        <f t="shared" ref="B213:B214" si="90">40/0.615</f>
        <v>65.040650406504071</v>
      </c>
      <c r="C213" s="65">
        <v>40</v>
      </c>
      <c r="D213" s="71">
        <v>835</v>
      </c>
      <c r="E213" s="71">
        <f t="shared" si="88"/>
        <v>1047</v>
      </c>
      <c r="F213" s="71">
        <f t="shared" si="89"/>
        <v>152</v>
      </c>
      <c r="G213" s="71">
        <v>4</v>
      </c>
      <c r="H213" s="71">
        <v>0</v>
      </c>
      <c r="I213" s="71">
        <v>0</v>
      </c>
      <c r="J213" s="71">
        <v>0</v>
      </c>
      <c r="K213" s="71">
        <v>0</v>
      </c>
      <c r="L213" s="71">
        <v>400</v>
      </c>
      <c r="M213" s="83">
        <v>3.75</v>
      </c>
    </row>
    <row r="214" spans="1:13" ht="15.75" customHeight="1" x14ac:dyDescent="0.3">
      <c r="A214" s="68">
        <f>0.01*7850</f>
        <v>78.5</v>
      </c>
      <c r="B214" s="65">
        <f t="shared" si="90"/>
        <v>65.040650406504071</v>
      </c>
      <c r="C214" s="65">
        <v>40</v>
      </c>
      <c r="D214" s="71">
        <v>835</v>
      </c>
      <c r="E214" s="71">
        <f t="shared" si="88"/>
        <v>1047</v>
      </c>
      <c r="F214" s="71">
        <f t="shared" si="89"/>
        <v>152</v>
      </c>
      <c r="G214" s="71">
        <v>4</v>
      </c>
      <c r="H214" s="71">
        <v>0</v>
      </c>
      <c r="I214" s="71">
        <v>0</v>
      </c>
      <c r="J214" s="71">
        <v>0</v>
      </c>
      <c r="K214" s="71">
        <v>0</v>
      </c>
      <c r="L214" s="71">
        <v>400</v>
      </c>
      <c r="M214" s="83">
        <v>4.59</v>
      </c>
    </row>
    <row r="215" spans="1:13" ht="15.75" customHeight="1" x14ac:dyDescent="0.3">
      <c r="A215" s="68">
        <f>0.005*7850</f>
        <v>39.25</v>
      </c>
      <c r="B215" s="87">
        <f>60/0.75</f>
        <v>80</v>
      </c>
      <c r="C215" s="65">
        <v>60</v>
      </c>
      <c r="D215" s="71">
        <v>835</v>
      </c>
      <c r="E215" s="71">
        <f t="shared" si="88"/>
        <v>1047</v>
      </c>
      <c r="F215" s="71">
        <f t="shared" si="89"/>
        <v>152</v>
      </c>
      <c r="G215" s="71">
        <v>4</v>
      </c>
      <c r="H215" s="71">
        <v>0</v>
      </c>
      <c r="I215" s="71">
        <v>0</v>
      </c>
      <c r="J215" s="71">
        <v>0</v>
      </c>
      <c r="K215" s="71">
        <v>0</v>
      </c>
      <c r="L215" s="71">
        <v>400</v>
      </c>
      <c r="M215" s="83">
        <v>3.7</v>
      </c>
    </row>
    <row r="216" spans="1:13" ht="15.75" customHeight="1" x14ac:dyDescent="0.3">
      <c r="A216" s="87">
        <v>0</v>
      </c>
      <c r="B216" s="65">
        <v>0</v>
      </c>
      <c r="C216" s="65">
        <v>0</v>
      </c>
      <c r="D216" s="71">
        <f>521+516</f>
        <v>1037</v>
      </c>
      <c r="E216" s="89">
        <v>656</v>
      </c>
      <c r="F216" s="71">
        <v>158.5</v>
      </c>
      <c r="G216" s="71">
        <v>10.95</v>
      </c>
      <c r="H216" s="71">
        <v>0</v>
      </c>
      <c r="I216" s="71">
        <v>0</v>
      </c>
      <c r="J216" s="71">
        <v>0</v>
      </c>
      <c r="K216" s="71">
        <v>0</v>
      </c>
      <c r="L216" s="71">
        <v>438</v>
      </c>
      <c r="M216" s="83">
        <v>4.0599999999999996</v>
      </c>
    </row>
    <row r="217" spans="1:13" ht="15.75" customHeight="1" x14ac:dyDescent="0.3">
      <c r="A217" s="68">
        <f>0.005*7850</f>
        <v>39.25</v>
      </c>
      <c r="B217" s="65">
        <f t="shared" ref="B217:B219" si="91">30/0.65</f>
        <v>46.153846153846153</v>
      </c>
      <c r="C217" s="65">
        <v>30</v>
      </c>
      <c r="D217" s="71">
        <f>517+512</f>
        <v>1029</v>
      </c>
      <c r="E217" s="89">
        <v>651</v>
      </c>
      <c r="F217" s="71">
        <v>158.69999999999999</v>
      </c>
      <c r="G217" s="71">
        <v>10.95</v>
      </c>
      <c r="H217" s="71">
        <v>0</v>
      </c>
      <c r="I217" s="71">
        <v>0</v>
      </c>
      <c r="J217" s="71">
        <v>0</v>
      </c>
      <c r="K217" s="71">
        <v>0</v>
      </c>
      <c r="L217" s="71">
        <v>438</v>
      </c>
      <c r="M217" s="83">
        <v>4.5</v>
      </c>
    </row>
    <row r="218" spans="1:13" ht="15.75" customHeight="1" x14ac:dyDescent="0.3">
      <c r="A218" s="68">
        <f>0.01*7850</f>
        <v>78.5</v>
      </c>
      <c r="B218" s="65">
        <f t="shared" si="91"/>
        <v>46.153846153846153</v>
      </c>
      <c r="C218" s="65">
        <v>30</v>
      </c>
      <c r="D218" s="71">
        <f>513+508</f>
        <v>1021</v>
      </c>
      <c r="E218" s="89">
        <v>646</v>
      </c>
      <c r="F218" s="71">
        <v>159</v>
      </c>
      <c r="G218" s="71">
        <v>10.95</v>
      </c>
      <c r="H218" s="71">
        <v>0</v>
      </c>
      <c r="I218" s="71">
        <v>0</v>
      </c>
      <c r="J218" s="71">
        <v>0</v>
      </c>
      <c r="K218" s="71">
        <v>0</v>
      </c>
      <c r="L218" s="71">
        <v>438</v>
      </c>
      <c r="M218" s="83">
        <v>4.6900000000000004</v>
      </c>
    </row>
    <row r="219" spans="1:13" ht="15.75" customHeight="1" x14ac:dyDescent="0.3">
      <c r="A219" s="68">
        <f>0.015*7850</f>
        <v>117.75</v>
      </c>
      <c r="B219" s="65">
        <f t="shared" si="91"/>
        <v>46.153846153846153</v>
      </c>
      <c r="C219" s="65">
        <v>30</v>
      </c>
      <c r="D219" s="71">
        <f>510+505</f>
        <v>1015</v>
      </c>
      <c r="E219" s="89">
        <v>641</v>
      </c>
      <c r="F219" s="71">
        <v>159</v>
      </c>
      <c r="G219" s="71">
        <v>10.95</v>
      </c>
      <c r="H219" s="71">
        <v>0</v>
      </c>
      <c r="I219" s="71">
        <v>0</v>
      </c>
      <c r="J219" s="71">
        <v>0</v>
      </c>
      <c r="K219" s="71">
        <v>0</v>
      </c>
      <c r="L219" s="71">
        <v>438</v>
      </c>
      <c r="M219" s="83">
        <v>5.69</v>
      </c>
    </row>
    <row r="220" spans="1:13" ht="15.75" customHeight="1" x14ac:dyDescent="0.3">
      <c r="A220" s="68">
        <f>0.005*7850</f>
        <v>39.25</v>
      </c>
      <c r="B220" s="65">
        <f t="shared" ref="B220:B222" si="92">60/0.9</f>
        <v>66.666666666666671</v>
      </c>
      <c r="C220" s="65">
        <v>60</v>
      </c>
      <c r="D220" s="71">
        <f>517+512</f>
        <v>1029</v>
      </c>
      <c r="E220" s="89">
        <v>651</v>
      </c>
      <c r="F220" s="71">
        <v>158.69999999999999</v>
      </c>
      <c r="G220" s="71">
        <v>10.95</v>
      </c>
      <c r="H220" s="71">
        <v>0</v>
      </c>
      <c r="I220" s="71">
        <v>0</v>
      </c>
      <c r="J220" s="71">
        <v>0</v>
      </c>
      <c r="K220" s="71">
        <v>0</v>
      </c>
      <c r="L220" s="71">
        <v>438</v>
      </c>
      <c r="M220" s="83">
        <v>4.51</v>
      </c>
    </row>
    <row r="221" spans="1:13" ht="15.75" customHeight="1" x14ac:dyDescent="0.3">
      <c r="A221" s="68">
        <f>0.01*7850</f>
        <v>78.5</v>
      </c>
      <c r="B221" s="65">
        <f t="shared" si="92"/>
        <v>66.666666666666671</v>
      </c>
      <c r="C221" s="65">
        <v>60</v>
      </c>
      <c r="D221" s="71">
        <f>513+508</f>
        <v>1021</v>
      </c>
      <c r="E221" s="89">
        <v>646</v>
      </c>
      <c r="F221" s="71">
        <v>159</v>
      </c>
      <c r="G221" s="71">
        <v>10.95</v>
      </c>
      <c r="H221" s="71">
        <v>0</v>
      </c>
      <c r="I221" s="71">
        <v>0</v>
      </c>
      <c r="J221" s="71">
        <v>0</v>
      </c>
      <c r="K221" s="71">
        <v>0</v>
      </c>
      <c r="L221" s="71">
        <v>438</v>
      </c>
      <c r="M221" s="83">
        <v>4.7699999999999996</v>
      </c>
    </row>
    <row r="222" spans="1:13" ht="15.75" customHeight="1" x14ac:dyDescent="0.3">
      <c r="A222" s="68">
        <f>0.015*7850</f>
        <v>117.75</v>
      </c>
      <c r="B222" s="65">
        <f t="shared" si="92"/>
        <v>66.666666666666671</v>
      </c>
      <c r="C222" s="65">
        <v>60</v>
      </c>
      <c r="D222" s="71">
        <f>510+505</f>
        <v>1015</v>
      </c>
      <c r="E222" s="89">
        <v>641</v>
      </c>
      <c r="F222" s="71">
        <v>159</v>
      </c>
      <c r="G222" s="71">
        <v>10.95</v>
      </c>
      <c r="H222" s="71">
        <v>0</v>
      </c>
      <c r="I222" s="71">
        <v>0</v>
      </c>
      <c r="J222" s="71">
        <v>0</v>
      </c>
      <c r="K222" s="71">
        <v>0</v>
      </c>
      <c r="L222" s="71">
        <v>438</v>
      </c>
      <c r="M222" s="83">
        <v>6.26</v>
      </c>
    </row>
    <row r="223" spans="1:13" ht="15.75" customHeight="1" x14ac:dyDescent="0.3">
      <c r="A223" s="68">
        <f>0.005*7850</f>
        <v>39.25</v>
      </c>
      <c r="B223" s="65">
        <f t="shared" ref="B223:B225" si="93">60/0.75</f>
        <v>80</v>
      </c>
      <c r="C223" s="65">
        <v>60</v>
      </c>
      <c r="D223" s="71">
        <f>517+512</f>
        <v>1029</v>
      </c>
      <c r="E223" s="89">
        <v>651</v>
      </c>
      <c r="F223" s="71">
        <v>158.69999999999999</v>
      </c>
      <c r="G223" s="71">
        <v>10.95</v>
      </c>
      <c r="H223" s="71">
        <v>0</v>
      </c>
      <c r="I223" s="71">
        <v>0</v>
      </c>
      <c r="J223" s="71">
        <v>0</v>
      </c>
      <c r="K223" s="71">
        <v>0</v>
      </c>
      <c r="L223" s="71">
        <v>438</v>
      </c>
      <c r="M223" s="83">
        <v>4.58</v>
      </c>
    </row>
    <row r="224" spans="1:13" ht="15.75" customHeight="1" x14ac:dyDescent="0.3">
      <c r="A224" s="68">
        <f>0.01*7850</f>
        <v>78.5</v>
      </c>
      <c r="B224" s="65">
        <f t="shared" si="93"/>
        <v>80</v>
      </c>
      <c r="C224" s="65">
        <v>60</v>
      </c>
      <c r="D224" s="71">
        <f>513+508</f>
        <v>1021</v>
      </c>
      <c r="E224" s="89">
        <v>646</v>
      </c>
      <c r="F224" s="71">
        <v>159</v>
      </c>
      <c r="G224" s="71">
        <v>10.95</v>
      </c>
      <c r="H224" s="71">
        <v>0</v>
      </c>
      <c r="I224" s="71">
        <v>0</v>
      </c>
      <c r="J224" s="71">
        <v>0</v>
      </c>
      <c r="K224" s="71">
        <v>0</v>
      </c>
      <c r="L224" s="71">
        <v>438</v>
      </c>
      <c r="M224" s="83">
        <v>5.18</v>
      </c>
    </row>
    <row r="225" spans="1:13" ht="15.75" customHeight="1" x14ac:dyDescent="0.3">
      <c r="A225" s="68">
        <f>0.015*7850</f>
        <v>117.75</v>
      </c>
      <c r="B225" s="65">
        <f t="shared" si="93"/>
        <v>80</v>
      </c>
      <c r="C225" s="65">
        <v>60</v>
      </c>
      <c r="D225" s="71">
        <f>510+505</f>
        <v>1015</v>
      </c>
      <c r="E225" s="89">
        <v>641</v>
      </c>
      <c r="F225" s="71">
        <v>159</v>
      </c>
      <c r="G225" s="71">
        <v>10.95</v>
      </c>
      <c r="H225" s="71">
        <v>0</v>
      </c>
      <c r="I225" s="71">
        <v>0</v>
      </c>
      <c r="J225" s="71">
        <v>0</v>
      </c>
      <c r="K225" s="71">
        <v>0</v>
      </c>
      <c r="L225" s="71">
        <v>438</v>
      </c>
      <c r="M225" s="83">
        <v>5.9</v>
      </c>
    </row>
    <row r="226" spans="1:13" ht="15.75" customHeight="1" x14ac:dyDescent="0.3">
      <c r="A226" s="68">
        <v>0</v>
      </c>
      <c r="B226" s="65">
        <v>0</v>
      </c>
      <c r="C226" s="65">
        <v>0</v>
      </c>
      <c r="D226" s="65">
        <v>851</v>
      </c>
      <c r="E226" s="89">
        <v>877</v>
      </c>
      <c r="F226" s="71">
        <v>156</v>
      </c>
      <c r="G226" s="71">
        <f>0.01*468</f>
        <v>4.68</v>
      </c>
      <c r="H226" s="71">
        <v>52</v>
      </c>
      <c r="I226" s="71">
        <v>0</v>
      </c>
      <c r="J226" s="71">
        <v>0</v>
      </c>
      <c r="K226" s="71">
        <v>0</v>
      </c>
      <c r="L226" s="71">
        <v>468</v>
      </c>
      <c r="M226" s="83">
        <v>5.88</v>
      </c>
    </row>
    <row r="227" spans="1:13" ht="15.75" customHeight="1" x14ac:dyDescent="0.3">
      <c r="A227" s="68">
        <f>0.0025*7850</f>
        <v>19.625</v>
      </c>
      <c r="B227" s="65">
        <f t="shared" ref="B227:B230" si="94">60/0.75</f>
        <v>80</v>
      </c>
      <c r="C227" s="65">
        <v>60</v>
      </c>
      <c r="D227" s="65">
        <v>847</v>
      </c>
      <c r="E227" s="89">
        <v>873</v>
      </c>
      <c r="F227" s="71">
        <v>156</v>
      </c>
      <c r="G227" s="71">
        <f t="shared" ref="G227:G228" si="95">0.011*468</f>
        <v>5.1479999999999997</v>
      </c>
      <c r="H227" s="71">
        <v>52</v>
      </c>
      <c r="I227" s="71">
        <v>0</v>
      </c>
      <c r="J227" s="71">
        <v>0</v>
      </c>
      <c r="K227" s="71">
        <v>0</v>
      </c>
      <c r="L227" s="71">
        <v>468</v>
      </c>
      <c r="M227" s="83">
        <v>6.05</v>
      </c>
    </row>
    <row r="228" spans="1:13" ht="15.75" customHeight="1" x14ac:dyDescent="0.3">
      <c r="A228" s="68">
        <f>0.005*7850</f>
        <v>39.25</v>
      </c>
      <c r="B228" s="65">
        <f t="shared" si="94"/>
        <v>80</v>
      </c>
      <c r="C228" s="65">
        <v>60</v>
      </c>
      <c r="D228" s="65">
        <v>844</v>
      </c>
      <c r="E228" s="89">
        <v>870</v>
      </c>
      <c r="F228" s="71">
        <v>156</v>
      </c>
      <c r="G228" s="71">
        <f t="shared" si="95"/>
        <v>5.1479999999999997</v>
      </c>
      <c r="H228" s="71">
        <v>52</v>
      </c>
      <c r="I228" s="71">
        <v>0</v>
      </c>
      <c r="J228" s="71">
        <v>0</v>
      </c>
      <c r="K228" s="71">
        <v>0</v>
      </c>
      <c r="L228" s="71">
        <v>468</v>
      </c>
      <c r="M228" s="83">
        <v>6.41</v>
      </c>
    </row>
    <row r="229" spans="1:13" ht="15.75" customHeight="1" x14ac:dyDescent="0.3">
      <c r="A229" s="68">
        <f>0.0075*7850</f>
        <v>58.875</v>
      </c>
      <c r="B229" s="65">
        <f t="shared" si="94"/>
        <v>80</v>
      </c>
      <c r="C229" s="65">
        <v>60</v>
      </c>
      <c r="D229" s="65">
        <v>841</v>
      </c>
      <c r="E229" s="89">
        <v>867</v>
      </c>
      <c r="F229" s="71">
        <v>156</v>
      </c>
      <c r="G229" s="71">
        <f t="shared" ref="G229:G230" si="96">0.012*468</f>
        <v>5.6160000000000005</v>
      </c>
      <c r="H229" s="71">
        <v>52</v>
      </c>
      <c r="I229" s="71">
        <v>0</v>
      </c>
      <c r="J229" s="71">
        <v>0</v>
      </c>
      <c r="K229" s="71">
        <v>0</v>
      </c>
      <c r="L229" s="71">
        <v>468</v>
      </c>
      <c r="M229" s="83">
        <v>7.29</v>
      </c>
    </row>
    <row r="230" spans="1:13" ht="15.75" customHeight="1" x14ac:dyDescent="0.3">
      <c r="A230" s="68">
        <f>0.01*7850</f>
        <v>78.5</v>
      </c>
      <c r="B230" s="65">
        <f t="shared" si="94"/>
        <v>80</v>
      </c>
      <c r="C230" s="65">
        <v>60</v>
      </c>
      <c r="D230" s="65">
        <v>838</v>
      </c>
      <c r="E230" s="89">
        <v>863</v>
      </c>
      <c r="F230" s="71">
        <v>156</v>
      </c>
      <c r="G230" s="71">
        <f t="shared" si="96"/>
        <v>5.6160000000000005</v>
      </c>
      <c r="H230" s="71">
        <v>52</v>
      </c>
      <c r="I230" s="71">
        <v>0</v>
      </c>
      <c r="J230" s="71">
        <v>0</v>
      </c>
      <c r="K230" s="71">
        <v>0</v>
      </c>
      <c r="L230" s="71">
        <v>468</v>
      </c>
      <c r="M230" s="83">
        <v>8.17</v>
      </c>
    </row>
    <row r="231" spans="1:13" ht="15.75" customHeight="1" x14ac:dyDescent="0.25">
      <c r="A231" s="66">
        <v>0</v>
      </c>
      <c r="B231" s="67">
        <v>0</v>
      </c>
      <c r="C231" s="68">
        <v>0</v>
      </c>
      <c r="D231" s="67">
        <f t="shared" ref="D231:D235" si="97">68.2*(1/0.065)</f>
        <v>1049.2307692307693</v>
      </c>
      <c r="E231" s="68">
        <f t="shared" ref="E231:E235" si="98">49.4*(1/0.065)</f>
        <v>759.99999999999989</v>
      </c>
      <c r="F231" s="68">
        <f t="shared" ref="F231:F235" si="99">15*(1/0.065)</f>
        <v>230.76923076923075</v>
      </c>
      <c r="G231" s="65">
        <f t="shared" ref="G231:G235" si="100">1.21*45*(1/0.065)/1000</f>
        <v>0.83769230769230751</v>
      </c>
      <c r="H231" s="68">
        <v>0</v>
      </c>
      <c r="I231" s="68">
        <v>0</v>
      </c>
      <c r="J231" s="68">
        <v>0</v>
      </c>
      <c r="K231" s="68">
        <v>0</v>
      </c>
      <c r="L231" s="67">
        <f t="shared" ref="L231:L235" si="101">22*(1/0.065)</f>
        <v>338.46153846153845</v>
      </c>
      <c r="M231" s="67">
        <v>2.63</v>
      </c>
    </row>
    <row r="232" spans="1:13" ht="15.75" customHeight="1" x14ac:dyDescent="0.25">
      <c r="A232" s="66">
        <f>0.005*7850</f>
        <v>39.25</v>
      </c>
      <c r="B232" s="67">
        <f t="shared" ref="B232:B235" si="102">60/0.75</f>
        <v>80</v>
      </c>
      <c r="C232" s="68">
        <v>60</v>
      </c>
      <c r="D232" s="67">
        <f t="shared" si="97"/>
        <v>1049.2307692307693</v>
      </c>
      <c r="E232" s="68">
        <f t="shared" si="98"/>
        <v>759.99999999999989</v>
      </c>
      <c r="F232" s="68">
        <f t="shared" si="99"/>
        <v>230.76923076923075</v>
      </c>
      <c r="G232" s="65">
        <f t="shared" si="100"/>
        <v>0.83769230769230751</v>
      </c>
      <c r="H232" s="68">
        <v>0</v>
      </c>
      <c r="I232" s="68">
        <v>0</v>
      </c>
      <c r="J232" s="68">
        <v>0</v>
      </c>
      <c r="K232" s="68">
        <v>0</v>
      </c>
      <c r="L232" s="67">
        <f t="shared" si="101"/>
        <v>338.46153846153845</v>
      </c>
      <c r="M232" s="67">
        <v>2.67</v>
      </c>
    </row>
    <row r="233" spans="1:13" ht="15.75" customHeight="1" x14ac:dyDescent="0.25">
      <c r="A233" s="66">
        <f>0.0075*7850</f>
        <v>58.875</v>
      </c>
      <c r="B233" s="67">
        <f t="shared" si="102"/>
        <v>80</v>
      </c>
      <c r="C233" s="68">
        <v>60</v>
      </c>
      <c r="D233" s="67">
        <f t="shared" si="97"/>
        <v>1049.2307692307693</v>
      </c>
      <c r="E233" s="68">
        <f t="shared" si="98"/>
        <v>759.99999999999989</v>
      </c>
      <c r="F233" s="68">
        <f t="shared" si="99"/>
        <v>230.76923076923075</v>
      </c>
      <c r="G233" s="65">
        <f t="shared" si="100"/>
        <v>0.83769230769230751</v>
      </c>
      <c r="H233" s="68">
        <v>0</v>
      </c>
      <c r="I233" s="68">
        <v>0</v>
      </c>
      <c r="J233" s="68">
        <v>0</v>
      </c>
      <c r="K233" s="68">
        <v>0</v>
      </c>
      <c r="L233" s="67">
        <f t="shared" si="101"/>
        <v>338.46153846153845</v>
      </c>
      <c r="M233" s="67">
        <v>2.66</v>
      </c>
    </row>
    <row r="234" spans="1:13" ht="15.75" customHeight="1" x14ac:dyDescent="0.25">
      <c r="A234" s="66">
        <f>0.01*7850</f>
        <v>78.5</v>
      </c>
      <c r="B234" s="67">
        <f t="shared" si="102"/>
        <v>80</v>
      </c>
      <c r="C234" s="68">
        <v>60</v>
      </c>
      <c r="D234" s="67">
        <f t="shared" si="97"/>
        <v>1049.2307692307693</v>
      </c>
      <c r="E234" s="68">
        <f t="shared" si="98"/>
        <v>759.99999999999989</v>
      </c>
      <c r="F234" s="68">
        <f t="shared" si="99"/>
        <v>230.76923076923075</v>
      </c>
      <c r="G234" s="65">
        <f t="shared" si="100"/>
        <v>0.83769230769230751</v>
      </c>
      <c r="H234" s="68">
        <v>0</v>
      </c>
      <c r="I234" s="68">
        <v>0</v>
      </c>
      <c r="J234" s="68">
        <v>0</v>
      </c>
      <c r="K234" s="68">
        <v>0</v>
      </c>
      <c r="L234" s="67">
        <f t="shared" si="101"/>
        <v>338.46153846153845</v>
      </c>
      <c r="M234" s="67">
        <v>2.74</v>
      </c>
    </row>
    <row r="235" spans="1:13" ht="15.75" customHeight="1" x14ac:dyDescent="0.25">
      <c r="A235" s="66">
        <f>0.0125*7850</f>
        <v>98.125</v>
      </c>
      <c r="B235" s="67">
        <f t="shared" si="102"/>
        <v>80</v>
      </c>
      <c r="C235" s="68">
        <v>60</v>
      </c>
      <c r="D235" s="67">
        <f t="shared" si="97"/>
        <v>1049.2307692307693</v>
      </c>
      <c r="E235" s="68">
        <f t="shared" si="98"/>
        <v>759.99999999999989</v>
      </c>
      <c r="F235" s="68">
        <f t="shared" si="99"/>
        <v>230.76923076923075</v>
      </c>
      <c r="G235" s="65">
        <f t="shared" si="100"/>
        <v>0.83769230769230751</v>
      </c>
      <c r="H235" s="68">
        <v>0</v>
      </c>
      <c r="I235" s="68">
        <v>0</v>
      </c>
      <c r="J235" s="68">
        <v>0</v>
      </c>
      <c r="K235" s="68">
        <v>0</v>
      </c>
      <c r="L235" s="67">
        <f t="shared" si="101"/>
        <v>338.46153846153845</v>
      </c>
      <c r="M235" s="65">
        <v>2.79</v>
      </c>
    </row>
    <row r="236" spans="1:13" ht="15.75" customHeight="1" x14ac:dyDescent="0.25">
      <c r="A236" s="73">
        <v>0</v>
      </c>
      <c r="B236" s="73">
        <v>0</v>
      </c>
      <c r="C236" s="73">
        <v>0</v>
      </c>
      <c r="D236" s="71">
        <f t="shared" ref="D236:D238" si="103">1*L236</f>
        <v>557</v>
      </c>
      <c r="E236" s="71">
        <f t="shared" ref="E236:E238" si="104">2*L236</f>
        <v>1114</v>
      </c>
      <c r="F236" s="71">
        <f t="shared" ref="F236:F238" si="105">0.37*L236</f>
        <v>206.09</v>
      </c>
      <c r="G236" s="65">
        <f t="shared" ref="G236:G238" si="106">0.02*L236</f>
        <v>11.14</v>
      </c>
      <c r="H236" s="68">
        <v>0</v>
      </c>
      <c r="I236" s="68">
        <v>0</v>
      </c>
      <c r="J236" s="68">
        <v>0</v>
      </c>
      <c r="K236" s="68">
        <v>0</v>
      </c>
      <c r="L236" s="71">
        <v>557</v>
      </c>
      <c r="M236" s="65">
        <v>3.69</v>
      </c>
    </row>
    <row r="237" spans="1:13" ht="15.75" customHeight="1" x14ac:dyDescent="0.25">
      <c r="A237" s="73">
        <f>0.005*7850</f>
        <v>39.25</v>
      </c>
      <c r="B237" s="65">
        <f t="shared" ref="B237:B238" si="107">60/0.8</f>
        <v>75</v>
      </c>
      <c r="C237" s="71">
        <v>60</v>
      </c>
      <c r="D237" s="71">
        <f t="shared" si="103"/>
        <v>557</v>
      </c>
      <c r="E237" s="71">
        <f t="shared" si="104"/>
        <v>1114</v>
      </c>
      <c r="F237" s="71">
        <f t="shared" si="105"/>
        <v>206.09</v>
      </c>
      <c r="G237" s="65">
        <f t="shared" si="106"/>
        <v>11.14</v>
      </c>
      <c r="H237" s="68">
        <v>0</v>
      </c>
      <c r="I237" s="68">
        <v>0</v>
      </c>
      <c r="J237" s="68">
        <v>0</v>
      </c>
      <c r="K237" s="68">
        <v>0</v>
      </c>
      <c r="L237" s="71">
        <v>557</v>
      </c>
      <c r="M237" s="65">
        <v>4.67</v>
      </c>
    </row>
    <row r="238" spans="1:13" ht="15.75" customHeight="1" x14ac:dyDescent="0.25">
      <c r="A238" s="73">
        <f>0.01*7850</f>
        <v>78.5</v>
      </c>
      <c r="B238" s="65">
        <f t="shared" si="107"/>
        <v>75</v>
      </c>
      <c r="C238" s="71">
        <v>60</v>
      </c>
      <c r="D238" s="71">
        <f t="shared" si="103"/>
        <v>557</v>
      </c>
      <c r="E238" s="71">
        <f t="shared" si="104"/>
        <v>1114</v>
      </c>
      <c r="F238" s="71">
        <f t="shared" si="105"/>
        <v>206.09</v>
      </c>
      <c r="G238" s="65">
        <f t="shared" si="106"/>
        <v>11.14</v>
      </c>
      <c r="H238" s="68">
        <v>0</v>
      </c>
      <c r="I238" s="68">
        <v>0</v>
      </c>
      <c r="J238" s="68">
        <v>0</v>
      </c>
      <c r="K238" s="68">
        <v>0</v>
      </c>
      <c r="L238" s="71">
        <v>557</v>
      </c>
      <c r="M238" s="65">
        <v>6.72</v>
      </c>
    </row>
    <row r="239" spans="1:13" ht="15.75" customHeight="1" x14ac:dyDescent="0.25">
      <c r="A239" s="73">
        <v>0</v>
      </c>
      <c r="B239" s="73">
        <v>0</v>
      </c>
      <c r="C239" s="73">
        <v>0</v>
      </c>
      <c r="D239" s="71">
        <f t="shared" ref="D239:D241" si="108">1.2*L239</f>
        <v>718.68</v>
      </c>
      <c r="E239" s="71">
        <f t="shared" ref="E239:E241" si="109">1.8*L239</f>
        <v>1078.02</v>
      </c>
      <c r="F239" s="71">
        <f t="shared" ref="F239:F241" si="110">0.24*L239</f>
        <v>143.73599999999999</v>
      </c>
      <c r="G239" s="65">
        <f t="shared" ref="G239:G241" si="111">0.06*L239</f>
        <v>35.933999999999997</v>
      </c>
      <c r="H239" s="68">
        <v>0</v>
      </c>
      <c r="I239" s="68">
        <v>0</v>
      </c>
      <c r="J239" s="68">
        <v>0</v>
      </c>
      <c r="K239" s="68">
        <v>0</v>
      </c>
      <c r="L239" s="71">
        <v>598.9</v>
      </c>
      <c r="M239" s="65">
        <v>5.05</v>
      </c>
    </row>
    <row r="240" spans="1:13" ht="15.75" customHeight="1" x14ac:dyDescent="0.25">
      <c r="A240" s="73">
        <f>0.005*7850</f>
        <v>39.25</v>
      </c>
      <c r="B240" s="65">
        <f t="shared" ref="B240:B241" si="112">60/0.8</f>
        <v>75</v>
      </c>
      <c r="C240" s="71">
        <v>60</v>
      </c>
      <c r="D240" s="71">
        <f t="shared" si="108"/>
        <v>718.68</v>
      </c>
      <c r="E240" s="71">
        <f t="shared" si="109"/>
        <v>1078.02</v>
      </c>
      <c r="F240" s="71">
        <f t="shared" si="110"/>
        <v>143.73599999999999</v>
      </c>
      <c r="G240" s="65">
        <f t="shared" si="111"/>
        <v>35.933999999999997</v>
      </c>
      <c r="H240" s="68">
        <v>0</v>
      </c>
      <c r="I240" s="68">
        <v>0</v>
      </c>
      <c r="J240" s="68">
        <v>0</v>
      </c>
      <c r="K240" s="68">
        <v>0</v>
      </c>
      <c r="L240" s="71">
        <v>598.9</v>
      </c>
      <c r="M240" s="65">
        <v>6.01</v>
      </c>
    </row>
    <row r="241" spans="1:13" ht="15.75" customHeight="1" x14ac:dyDescent="0.25">
      <c r="A241" s="73">
        <f>0.01*7850</f>
        <v>78.5</v>
      </c>
      <c r="B241" s="65">
        <f t="shared" si="112"/>
        <v>75</v>
      </c>
      <c r="C241" s="71">
        <v>60</v>
      </c>
      <c r="D241" s="71">
        <f t="shared" si="108"/>
        <v>718.68</v>
      </c>
      <c r="E241" s="71">
        <f t="shared" si="109"/>
        <v>1078.02</v>
      </c>
      <c r="F241" s="71">
        <f t="shared" si="110"/>
        <v>143.73599999999999</v>
      </c>
      <c r="G241" s="65">
        <f t="shared" si="111"/>
        <v>35.933999999999997</v>
      </c>
      <c r="H241" s="68">
        <v>0</v>
      </c>
      <c r="I241" s="68">
        <v>0</v>
      </c>
      <c r="J241" s="68">
        <v>0</v>
      </c>
      <c r="K241" s="68">
        <v>0</v>
      </c>
      <c r="L241" s="71">
        <v>598.9</v>
      </c>
      <c r="M241" s="65">
        <v>7.69</v>
      </c>
    </row>
    <row r="242" spans="1:13" ht="15.75" customHeight="1" x14ac:dyDescent="0.25">
      <c r="A242" s="73">
        <v>0</v>
      </c>
      <c r="B242" s="73">
        <v>0</v>
      </c>
      <c r="C242" s="73">
        <v>0</v>
      </c>
      <c r="D242" s="71">
        <f t="shared" ref="D242:D244" si="113">1*L242/0.8</f>
        <v>604.20000000000005</v>
      </c>
      <c r="E242" s="71">
        <f t="shared" ref="E242:E244" si="114">2*L242/0.8</f>
        <v>1208.4000000000001</v>
      </c>
      <c r="F242" s="71">
        <f t="shared" ref="F242:F244" si="115">0.23*L242/0.8</f>
        <v>138.96600000000001</v>
      </c>
      <c r="G242" s="65">
        <f t="shared" ref="G242:G244" si="116">0.06*L242/0.8</f>
        <v>36.252000000000002</v>
      </c>
      <c r="H242" s="68">
        <f t="shared" ref="H242:H244" si="117">0.2*604.2</f>
        <v>120.84000000000002</v>
      </c>
      <c r="I242" s="68">
        <v>0</v>
      </c>
      <c r="J242" s="68">
        <v>0</v>
      </c>
      <c r="K242" s="68">
        <v>0</v>
      </c>
      <c r="L242" s="71">
        <f t="shared" ref="L242:L244" si="118">604.2*0.8</f>
        <v>483.36000000000007</v>
      </c>
      <c r="M242" s="65">
        <v>5.59</v>
      </c>
    </row>
    <row r="243" spans="1:13" ht="15.75" customHeight="1" x14ac:dyDescent="0.25">
      <c r="A243" s="73">
        <f>0.005*7850</f>
        <v>39.25</v>
      </c>
      <c r="B243" s="65">
        <f t="shared" ref="B243:B244" si="119">60/0.8</f>
        <v>75</v>
      </c>
      <c r="C243" s="71">
        <v>60</v>
      </c>
      <c r="D243" s="71">
        <f t="shared" si="113"/>
        <v>604.20000000000005</v>
      </c>
      <c r="E243" s="71">
        <f t="shared" si="114"/>
        <v>1208.4000000000001</v>
      </c>
      <c r="F243" s="71">
        <f t="shared" si="115"/>
        <v>138.96600000000001</v>
      </c>
      <c r="G243" s="65">
        <f t="shared" si="116"/>
        <v>36.252000000000002</v>
      </c>
      <c r="H243" s="68">
        <f t="shared" si="117"/>
        <v>120.84000000000002</v>
      </c>
      <c r="I243" s="68">
        <v>0</v>
      </c>
      <c r="J243" s="68">
        <v>0</v>
      </c>
      <c r="K243" s="68">
        <v>0</v>
      </c>
      <c r="L243" s="71">
        <f t="shared" si="118"/>
        <v>483.36000000000007</v>
      </c>
      <c r="M243" s="65">
        <v>6.53</v>
      </c>
    </row>
    <row r="244" spans="1:13" ht="15.75" customHeight="1" x14ac:dyDescent="0.25">
      <c r="A244" s="73">
        <f>0.01*7850</f>
        <v>78.5</v>
      </c>
      <c r="B244" s="65">
        <f t="shared" si="119"/>
        <v>75</v>
      </c>
      <c r="C244" s="71">
        <v>60</v>
      </c>
      <c r="D244" s="71">
        <f t="shared" si="113"/>
        <v>604.20000000000005</v>
      </c>
      <c r="E244" s="71">
        <f t="shared" si="114"/>
        <v>1208.4000000000001</v>
      </c>
      <c r="F244" s="71">
        <f t="shared" si="115"/>
        <v>138.96600000000001</v>
      </c>
      <c r="G244" s="65">
        <f t="shared" si="116"/>
        <v>36.252000000000002</v>
      </c>
      <c r="H244" s="68">
        <f t="shared" si="117"/>
        <v>120.84000000000002</v>
      </c>
      <c r="I244" s="68">
        <v>0</v>
      </c>
      <c r="J244" s="68">
        <v>0</v>
      </c>
      <c r="K244" s="68">
        <v>0</v>
      </c>
      <c r="L244" s="71">
        <f t="shared" si="118"/>
        <v>483.36000000000007</v>
      </c>
      <c r="M244" s="65">
        <v>8.1300000000000008</v>
      </c>
    </row>
    <row r="245" spans="1:13" ht="15.75" customHeight="1" x14ac:dyDescent="0.25">
      <c r="A245" s="73">
        <v>0</v>
      </c>
      <c r="B245" s="65">
        <v>0</v>
      </c>
      <c r="C245" s="71">
        <v>0</v>
      </c>
      <c r="D245" s="71">
        <v>1170</v>
      </c>
      <c r="E245" s="71">
        <v>680</v>
      </c>
      <c r="F245" s="71">
        <f t="shared" ref="F245:F248" si="120">0.43*L245</f>
        <v>199.95</v>
      </c>
      <c r="G245" s="65">
        <v>6.6</v>
      </c>
      <c r="H245" s="71">
        <v>35</v>
      </c>
      <c r="I245" s="68">
        <v>0</v>
      </c>
      <c r="J245" s="68">
        <v>0</v>
      </c>
      <c r="K245" s="68">
        <v>0</v>
      </c>
      <c r="L245" s="65">
        <v>465</v>
      </c>
      <c r="M245" s="65">
        <v>4.2</v>
      </c>
    </row>
    <row r="246" spans="1:13" ht="15.75" customHeight="1" x14ac:dyDescent="0.25">
      <c r="A246" s="73">
        <v>39.200000000000003</v>
      </c>
      <c r="B246" s="65">
        <f t="shared" ref="B246:B248" si="121">30/0.55</f>
        <v>54.54545454545454</v>
      </c>
      <c r="C246" s="71">
        <v>30</v>
      </c>
      <c r="D246" s="71">
        <v>1170</v>
      </c>
      <c r="E246" s="71">
        <v>680</v>
      </c>
      <c r="F246" s="71">
        <f t="shared" si="120"/>
        <v>199.95</v>
      </c>
      <c r="G246" s="65">
        <v>6.7</v>
      </c>
      <c r="H246" s="71">
        <v>35</v>
      </c>
      <c r="I246" s="68">
        <v>0</v>
      </c>
      <c r="J246" s="68">
        <v>0</v>
      </c>
      <c r="K246" s="68">
        <v>0</v>
      </c>
      <c r="L246" s="65">
        <v>465</v>
      </c>
      <c r="M246" s="65">
        <v>5.4</v>
      </c>
    </row>
    <row r="247" spans="1:13" ht="15.75" customHeight="1" x14ac:dyDescent="0.25">
      <c r="A247" s="73">
        <v>78.5</v>
      </c>
      <c r="B247" s="65">
        <f t="shared" si="121"/>
        <v>54.54545454545454</v>
      </c>
      <c r="C247" s="71">
        <v>30</v>
      </c>
      <c r="D247" s="71">
        <v>1170</v>
      </c>
      <c r="E247" s="71">
        <v>680</v>
      </c>
      <c r="F247" s="71">
        <f t="shared" si="120"/>
        <v>199.95</v>
      </c>
      <c r="G247" s="65">
        <v>6.7</v>
      </c>
      <c r="H247" s="71">
        <v>35</v>
      </c>
      <c r="I247" s="68">
        <v>0</v>
      </c>
      <c r="J247" s="68">
        <v>0</v>
      </c>
      <c r="K247" s="68">
        <v>0</v>
      </c>
      <c r="L247" s="65">
        <v>465</v>
      </c>
      <c r="M247" s="65">
        <v>6.4</v>
      </c>
    </row>
    <row r="248" spans="1:13" ht="15.75" customHeight="1" x14ac:dyDescent="0.25">
      <c r="A248" s="73">
        <v>117.7</v>
      </c>
      <c r="B248" s="65">
        <f t="shared" si="121"/>
        <v>54.54545454545454</v>
      </c>
      <c r="C248" s="71">
        <v>30</v>
      </c>
      <c r="D248" s="71">
        <v>1170</v>
      </c>
      <c r="E248" s="71">
        <v>680</v>
      </c>
      <c r="F248" s="71">
        <f t="shared" si="120"/>
        <v>199.95</v>
      </c>
      <c r="G248" s="65">
        <v>6.8</v>
      </c>
      <c r="H248" s="71">
        <v>35</v>
      </c>
      <c r="I248" s="68">
        <v>0</v>
      </c>
      <c r="J248" s="68">
        <v>0</v>
      </c>
      <c r="K248" s="68">
        <v>0</v>
      </c>
      <c r="L248" s="65">
        <v>465</v>
      </c>
      <c r="M248" s="65">
        <v>6.6</v>
      </c>
    </row>
    <row r="249" spans="1:13" ht="15.75" customHeight="1" x14ac:dyDescent="0.25">
      <c r="A249" s="73">
        <v>0</v>
      </c>
      <c r="B249" s="65">
        <v>0</v>
      </c>
      <c r="C249" s="71">
        <v>0</v>
      </c>
      <c r="D249" s="71">
        <f t="shared" ref="D249:D253" si="122">439+409</f>
        <v>848</v>
      </c>
      <c r="E249" s="71">
        <v>1128</v>
      </c>
      <c r="F249" s="71">
        <v>148</v>
      </c>
      <c r="G249" s="65">
        <v>2.11</v>
      </c>
      <c r="H249" s="71">
        <v>0</v>
      </c>
      <c r="I249" s="71">
        <v>0</v>
      </c>
      <c r="J249" s="71">
        <v>0</v>
      </c>
      <c r="K249" s="71">
        <v>0</v>
      </c>
      <c r="L249" s="71">
        <v>423</v>
      </c>
      <c r="M249" s="65">
        <v>3.52</v>
      </c>
    </row>
    <row r="250" spans="1:13" ht="15.75" customHeight="1" x14ac:dyDescent="0.25">
      <c r="A250" s="73">
        <v>47.1</v>
      </c>
      <c r="B250" s="65">
        <f t="shared" ref="B250:B253" si="123">60/0.8</f>
        <v>75</v>
      </c>
      <c r="C250" s="71">
        <v>60</v>
      </c>
      <c r="D250" s="71">
        <f t="shared" si="122"/>
        <v>848</v>
      </c>
      <c r="E250" s="71">
        <v>1128</v>
      </c>
      <c r="F250" s="71">
        <v>148</v>
      </c>
      <c r="G250" s="65">
        <v>2.11</v>
      </c>
      <c r="H250" s="71">
        <v>0</v>
      </c>
      <c r="I250" s="71">
        <v>0</v>
      </c>
      <c r="J250" s="71">
        <v>0</v>
      </c>
      <c r="K250" s="71">
        <v>0</v>
      </c>
      <c r="L250" s="71">
        <v>423</v>
      </c>
      <c r="M250" s="65">
        <v>4.74</v>
      </c>
    </row>
    <row r="251" spans="1:13" ht="15.75" customHeight="1" x14ac:dyDescent="0.25">
      <c r="A251" s="73">
        <v>70.650000000000006</v>
      </c>
      <c r="B251" s="65">
        <f t="shared" si="123"/>
        <v>75</v>
      </c>
      <c r="C251" s="71">
        <v>60</v>
      </c>
      <c r="D251" s="71">
        <f t="shared" si="122"/>
        <v>848</v>
      </c>
      <c r="E251" s="71">
        <v>1128</v>
      </c>
      <c r="F251" s="71">
        <v>148</v>
      </c>
      <c r="G251" s="65">
        <v>2.11</v>
      </c>
      <c r="H251" s="71">
        <v>0</v>
      </c>
      <c r="I251" s="71">
        <v>0</v>
      </c>
      <c r="J251" s="71">
        <v>0</v>
      </c>
      <c r="K251" s="71">
        <v>0</v>
      </c>
      <c r="L251" s="71">
        <v>423</v>
      </c>
      <c r="M251" s="65">
        <v>4.95</v>
      </c>
    </row>
    <row r="252" spans="1:13" ht="15.75" customHeight="1" x14ac:dyDescent="0.25">
      <c r="A252" s="73">
        <v>94.2</v>
      </c>
      <c r="B252" s="65">
        <f t="shared" si="123"/>
        <v>75</v>
      </c>
      <c r="C252" s="71">
        <v>60</v>
      </c>
      <c r="D252" s="71">
        <f t="shared" si="122"/>
        <v>848</v>
      </c>
      <c r="E252" s="71">
        <v>1128</v>
      </c>
      <c r="F252" s="71">
        <v>148</v>
      </c>
      <c r="G252" s="65">
        <v>2.11</v>
      </c>
      <c r="H252" s="71">
        <v>0</v>
      </c>
      <c r="I252" s="71">
        <v>0</v>
      </c>
      <c r="J252" s="71">
        <v>0</v>
      </c>
      <c r="K252" s="71">
        <v>0</v>
      </c>
      <c r="L252" s="71">
        <v>423</v>
      </c>
      <c r="M252" s="65">
        <v>5.0599999999999996</v>
      </c>
    </row>
    <row r="253" spans="1:13" ht="15.75" customHeight="1" x14ac:dyDescent="0.25">
      <c r="A253" s="73">
        <v>117.75</v>
      </c>
      <c r="B253" s="65">
        <f t="shared" si="123"/>
        <v>75</v>
      </c>
      <c r="C253" s="71">
        <v>60</v>
      </c>
      <c r="D253" s="71">
        <f t="shared" si="122"/>
        <v>848</v>
      </c>
      <c r="E253" s="71">
        <v>1128</v>
      </c>
      <c r="F253" s="71">
        <v>148</v>
      </c>
      <c r="G253" s="65">
        <v>2.11</v>
      </c>
      <c r="H253" s="71">
        <v>0</v>
      </c>
      <c r="I253" s="71">
        <v>0</v>
      </c>
      <c r="J253" s="71">
        <v>0</v>
      </c>
      <c r="K253" s="71">
        <v>0</v>
      </c>
      <c r="L253" s="71">
        <v>423</v>
      </c>
      <c r="M253" s="65">
        <v>6.67</v>
      </c>
    </row>
    <row r="254" spans="1:13" ht="15.75" customHeight="1" x14ac:dyDescent="0.25"/>
    <row r="255" spans="1:13" ht="15.75" customHeight="1" x14ac:dyDescent="0.25"/>
    <row r="256" spans="1:1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phoneticPr fontId="6" type="noConversion"/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72"/>
  <sheetViews>
    <sheetView tabSelected="1" zoomScale="115" zoomScaleNormal="115" workbookViewId="0">
      <pane ySplit="1" topLeftCell="A2" activePane="bottomLeft" state="frozen"/>
      <selection pane="bottomLeft" activeCell="O8" sqref="O8"/>
    </sheetView>
  </sheetViews>
  <sheetFormatPr defaultColWidth="12.59765625" defaultRowHeight="15" customHeight="1" x14ac:dyDescent="0.25"/>
  <cols>
    <col min="1" max="1" width="9.09765625" customWidth="1"/>
    <col min="2" max="2" width="7.19921875" customWidth="1"/>
    <col min="3" max="3" width="9.09765625" customWidth="1"/>
    <col min="4" max="4" width="10.09765625" customWidth="1"/>
    <col min="5" max="5" width="9.19921875" customWidth="1"/>
    <col min="6" max="6" width="8" customWidth="1"/>
    <col min="7" max="7" width="8.5" customWidth="1"/>
    <col min="8" max="8" width="7.5" customWidth="1"/>
    <col min="9" max="10" width="7.3984375" customWidth="1"/>
    <col min="11" max="11" width="6.59765625" customWidth="1"/>
    <col min="12" max="12" width="9" customWidth="1"/>
    <col min="13" max="14" width="7.59765625" customWidth="1"/>
  </cols>
  <sheetData>
    <row r="1" spans="1:14" ht="39.75" customHeight="1" thickBot="1" x14ac:dyDescent="0.35">
      <c r="A1" s="2" t="s">
        <v>8</v>
      </c>
      <c r="B1" s="3" t="s">
        <v>3</v>
      </c>
      <c r="C1" s="4" t="s">
        <v>4</v>
      </c>
      <c r="D1" s="2" t="s">
        <v>6</v>
      </c>
      <c r="E1" s="2" t="s">
        <v>5</v>
      </c>
      <c r="F1" s="2" t="s">
        <v>7</v>
      </c>
      <c r="G1" s="2" t="s">
        <v>10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9</v>
      </c>
      <c r="M1" s="29" t="s">
        <v>11</v>
      </c>
      <c r="N1" s="1"/>
    </row>
    <row r="2" spans="1:14" thickBot="1" x14ac:dyDescent="0.3">
      <c r="A2" s="35">
        <v>0</v>
      </c>
      <c r="B2" s="36">
        <v>0</v>
      </c>
      <c r="C2" s="34">
        <v>0</v>
      </c>
      <c r="D2" s="35">
        <f>450*1.67</f>
        <v>751.5</v>
      </c>
      <c r="E2" s="36">
        <f>450*2.25</f>
        <v>1012.5</v>
      </c>
      <c r="F2" s="34">
        <f>450*0.36</f>
        <v>162</v>
      </c>
      <c r="G2" s="36">
        <v>0</v>
      </c>
      <c r="H2" s="34">
        <v>0</v>
      </c>
      <c r="I2" s="34">
        <v>0</v>
      </c>
      <c r="J2" s="34">
        <v>0</v>
      </c>
      <c r="K2" s="5">
        <v>0</v>
      </c>
      <c r="L2" s="6">
        <v>450</v>
      </c>
      <c r="M2" s="6">
        <v>4.3600000000000003</v>
      </c>
    </row>
    <row r="3" spans="1:14" thickBot="1" x14ac:dyDescent="0.3">
      <c r="A3" s="38">
        <v>23.55</v>
      </c>
      <c r="B3" s="39">
        <f>35/0.75</f>
        <v>46.666666666666664</v>
      </c>
      <c r="C3" s="37">
        <v>35</v>
      </c>
      <c r="D3" s="38">
        <f>450*1.67</f>
        <v>751.5</v>
      </c>
      <c r="E3" s="39">
        <f>450*2.25</f>
        <v>1012.5</v>
      </c>
      <c r="F3" s="37">
        <f>450*0.36</f>
        <v>162</v>
      </c>
      <c r="G3" s="39">
        <v>0</v>
      </c>
      <c r="H3" s="37">
        <v>0</v>
      </c>
      <c r="I3" s="37">
        <v>0</v>
      </c>
      <c r="J3" s="37">
        <v>0</v>
      </c>
      <c r="K3" s="8">
        <v>0</v>
      </c>
      <c r="L3" s="6">
        <v>450</v>
      </c>
      <c r="M3" s="7">
        <v>4.66</v>
      </c>
    </row>
    <row r="4" spans="1:14" thickBot="1" x14ac:dyDescent="0.3">
      <c r="A4" s="38">
        <v>47.1</v>
      </c>
      <c r="B4" s="39">
        <f>35/0.75</f>
        <v>46.666666666666664</v>
      </c>
      <c r="C4" s="37">
        <v>35</v>
      </c>
      <c r="D4" s="43">
        <f>450*1.67</f>
        <v>751.5</v>
      </c>
      <c r="E4" s="43">
        <f>450*2.25</f>
        <v>1012.5</v>
      </c>
      <c r="F4" s="43">
        <f>450*0.36</f>
        <v>162</v>
      </c>
      <c r="G4" s="44">
        <v>0</v>
      </c>
      <c r="H4" s="37">
        <v>0</v>
      </c>
      <c r="I4" s="37">
        <v>0</v>
      </c>
      <c r="J4" s="37">
        <v>0</v>
      </c>
      <c r="K4" s="8">
        <v>0</v>
      </c>
      <c r="L4" s="6">
        <v>450</v>
      </c>
      <c r="M4" s="7">
        <v>5.07</v>
      </c>
    </row>
    <row r="5" spans="1:14" ht="14.4" x14ac:dyDescent="0.25">
      <c r="A5" s="38">
        <v>70.650000000000006</v>
      </c>
      <c r="B5" s="39">
        <f>35/0.75</f>
        <v>46.666666666666664</v>
      </c>
      <c r="C5" s="37">
        <v>35</v>
      </c>
      <c r="D5" s="43">
        <f>450*1.67</f>
        <v>751.5</v>
      </c>
      <c r="E5" s="43">
        <f>450*2.25</f>
        <v>1012.5</v>
      </c>
      <c r="F5" s="43">
        <f>450*0.36</f>
        <v>162</v>
      </c>
      <c r="G5" s="44">
        <v>0</v>
      </c>
      <c r="H5" s="37">
        <v>0</v>
      </c>
      <c r="I5" s="37">
        <v>0</v>
      </c>
      <c r="J5" s="37">
        <v>0</v>
      </c>
      <c r="K5" s="8">
        <v>0</v>
      </c>
      <c r="L5" s="6">
        <v>450</v>
      </c>
      <c r="M5" s="24">
        <v>5.41</v>
      </c>
    </row>
    <row r="6" spans="1:14" ht="14.4" x14ac:dyDescent="0.25">
      <c r="A6" s="38">
        <v>0</v>
      </c>
      <c r="B6" s="39">
        <v>0</v>
      </c>
      <c r="C6" s="37">
        <v>0</v>
      </c>
      <c r="D6" s="43">
        <f>324*2.42</f>
        <v>784.07999999999993</v>
      </c>
      <c r="E6" s="43">
        <f>324*3.37</f>
        <v>1091.8800000000001</v>
      </c>
      <c r="F6" s="43">
        <f>324*0.55</f>
        <v>178.20000000000002</v>
      </c>
      <c r="G6" s="44">
        <v>0</v>
      </c>
      <c r="H6" s="43">
        <v>0</v>
      </c>
      <c r="I6" s="23">
        <v>0</v>
      </c>
      <c r="J6" s="37">
        <v>0</v>
      </c>
      <c r="K6" s="8">
        <v>0</v>
      </c>
      <c r="L6" s="7">
        <v>324</v>
      </c>
      <c r="M6" s="24">
        <v>4.74</v>
      </c>
    </row>
    <row r="7" spans="1:14" ht="14.4" x14ac:dyDescent="0.25">
      <c r="A7" s="38">
        <v>0</v>
      </c>
      <c r="B7" s="39">
        <v>0</v>
      </c>
      <c r="C7" s="37">
        <v>0</v>
      </c>
      <c r="D7" s="43">
        <f>194.8*2.42</f>
        <v>471.416</v>
      </c>
      <c r="E7" s="43">
        <f>194.8*3.37</f>
        <v>656.47600000000011</v>
      </c>
      <c r="F7" s="43">
        <f>194.8*0.55</f>
        <v>107.14000000000001</v>
      </c>
      <c r="G7" s="44">
        <v>0.61</v>
      </c>
      <c r="H7" s="43">
        <f>194.8*0.16</f>
        <v>31.168000000000003</v>
      </c>
      <c r="I7" s="43">
        <f>194.8*0.5</f>
        <v>97.4</v>
      </c>
      <c r="J7" s="23">
        <v>0</v>
      </c>
      <c r="K7" s="8">
        <v>0</v>
      </c>
      <c r="L7" s="7">
        <v>194.8</v>
      </c>
      <c r="M7" s="24">
        <v>5.56</v>
      </c>
    </row>
    <row r="8" spans="1:14" ht="14.4" x14ac:dyDescent="0.25">
      <c r="A8" s="38">
        <v>39.25</v>
      </c>
      <c r="B8" s="39">
        <f>30/0.5</f>
        <v>60</v>
      </c>
      <c r="C8" s="37">
        <v>30</v>
      </c>
      <c r="D8" s="43">
        <f>194.8*2.42</f>
        <v>471.416</v>
      </c>
      <c r="E8" s="43">
        <f>194.8*3.37</f>
        <v>656.47600000000011</v>
      </c>
      <c r="F8" s="43">
        <f>194.8*0.55</f>
        <v>107.14000000000001</v>
      </c>
      <c r="G8" s="44">
        <v>3.68</v>
      </c>
      <c r="H8" s="43">
        <f>194.8*0.16</f>
        <v>31.168000000000003</v>
      </c>
      <c r="I8" s="43">
        <f>194.8*0.5</f>
        <v>97.4</v>
      </c>
      <c r="J8" s="23">
        <v>0</v>
      </c>
      <c r="K8" s="8">
        <v>0</v>
      </c>
      <c r="L8" s="7">
        <v>194.8</v>
      </c>
      <c r="M8" s="24">
        <v>6.25</v>
      </c>
    </row>
    <row r="9" spans="1:14" ht="14.4" x14ac:dyDescent="0.25">
      <c r="A9" s="38">
        <v>78.5</v>
      </c>
      <c r="B9" s="39">
        <f>30/0.5</f>
        <v>60</v>
      </c>
      <c r="C9" s="37">
        <v>30</v>
      </c>
      <c r="D9" s="43">
        <f>194.8*2.42</f>
        <v>471.416</v>
      </c>
      <c r="E9" s="43">
        <f>194.8*3.37</f>
        <v>656.47600000000011</v>
      </c>
      <c r="F9" s="43">
        <f>194.8*0.55</f>
        <v>107.14000000000001</v>
      </c>
      <c r="G9" s="44">
        <v>5.57</v>
      </c>
      <c r="H9" s="43">
        <f>194.8*0.16</f>
        <v>31.168000000000003</v>
      </c>
      <c r="I9" s="43">
        <f>194.8*0.5</f>
        <v>97.4</v>
      </c>
      <c r="J9" s="23">
        <v>0</v>
      </c>
      <c r="K9" s="8">
        <v>0</v>
      </c>
      <c r="L9" s="7">
        <v>194.8</v>
      </c>
      <c r="M9" s="24">
        <v>6.43</v>
      </c>
    </row>
    <row r="10" spans="1:14" ht="14.4" x14ac:dyDescent="0.25">
      <c r="A10" s="38">
        <v>117.8</v>
      </c>
      <c r="B10" s="39">
        <f>30/0.5</f>
        <v>60</v>
      </c>
      <c r="C10" s="37">
        <v>30</v>
      </c>
      <c r="D10" s="43">
        <f>194.8*2.42</f>
        <v>471.416</v>
      </c>
      <c r="E10" s="43">
        <f>194.8*3.37</f>
        <v>656.47600000000011</v>
      </c>
      <c r="F10" s="43">
        <f>194.8*0.55</f>
        <v>107.14000000000001</v>
      </c>
      <c r="G10" s="44">
        <v>7.38</v>
      </c>
      <c r="H10" s="43">
        <f>194.8*0.16</f>
        <v>31.168000000000003</v>
      </c>
      <c r="I10" s="43">
        <f>194.8*0.5</f>
        <v>97.4</v>
      </c>
      <c r="J10" s="23">
        <v>0</v>
      </c>
      <c r="K10" s="8">
        <v>0</v>
      </c>
      <c r="L10" s="7">
        <v>194.8</v>
      </c>
      <c r="M10" s="24">
        <v>6.58</v>
      </c>
    </row>
    <row r="11" spans="1:14" ht="14.4" x14ac:dyDescent="0.25">
      <c r="A11" s="38">
        <v>157</v>
      </c>
      <c r="B11" s="39">
        <f>30/0.5</f>
        <v>60</v>
      </c>
      <c r="C11" s="37">
        <v>30</v>
      </c>
      <c r="D11" s="43">
        <f>194.8*2.42</f>
        <v>471.416</v>
      </c>
      <c r="E11" s="43">
        <f>194.8*3.37</f>
        <v>656.47600000000011</v>
      </c>
      <c r="F11" s="43">
        <f>194.8*0.55</f>
        <v>107.14000000000001</v>
      </c>
      <c r="G11" s="44">
        <v>8.32</v>
      </c>
      <c r="H11" s="43">
        <f>194.8*0.16</f>
        <v>31.168000000000003</v>
      </c>
      <c r="I11" s="43">
        <f>194.8*0.5</f>
        <v>97.4</v>
      </c>
      <c r="J11" s="23">
        <v>0</v>
      </c>
      <c r="K11" s="8">
        <v>0</v>
      </c>
      <c r="L11" s="7">
        <v>195.8</v>
      </c>
      <c r="M11" s="25">
        <v>6.69</v>
      </c>
    </row>
    <row r="12" spans="1:14" ht="14.4" x14ac:dyDescent="0.25">
      <c r="A12" s="41">
        <v>78.5</v>
      </c>
      <c r="B12" s="42">
        <f>30/0.6</f>
        <v>50</v>
      </c>
      <c r="C12" s="40">
        <v>30</v>
      </c>
      <c r="D12" s="40">
        <v>931</v>
      </c>
      <c r="E12" s="40">
        <v>755</v>
      </c>
      <c r="F12" s="40">
        <v>184</v>
      </c>
      <c r="G12" s="42">
        <v>0</v>
      </c>
      <c r="H12" s="40">
        <v>0</v>
      </c>
      <c r="I12" s="40">
        <v>0</v>
      </c>
      <c r="J12" s="40">
        <v>0</v>
      </c>
      <c r="K12" s="22">
        <v>0</v>
      </c>
      <c r="L12" s="21">
        <v>378</v>
      </c>
      <c r="M12" s="26">
        <v>6.34</v>
      </c>
      <c r="N12" s="12"/>
    </row>
    <row r="13" spans="1:14" ht="14.4" x14ac:dyDescent="0.25">
      <c r="A13" s="41">
        <v>157</v>
      </c>
      <c r="B13" s="42">
        <f>30/0.6</f>
        <v>50</v>
      </c>
      <c r="C13" s="40">
        <v>30</v>
      </c>
      <c r="D13" s="40">
        <v>915</v>
      </c>
      <c r="E13" s="40">
        <v>749</v>
      </c>
      <c r="F13" s="40">
        <v>186</v>
      </c>
      <c r="G13" s="42">
        <v>0</v>
      </c>
      <c r="H13" s="40">
        <v>0</v>
      </c>
      <c r="I13" s="40">
        <v>0</v>
      </c>
      <c r="J13" s="40">
        <v>0</v>
      </c>
      <c r="K13" s="22">
        <v>0</v>
      </c>
      <c r="L13" s="21">
        <v>378</v>
      </c>
      <c r="M13" s="26">
        <v>8.24</v>
      </c>
      <c r="N13" s="12"/>
    </row>
    <row r="14" spans="1:14" ht="15.75" customHeight="1" x14ac:dyDescent="0.25">
      <c r="A14" s="41">
        <v>0</v>
      </c>
      <c r="B14" s="42">
        <v>0</v>
      </c>
      <c r="C14" s="40">
        <v>0</v>
      </c>
      <c r="D14" s="40">
        <f>300*1.57</f>
        <v>471</v>
      </c>
      <c r="E14" s="40">
        <f>300*3.42</f>
        <v>1026</v>
      </c>
      <c r="F14" s="40">
        <f>300*0.54</f>
        <v>162</v>
      </c>
      <c r="G14" s="42">
        <v>0</v>
      </c>
      <c r="H14" s="40">
        <v>0</v>
      </c>
      <c r="I14" s="40">
        <v>0</v>
      </c>
      <c r="J14" s="40">
        <v>0</v>
      </c>
      <c r="K14" s="9">
        <v>0</v>
      </c>
      <c r="L14" s="21">
        <v>300</v>
      </c>
      <c r="M14" s="26">
        <v>5.4</v>
      </c>
      <c r="N14" s="13"/>
    </row>
    <row r="15" spans="1:14" ht="15.75" customHeight="1" x14ac:dyDescent="0.25">
      <c r="A15" s="33">
        <v>30</v>
      </c>
      <c r="B15" s="44">
        <v>80</v>
      </c>
      <c r="C15" s="23">
        <v>60</v>
      </c>
      <c r="D15" s="40">
        <f>300*1.57</f>
        <v>471</v>
      </c>
      <c r="E15" s="40">
        <f>300*3.42</f>
        <v>1026</v>
      </c>
      <c r="F15" s="40">
        <f>300*0.54</f>
        <v>162</v>
      </c>
      <c r="G15" s="44">
        <v>0</v>
      </c>
      <c r="H15" s="40">
        <v>0</v>
      </c>
      <c r="I15" s="40">
        <v>0</v>
      </c>
      <c r="J15" s="40">
        <v>0</v>
      </c>
      <c r="K15" s="9">
        <v>0</v>
      </c>
      <c r="L15" s="10">
        <v>300</v>
      </c>
      <c r="M15" s="25">
        <v>8.3000000000000007</v>
      </c>
      <c r="N15" s="14"/>
    </row>
    <row r="16" spans="1:14" ht="15.75" customHeight="1" x14ac:dyDescent="0.25">
      <c r="A16" s="33">
        <v>60</v>
      </c>
      <c r="B16" s="44">
        <v>80</v>
      </c>
      <c r="C16" s="23">
        <v>60</v>
      </c>
      <c r="D16" s="40">
        <f>300*1.57</f>
        <v>471</v>
      </c>
      <c r="E16" s="40">
        <f>300*3.42</f>
        <v>1026</v>
      </c>
      <c r="F16" s="40">
        <f>300*0.54</f>
        <v>162</v>
      </c>
      <c r="G16" s="44">
        <v>0</v>
      </c>
      <c r="H16" s="40">
        <v>0</v>
      </c>
      <c r="I16" s="40">
        <v>0</v>
      </c>
      <c r="J16" s="40">
        <v>0</v>
      </c>
      <c r="K16" s="9">
        <v>0</v>
      </c>
      <c r="L16" s="10">
        <v>300</v>
      </c>
      <c r="M16" s="25">
        <v>9.8000000000000007</v>
      </c>
      <c r="N16" s="14"/>
    </row>
    <row r="17" spans="1:14" ht="15.75" customHeight="1" x14ac:dyDescent="0.25">
      <c r="A17" s="41">
        <v>0</v>
      </c>
      <c r="B17" s="42">
        <v>0</v>
      </c>
      <c r="C17" s="40">
        <v>0</v>
      </c>
      <c r="D17" s="40">
        <f>385*1.16</f>
        <v>446.59999999999997</v>
      </c>
      <c r="E17" s="40">
        <f>385*2.55</f>
        <v>981.74999999999989</v>
      </c>
      <c r="F17" s="40">
        <f>385*0.44</f>
        <v>169.4</v>
      </c>
      <c r="G17" s="42">
        <v>0</v>
      </c>
      <c r="H17" s="40">
        <v>0</v>
      </c>
      <c r="I17" s="40">
        <v>0</v>
      </c>
      <c r="J17" s="40">
        <v>0</v>
      </c>
      <c r="K17" s="9">
        <v>0</v>
      </c>
      <c r="L17" s="21">
        <v>385</v>
      </c>
      <c r="M17" s="26">
        <v>7.8</v>
      </c>
      <c r="N17" s="13"/>
    </row>
    <row r="18" spans="1:14" ht="15.75" customHeight="1" x14ac:dyDescent="0.25">
      <c r="A18" s="33">
        <v>30</v>
      </c>
      <c r="B18" s="44">
        <v>80</v>
      </c>
      <c r="C18" s="23">
        <v>60</v>
      </c>
      <c r="D18" s="40">
        <f>385*1.16</f>
        <v>446.59999999999997</v>
      </c>
      <c r="E18" s="40">
        <f>385*2.55</f>
        <v>981.74999999999989</v>
      </c>
      <c r="F18" s="40">
        <f>385*0.44</f>
        <v>169.4</v>
      </c>
      <c r="G18" s="44">
        <v>0</v>
      </c>
      <c r="H18" s="40">
        <v>0</v>
      </c>
      <c r="I18" s="40">
        <v>0</v>
      </c>
      <c r="J18" s="40">
        <v>0</v>
      </c>
      <c r="K18" s="9">
        <v>0</v>
      </c>
      <c r="L18" s="10">
        <v>385</v>
      </c>
      <c r="M18" s="25">
        <v>9.4</v>
      </c>
      <c r="N18" s="14"/>
    </row>
    <row r="19" spans="1:14" ht="14.4" x14ac:dyDescent="0.25">
      <c r="A19" s="33">
        <v>60</v>
      </c>
      <c r="B19" s="44">
        <v>80</v>
      </c>
      <c r="C19" s="23">
        <v>60</v>
      </c>
      <c r="D19" s="40">
        <f>385*1.16</f>
        <v>446.59999999999997</v>
      </c>
      <c r="E19" s="40">
        <f>385*2.55</f>
        <v>981.74999999999989</v>
      </c>
      <c r="F19" s="40">
        <f>385*0.44</f>
        <v>169.4</v>
      </c>
      <c r="G19" s="44">
        <v>0</v>
      </c>
      <c r="H19" s="40">
        <v>0</v>
      </c>
      <c r="I19" s="40">
        <v>0</v>
      </c>
      <c r="J19" s="40">
        <v>0</v>
      </c>
      <c r="K19" s="9">
        <v>0</v>
      </c>
      <c r="L19" s="10">
        <v>385</v>
      </c>
      <c r="M19" s="25">
        <v>11.4</v>
      </c>
      <c r="N19" s="14"/>
    </row>
    <row r="20" spans="1:14" ht="15.75" customHeight="1" x14ac:dyDescent="0.25">
      <c r="A20" s="33">
        <v>0</v>
      </c>
      <c r="B20" s="44">
        <v>0</v>
      </c>
      <c r="C20" s="23">
        <v>0</v>
      </c>
      <c r="D20" s="40">
        <f>450*2</f>
        <v>900</v>
      </c>
      <c r="E20" s="40">
        <f>450*2.33</f>
        <v>1048.5</v>
      </c>
      <c r="F20" s="40">
        <f>450*0.35</f>
        <v>157.5</v>
      </c>
      <c r="G20" s="44">
        <v>11.25</v>
      </c>
      <c r="H20" s="40">
        <v>0</v>
      </c>
      <c r="I20" s="40">
        <v>0</v>
      </c>
      <c r="J20" s="40">
        <v>0</v>
      </c>
      <c r="K20" s="9">
        <v>0</v>
      </c>
      <c r="L20" s="10">
        <v>450</v>
      </c>
      <c r="M20" s="25">
        <v>5.8</v>
      </c>
      <c r="N20" s="14"/>
    </row>
    <row r="21" spans="1:14" ht="15.75" customHeight="1" x14ac:dyDescent="0.25">
      <c r="A21" s="33">
        <v>19.62</v>
      </c>
      <c r="B21" s="44">
        <v>80</v>
      </c>
      <c r="C21" s="23">
        <v>60</v>
      </c>
      <c r="D21" s="40">
        <f>450*2</f>
        <v>900</v>
      </c>
      <c r="E21" s="40">
        <f>450*2.33</f>
        <v>1048.5</v>
      </c>
      <c r="F21" s="40">
        <f>450*0.35</f>
        <v>157.5</v>
      </c>
      <c r="G21" s="44">
        <v>12.5</v>
      </c>
      <c r="H21" s="40">
        <v>0</v>
      </c>
      <c r="I21" s="40">
        <v>0</v>
      </c>
      <c r="J21" s="40">
        <v>0</v>
      </c>
      <c r="K21" s="9">
        <v>0</v>
      </c>
      <c r="L21" s="10">
        <v>450</v>
      </c>
      <c r="M21" s="25">
        <v>7.2</v>
      </c>
      <c r="N21" s="15"/>
    </row>
    <row r="22" spans="1:14" ht="15.75" customHeight="1" x14ac:dyDescent="0.25">
      <c r="A22" s="33">
        <v>19.62</v>
      </c>
      <c r="B22" s="44">
        <v>40</v>
      </c>
      <c r="C22" s="23">
        <v>30</v>
      </c>
      <c r="D22" s="40">
        <f>450*2</f>
        <v>900</v>
      </c>
      <c r="E22" s="40">
        <f>450*2.33</f>
        <v>1048.5</v>
      </c>
      <c r="F22" s="40">
        <f>450*0.35</f>
        <v>157.5</v>
      </c>
      <c r="G22" s="44">
        <v>16</v>
      </c>
      <c r="H22" s="40">
        <v>0</v>
      </c>
      <c r="I22" s="40">
        <v>0</v>
      </c>
      <c r="J22" s="40">
        <v>0</v>
      </c>
      <c r="K22" s="9">
        <v>0</v>
      </c>
      <c r="L22" s="10">
        <v>450</v>
      </c>
      <c r="M22" s="25">
        <v>7.2</v>
      </c>
      <c r="N22" s="15"/>
    </row>
    <row r="23" spans="1:14" ht="15.75" customHeight="1" x14ac:dyDescent="0.25">
      <c r="A23" s="33">
        <v>58.85</v>
      </c>
      <c r="B23" s="44">
        <v>80</v>
      </c>
      <c r="C23" s="23">
        <v>60</v>
      </c>
      <c r="D23" s="40">
        <f>450*2</f>
        <v>900</v>
      </c>
      <c r="E23" s="40">
        <f>450*2.33</f>
        <v>1048.5</v>
      </c>
      <c r="F23" s="40">
        <f>450*0.35</f>
        <v>157.5</v>
      </c>
      <c r="G23" s="44">
        <v>13.75</v>
      </c>
      <c r="H23" s="40">
        <v>0</v>
      </c>
      <c r="I23" s="40">
        <v>0</v>
      </c>
      <c r="J23" s="40">
        <v>0</v>
      </c>
      <c r="K23" s="9">
        <v>0</v>
      </c>
      <c r="L23" s="10">
        <v>450</v>
      </c>
      <c r="M23" s="25">
        <v>7.8</v>
      </c>
      <c r="N23" s="15"/>
    </row>
    <row r="24" spans="1:14" ht="15.75" customHeight="1" x14ac:dyDescent="0.25">
      <c r="A24" s="33">
        <v>58.85</v>
      </c>
      <c r="B24" s="44">
        <v>40</v>
      </c>
      <c r="C24" s="23">
        <v>30</v>
      </c>
      <c r="D24" s="40">
        <f>450*2</f>
        <v>900</v>
      </c>
      <c r="E24" s="40">
        <f>450*2.33</f>
        <v>1048.5</v>
      </c>
      <c r="F24" s="40">
        <f>450*0.35</f>
        <v>157.5</v>
      </c>
      <c r="G24" s="44">
        <v>19.5</v>
      </c>
      <c r="H24" s="40">
        <v>0</v>
      </c>
      <c r="I24" s="40">
        <v>0</v>
      </c>
      <c r="J24" s="40">
        <v>0</v>
      </c>
      <c r="K24" s="9">
        <v>0</v>
      </c>
      <c r="L24" s="10">
        <v>450</v>
      </c>
      <c r="M24" s="25">
        <v>7.4</v>
      </c>
      <c r="N24" s="15"/>
    </row>
    <row r="25" spans="1:14" ht="15.75" customHeight="1" x14ac:dyDescent="0.25">
      <c r="A25" s="33">
        <v>0</v>
      </c>
      <c r="B25" s="44">
        <v>0</v>
      </c>
      <c r="C25" s="23">
        <v>0</v>
      </c>
      <c r="D25" s="40">
        <f>405*2</f>
        <v>810</v>
      </c>
      <c r="E25" s="40">
        <f>405*2.33</f>
        <v>943.65</v>
      </c>
      <c r="F25" s="40">
        <f>405*0.35</f>
        <v>141.75</v>
      </c>
      <c r="G25" s="44">
        <v>10</v>
      </c>
      <c r="H25" s="40">
        <v>0</v>
      </c>
      <c r="I25" s="40">
        <v>0</v>
      </c>
      <c r="J25" s="40">
        <v>0</v>
      </c>
      <c r="K25" s="9">
        <f>405*0.11</f>
        <v>44.55</v>
      </c>
      <c r="L25" s="10">
        <v>405</v>
      </c>
      <c r="M25" s="25">
        <v>7.1</v>
      </c>
      <c r="N25" s="14"/>
    </row>
    <row r="26" spans="1:14" ht="15.75" customHeight="1" x14ac:dyDescent="0.25">
      <c r="A26" s="33">
        <v>19.62</v>
      </c>
      <c r="B26" s="44">
        <v>80</v>
      </c>
      <c r="C26" s="23">
        <v>60</v>
      </c>
      <c r="D26" s="40">
        <f>405*2</f>
        <v>810</v>
      </c>
      <c r="E26" s="40">
        <f>405*2.33</f>
        <v>943.65</v>
      </c>
      <c r="F26" s="40">
        <f>405*0.35</f>
        <v>141.75</v>
      </c>
      <c r="G26" s="44">
        <v>11.25</v>
      </c>
      <c r="H26" s="40">
        <v>0</v>
      </c>
      <c r="I26" s="40">
        <v>0</v>
      </c>
      <c r="J26" s="40">
        <v>0</v>
      </c>
      <c r="K26" s="9">
        <f>405*0.11</f>
        <v>44.55</v>
      </c>
      <c r="L26" s="10">
        <v>405</v>
      </c>
      <c r="M26" s="25">
        <v>7.7</v>
      </c>
      <c r="N26" s="14"/>
    </row>
    <row r="27" spans="1:14" ht="15.75" customHeight="1" x14ac:dyDescent="0.25">
      <c r="A27" s="33">
        <v>19.62</v>
      </c>
      <c r="B27" s="44">
        <v>40</v>
      </c>
      <c r="C27" s="23">
        <v>30</v>
      </c>
      <c r="D27" s="40">
        <f>405*2</f>
        <v>810</v>
      </c>
      <c r="E27" s="40">
        <f>405*2.33</f>
        <v>943.65</v>
      </c>
      <c r="F27" s="40">
        <f>405*0.35</f>
        <v>141.75</v>
      </c>
      <c r="G27" s="44">
        <v>19.5</v>
      </c>
      <c r="H27" s="40">
        <v>0</v>
      </c>
      <c r="I27" s="40">
        <v>0</v>
      </c>
      <c r="J27" s="40">
        <v>0</v>
      </c>
      <c r="K27" s="9">
        <f>405*0.11</f>
        <v>44.55</v>
      </c>
      <c r="L27" s="10">
        <v>405</v>
      </c>
      <c r="M27" s="25">
        <v>7.5</v>
      </c>
      <c r="N27" s="14"/>
    </row>
    <row r="28" spans="1:14" ht="15.75" customHeight="1" x14ac:dyDescent="0.25">
      <c r="A28" s="33">
        <v>58.85</v>
      </c>
      <c r="B28" s="44">
        <v>80</v>
      </c>
      <c r="C28" s="23">
        <v>60</v>
      </c>
      <c r="D28" s="40">
        <f>405*2</f>
        <v>810</v>
      </c>
      <c r="E28" s="40">
        <f>405*2.33</f>
        <v>943.65</v>
      </c>
      <c r="F28" s="40">
        <f>405*0.35</f>
        <v>141.75</v>
      </c>
      <c r="G28" s="44">
        <v>13</v>
      </c>
      <c r="H28" s="40">
        <v>0</v>
      </c>
      <c r="I28" s="40">
        <v>0</v>
      </c>
      <c r="J28" s="40">
        <v>0</v>
      </c>
      <c r="K28" s="9">
        <f>405*0.11</f>
        <v>44.55</v>
      </c>
      <c r="L28" s="10">
        <v>405</v>
      </c>
      <c r="M28" s="25">
        <v>8.1</v>
      </c>
      <c r="N28" s="14"/>
    </row>
    <row r="29" spans="1:14" ht="15.75" customHeight="1" x14ac:dyDescent="0.25">
      <c r="A29" s="33">
        <v>58.85</v>
      </c>
      <c r="B29" s="44">
        <v>40</v>
      </c>
      <c r="C29" s="23">
        <v>30</v>
      </c>
      <c r="D29" s="40">
        <f>405*2</f>
        <v>810</v>
      </c>
      <c r="E29" s="40">
        <f>405*2.33</f>
        <v>943.65</v>
      </c>
      <c r="F29" s="40">
        <f>405*0.35</f>
        <v>141.75</v>
      </c>
      <c r="G29" s="44">
        <v>20</v>
      </c>
      <c r="H29" s="40">
        <v>0</v>
      </c>
      <c r="I29" s="40">
        <v>0</v>
      </c>
      <c r="J29" s="40">
        <v>0</v>
      </c>
      <c r="K29" s="9">
        <f>405*0.11</f>
        <v>44.55</v>
      </c>
      <c r="L29" s="10">
        <v>405</v>
      </c>
      <c r="M29" s="25">
        <v>7.9</v>
      </c>
      <c r="N29" s="14"/>
    </row>
    <row r="30" spans="1:14" ht="15.75" customHeight="1" x14ac:dyDescent="0.25">
      <c r="A30" s="33">
        <v>0</v>
      </c>
      <c r="B30" s="44">
        <v>0</v>
      </c>
      <c r="C30" s="23">
        <v>0</v>
      </c>
      <c r="D30" s="40">
        <f t="shared" ref="D30:E34" si="0">350*2.68</f>
        <v>938</v>
      </c>
      <c r="E30" s="40">
        <f t="shared" si="0"/>
        <v>938</v>
      </c>
      <c r="F30" s="40">
        <f>350*0.5</f>
        <v>175</v>
      </c>
      <c r="G30" s="44">
        <v>4.75</v>
      </c>
      <c r="H30" s="40">
        <v>0</v>
      </c>
      <c r="I30" s="40">
        <v>0</v>
      </c>
      <c r="J30" s="40">
        <v>0</v>
      </c>
      <c r="K30" s="11">
        <v>0</v>
      </c>
      <c r="L30" s="10">
        <v>350</v>
      </c>
      <c r="M30" s="25">
        <v>5.3</v>
      </c>
      <c r="N30" s="15"/>
    </row>
    <row r="31" spans="1:14" ht="15.75" customHeight="1" x14ac:dyDescent="0.25">
      <c r="A31" s="33">
        <v>19.62</v>
      </c>
      <c r="B31" s="44">
        <v>80</v>
      </c>
      <c r="C31" s="23">
        <v>60</v>
      </c>
      <c r="D31" s="40">
        <f t="shared" si="0"/>
        <v>938</v>
      </c>
      <c r="E31" s="40">
        <f t="shared" si="0"/>
        <v>938</v>
      </c>
      <c r="F31" s="40">
        <f>350*0.5</f>
        <v>175</v>
      </c>
      <c r="G31" s="44">
        <v>4.75</v>
      </c>
      <c r="H31" s="40">
        <v>0</v>
      </c>
      <c r="I31" s="40">
        <v>0</v>
      </c>
      <c r="J31" s="40">
        <v>0</v>
      </c>
      <c r="K31" s="11">
        <v>0</v>
      </c>
      <c r="L31" s="10">
        <v>350</v>
      </c>
      <c r="M31" s="25">
        <v>6.3</v>
      </c>
      <c r="N31" s="15"/>
    </row>
    <row r="32" spans="1:14" ht="15.75" customHeight="1" x14ac:dyDescent="0.25">
      <c r="A32" s="33">
        <v>19.62</v>
      </c>
      <c r="B32" s="44">
        <v>40</v>
      </c>
      <c r="C32" s="23">
        <v>30</v>
      </c>
      <c r="D32" s="40">
        <f t="shared" si="0"/>
        <v>938</v>
      </c>
      <c r="E32" s="40">
        <f t="shared" si="0"/>
        <v>938</v>
      </c>
      <c r="F32" s="40">
        <f>350*0.5</f>
        <v>175</v>
      </c>
      <c r="G32" s="44">
        <v>6</v>
      </c>
      <c r="H32" s="40">
        <v>0</v>
      </c>
      <c r="I32" s="40">
        <v>0</v>
      </c>
      <c r="J32" s="40">
        <v>0</v>
      </c>
      <c r="K32" s="11">
        <v>0</v>
      </c>
      <c r="L32" s="10">
        <v>350</v>
      </c>
      <c r="M32" s="25">
        <v>6.2</v>
      </c>
      <c r="N32" s="15"/>
    </row>
    <row r="33" spans="1:14" ht="15.75" customHeight="1" x14ac:dyDescent="0.25">
      <c r="A33" s="33">
        <v>58.85</v>
      </c>
      <c r="B33" s="44">
        <v>80</v>
      </c>
      <c r="C33" s="23">
        <v>60</v>
      </c>
      <c r="D33" s="40">
        <f t="shared" si="0"/>
        <v>938</v>
      </c>
      <c r="E33" s="40">
        <f t="shared" si="0"/>
        <v>938</v>
      </c>
      <c r="F33" s="40">
        <f>350*0.5</f>
        <v>175</v>
      </c>
      <c r="G33" s="44">
        <v>7.5</v>
      </c>
      <c r="H33" s="40">
        <v>0</v>
      </c>
      <c r="I33" s="40">
        <v>0</v>
      </c>
      <c r="J33" s="40">
        <v>0</v>
      </c>
      <c r="K33" s="11">
        <v>0</v>
      </c>
      <c r="L33" s="10">
        <v>350</v>
      </c>
      <c r="M33" s="25">
        <v>6.5</v>
      </c>
      <c r="N33" s="15"/>
    </row>
    <row r="34" spans="1:14" ht="15.75" customHeight="1" x14ac:dyDescent="0.25">
      <c r="A34" s="33">
        <v>58.85</v>
      </c>
      <c r="B34" s="44">
        <v>40</v>
      </c>
      <c r="C34" s="23">
        <v>30</v>
      </c>
      <c r="D34" s="40">
        <f t="shared" si="0"/>
        <v>938</v>
      </c>
      <c r="E34" s="40">
        <f t="shared" si="0"/>
        <v>938</v>
      </c>
      <c r="F34" s="40">
        <f>350*0.5</f>
        <v>175</v>
      </c>
      <c r="G34" s="44">
        <v>10.25</v>
      </c>
      <c r="H34" s="40">
        <v>0</v>
      </c>
      <c r="I34" s="40">
        <v>0</v>
      </c>
      <c r="J34" s="40">
        <v>0</v>
      </c>
      <c r="K34" s="11">
        <v>0</v>
      </c>
      <c r="L34" s="10">
        <v>350</v>
      </c>
      <c r="M34" s="25">
        <v>6.1</v>
      </c>
      <c r="N34" s="15"/>
    </row>
    <row r="35" spans="1:14" ht="15.75" customHeight="1" x14ac:dyDescent="0.25">
      <c r="A35" s="33">
        <v>0</v>
      </c>
      <c r="B35" s="44">
        <v>0</v>
      </c>
      <c r="C35" s="23">
        <v>0</v>
      </c>
      <c r="D35" s="40">
        <f t="shared" ref="D35:E39" si="1">315*2.97</f>
        <v>935.55000000000007</v>
      </c>
      <c r="E35" s="40">
        <f t="shared" si="1"/>
        <v>935.55000000000007</v>
      </c>
      <c r="F35" s="40">
        <f>315*0.5</f>
        <v>157.5</v>
      </c>
      <c r="G35" s="44">
        <v>6.25</v>
      </c>
      <c r="H35" s="40">
        <v>0</v>
      </c>
      <c r="I35" s="40">
        <v>0</v>
      </c>
      <c r="J35" s="40">
        <v>0</v>
      </c>
      <c r="K35" s="9">
        <f>315*0.11</f>
        <v>34.65</v>
      </c>
      <c r="L35" s="10">
        <v>315</v>
      </c>
      <c r="M35" s="25">
        <v>6.1</v>
      </c>
      <c r="N35" s="14"/>
    </row>
    <row r="36" spans="1:14" ht="15.75" customHeight="1" x14ac:dyDescent="0.25">
      <c r="A36" s="33">
        <v>19.62</v>
      </c>
      <c r="B36" s="44">
        <v>80</v>
      </c>
      <c r="C36" s="23">
        <v>60</v>
      </c>
      <c r="D36" s="40">
        <f t="shared" si="1"/>
        <v>935.55000000000007</v>
      </c>
      <c r="E36" s="40">
        <f t="shared" si="1"/>
        <v>935.55000000000007</v>
      </c>
      <c r="F36" s="40">
        <f>315*0.5</f>
        <v>157.5</v>
      </c>
      <c r="G36" s="44">
        <v>6.75</v>
      </c>
      <c r="H36" s="40">
        <v>0</v>
      </c>
      <c r="I36" s="40">
        <v>0</v>
      </c>
      <c r="J36" s="40">
        <v>0</v>
      </c>
      <c r="K36" s="9">
        <f>315*0.11</f>
        <v>34.65</v>
      </c>
      <c r="L36" s="10">
        <v>315</v>
      </c>
      <c r="M36" s="25">
        <v>6.9</v>
      </c>
      <c r="N36" s="14"/>
    </row>
    <row r="37" spans="1:14" ht="15.75" customHeight="1" x14ac:dyDescent="0.25">
      <c r="A37" s="33">
        <v>19.62</v>
      </c>
      <c r="B37" s="44">
        <v>40</v>
      </c>
      <c r="C37" s="23">
        <v>30</v>
      </c>
      <c r="D37" s="40">
        <f t="shared" si="1"/>
        <v>935.55000000000007</v>
      </c>
      <c r="E37" s="40">
        <f t="shared" si="1"/>
        <v>935.55000000000007</v>
      </c>
      <c r="F37" s="40">
        <f>315*0.5</f>
        <v>157.5</v>
      </c>
      <c r="G37" s="44">
        <v>12.5</v>
      </c>
      <c r="H37" s="40">
        <v>0</v>
      </c>
      <c r="I37" s="40">
        <v>0</v>
      </c>
      <c r="J37" s="40">
        <v>0</v>
      </c>
      <c r="K37" s="9">
        <f>315*0.11</f>
        <v>34.65</v>
      </c>
      <c r="L37" s="10">
        <v>315</v>
      </c>
      <c r="M37" s="25">
        <v>6.5</v>
      </c>
      <c r="N37" s="14"/>
    </row>
    <row r="38" spans="1:14" ht="15.75" customHeight="1" x14ac:dyDescent="0.25">
      <c r="A38" s="33">
        <v>58.85</v>
      </c>
      <c r="B38" s="44">
        <v>80</v>
      </c>
      <c r="C38" s="23">
        <v>60</v>
      </c>
      <c r="D38" s="40">
        <f t="shared" si="1"/>
        <v>935.55000000000007</v>
      </c>
      <c r="E38" s="40">
        <f t="shared" si="1"/>
        <v>935.55000000000007</v>
      </c>
      <c r="F38" s="40">
        <f>315*0.5</f>
        <v>157.5</v>
      </c>
      <c r="G38" s="44">
        <v>8.5</v>
      </c>
      <c r="H38" s="40">
        <v>0</v>
      </c>
      <c r="I38" s="40">
        <v>0</v>
      </c>
      <c r="J38" s="40">
        <v>0</v>
      </c>
      <c r="K38" s="9">
        <f>315*0.11</f>
        <v>34.65</v>
      </c>
      <c r="L38" s="10">
        <v>315</v>
      </c>
      <c r="M38" s="25">
        <v>7.2</v>
      </c>
      <c r="N38" s="14"/>
    </row>
    <row r="39" spans="1:14" ht="14.4" x14ac:dyDescent="0.25">
      <c r="A39" s="33">
        <v>58.85</v>
      </c>
      <c r="B39" s="44">
        <v>40</v>
      </c>
      <c r="C39" s="23">
        <v>30</v>
      </c>
      <c r="D39" s="40">
        <f t="shared" si="1"/>
        <v>935.55000000000007</v>
      </c>
      <c r="E39" s="40">
        <f t="shared" si="1"/>
        <v>935.55000000000007</v>
      </c>
      <c r="F39" s="40">
        <f>315*0.5</f>
        <v>157.5</v>
      </c>
      <c r="G39" s="44">
        <v>11</v>
      </c>
      <c r="H39" s="40">
        <v>0</v>
      </c>
      <c r="I39" s="40">
        <v>0</v>
      </c>
      <c r="J39" s="40">
        <v>0</v>
      </c>
      <c r="K39" s="9">
        <f>315*0.11</f>
        <v>34.65</v>
      </c>
      <c r="L39" s="10">
        <v>315</v>
      </c>
      <c r="M39" s="25">
        <v>6.7</v>
      </c>
      <c r="N39" s="14"/>
    </row>
    <row r="40" spans="1:14" ht="15.75" customHeight="1" x14ac:dyDescent="0.25">
      <c r="A40" s="33">
        <v>0</v>
      </c>
      <c r="B40" s="44">
        <v>0</v>
      </c>
      <c r="C40" s="23">
        <v>0</v>
      </c>
      <c r="D40" s="40">
        <f t="shared" ref="D40:D46" si="2">400*1.83</f>
        <v>732</v>
      </c>
      <c r="E40" s="40">
        <f t="shared" ref="E40:E46" si="3">400*3.46</f>
        <v>1384</v>
      </c>
      <c r="F40" s="40">
        <f t="shared" ref="F40:F46" si="4">400*0.51</f>
        <v>204</v>
      </c>
      <c r="G40" s="44">
        <v>0</v>
      </c>
      <c r="H40" s="40">
        <v>0</v>
      </c>
      <c r="I40" s="40">
        <v>0</v>
      </c>
      <c r="J40" s="40">
        <v>0</v>
      </c>
      <c r="K40" s="11">
        <v>0</v>
      </c>
      <c r="L40" s="10">
        <v>400</v>
      </c>
      <c r="M40" s="25">
        <v>4.2</v>
      </c>
      <c r="N40" s="14"/>
    </row>
    <row r="41" spans="1:14" ht="15.75" customHeight="1" x14ac:dyDescent="0.25">
      <c r="A41" s="33">
        <v>20</v>
      </c>
      <c r="B41" s="44">
        <v>21.25</v>
      </c>
      <c r="C41" s="23">
        <v>17</v>
      </c>
      <c r="D41" s="40">
        <f t="shared" si="2"/>
        <v>732</v>
      </c>
      <c r="E41" s="40">
        <f t="shared" si="3"/>
        <v>1384</v>
      </c>
      <c r="F41" s="40">
        <f t="shared" si="4"/>
        <v>204</v>
      </c>
      <c r="G41" s="44">
        <v>0</v>
      </c>
      <c r="H41" s="40">
        <v>0</v>
      </c>
      <c r="I41" s="40">
        <v>0</v>
      </c>
      <c r="J41" s="40">
        <v>0</v>
      </c>
      <c r="K41" s="11">
        <v>0</v>
      </c>
      <c r="L41" s="10">
        <v>400</v>
      </c>
      <c r="M41" s="25">
        <v>4.9000000000000004</v>
      </c>
      <c r="N41" s="14"/>
    </row>
    <row r="42" spans="1:14" ht="15.75" customHeight="1" x14ac:dyDescent="0.25">
      <c r="A42" s="33">
        <v>40</v>
      </c>
      <c r="B42" s="44">
        <v>21.25</v>
      </c>
      <c r="C42" s="23">
        <v>17</v>
      </c>
      <c r="D42" s="40">
        <f t="shared" si="2"/>
        <v>732</v>
      </c>
      <c r="E42" s="40">
        <f t="shared" si="3"/>
        <v>1384</v>
      </c>
      <c r="F42" s="40">
        <f t="shared" si="4"/>
        <v>204</v>
      </c>
      <c r="G42" s="44">
        <v>0</v>
      </c>
      <c r="H42" s="40">
        <v>0</v>
      </c>
      <c r="I42" s="40">
        <v>0</v>
      </c>
      <c r="J42" s="40">
        <v>0</v>
      </c>
      <c r="K42" s="11">
        <v>0</v>
      </c>
      <c r="L42" s="10">
        <v>400</v>
      </c>
      <c r="M42" s="25">
        <v>5.5</v>
      </c>
      <c r="N42" s="14"/>
    </row>
    <row r="43" spans="1:14" ht="15.75" customHeight="1" x14ac:dyDescent="0.25">
      <c r="A43" s="33">
        <v>60</v>
      </c>
      <c r="B43" s="44">
        <v>21.25</v>
      </c>
      <c r="C43" s="23">
        <v>17</v>
      </c>
      <c r="D43" s="40">
        <f t="shared" si="2"/>
        <v>732</v>
      </c>
      <c r="E43" s="40">
        <f t="shared" si="3"/>
        <v>1384</v>
      </c>
      <c r="F43" s="40">
        <f t="shared" si="4"/>
        <v>204</v>
      </c>
      <c r="G43" s="44">
        <v>0</v>
      </c>
      <c r="H43" s="40">
        <v>0</v>
      </c>
      <c r="I43" s="40">
        <v>0</v>
      </c>
      <c r="J43" s="40">
        <v>0</v>
      </c>
      <c r="K43" s="11">
        <v>0</v>
      </c>
      <c r="L43" s="10">
        <v>400</v>
      </c>
      <c r="M43" s="25">
        <v>5.8</v>
      </c>
      <c r="N43" s="14"/>
    </row>
    <row r="44" spans="1:14" ht="15.75" customHeight="1" x14ac:dyDescent="0.25">
      <c r="A44" s="33">
        <v>20</v>
      </c>
      <c r="B44" s="44">
        <v>21.25</v>
      </c>
      <c r="C44" s="23">
        <v>17</v>
      </c>
      <c r="D44" s="40">
        <f t="shared" si="2"/>
        <v>732</v>
      </c>
      <c r="E44" s="40">
        <f t="shared" si="3"/>
        <v>1384</v>
      </c>
      <c r="F44" s="40">
        <f t="shared" si="4"/>
        <v>204</v>
      </c>
      <c r="G44" s="44">
        <v>0</v>
      </c>
      <c r="H44" s="40">
        <v>0</v>
      </c>
      <c r="I44" s="40">
        <v>0</v>
      </c>
      <c r="J44" s="40">
        <v>0</v>
      </c>
      <c r="K44" s="11">
        <v>0</v>
      </c>
      <c r="L44" s="10">
        <v>400</v>
      </c>
      <c r="M44" s="25">
        <v>4.4000000000000004</v>
      </c>
      <c r="N44" s="14"/>
    </row>
    <row r="45" spans="1:14" ht="15.75" customHeight="1" x14ac:dyDescent="0.25">
      <c r="A45" s="33">
        <v>40</v>
      </c>
      <c r="B45" s="44">
        <v>21.25</v>
      </c>
      <c r="C45" s="23">
        <v>17</v>
      </c>
      <c r="D45" s="40">
        <f t="shared" si="2"/>
        <v>732</v>
      </c>
      <c r="E45" s="40">
        <f t="shared" si="3"/>
        <v>1384</v>
      </c>
      <c r="F45" s="40">
        <f t="shared" si="4"/>
        <v>204</v>
      </c>
      <c r="G45" s="44">
        <v>0</v>
      </c>
      <c r="H45" s="40">
        <v>0</v>
      </c>
      <c r="I45" s="40">
        <v>0</v>
      </c>
      <c r="J45" s="40">
        <v>0</v>
      </c>
      <c r="K45" s="11">
        <v>0</v>
      </c>
      <c r="L45" s="10">
        <v>400</v>
      </c>
      <c r="M45" s="25">
        <v>4.8</v>
      </c>
      <c r="N45" s="14"/>
    </row>
    <row r="46" spans="1:14" ht="15.75" customHeight="1" x14ac:dyDescent="0.25">
      <c r="A46" s="33">
        <v>60</v>
      </c>
      <c r="B46" s="44">
        <v>21.25</v>
      </c>
      <c r="C46" s="23">
        <v>17</v>
      </c>
      <c r="D46" s="40">
        <f t="shared" si="2"/>
        <v>732</v>
      </c>
      <c r="E46" s="40">
        <f t="shared" si="3"/>
        <v>1384</v>
      </c>
      <c r="F46" s="40">
        <f t="shared" si="4"/>
        <v>204</v>
      </c>
      <c r="G46" s="44">
        <v>0</v>
      </c>
      <c r="H46" s="40">
        <v>0</v>
      </c>
      <c r="I46" s="40">
        <v>0</v>
      </c>
      <c r="J46" s="40">
        <v>0</v>
      </c>
      <c r="K46" s="11">
        <v>0</v>
      </c>
      <c r="L46" s="10">
        <v>400</v>
      </c>
      <c r="M46" s="25">
        <v>5.2</v>
      </c>
      <c r="N46" s="14"/>
    </row>
    <row r="47" spans="1:14" ht="15.75" customHeight="1" x14ac:dyDescent="0.25">
      <c r="A47" s="41">
        <v>40</v>
      </c>
      <c r="B47" s="42">
        <v>61.904761899999997</v>
      </c>
      <c r="C47" s="40">
        <v>17</v>
      </c>
      <c r="D47" s="40">
        <f>320*2.95</f>
        <v>944</v>
      </c>
      <c r="E47" s="40">
        <f>320*3</f>
        <v>960</v>
      </c>
      <c r="F47" s="40">
        <f>320*0.6</f>
        <v>192</v>
      </c>
      <c r="G47" s="42">
        <v>5.0830000000000002</v>
      </c>
      <c r="H47" s="40">
        <v>0</v>
      </c>
      <c r="I47" s="40">
        <v>0</v>
      </c>
      <c r="J47" s="40">
        <v>0</v>
      </c>
      <c r="K47" s="11">
        <v>0</v>
      </c>
      <c r="L47" s="21">
        <v>320</v>
      </c>
      <c r="M47" s="26">
        <v>4.7</v>
      </c>
      <c r="N47" s="13"/>
    </row>
    <row r="48" spans="1:14" ht="15.75" customHeight="1" x14ac:dyDescent="0.25">
      <c r="A48" s="41">
        <v>75</v>
      </c>
      <c r="B48" s="42">
        <v>61.904761899999997</v>
      </c>
      <c r="C48" s="40">
        <v>17</v>
      </c>
      <c r="D48" s="40">
        <f>320*2.95</f>
        <v>944</v>
      </c>
      <c r="E48" s="40">
        <f>320*3</f>
        <v>960</v>
      </c>
      <c r="F48" s="40">
        <f>320*0.6</f>
        <v>192</v>
      </c>
      <c r="G48" s="42">
        <v>5.0830000000000002</v>
      </c>
      <c r="H48" s="40">
        <v>0</v>
      </c>
      <c r="I48" s="40">
        <v>0</v>
      </c>
      <c r="J48" s="40">
        <v>0</v>
      </c>
      <c r="K48" s="11">
        <v>0</v>
      </c>
      <c r="L48" s="21">
        <v>320</v>
      </c>
      <c r="M48" s="26">
        <v>5</v>
      </c>
      <c r="N48" s="13"/>
    </row>
    <row r="49" spans="1:14" ht="15.75" customHeight="1" x14ac:dyDescent="0.25">
      <c r="A49" s="41">
        <v>40</v>
      </c>
      <c r="B49" s="42">
        <v>54.545454550000002</v>
      </c>
      <c r="C49" s="40">
        <v>17</v>
      </c>
      <c r="D49" s="40">
        <f>320*2.95</f>
        <v>944</v>
      </c>
      <c r="E49" s="40">
        <f>320*3</f>
        <v>960</v>
      </c>
      <c r="F49" s="40">
        <f>320*0.6</f>
        <v>192</v>
      </c>
      <c r="G49" s="42">
        <v>5.0830000000000002</v>
      </c>
      <c r="H49" s="40">
        <v>0</v>
      </c>
      <c r="I49" s="40">
        <v>0</v>
      </c>
      <c r="J49" s="40">
        <v>0</v>
      </c>
      <c r="K49" s="11">
        <v>0</v>
      </c>
      <c r="L49" s="21">
        <v>320</v>
      </c>
      <c r="M49" s="26">
        <v>4.3</v>
      </c>
      <c r="N49" s="13"/>
    </row>
    <row r="50" spans="1:14" ht="15.75" customHeight="1" x14ac:dyDescent="0.25">
      <c r="A50" s="41">
        <v>75</v>
      </c>
      <c r="B50" s="42">
        <v>54.545454550000002</v>
      </c>
      <c r="C50" s="40">
        <v>17</v>
      </c>
      <c r="D50" s="40">
        <f>320*2.95</f>
        <v>944</v>
      </c>
      <c r="E50" s="40">
        <f>320*3</f>
        <v>960</v>
      </c>
      <c r="F50" s="40">
        <f>320*0.6</f>
        <v>192</v>
      </c>
      <c r="G50" s="42">
        <v>5.0830000000000002</v>
      </c>
      <c r="H50" s="40">
        <v>0</v>
      </c>
      <c r="I50" s="40">
        <v>0</v>
      </c>
      <c r="J50" s="40">
        <v>0</v>
      </c>
      <c r="K50" s="11">
        <v>0</v>
      </c>
      <c r="L50" s="21">
        <v>320</v>
      </c>
      <c r="M50" s="26">
        <v>5</v>
      </c>
      <c r="N50" s="13"/>
    </row>
    <row r="51" spans="1:14" ht="14.4" x14ac:dyDescent="0.25">
      <c r="A51" s="41">
        <v>25</v>
      </c>
      <c r="B51" s="45">
        <f>60/0.75</f>
        <v>80</v>
      </c>
      <c r="C51" s="43">
        <v>60</v>
      </c>
      <c r="D51" s="40">
        <f>370*2.67</f>
        <v>987.9</v>
      </c>
      <c r="E51" s="40">
        <f>370*2.67</f>
        <v>987.9</v>
      </c>
      <c r="F51" s="40">
        <f>370*0.5</f>
        <v>185</v>
      </c>
      <c r="G51" s="42">
        <v>0.62</v>
      </c>
      <c r="H51" s="40">
        <v>0</v>
      </c>
      <c r="I51" s="40">
        <v>0</v>
      </c>
      <c r="J51" s="40">
        <v>0</v>
      </c>
      <c r="K51" s="11">
        <v>0</v>
      </c>
      <c r="L51" s="21">
        <v>370</v>
      </c>
      <c r="M51" s="26">
        <v>4.87</v>
      </c>
      <c r="N51" s="12"/>
    </row>
    <row r="52" spans="1:14" ht="15.75" customHeight="1" x14ac:dyDescent="0.25">
      <c r="A52" s="33">
        <v>0</v>
      </c>
      <c r="B52" s="44">
        <v>0</v>
      </c>
      <c r="C52" s="23">
        <v>0</v>
      </c>
      <c r="D52" s="40">
        <f>385*2.39</f>
        <v>920.15000000000009</v>
      </c>
      <c r="E52" s="40">
        <f>385*2.29</f>
        <v>881.65</v>
      </c>
      <c r="F52" s="40">
        <f>385*0.46</f>
        <v>177.1</v>
      </c>
      <c r="G52" s="44">
        <f>0.006*L52</f>
        <v>2.31</v>
      </c>
      <c r="H52" s="40">
        <v>0</v>
      </c>
      <c r="I52" s="40">
        <v>0</v>
      </c>
      <c r="J52" s="40">
        <v>0</v>
      </c>
      <c r="K52" s="11">
        <v>0</v>
      </c>
      <c r="L52" s="10">
        <v>385</v>
      </c>
      <c r="M52" s="25">
        <v>4.45</v>
      </c>
    </row>
    <row r="53" spans="1:14" ht="15.75" customHeight="1" x14ac:dyDescent="0.25">
      <c r="A53" s="33">
        <v>39</v>
      </c>
      <c r="B53" s="44">
        <f>60/0.75</f>
        <v>80</v>
      </c>
      <c r="C53" s="23">
        <v>60</v>
      </c>
      <c r="D53" s="40">
        <f>385*2.37</f>
        <v>912.45</v>
      </c>
      <c r="E53" s="40">
        <f>385*2.27</f>
        <v>873.95</v>
      </c>
      <c r="F53" s="40">
        <f>385*0.46</f>
        <v>177.1</v>
      </c>
      <c r="G53" s="44">
        <f>0.01*L53</f>
        <v>3.85</v>
      </c>
      <c r="H53" s="40">
        <v>0</v>
      </c>
      <c r="I53" s="40">
        <v>0</v>
      </c>
      <c r="J53" s="40">
        <v>0</v>
      </c>
      <c r="K53" s="11">
        <v>0</v>
      </c>
      <c r="L53" s="10">
        <v>385</v>
      </c>
      <c r="M53" s="25">
        <v>6.24</v>
      </c>
      <c r="N53" s="16"/>
    </row>
    <row r="54" spans="1:14" ht="15.75" customHeight="1" x14ac:dyDescent="0.25">
      <c r="A54" s="33">
        <v>78</v>
      </c>
      <c r="B54" s="44">
        <f>60/0.75</f>
        <v>80</v>
      </c>
      <c r="C54" s="23">
        <v>60</v>
      </c>
      <c r="D54" s="40">
        <f>385*2.35</f>
        <v>904.75</v>
      </c>
      <c r="E54" s="40">
        <f>385*2.26</f>
        <v>870.09999999999991</v>
      </c>
      <c r="F54" s="40">
        <f>385*0.46</f>
        <v>177.1</v>
      </c>
      <c r="G54" s="44">
        <f>0.012*L54</f>
        <v>4.62</v>
      </c>
      <c r="H54" s="40">
        <v>0</v>
      </c>
      <c r="I54" s="40">
        <v>0</v>
      </c>
      <c r="J54" s="40">
        <v>0</v>
      </c>
      <c r="K54" s="11">
        <v>0</v>
      </c>
      <c r="L54" s="10">
        <v>385</v>
      </c>
      <c r="M54" s="25">
        <v>8.23</v>
      </c>
    </row>
    <row r="55" spans="1:14" ht="15.75" customHeight="1" x14ac:dyDescent="0.25">
      <c r="A55" s="33">
        <v>0</v>
      </c>
      <c r="B55" s="44">
        <f>60/0.75</f>
        <v>80</v>
      </c>
      <c r="C55" s="23">
        <v>60</v>
      </c>
      <c r="D55" s="40">
        <f>450*2.03</f>
        <v>913.49999999999989</v>
      </c>
      <c r="E55" s="40">
        <f>450*1.95</f>
        <v>877.5</v>
      </c>
      <c r="F55" s="40">
        <f>450*0.36</f>
        <v>162</v>
      </c>
      <c r="G55" s="44">
        <f>0.011*L55</f>
        <v>4.9499999999999993</v>
      </c>
      <c r="H55" s="40">
        <v>0</v>
      </c>
      <c r="I55" s="40">
        <v>0</v>
      </c>
      <c r="J55" s="40">
        <v>0</v>
      </c>
      <c r="K55" s="11">
        <v>0</v>
      </c>
      <c r="L55" s="10">
        <v>450</v>
      </c>
      <c r="M55" s="25">
        <v>6.3</v>
      </c>
    </row>
    <row r="56" spans="1:14" ht="15.75" customHeight="1" x14ac:dyDescent="0.25">
      <c r="A56" s="33">
        <v>39</v>
      </c>
      <c r="B56" s="44">
        <f>60/0.75</f>
        <v>80</v>
      </c>
      <c r="C56" s="23">
        <v>60</v>
      </c>
      <c r="D56" s="40">
        <f>450*2.01</f>
        <v>904.49999999999989</v>
      </c>
      <c r="E56" s="40">
        <f>450*1.93</f>
        <v>868.5</v>
      </c>
      <c r="F56" s="40">
        <v>162</v>
      </c>
      <c r="G56" s="44">
        <f>0.013*L56</f>
        <v>5.85</v>
      </c>
      <c r="H56" s="40">
        <v>0</v>
      </c>
      <c r="I56" s="40">
        <v>0</v>
      </c>
      <c r="J56" s="40">
        <v>0</v>
      </c>
      <c r="K56" s="11">
        <v>0</v>
      </c>
      <c r="L56" s="10">
        <v>450</v>
      </c>
      <c r="M56" s="25">
        <v>8.35</v>
      </c>
    </row>
    <row r="57" spans="1:14" ht="15.75" customHeight="1" x14ac:dyDescent="0.25">
      <c r="A57" s="33">
        <v>78</v>
      </c>
      <c r="B57" s="44">
        <f>60/0.75</f>
        <v>80</v>
      </c>
      <c r="C57" s="23">
        <v>60</v>
      </c>
      <c r="D57" s="40">
        <f>450*2</f>
        <v>900</v>
      </c>
      <c r="E57" s="40">
        <f>450*1.92</f>
        <v>864</v>
      </c>
      <c r="F57" s="40">
        <v>162</v>
      </c>
      <c r="G57" s="44">
        <f>0.015*L57</f>
        <v>6.75</v>
      </c>
      <c r="H57" s="40">
        <v>0</v>
      </c>
      <c r="I57" s="40">
        <v>0</v>
      </c>
      <c r="J57" s="40">
        <v>0</v>
      </c>
      <c r="K57" s="11">
        <v>0</v>
      </c>
      <c r="L57" s="10">
        <v>450</v>
      </c>
      <c r="M57" s="25">
        <v>9.57</v>
      </c>
    </row>
    <row r="58" spans="1:14" ht="15.75" customHeight="1" x14ac:dyDescent="0.3">
      <c r="A58" s="43">
        <v>0</v>
      </c>
      <c r="B58" s="42">
        <v>0</v>
      </c>
      <c r="C58" s="42">
        <v>0</v>
      </c>
      <c r="D58" s="42">
        <v>851</v>
      </c>
      <c r="E58" s="52">
        <v>877</v>
      </c>
      <c r="F58" s="40">
        <v>156</v>
      </c>
      <c r="G58" s="40">
        <f>0.01*468</f>
        <v>4.68</v>
      </c>
      <c r="H58" s="40">
        <v>52</v>
      </c>
      <c r="I58" s="40">
        <v>0</v>
      </c>
      <c r="J58" s="40">
        <v>0</v>
      </c>
      <c r="K58" s="17">
        <v>0</v>
      </c>
      <c r="L58" s="17">
        <v>468</v>
      </c>
      <c r="M58" s="18">
        <v>8.3800000000000008</v>
      </c>
    </row>
    <row r="59" spans="1:14" ht="15.75" customHeight="1" x14ac:dyDescent="0.3">
      <c r="A59" s="43">
        <f t="shared" ref="A59" si="5">0.0025*7850</f>
        <v>19.625</v>
      </c>
      <c r="B59" s="42">
        <f t="shared" ref="B59:B62" si="6">60/0.75</f>
        <v>80</v>
      </c>
      <c r="C59" s="42">
        <v>60</v>
      </c>
      <c r="D59" s="42">
        <v>847</v>
      </c>
      <c r="E59" s="52">
        <v>873</v>
      </c>
      <c r="F59" s="40">
        <v>156</v>
      </c>
      <c r="G59" s="40">
        <f>0.011*468</f>
        <v>5.1479999999999997</v>
      </c>
      <c r="H59" s="40">
        <v>52</v>
      </c>
      <c r="I59" s="40">
        <v>0</v>
      </c>
      <c r="J59" s="40">
        <v>0</v>
      </c>
      <c r="K59" s="17">
        <v>0</v>
      </c>
      <c r="L59" s="17">
        <v>468</v>
      </c>
      <c r="M59" s="18">
        <v>8.93</v>
      </c>
    </row>
    <row r="60" spans="1:14" ht="15.75" customHeight="1" x14ac:dyDescent="0.3">
      <c r="A60" s="43">
        <f>0.005*7850</f>
        <v>39.25</v>
      </c>
      <c r="B60" s="42">
        <f t="shared" si="6"/>
        <v>80</v>
      </c>
      <c r="C60" s="42">
        <v>60</v>
      </c>
      <c r="D60" s="42">
        <v>844</v>
      </c>
      <c r="E60" s="52">
        <v>870</v>
      </c>
      <c r="F60" s="40">
        <v>156</v>
      </c>
      <c r="G60" s="40">
        <f>0.011*468</f>
        <v>5.1479999999999997</v>
      </c>
      <c r="H60" s="40">
        <v>52</v>
      </c>
      <c r="I60" s="40">
        <v>0</v>
      </c>
      <c r="J60" s="40">
        <v>0</v>
      </c>
      <c r="K60" s="17">
        <v>0</v>
      </c>
      <c r="L60" s="17">
        <v>468</v>
      </c>
      <c r="M60" s="18">
        <v>9.9700000000000006</v>
      </c>
    </row>
    <row r="61" spans="1:14" ht="15.75" customHeight="1" x14ac:dyDescent="0.3">
      <c r="A61" s="43">
        <f>0.0075*7850</f>
        <v>58.875</v>
      </c>
      <c r="B61" s="42">
        <f t="shared" si="6"/>
        <v>80</v>
      </c>
      <c r="C61" s="42">
        <v>60</v>
      </c>
      <c r="D61" s="42">
        <v>841</v>
      </c>
      <c r="E61" s="52">
        <v>867</v>
      </c>
      <c r="F61" s="40">
        <v>156</v>
      </c>
      <c r="G61" s="40">
        <f>0.012*468</f>
        <v>5.6160000000000005</v>
      </c>
      <c r="H61" s="40">
        <v>52</v>
      </c>
      <c r="I61" s="40">
        <v>0</v>
      </c>
      <c r="J61" s="40">
        <v>0</v>
      </c>
      <c r="K61" s="17">
        <v>0</v>
      </c>
      <c r="L61" s="17">
        <v>468</v>
      </c>
      <c r="M61" s="18">
        <v>10.61</v>
      </c>
    </row>
    <row r="62" spans="1:14" ht="15.75" customHeight="1" x14ac:dyDescent="0.3">
      <c r="A62" s="43">
        <f>0.01*7850</f>
        <v>78.5</v>
      </c>
      <c r="B62" s="42">
        <f t="shared" si="6"/>
        <v>80</v>
      </c>
      <c r="C62" s="42">
        <v>60</v>
      </c>
      <c r="D62" s="42">
        <v>838</v>
      </c>
      <c r="E62" s="52">
        <v>863</v>
      </c>
      <c r="F62" s="40">
        <v>156</v>
      </c>
      <c r="G62" s="40">
        <f>0.012*468</f>
        <v>5.6160000000000005</v>
      </c>
      <c r="H62" s="40">
        <v>52</v>
      </c>
      <c r="I62" s="40">
        <v>0</v>
      </c>
      <c r="J62" s="40">
        <v>0</v>
      </c>
      <c r="K62" s="17">
        <v>0</v>
      </c>
      <c r="L62" s="17">
        <v>468</v>
      </c>
      <c r="M62" s="18">
        <v>12.58</v>
      </c>
    </row>
    <row r="63" spans="1:14" ht="15.75" customHeight="1" x14ac:dyDescent="0.25">
      <c r="A63" s="33">
        <v>0</v>
      </c>
      <c r="B63" s="44">
        <v>0</v>
      </c>
      <c r="C63" s="23">
        <v>0</v>
      </c>
      <c r="D63" s="40">
        <f>460*1.69</f>
        <v>777.4</v>
      </c>
      <c r="E63" s="40">
        <f>460*2.06</f>
        <v>947.6</v>
      </c>
      <c r="F63" s="40">
        <f>460*0.37</f>
        <v>170.2</v>
      </c>
      <c r="G63" s="44">
        <v>6.6</v>
      </c>
      <c r="H63" s="40">
        <v>0</v>
      </c>
      <c r="I63" s="40">
        <v>0</v>
      </c>
      <c r="J63" s="40">
        <v>0</v>
      </c>
      <c r="K63" s="11">
        <v>0</v>
      </c>
      <c r="L63" s="10">
        <v>460</v>
      </c>
      <c r="M63" s="25">
        <v>4.97</v>
      </c>
    </row>
    <row r="64" spans="1:14" ht="15.75" customHeight="1" x14ac:dyDescent="0.25">
      <c r="A64" s="33">
        <v>20</v>
      </c>
      <c r="B64" s="44">
        <v>63.64</v>
      </c>
      <c r="C64" s="23">
        <v>35</v>
      </c>
      <c r="D64" s="40">
        <f>460*1.69</f>
        <v>777.4</v>
      </c>
      <c r="E64" s="40">
        <f>460*2.06</f>
        <v>947.6</v>
      </c>
      <c r="F64" s="40">
        <f>460*0.37</f>
        <v>170.2</v>
      </c>
      <c r="G64" s="44">
        <v>6.6</v>
      </c>
      <c r="H64" s="40">
        <v>0</v>
      </c>
      <c r="I64" s="40">
        <v>0</v>
      </c>
      <c r="J64" s="40">
        <v>0</v>
      </c>
      <c r="K64" s="11">
        <v>0</v>
      </c>
      <c r="L64" s="10">
        <v>460</v>
      </c>
      <c r="M64" s="25">
        <v>6.5</v>
      </c>
    </row>
    <row r="65" spans="1:14" ht="15.75" customHeight="1" x14ac:dyDescent="0.25">
      <c r="A65" s="33">
        <v>40</v>
      </c>
      <c r="B65" s="44">
        <v>63.64</v>
      </c>
      <c r="C65" s="23">
        <v>35</v>
      </c>
      <c r="D65" s="40">
        <f>460*1.69</f>
        <v>777.4</v>
      </c>
      <c r="E65" s="40">
        <f>460*2.06</f>
        <v>947.6</v>
      </c>
      <c r="F65" s="40">
        <f>460*0.37</f>
        <v>170.2</v>
      </c>
      <c r="G65" s="44">
        <v>6.6</v>
      </c>
      <c r="H65" s="40">
        <v>0</v>
      </c>
      <c r="I65" s="40">
        <v>0</v>
      </c>
      <c r="J65" s="40">
        <v>0</v>
      </c>
      <c r="K65" s="11">
        <v>0</v>
      </c>
      <c r="L65" s="10">
        <v>460</v>
      </c>
      <c r="M65" s="25">
        <v>6.58</v>
      </c>
    </row>
    <row r="66" spans="1:14" ht="15.75" customHeight="1" x14ac:dyDescent="0.25">
      <c r="A66" s="33">
        <v>60</v>
      </c>
      <c r="B66" s="44">
        <v>63.64</v>
      </c>
      <c r="C66" s="23">
        <v>35</v>
      </c>
      <c r="D66" s="40">
        <f>460*1.69</f>
        <v>777.4</v>
      </c>
      <c r="E66" s="40">
        <f>460*2.06</f>
        <v>947.6</v>
      </c>
      <c r="F66" s="40">
        <f>460*0.37</f>
        <v>170.2</v>
      </c>
      <c r="G66" s="44">
        <v>6.6</v>
      </c>
      <c r="H66" s="40">
        <v>0</v>
      </c>
      <c r="I66" s="40">
        <v>0</v>
      </c>
      <c r="J66" s="40">
        <v>0</v>
      </c>
      <c r="K66" s="11">
        <v>0</v>
      </c>
      <c r="L66" s="10">
        <v>460</v>
      </c>
      <c r="M66" s="25">
        <v>6.4</v>
      </c>
    </row>
    <row r="67" spans="1:14" ht="15.75" customHeight="1" x14ac:dyDescent="0.25">
      <c r="A67" s="33">
        <v>80</v>
      </c>
      <c r="B67" s="44">
        <v>63.64</v>
      </c>
      <c r="C67" s="23">
        <v>35</v>
      </c>
      <c r="D67" s="40">
        <f>460*1.69</f>
        <v>777.4</v>
      </c>
      <c r="E67" s="40">
        <f>460*2.06</f>
        <v>947.6</v>
      </c>
      <c r="F67" s="40">
        <f>460*0.37</f>
        <v>170.2</v>
      </c>
      <c r="G67" s="44">
        <v>6.6</v>
      </c>
      <c r="H67" s="40">
        <v>0</v>
      </c>
      <c r="I67" s="40">
        <v>0</v>
      </c>
      <c r="J67" s="40">
        <v>0</v>
      </c>
      <c r="K67" s="11">
        <v>0</v>
      </c>
      <c r="L67" s="10">
        <v>460</v>
      </c>
      <c r="M67" s="25">
        <v>6.08</v>
      </c>
    </row>
    <row r="68" spans="1:14" ht="15.75" customHeight="1" x14ac:dyDescent="0.25">
      <c r="A68" s="41">
        <v>39</v>
      </c>
      <c r="B68" s="42">
        <v>55</v>
      </c>
      <c r="C68" s="40">
        <v>27.5</v>
      </c>
      <c r="D68" s="40">
        <f t="shared" ref="D68:D73" si="7">397*1.42</f>
        <v>563.74</v>
      </c>
      <c r="E68" s="40">
        <f t="shared" ref="E68:E73" si="8">397*3</f>
        <v>1191</v>
      </c>
      <c r="F68" s="40">
        <f t="shared" ref="F68:F73" si="9">397*0.49</f>
        <v>194.53</v>
      </c>
      <c r="G68" s="42">
        <v>0</v>
      </c>
      <c r="H68" s="40">
        <v>0</v>
      </c>
      <c r="I68" s="40">
        <v>0</v>
      </c>
      <c r="J68" s="40">
        <v>0</v>
      </c>
      <c r="K68" s="11">
        <v>0</v>
      </c>
      <c r="L68" s="21">
        <v>397</v>
      </c>
      <c r="M68" s="26">
        <v>1.47</v>
      </c>
      <c r="N68" s="13"/>
    </row>
    <row r="69" spans="1:14" ht="15.75" customHeight="1" x14ac:dyDescent="0.25">
      <c r="A69" s="41">
        <v>58</v>
      </c>
      <c r="B69" s="42">
        <v>55</v>
      </c>
      <c r="C69" s="40">
        <v>27.5</v>
      </c>
      <c r="D69" s="40">
        <f t="shared" si="7"/>
        <v>563.74</v>
      </c>
      <c r="E69" s="40">
        <f t="shared" si="8"/>
        <v>1191</v>
      </c>
      <c r="F69" s="40">
        <f t="shared" si="9"/>
        <v>194.53</v>
      </c>
      <c r="G69" s="42">
        <v>0</v>
      </c>
      <c r="H69" s="40">
        <v>0</v>
      </c>
      <c r="I69" s="40">
        <v>0</v>
      </c>
      <c r="J69" s="40">
        <v>0</v>
      </c>
      <c r="K69" s="11">
        <v>0</v>
      </c>
      <c r="L69" s="21">
        <v>397</v>
      </c>
      <c r="M69" s="26">
        <v>1.43</v>
      </c>
      <c r="N69" s="13"/>
    </row>
    <row r="70" spans="1:14" ht="15.75" customHeight="1" x14ac:dyDescent="0.25">
      <c r="A70" s="41">
        <v>78</v>
      </c>
      <c r="B70" s="42">
        <v>55</v>
      </c>
      <c r="C70" s="40">
        <v>27.5</v>
      </c>
      <c r="D70" s="40">
        <f t="shared" si="7"/>
        <v>563.74</v>
      </c>
      <c r="E70" s="40">
        <f t="shared" si="8"/>
        <v>1191</v>
      </c>
      <c r="F70" s="40">
        <f t="shared" si="9"/>
        <v>194.53</v>
      </c>
      <c r="G70" s="42">
        <v>0</v>
      </c>
      <c r="H70" s="40">
        <v>0</v>
      </c>
      <c r="I70" s="40">
        <v>0</v>
      </c>
      <c r="J70" s="40">
        <v>0</v>
      </c>
      <c r="K70" s="11">
        <v>0</v>
      </c>
      <c r="L70" s="21">
        <v>397</v>
      </c>
      <c r="M70" s="26">
        <v>1.83</v>
      </c>
      <c r="N70" s="13"/>
    </row>
    <row r="71" spans="1:14" ht="15.75" customHeight="1" x14ac:dyDescent="0.25">
      <c r="A71" s="41">
        <v>39</v>
      </c>
      <c r="B71" s="42">
        <v>82</v>
      </c>
      <c r="C71" s="40">
        <v>41</v>
      </c>
      <c r="D71" s="40">
        <f t="shared" si="7"/>
        <v>563.74</v>
      </c>
      <c r="E71" s="40">
        <f t="shared" si="8"/>
        <v>1191</v>
      </c>
      <c r="F71" s="40">
        <f t="shared" si="9"/>
        <v>194.53</v>
      </c>
      <c r="G71" s="42">
        <v>0</v>
      </c>
      <c r="H71" s="40">
        <v>0</v>
      </c>
      <c r="I71" s="40">
        <v>0</v>
      </c>
      <c r="J71" s="40">
        <v>0</v>
      </c>
      <c r="K71" s="11">
        <v>0</v>
      </c>
      <c r="L71" s="21">
        <v>397</v>
      </c>
      <c r="M71" s="26">
        <v>1.79</v>
      </c>
      <c r="N71" s="13"/>
    </row>
    <row r="72" spans="1:14" ht="15.75" customHeight="1" x14ac:dyDescent="0.25">
      <c r="A72" s="41">
        <v>58</v>
      </c>
      <c r="B72" s="42">
        <v>82</v>
      </c>
      <c r="C72" s="40">
        <v>41</v>
      </c>
      <c r="D72" s="40">
        <f t="shared" si="7"/>
        <v>563.74</v>
      </c>
      <c r="E72" s="40">
        <f t="shared" si="8"/>
        <v>1191</v>
      </c>
      <c r="F72" s="40">
        <f t="shared" si="9"/>
        <v>194.53</v>
      </c>
      <c r="G72" s="42">
        <v>0</v>
      </c>
      <c r="H72" s="40">
        <v>0</v>
      </c>
      <c r="I72" s="40">
        <v>0</v>
      </c>
      <c r="J72" s="40">
        <v>0</v>
      </c>
      <c r="K72" s="11">
        <v>0</v>
      </c>
      <c r="L72" s="21">
        <v>397</v>
      </c>
      <c r="M72" s="26">
        <v>1.62</v>
      </c>
      <c r="N72" s="13"/>
    </row>
    <row r="73" spans="1:14" ht="14.4" x14ac:dyDescent="0.25">
      <c r="A73" s="41">
        <v>78</v>
      </c>
      <c r="B73" s="42">
        <v>82</v>
      </c>
      <c r="C73" s="40">
        <v>41</v>
      </c>
      <c r="D73" s="40">
        <f t="shared" si="7"/>
        <v>563.74</v>
      </c>
      <c r="E73" s="40">
        <f t="shared" si="8"/>
        <v>1191</v>
      </c>
      <c r="F73" s="40">
        <f t="shared" si="9"/>
        <v>194.53</v>
      </c>
      <c r="G73" s="42">
        <v>0</v>
      </c>
      <c r="H73" s="40">
        <v>0</v>
      </c>
      <c r="I73" s="40">
        <v>0</v>
      </c>
      <c r="J73" s="40">
        <v>0</v>
      </c>
      <c r="K73" s="11">
        <v>0</v>
      </c>
      <c r="L73" s="21">
        <v>397</v>
      </c>
      <c r="M73" s="26">
        <v>2.2999999999999998</v>
      </c>
      <c r="N73" s="13"/>
    </row>
    <row r="74" spans="1:14" ht="15.75" customHeight="1" x14ac:dyDescent="0.25">
      <c r="A74" s="41">
        <v>39</v>
      </c>
      <c r="B74" s="42">
        <v>55</v>
      </c>
      <c r="C74" s="40">
        <v>27.5</v>
      </c>
      <c r="D74" s="40">
        <f>517*0.95</f>
        <v>491.15</v>
      </c>
      <c r="E74" s="40">
        <f>517*2.17</f>
        <v>1121.8899999999999</v>
      </c>
      <c r="F74" s="40">
        <f>517*0.38</f>
        <v>196.46</v>
      </c>
      <c r="G74" s="42">
        <v>9.08</v>
      </c>
      <c r="H74" s="40">
        <v>0</v>
      </c>
      <c r="I74" s="40">
        <v>0</v>
      </c>
      <c r="J74" s="40">
        <v>0</v>
      </c>
      <c r="K74" s="11">
        <v>0</v>
      </c>
      <c r="L74" s="21">
        <v>517</v>
      </c>
      <c r="M74" s="26">
        <v>1.45</v>
      </c>
      <c r="N74" s="13"/>
    </row>
    <row r="75" spans="1:14" ht="15.75" customHeight="1" x14ac:dyDescent="0.25">
      <c r="A75" s="41">
        <v>58</v>
      </c>
      <c r="B75" s="42">
        <v>55</v>
      </c>
      <c r="C75" s="40">
        <v>27.5</v>
      </c>
      <c r="D75" s="40">
        <f>517*0.95</f>
        <v>491.15</v>
      </c>
      <c r="E75" s="40">
        <f>517*2.17</f>
        <v>1121.8899999999999</v>
      </c>
      <c r="F75" s="40">
        <f>517*0.38</f>
        <v>196.46</v>
      </c>
      <c r="G75" s="42">
        <v>9.08</v>
      </c>
      <c r="H75" s="40">
        <v>0</v>
      </c>
      <c r="I75" s="40">
        <v>0</v>
      </c>
      <c r="J75" s="40">
        <v>0</v>
      </c>
      <c r="K75" s="11">
        <v>0</v>
      </c>
      <c r="L75" s="21">
        <v>517</v>
      </c>
      <c r="M75" s="26">
        <v>1.78</v>
      </c>
      <c r="N75" s="13"/>
    </row>
    <row r="76" spans="1:14" ht="15.75" customHeight="1" x14ac:dyDescent="0.25">
      <c r="A76" s="41">
        <v>78</v>
      </c>
      <c r="B76" s="42">
        <v>55</v>
      </c>
      <c r="C76" s="40">
        <v>27.5</v>
      </c>
      <c r="D76" s="40">
        <f>517*0.95</f>
        <v>491.15</v>
      </c>
      <c r="E76" s="40">
        <f>517*2.17</f>
        <v>1121.8899999999999</v>
      </c>
      <c r="F76" s="40">
        <f>517*0.38</f>
        <v>196.46</v>
      </c>
      <c r="G76" s="42">
        <v>9.08</v>
      </c>
      <c r="H76" s="40">
        <v>0</v>
      </c>
      <c r="I76" s="40">
        <v>0</v>
      </c>
      <c r="J76" s="40">
        <v>0</v>
      </c>
      <c r="K76" s="11">
        <v>0</v>
      </c>
      <c r="L76" s="21">
        <v>517</v>
      </c>
      <c r="M76" s="26">
        <v>2.5499999999999998</v>
      </c>
      <c r="N76" s="13"/>
    </row>
    <row r="77" spans="1:14" ht="15.75" customHeight="1" x14ac:dyDescent="0.25">
      <c r="A77" s="41">
        <f>79/2</f>
        <v>39.5</v>
      </c>
      <c r="B77" s="42">
        <f>12/0.2</f>
        <v>60</v>
      </c>
      <c r="C77" s="40">
        <v>12</v>
      </c>
      <c r="D77" s="40">
        <f t="shared" ref="D77:D88" si="10">417*1.74</f>
        <v>725.58</v>
      </c>
      <c r="E77" s="40">
        <f t="shared" ref="E77:E88" si="11">417*2.6</f>
        <v>1084.2</v>
      </c>
      <c r="F77" s="40">
        <f t="shared" ref="F77:F88" si="12">417*0.42</f>
        <v>175.14</v>
      </c>
      <c r="G77" s="42">
        <v>4.2</v>
      </c>
      <c r="H77" s="40">
        <v>0</v>
      </c>
      <c r="I77" s="40">
        <v>0</v>
      </c>
      <c r="J77" s="40">
        <v>0</v>
      </c>
      <c r="K77" s="11">
        <v>0</v>
      </c>
      <c r="L77" s="21">
        <v>417</v>
      </c>
      <c r="M77" s="26">
        <f>3*13.704*50/(100*100*100)*1000</f>
        <v>2.0556000000000001</v>
      </c>
      <c r="N77" s="12"/>
    </row>
    <row r="78" spans="1:14" ht="15.75" customHeight="1" x14ac:dyDescent="0.25">
      <c r="A78" s="41">
        <v>79</v>
      </c>
      <c r="B78" s="42">
        <f>12/0.2</f>
        <v>60</v>
      </c>
      <c r="C78" s="40">
        <v>12</v>
      </c>
      <c r="D78" s="40">
        <f t="shared" si="10"/>
        <v>725.58</v>
      </c>
      <c r="E78" s="40">
        <f t="shared" si="11"/>
        <v>1084.2</v>
      </c>
      <c r="F78" s="40">
        <f t="shared" si="12"/>
        <v>175.14</v>
      </c>
      <c r="G78" s="42">
        <v>4.2</v>
      </c>
      <c r="H78" s="40">
        <v>0</v>
      </c>
      <c r="I78" s="40">
        <v>0</v>
      </c>
      <c r="J78" s="40">
        <v>0</v>
      </c>
      <c r="K78" s="11">
        <v>0</v>
      </c>
      <c r="L78" s="21">
        <v>417</v>
      </c>
      <c r="M78" s="26">
        <f>3*16.091*50/(100*100*100)*1000</f>
        <v>2.4136500000000001</v>
      </c>
      <c r="N78" s="12"/>
    </row>
    <row r="79" spans="1:14" ht="15.75" customHeight="1" x14ac:dyDescent="0.25">
      <c r="A79" s="41">
        <f>79*1.5</f>
        <v>118.5</v>
      </c>
      <c r="B79" s="42">
        <f>12/0.2</f>
        <v>60</v>
      </c>
      <c r="C79" s="40">
        <v>12</v>
      </c>
      <c r="D79" s="40">
        <f t="shared" si="10"/>
        <v>725.58</v>
      </c>
      <c r="E79" s="40">
        <f t="shared" si="11"/>
        <v>1084.2</v>
      </c>
      <c r="F79" s="40">
        <f t="shared" si="12"/>
        <v>175.14</v>
      </c>
      <c r="G79" s="42">
        <v>4.2</v>
      </c>
      <c r="H79" s="40">
        <v>0</v>
      </c>
      <c r="I79" s="40">
        <v>0</v>
      </c>
      <c r="J79" s="40">
        <v>0</v>
      </c>
      <c r="K79" s="11">
        <v>0</v>
      </c>
      <c r="L79" s="21">
        <v>417</v>
      </c>
      <c r="M79" s="26">
        <f>3*19.501*50/(100*100*100)*1000</f>
        <v>2.9251499999999999</v>
      </c>
      <c r="N79" s="12"/>
    </row>
    <row r="80" spans="1:14" ht="15.75" customHeight="1" x14ac:dyDescent="0.25">
      <c r="A80" s="41">
        <f>79*2</f>
        <v>158</v>
      </c>
      <c r="B80" s="42">
        <f>12/0.2</f>
        <v>60</v>
      </c>
      <c r="C80" s="40">
        <v>12</v>
      </c>
      <c r="D80" s="40">
        <f t="shared" si="10"/>
        <v>725.58</v>
      </c>
      <c r="E80" s="40">
        <f t="shared" si="11"/>
        <v>1084.2</v>
      </c>
      <c r="F80" s="40">
        <f t="shared" si="12"/>
        <v>175.14</v>
      </c>
      <c r="G80" s="42">
        <v>4.2</v>
      </c>
      <c r="H80" s="40">
        <v>0</v>
      </c>
      <c r="I80" s="40">
        <v>0</v>
      </c>
      <c r="J80" s="40">
        <v>0</v>
      </c>
      <c r="K80" s="11">
        <v>0</v>
      </c>
      <c r="L80" s="21">
        <v>417</v>
      </c>
      <c r="M80" s="26">
        <f>3*24.201*50/(100*100*100)*1000</f>
        <v>3.6301500000000004</v>
      </c>
      <c r="N80" s="12"/>
    </row>
    <row r="81" spans="1:14" ht="15.75" customHeight="1" x14ac:dyDescent="0.25">
      <c r="A81" s="41">
        <f>79/2</f>
        <v>39.5</v>
      </c>
      <c r="B81" s="42">
        <f>30/0.5</f>
        <v>60</v>
      </c>
      <c r="C81" s="40">
        <v>30</v>
      </c>
      <c r="D81" s="40">
        <f t="shared" si="10"/>
        <v>725.58</v>
      </c>
      <c r="E81" s="40">
        <f t="shared" si="11"/>
        <v>1084.2</v>
      </c>
      <c r="F81" s="40">
        <f t="shared" si="12"/>
        <v>175.14</v>
      </c>
      <c r="G81" s="42">
        <v>4.2</v>
      </c>
      <c r="H81" s="40">
        <v>0</v>
      </c>
      <c r="I81" s="40">
        <v>0</v>
      </c>
      <c r="J81" s="40">
        <v>0</v>
      </c>
      <c r="K81" s="11">
        <v>0</v>
      </c>
      <c r="L81" s="21">
        <v>417</v>
      </c>
      <c r="M81" s="26">
        <f>3*14.267*50/(100*100*100)*1000</f>
        <v>2.14005</v>
      </c>
      <c r="N81" s="12"/>
    </row>
    <row r="82" spans="1:14" ht="15.75" customHeight="1" x14ac:dyDescent="0.25">
      <c r="A82" s="41">
        <v>79</v>
      </c>
      <c r="B82" s="42">
        <f>30/0.5</f>
        <v>60</v>
      </c>
      <c r="C82" s="40">
        <v>30</v>
      </c>
      <c r="D82" s="40">
        <f t="shared" si="10"/>
        <v>725.58</v>
      </c>
      <c r="E82" s="40">
        <f t="shared" si="11"/>
        <v>1084.2</v>
      </c>
      <c r="F82" s="40">
        <f t="shared" si="12"/>
        <v>175.14</v>
      </c>
      <c r="G82" s="42">
        <v>4.2</v>
      </c>
      <c r="H82" s="40">
        <v>0</v>
      </c>
      <c r="I82" s="40">
        <v>0</v>
      </c>
      <c r="J82" s="40">
        <v>0</v>
      </c>
      <c r="K82" s="11">
        <v>0</v>
      </c>
      <c r="L82" s="21">
        <v>417</v>
      </c>
      <c r="M82" s="26">
        <f>3*29.386*50/(100*100*100)*1000</f>
        <v>4.4078999999999997</v>
      </c>
      <c r="N82" s="12"/>
    </row>
    <row r="83" spans="1:14" ht="15.75" customHeight="1" x14ac:dyDescent="0.25">
      <c r="A83" s="41">
        <f>79*1.5</f>
        <v>118.5</v>
      </c>
      <c r="B83" s="42">
        <f>30/0.5</f>
        <v>60</v>
      </c>
      <c r="C83" s="40">
        <v>30</v>
      </c>
      <c r="D83" s="40">
        <f t="shared" si="10"/>
        <v>725.58</v>
      </c>
      <c r="E83" s="40">
        <f t="shared" si="11"/>
        <v>1084.2</v>
      </c>
      <c r="F83" s="40">
        <f t="shared" si="12"/>
        <v>175.14</v>
      </c>
      <c r="G83" s="42">
        <v>4.2</v>
      </c>
      <c r="H83" s="40">
        <v>0</v>
      </c>
      <c r="I83" s="40">
        <v>0</v>
      </c>
      <c r="J83" s="40">
        <v>0</v>
      </c>
      <c r="K83" s="11">
        <v>0</v>
      </c>
      <c r="L83" s="21">
        <v>417</v>
      </c>
      <c r="M83" s="26">
        <f>3*33.306*50/(100*100*100)*1000</f>
        <v>4.9958999999999989</v>
      </c>
      <c r="N83" s="12"/>
    </row>
    <row r="84" spans="1:14" ht="15.75" customHeight="1" x14ac:dyDescent="0.25">
      <c r="A84" s="41">
        <f>79*2</f>
        <v>158</v>
      </c>
      <c r="B84" s="42">
        <f>30/0.5</f>
        <v>60</v>
      </c>
      <c r="C84" s="40">
        <v>30</v>
      </c>
      <c r="D84" s="40">
        <f t="shared" si="10"/>
        <v>725.58</v>
      </c>
      <c r="E84" s="40">
        <f t="shared" si="11"/>
        <v>1084.2</v>
      </c>
      <c r="F84" s="40">
        <f t="shared" si="12"/>
        <v>175.14</v>
      </c>
      <c r="G84" s="42">
        <v>4.2</v>
      </c>
      <c r="H84" s="40">
        <v>0</v>
      </c>
      <c r="I84" s="40">
        <v>0</v>
      </c>
      <c r="J84" s="40">
        <v>0</v>
      </c>
      <c r="K84" s="11">
        <v>0</v>
      </c>
      <c r="L84" s="21">
        <v>417</v>
      </c>
      <c r="M84" s="26">
        <f>3*36.805*50/(100*100*100)*1000</f>
        <v>5.5207499999999996</v>
      </c>
      <c r="N84" s="12"/>
    </row>
    <row r="85" spans="1:14" ht="15.75" customHeight="1" x14ac:dyDescent="0.25">
      <c r="A85" s="41">
        <f>79/2</f>
        <v>39.5</v>
      </c>
      <c r="B85" s="42">
        <f>45/0.75</f>
        <v>60</v>
      </c>
      <c r="C85" s="40">
        <v>45</v>
      </c>
      <c r="D85" s="40">
        <f t="shared" si="10"/>
        <v>725.58</v>
      </c>
      <c r="E85" s="40">
        <f t="shared" si="11"/>
        <v>1084.2</v>
      </c>
      <c r="F85" s="40">
        <f t="shared" si="12"/>
        <v>175.14</v>
      </c>
      <c r="G85" s="42">
        <v>4.2</v>
      </c>
      <c r="H85" s="40">
        <v>0</v>
      </c>
      <c r="I85" s="40">
        <v>0</v>
      </c>
      <c r="J85" s="40">
        <v>0</v>
      </c>
      <c r="K85" s="11">
        <v>0</v>
      </c>
      <c r="L85" s="21">
        <v>417</v>
      </c>
      <c r="M85" s="26">
        <f>3*13.154*50/(100*100*100)*1000</f>
        <v>1.9731000000000003</v>
      </c>
      <c r="N85" s="12"/>
    </row>
    <row r="86" spans="1:14" ht="15.75" customHeight="1" x14ac:dyDescent="0.25">
      <c r="A86" s="41">
        <v>79</v>
      </c>
      <c r="B86" s="42">
        <f>45/0.75</f>
        <v>60</v>
      </c>
      <c r="C86" s="40">
        <v>45</v>
      </c>
      <c r="D86" s="40">
        <f t="shared" si="10"/>
        <v>725.58</v>
      </c>
      <c r="E86" s="40">
        <f t="shared" si="11"/>
        <v>1084.2</v>
      </c>
      <c r="F86" s="40">
        <f t="shared" si="12"/>
        <v>175.14</v>
      </c>
      <c r="G86" s="42">
        <v>4.2</v>
      </c>
      <c r="H86" s="40">
        <v>0</v>
      </c>
      <c r="I86" s="40">
        <v>0</v>
      </c>
      <c r="J86" s="40">
        <v>0</v>
      </c>
      <c r="K86" s="11">
        <v>0</v>
      </c>
      <c r="L86" s="21">
        <v>417</v>
      </c>
      <c r="M86" s="26">
        <f>3*14.267*50/(100*100*100)*1000</f>
        <v>2.14005</v>
      </c>
      <c r="N86" s="12"/>
    </row>
    <row r="87" spans="1:14" ht="15.75" customHeight="1" x14ac:dyDescent="0.25">
      <c r="A87" s="41">
        <f>79*1.5</f>
        <v>118.5</v>
      </c>
      <c r="B87" s="42">
        <f>45/0.75</f>
        <v>60</v>
      </c>
      <c r="C87" s="40">
        <v>45</v>
      </c>
      <c r="D87" s="40">
        <f t="shared" si="10"/>
        <v>725.58</v>
      </c>
      <c r="E87" s="40">
        <f t="shared" si="11"/>
        <v>1084.2</v>
      </c>
      <c r="F87" s="40">
        <f t="shared" si="12"/>
        <v>175.14</v>
      </c>
      <c r="G87" s="42">
        <v>4.2</v>
      </c>
      <c r="H87" s="40">
        <v>0</v>
      </c>
      <c r="I87" s="40">
        <v>0</v>
      </c>
      <c r="J87" s="40">
        <v>0</v>
      </c>
      <c r="K87" s="11">
        <v>0</v>
      </c>
      <c r="L87" s="21">
        <v>417</v>
      </c>
      <c r="M87" s="26">
        <f>3*24.622*50/(100*100*100)*1000</f>
        <v>3.6933000000000002</v>
      </c>
      <c r="N87" s="12"/>
    </row>
    <row r="88" spans="1:14" ht="15.75" customHeight="1" x14ac:dyDescent="0.25">
      <c r="A88" s="41">
        <f>79*2</f>
        <v>158</v>
      </c>
      <c r="B88" s="42">
        <f>45/0.75</f>
        <v>60</v>
      </c>
      <c r="C88" s="40">
        <v>45</v>
      </c>
      <c r="D88" s="40">
        <f t="shared" si="10"/>
        <v>725.58</v>
      </c>
      <c r="E88" s="40">
        <f t="shared" si="11"/>
        <v>1084.2</v>
      </c>
      <c r="F88" s="40">
        <f t="shared" si="12"/>
        <v>175.14</v>
      </c>
      <c r="G88" s="42">
        <v>4.2</v>
      </c>
      <c r="H88" s="40">
        <v>0</v>
      </c>
      <c r="I88" s="40">
        <v>0</v>
      </c>
      <c r="J88" s="40">
        <v>0</v>
      </c>
      <c r="K88" s="11">
        <v>0</v>
      </c>
      <c r="L88" s="21">
        <v>417</v>
      </c>
      <c r="M88" s="26">
        <f>3*29.526*50/(100*100*100)*1000</f>
        <v>4.4289000000000005</v>
      </c>
      <c r="N88" s="12"/>
    </row>
    <row r="89" spans="1:14" ht="15.75" customHeight="1" x14ac:dyDescent="0.25">
      <c r="A89" s="41">
        <v>20</v>
      </c>
      <c r="B89" s="42">
        <f>60/0.75</f>
        <v>80</v>
      </c>
      <c r="C89" s="43">
        <v>60</v>
      </c>
      <c r="D89" s="40">
        <f>475*1.66</f>
        <v>788.5</v>
      </c>
      <c r="E89" s="40">
        <f>475*1.87</f>
        <v>888.25</v>
      </c>
      <c r="F89" s="40">
        <f>475*0.45</f>
        <v>213.75</v>
      </c>
      <c r="G89" s="42">
        <v>0</v>
      </c>
      <c r="H89" s="40">
        <v>0</v>
      </c>
      <c r="I89" s="40">
        <v>0</v>
      </c>
      <c r="J89" s="40">
        <v>0</v>
      </c>
      <c r="K89" s="9">
        <v>0</v>
      </c>
      <c r="L89" s="21">
        <v>475</v>
      </c>
      <c r="M89" s="26">
        <v>3.64</v>
      </c>
      <c r="N89" s="12"/>
    </row>
    <row r="90" spans="1:14" ht="15.75" customHeight="1" x14ac:dyDescent="0.25">
      <c r="A90" s="41">
        <v>40</v>
      </c>
      <c r="B90" s="42">
        <f>60/0.75</f>
        <v>80</v>
      </c>
      <c r="C90" s="40">
        <v>60</v>
      </c>
      <c r="D90" s="40">
        <f>475*1.66</f>
        <v>788.5</v>
      </c>
      <c r="E90" s="40">
        <f>475*1.87</f>
        <v>888.25</v>
      </c>
      <c r="F90" s="40">
        <f>475*0.45</f>
        <v>213.75</v>
      </c>
      <c r="G90" s="42">
        <v>0</v>
      </c>
      <c r="H90" s="40">
        <v>0</v>
      </c>
      <c r="I90" s="40">
        <v>0</v>
      </c>
      <c r="J90" s="40">
        <v>0</v>
      </c>
      <c r="K90" s="9">
        <v>0</v>
      </c>
      <c r="L90" s="21">
        <v>475</v>
      </c>
      <c r="M90" s="26">
        <v>4.7300000000000004</v>
      </c>
      <c r="N90" s="12"/>
    </row>
    <row r="91" spans="1:14" ht="15.75" customHeight="1" x14ac:dyDescent="0.25">
      <c r="A91" s="41">
        <v>60</v>
      </c>
      <c r="B91" s="42">
        <f>60/0.75</f>
        <v>80</v>
      </c>
      <c r="C91" s="40">
        <v>60</v>
      </c>
      <c r="D91" s="40">
        <f>475*1.66</f>
        <v>788.5</v>
      </c>
      <c r="E91" s="40">
        <f>475*1.87</f>
        <v>888.25</v>
      </c>
      <c r="F91" s="40">
        <f>475*0.45</f>
        <v>213.75</v>
      </c>
      <c r="G91" s="42">
        <v>0</v>
      </c>
      <c r="H91" s="40">
        <v>0</v>
      </c>
      <c r="I91" s="40">
        <v>0</v>
      </c>
      <c r="J91" s="40">
        <v>0</v>
      </c>
      <c r="K91" s="9">
        <v>0</v>
      </c>
      <c r="L91" s="21">
        <v>475</v>
      </c>
      <c r="M91" s="26">
        <v>6.18</v>
      </c>
      <c r="N91" s="12"/>
    </row>
    <row r="92" spans="1:14" ht="15.75" customHeight="1" x14ac:dyDescent="0.25">
      <c r="A92" s="33">
        <f>0.015*7810</f>
        <v>117.14999999999999</v>
      </c>
      <c r="B92" s="44">
        <f>30/0.69</f>
        <v>43.478260869565219</v>
      </c>
      <c r="C92" s="23">
        <v>30</v>
      </c>
      <c r="D92" s="40">
        <f>200*5.01</f>
        <v>1002</v>
      </c>
      <c r="E92" s="40">
        <f>200*3.99</f>
        <v>798</v>
      </c>
      <c r="F92" s="40">
        <f>200*0.44</f>
        <v>88</v>
      </c>
      <c r="G92" s="44">
        <v>7.87</v>
      </c>
      <c r="H92" s="40">
        <v>0</v>
      </c>
      <c r="I92" s="40">
        <v>0</v>
      </c>
      <c r="J92" s="40">
        <v>0</v>
      </c>
      <c r="K92" s="11">
        <v>0</v>
      </c>
      <c r="L92" s="10">
        <v>200</v>
      </c>
      <c r="M92" s="25">
        <v>5.51</v>
      </c>
    </row>
    <row r="93" spans="1:14" ht="15.75" customHeight="1" x14ac:dyDescent="0.25">
      <c r="A93" s="33">
        <f>0.025*7810</f>
        <v>195.25</v>
      </c>
      <c r="B93" s="44">
        <f>30/0.69</f>
        <v>43.478260869565219</v>
      </c>
      <c r="C93" s="23">
        <v>30</v>
      </c>
      <c r="D93" s="40">
        <v>1002</v>
      </c>
      <c r="E93" s="40">
        <v>798</v>
      </c>
      <c r="F93" s="40">
        <v>88</v>
      </c>
      <c r="G93" s="44">
        <v>9.68</v>
      </c>
      <c r="H93" s="40">
        <v>0</v>
      </c>
      <c r="I93" s="40">
        <v>0</v>
      </c>
      <c r="J93" s="40">
        <v>0</v>
      </c>
      <c r="K93" s="11">
        <v>0</v>
      </c>
      <c r="L93" s="10">
        <v>200</v>
      </c>
      <c r="M93" s="25">
        <v>5.93</v>
      </c>
    </row>
    <row r="94" spans="1:14" ht="15.75" customHeight="1" x14ac:dyDescent="0.25">
      <c r="A94" s="33">
        <f>0.04*7810</f>
        <v>312.40000000000003</v>
      </c>
      <c r="B94" s="44">
        <f>30/0.69</f>
        <v>43.478260869565219</v>
      </c>
      <c r="C94" s="23">
        <v>30</v>
      </c>
      <c r="D94" s="40">
        <f>200*5.01</f>
        <v>1002</v>
      </c>
      <c r="E94" s="40">
        <f>200*3.99</f>
        <v>798</v>
      </c>
      <c r="F94" s="40">
        <f>200*0.44</f>
        <v>88</v>
      </c>
      <c r="G94" s="44">
        <v>16.940000000000001</v>
      </c>
      <c r="H94" s="40">
        <v>0</v>
      </c>
      <c r="I94" s="40">
        <v>0</v>
      </c>
      <c r="J94" s="40">
        <v>0</v>
      </c>
      <c r="K94" s="11">
        <v>0</v>
      </c>
      <c r="L94" s="10">
        <v>200</v>
      </c>
      <c r="M94" s="25">
        <v>7.35</v>
      </c>
    </row>
    <row r="95" spans="1:14" ht="15.75" customHeight="1" x14ac:dyDescent="0.25">
      <c r="A95" s="33">
        <v>0</v>
      </c>
      <c r="B95" s="44">
        <v>0</v>
      </c>
      <c r="C95" s="23">
        <v>0</v>
      </c>
      <c r="D95" s="40">
        <f>429*1.61</f>
        <v>690.69</v>
      </c>
      <c r="E95" s="40">
        <f t="shared" ref="E95:E104" si="13">429*2.31</f>
        <v>990.99</v>
      </c>
      <c r="F95" s="40">
        <f>429*0.5</f>
        <v>214.5</v>
      </c>
      <c r="G95" s="44">
        <f>0.0005*L95</f>
        <v>0.2145</v>
      </c>
      <c r="H95" s="40">
        <v>0</v>
      </c>
      <c r="I95" s="40">
        <v>0</v>
      </c>
      <c r="J95" s="40">
        <v>0</v>
      </c>
      <c r="K95" s="11">
        <v>0</v>
      </c>
      <c r="L95" s="10">
        <v>429</v>
      </c>
      <c r="M95" s="25">
        <v>5.4</v>
      </c>
    </row>
    <row r="96" spans="1:14" ht="15.75" customHeight="1" x14ac:dyDescent="0.25">
      <c r="A96" s="38">
        <f>0.005*7850</f>
        <v>39.25</v>
      </c>
      <c r="B96" s="44">
        <f>35/0.54</f>
        <v>64.81481481481481</v>
      </c>
      <c r="C96" s="23">
        <v>35</v>
      </c>
      <c r="D96" s="40">
        <f>429*1.61</f>
        <v>690.69</v>
      </c>
      <c r="E96" s="40">
        <f t="shared" si="13"/>
        <v>990.99</v>
      </c>
      <c r="F96" s="40">
        <f>429*0.5</f>
        <v>214.5</v>
      </c>
      <c r="G96" s="44">
        <f>0.0005*L96</f>
        <v>0.2145</v>
      </c>
      <c r="H96" s="40">
        <v>0</v>
      </c>
      <c r="I96" s="40">
        <v>0</v>
      </c>
      <c r="J96" s="40">
        <v>0</v>
      </c>
      <c r="K96" s="11">
        <v>0</v>
      </c>
      <c r="L96" s="10">
        <v>429</v>
      </c>
      <c r="M96" s="25">
        <v>5.38</v>
      </c>
    </row>
    <row r="97" spans="1:13" ht="15.75" customHeight="1" x14ac:dyDescent="0.25">
      <c r="A97" s="38">
        <f>0.01*7850</f>
        <v>78.5</v>
      </c>
      <c r="B97" s="44">
        <f>35/0.54</f>
        <v>64.81481481481481</v>
      </c>
      <c r="C97" s="23">
        <v>35</v>
      </c>
      <c r="D97" s="40">
        <f>429*1.61</f>
        <v>690.69</v>
      </c>
      <c r="E97" s="40">
        <f t="shared" si="13"/>
        <v>990.99</v>
      </c>
      <c r="F97" s="40">
        <f>429*0.5</f>
        <v>214.5</v>
      </c>
      <c r="G97" s="44">
        <f>0.0005*L97</f>
        <v>0.2145</v>
      </c>
      <c r="H97" s="40">
        <v>0</v>
      </c>
      <c r="I97" s="40">
        <v>0</v>
      </c>
      <c r="J97" s="40">
        <v>0</v>
      </c>
      <c r="K97" s="11">
        <v>0</v>
      </c>
      <c r="L97" s="10">
        <v>429</v>
      </c>
      <c r="M97" s="25">
        <v>6.7</v>
      </c>
    </row>
    <row r="98" spans="1:13" ht="15.75" customHeight="1" x14ac:dyDescent="0.25">
      <c r="A98" s="38">
        <f>0.005*7850</f>
        <v>39.25</v>
      </c>
      <c r="B98" s="44">
        <f>60/0.92</f>
        <v>65.217391304347828</v>
      </c>
      <c r="C98" s="23">
        <v>60</v>
      </c>
      <c r="D98" s="40">
        <f>429*1.61</f>
        <v>690.69</v>
      </c>
      <c r="E98" s="40">
        <f t="shared" si="13"/>
        <v>990.99</v>
      </c>
      <c r="F98" s="40">
        <f>429*0.5</f>
        <v>214.5</v>
      </c>
      <c r="G98" s="44">
        <f>0.0005*L98</f>
        <v>0.2145</v>
      </c>
      <c r="H98" s="40">
        <v>0</v>
      </c>
      <c r="I98" s="40">
        <v>0</v>
      </c>
      <c r="J98" s="40">
        <v>0</v>
      </c>
      <c r="K98" s="11">
        <v>0</v>
      </c>
      <c r="L98" s="10">
        <v>429</v>
      </c>
      <c r="M98" s="25">
        <v>5.59</v>
      </c>
    </row>
    <row r="99" spans="1:13" ht="15.75" customHeight="1" x14ac:dyDescent="0.25">
      <c r="A99" s="38">
        <f>0.01*7850</f>
        <v>78.5</v>
      </c>
      <c r="B99" s="44">
        <f>60/0.92</f>
        <v>65.217391304347828</v>
      </c>
      <c r="C99" s="23">
        <v>60</v>
      </c>
      <c r="D99" s="40">
        <f>429*1.61</f>
        <v>690.69</v>
      </c>
      <c r="E99" s="40">
        <f t="shared" si="13"/>
        <v>990.99</v>
      </c>
      <c r="F99" s="40">
        <f>429*0.5</f>
        <v>214.5</v>
      </c>
      <c r="G99" s="44">
        <f>0.0005*L99</f>
        <v>0.2145</v>
      </c>
      <c r="H99" s="40">
        <v>0</v>
      </c>
      <c r="I99" s="40">
        <v>0</v>
      </c>
      <c r="J99" s="40">
        <v>0</v>
      </c>
      <c r="K99" s="11">
        <v>0</v>
      </c>
      <c r="L99" s="10">
        <v>429</v>
      </c>
      <c r="M99" s="25">
        <v>5.95</v>
      </c>
    </row>
    <row r="100" spans="1:13" ht="15.75" customHeight="1" x14ac:dyDescent="0.25">
      <c r="A100" s="33">
        <v>0</v>
      </c>
      <c r="B100" s="44">
        <v>0</v>
      </c>
      <c r="C100" s="23">
        <v>0</v>
      </c>
      <c r="D100" s="40">
        <f>429*1.71</f>
        <v>733.59</v>
      </c>
      <c r="E100" s="40">
        <f t="shared" si="13"/>
        <v>990.99</v>
      </c>
      <c r="F100" s="40">
        <f>429*0.45</f>
        <v>193.05</v>
      </c>
      <c r="G100" s="44">
        <f>0.0011*L100</f>
        <v>0.47190000000000004</v>
      </c>
      <c r="H100" s="40">
        <v>0</v>
      </c>
      <c r="I100" s="40">
        <v>0</v>
      </c>
      <c r="J100" s="40">
        <v>0</v>
      </c>
      <c r="K100" s="11">
        <v>0</v>
      </c>
      <c r="L100" s="10">
        <v>429</v>
      </c>
      <c r="M100" s="25">
        <v>6.1</v>
      </c>
    </row>
    <row r="101" spans="1:13" ht="15.75" customHeight="1" x14ac:dyDescent="0.25">
      <c r="A101" s="38">
        <f>0.005*7850</f>
        <v>39.25</v>
      </c>
      <c r="B101" s="44">
        <f>35/0.54</f>
        <v>64.81481481481481</v>
      </c>
      <c r="C101" s="23">
        <v>35</v>
      </c>
      <c r="D101" s="40">
        <f>429*1.71</f>
        <v>733.59</v>
      </c>
      <c r="E101" s="40">
        <f t="shared" si="13"/>
        <v>990.99</v>
      </c>
      <c r="F101" s="40">
        <f>429*0.45</f>
        <v>193.05</v>
      </c>
      <c r="G101" s="44">
        <f>0.0011*L101</f>
        <v>0.47190000000000004</v>
      </c>
      <c r="H101" s="40">
        <v>0</v>
      </c>
      <c r="I101" s="40">
        <v>0</v>
      </c>
      <c r="J101" s="40">
        <v>0</v>
      </c>
      <c r="K101" s="11">
        <v>0</v>
      </c>
      <c r="L101" s="10">
        <v>429</v>
      </c>
      <c r="M101" s="25">
        <v>5.6</v>
      </c>
    </row>
    <row r="102" spans="1:13" ht="15.75" customHeight="1" x14ac:dyDescent="0.25">
      <c r="A102" s="38">
        <f>0.01*7850</f>
        <v>78.5</v>
      </c>
      <c r="B102" s="44">
        <f>35/0.54</f>
        <v>64.81481481481481</v>
      </c>
      <c r="C102" s="23">
        <v>35</v>
      </c>
      <c r="D102" s="40">
        <f>429*1.71</f>
        <v>733.59</v>
      </c>
      <c r="E102" s="40">
        <f t="shared" si="13"/>
        <v>990.99</v>
      </c>
      <c r="F102" s="40">
        <f>429*0.45</f>
        <v>193.05</v>
      </c>
      <c r="G102" s="44">
        <f>0.0011*L102</f>
        <v>0.47190000000000004</v>
      </c>
      <c r="H102" s="40">
        <v>0</v>
      </c>
      <c r="I102" s="40">
        <v>0</v>
      </c>
      <c r="J102" s="40">
        <v>0</v>
      </c>
      <c r="K102" s="11">
        <v>0</v>
      </c>
      <c r="L102" s="10">
        <v>429</v>
      </c>
      <c r="M102" s="25">
        <v>5.48</v>
      </c>
    </row>
    <row r="103" spans="1:13" ht="15.75" customHeight="1" x14ac:dyDescent="0.25">
      <c r="A103" s="38">
        <f>0.005*7850</f>
        <v>39.25</v>
      </c>
      <c r="B103" s="44">
        <f>60/0.92</f>
        <v>65.217391304347828</v>
      </c>
      <c r="C103" s="23">
        <v>60</v>
      </c>
      <c r="D103" s="40">
        <f>429*1.71</f>
        <v>733.59</v>
      </c>
      <c r="E103" s="40">
        <f t="shared" si="13"/>
        <v>990.99</v>
      </c>
      <c r="F103" s="40">
        <f>429*0.45</f>
        <v>193.05</v>
      </c>
      <c r="G103" s="44">
        <f>0.0011*L103</f>
        <v>0.47190000000000004</v>
      </c>
      <c r="H103" s="40">
        <v>0</v>
      </c>
      <c r="I103" s="40">
        <v>0</v>
      </c>
      <c r="J103" s="40">
        <v>0</v>
      </c>
      <c r="K103" s="11">
        <v>0</v>
      </c>
      <c r="L103" s="10">
        <v>429</v>
      </c>
      <c r="M103" s="25">
        <v>6.04</v>
      </c>
    </row>
    <row r="104" spans="1:13" ht="15.75" customHeight="1" x14ac:dyDescent="0.25">
      <c r="A104" s="38">
        <f>0.01*7850</f>
        <v>78.5</v>
      </c>
      <c r="B104" s="44">
        <f>60/0.92</f>
        <v>65.217391304347828</v>
      </c>
      <c r="C104" s="23">
        <v>60</v>
      </c>
      <c r="D104" s="40">
        <f>429*1.71</f>
        <v>733.59</v>
      </c>
      <c r="E104" s="40">
        <f t="shared" si="13"/>
        <v>990.99</v>
      </c>
      <c r="F104" s="40">
        <f>429*0.45</f>
        <v>193.05</v>
      </c>
      <c r="G104" s="44">
        <f>0.0011*L104</f>
        <v>0.47190000000000004</v>
      </c>
      <c r="H104" s="40">
        <v>0</v>
      </c>
      <c r="I104" s="40">
        <v>0</v>
      </c>
      <c r="J104" s="40">
        <v>0</v>
      </c>
      <c r="K104" s="11">
        <v>0</v>
      </c>
      <c r="L104" s="10">
        <v>429</v>
      </c>
      <c r="M104" s="25">
        <v>6.01</v>
      </c>
    </row>
    <row r="105" spans="1:13" ht="15.75" customHeight="1" x14ac:dyDescent="0.25">
      <c r="A105" s="33">
        <v>0</v>
      </c>
      <c r="B105" s="44">
        <v>0</v>
      </c>
      <c r="C105" s="23">
        <v>0</v>
      </c>
      <c r="D105" s="40">
        <f>336*2.17</f>
        <v>729.12</v>
      </c>
      <c r="E105" s="40">
        <f>336*3.54</f>
        <v>1189.44</v>
      </c>
      <c r="F105" s="40">
        <f>336*0.58</f>
        <v>194.88</v>
      </c>
      <c r="G105" s="44">
        <v>0</v>
      </c>
      <c r="H105" s="40">
        <v>0</v>
      </c>
      <c r="I105" s="40">
        <v>0</v>
      </c>
      <c r="J105" s="40">
        <v>0</v>
      </c>
      <c r="K105" s="11">
        <v>0</v>
      </c>
      <c r="L105" s="10">
        <v>336</v>
      </c>
      <c r="M105" s="25">
        <v>4.8</v>
      </c>
    </row>
    <row r="106" spans="1:13" ht="15.75" customHeight="1" x14ac:dyDescent="0.25">
      <c r="A106" s="33">
        <v>78.5</v>
      </c>
      <c r="B106" s="44">
        <f t="shared" ref="B106:B114" si="14">C106/0.75</f>
        <v>40</v>
      </c>
      <c r="C106" s="23">
        <v>30</v>
      </c>
      <c r="D106" s="40">
        <f>336*2.23</f>
        <v>749.28</v>
      </c>
      <c r="E106" s="40">
        <f>336*3.41</f>
        <v>1145.76</v>
      </c>
      <c r="F106" s="40">
        <v>194.88</v>
      </c>
      <c r="G106" s="44">
        <v>0</v>
      </c>
      <c r="H106" s="40">
        <v>0</v>
      </c>
      <c r="I106" s="40">
        <v>0</v>
      </c>
      <c r="J106" s="40">
        <v>0</v>
      </c>
      <c r="K106" s="11">
        <v>0</v>
      </c>
      <c r="L106" s="10">
        <v>336</v>
      </c>
      <c r="M106" s="25">
        <v>5.3</v>
      </c>
    </row>
    <row r="107" spans="1:13" ht="15.75" customHeight="1" x14ac:dyDescent="0.25">
      <c r="A107" s="33">
        <v>78.5</v>
      </c>
      <c r="B107" s="44">
        <f t="shared" si="14"/>
        <v>53.333333333333336</v>
      </c>
      <c r="C107" s="23">
        <v>40</v>
      </c>
      <c r="D107" s="40">
        <f>336*2.23</f>
        <v>749.28</v>
      </c>
      <c r="E107" s="40">
        <f>336*3.41</f>
        <v>1145.76</v>
      </c>
      <c r="F107" s="40">
        <v>194.88</v>
      </c>
      <c r="G107" s="44">
        <v>0</v>
      </c>
      <c r="H107" s="40">
        <v>0</v>
      </c>
      <c r="I107" s="40">
        <v>0</v>
      </c>
      <c r="J107" s="40">
        <v>0</v>
      </c>
      <c r="K107" s="11">
        <v>0</v>
      </c>
      <c r="L107" s="10">
        <v>336</v>
      </c>
      <c r="M107" s="25">
        <v>6</v>
      </c>
    </row>
    <row r="108" spans="1:13" ht="15.75" customHeight="1" x14ac:dyDescent="0.25">
      <c r="A108" s="33">
        <v>78.5</v>
      </c>
      <c r="B108" s="44">
        <f t="shared" si="14"/>
        <v>66.666666666666671</v>
      </c>
      <c r="C108" s="23">
        <v>50</v>
      </c>
      <c r="D108" s="40">
        <f>336*2.23</f>
        <v>749.28</v>
      </c>
      <c r="E108" s="40">
        <f>336*3.41</f>
        <v>1145.76</v>
      </c>
      <c r="F108" s="40">
        <v>194.88</v>
      </c>
      <c r="G108" s="44">
        <v>0</v>
      </c>
      <c r="H108" s="40">
        <v>0</v>
      </c>
      <c r="I108" s="40">
        <v>0</v>
      </c>
      <c r="J108" s="40">
        <v>0</v>
      </c>
      <c r="K108" s="11">
        <v>0</v>
      </c>
      <c r="L108" s="10">
        <v>336</v>
      </c>
      <c r="M108" s="25">
        <v>6.5</v>
      </c>
    </row>
    <row r="109" spans="1:13" ht="15.75" customHeight="1" x14ac:dyDescent="0.25">
      <c r="A109" s="33">
        <v>78.5</v>
      </c>
      <c r="B109" s="44">
        <f t="shared" si="14"/>
        <v>80</v>
      </c>
      <c r="C109" s="23">
        <v>60</v>
      </c>
      <c r="D109" s="40">
        <f>336*2.23</f>
        <v>749.28</v>
      </c>
      <c r="E109" s="40">
        <f>336*3.41</f>
        <v>1145.76</v>
      </c>
      <c r="F109" s="40">
        <v>194.88</v>
      </c>
      <c r="G109" s="44">
        <v>0</v>
      </c>
      <c r="H109" s="40">
        <v>0</v>
      </c>
      <c r="I109" s="40">
        <v>0</v>
      </c>
      <c r="J109" s="40">
        <v>0</v>
      </c>
      <c r="K109" s="11">
        <v>0</v>
      </c>
      <c r="L109" s="10">
        <v>336</v>
      </c>
      <c r="M109" s="25">
        <v>7.45</v>
      </c>
    </row>
    <row r="110" spans="1:13" ht="15.75" customHeight="1" x14ac:dyDescent="0.3">
      <c r="A110" s="40">
        <v>0</v>
      </c>
      <c r="B110" s="40">
        <f t="shared" si="14"/>
        <v>0</v>
      </c>
      <c r="C110" s="47">
        <v>0</v>
      </c>
      <c r="D110" s="51">
        <v>630.41</v>
      </c>
      <c r="E110" s="42">
        <v>1125.3599999999999</v>
      </c>
      <c r="F110" s="42">
        <v>171.93</v>
      </c>
      <c r="G110" s="40">
        <v>5.21</v>
      </c>
      <c r="H110" s="40">
        <v>0</v>
      </c>
      <c r="I110" s="40">
        <v>0</v>
      </c>
      <c r="J110" s="40">
        <v>0</v>
      </c>
      <c r="K110" s="11">
        <v>0</v>
      </c>
      <c r="L110" s="19">
        <v>521</v>
      </c>
      <c r="M110" s="27">
        <v>6.4</v>
      </c>
    </row>
    <row r="111" spans="1:13" ht="15.75" customHeight="1" x14ac:dyDescent="0.3">
      <c r="A111" s="40">
        <v>78.5</v>
      </c>
      <c r="B111" s="40">
        <f t="shared" si="14"/>
        <v>40</v>
      </c>
      <c r="C111" s="47">
        <v>30</v>
      </c>
      <c r="D111" s="51">
        <v>651.25</v>
      </c>
      <c r="E111" s="42">
        <v>1078.47</v>
      </c>
      <c r="F111" s="42">
        <v>171.93</v>
      </c>
      <c r="G111" s="40">
        <v>5.21</v>
      </c>
      <c r="H111" s="40">
        <v>0</v>
      </c>
      <c r="I111" s="40">
        <v>0</v>
      </c>
      <c r="J111" s="40">
        <v>0</v>
      </c>
      <c r="K111" s="11">
        <v>0</v>
      </c>
      <c r="L111" s="19">
        <v>521</v>
      </c>
      <c r="M111" s="25">
        <v>7.2</v>
      </c>
    </row>
    <row r="112" spans="1:13" ht="15.75" customHeight="1" x14ac:dyDescent="0.3">
      <c r="A112" s="40">
        <v>78.5</v>
      </c>
      <c r="B112" s="42">
        <f t="shared" si="14"/>
        <v>53.333333333333336</v>
      </c>
      <c r="C112" s="47">
        <v>40</v>
      </c>
      <c r="D112" s="51">
        <v>651.25</v>
      </c>
      <c r="E112" s="42">
        <v>1078.47</v>
      </c>
      <c r="F112" s="42">
        <v>171.93</v>
      </c>
      <c r="G112" s="40">
        <v>5.21</v>
      </c>
      <c r="H112" s="40">
        <v>0</v>
      </c>
      <c r="I112" s="40">
        <v>0</v>
      </c>
      <c r="J112" s="40">
        <v>0</v>
      </c>
      <c r="K112" s="11">
        <v>0</v>
      </c>
      <c r="L112" s="19">
        <v>521</v>
      </c>
      <c r="M112" s="25">
        <v>7.7</v>
      </c>
    </row>
    <row r="113" spans="1:13" ht="15.75" customHeight="1" x14ac:dyDescent="0.3">
      <c r="A113" s="40">
        <v>78.5</v>
      </c>
      <c r="B113" s="42">
        <f t="shared" si="14"/>
        <v>66.666666666666671</v>
      </c>
      <c r="C113" s="47">
        <v>50</v>
      </c>
      <c r="D113" s="51">
        <v>651.25</v>
      </c>
      <c r="E113" s="42">
        <v>1078.47</v>
      </c>
      <c r="F113" s="42">
        <v>171.93</v>
      </c>
      <c r="G113" s="40">
        <v>5.21</v>
      </c>
      <c r="H113" s="40">
        <v>0</v>
      </c>
      <c r="I113" s="40">
        <v>0</v>
      </c>
      <c r="J113" s="40">
        <v>0</v>
      </c>
      <c r="K113" s="11">
        <v>0</v>
      </c>
      <c r="L113" s="19">
        <v>521</v>
      </c>
      <c r="M113" s="25">
        <v>8.1999999999999993</v>
      </c>
    </row>
    <row r="114" spans="1:13" ht="15.75" customHeight="1" x14ac:dyDescent="0.3">
      <c r="A114" s="40">
        <v>78.5</v>
      </c>
      <c r="B114" s="42">
        <f t="shared" si="14"/>
        <v>80</v>
      </c>
      <c r="C114" s="47">
        <v>60</v>
      </c>
      <c r="D114" s="51">
        <v>651.25</v>
      </c>
      <c r="E114" s="42">
        <v>1078.47</v>
      </c>
      <c r="F114" s="42">
        <v>171.93</v>
      </c>
      <c r="G114" s="40">
        <v>5.21</v>
      </c>
      <c r="H114" s="40">
        <v>0</v>
      </c>
      <c r="I114" s="40">
        <v>0</v>
      </c>
      <c r="J114" s="40">
        <v>0</v>
      </c>
      <c r="K114" s="11">
        <v>0</v>
      </c>
      <c r="L114" s="19">
        <v>521</v>
      </c>
      <c r="M114" s="27">
        <v>8.8000000000000007</v>
      </c>
    </row>
    <row r="115" spans="1:13" ht="15.75" customHeight="1" x14ac:dyDescent="0.3">
      <c r="A115" s="40">
        <v>0</v>
      </c>
      <c r="B115" s="42">
        <v>0</v>
      </c>
      <c r="C115" s="47">
        <v>0</v>
      </c>
      <c r="D115" s="51">
        <v>626</v>
      </c>
      <c r="E115" s="42">
        <v>1216</v>
      </c>
      <c r="F115" s="42">
        <v>170</v>
      </c>
      <c r="G115" s="40">
        <v>0</v>
      </c>
      <c r="H115" s="40">
        <v>0</v>
      </c>
      <c r="I115" s="40">
        <v>0</v>
      </c>
      <c r="J115" s="40">
        <v>0</v>
      </c>
      <c r="K115" s="11">
        <v>0</v>
      </c>
      <c r="L115" s="19">
        <v>340</v>
      </c>
      <c r="M115" s="27">
        <v>6.2</v>
      </c>
    </row>
    <row r="116" spans="1:13" ht="15.75" customHeight="1" x14ac:dyDescent="0.3">
      <c r="A116" s="40">
        <v>19.5</v>
      </c>
      <c r="B116" s="42">
        <v>70</v>
      </c>
      <c r="C116" s="47">
        <v>35</v>
      </c>
      <c r="D116" s="51">
        <v>626</v>
      </c>
      <c r="E116" s="42">
        <v>1210</v>
      </c>
      <c r="F116" s="42">
        <v>170</v>
      </c>
      <c r="G116" s="40">
        <v>0</v>
      </c>
      <c r="H116" s="40">
        <v>0</v>
      </c>
      <c r="I116" s="40">
        <v>0</v>
      </c>
      <c r="J116" s="40">
        <v>0</v>
      </c>
      <c r="K116" s="11">
        <v>0</v>
      </c>
      <c r="L116" s="19">
        <v>340</v>
      </c>
      <c r="M116" s="25">
        <v>7</v>
      </c>
    </row>
    <row r="117" spans="1:13" ht="15.75" customHeight="1" x14ac:dyDescent="0.3">
      <c r="A117" s="40">
        <v>39</v>
      </c>
      <c r="B117" s="42">
        <v>70</v>
      </c>
      <c r="C117" s="47">
        <v>35</v>
      </c>
      <c r="D117" s="51">
        <v>626</v>
      </c>
      <c r="E117" s="42">
        <v>1203</v>
      </c>
      <c r="F117" s="42">
        <v>170</v>
      </c>
      <c r="G117" s="40">
        <v>0</v>
      </c>
      <c r="H117" s="40">
        <v>0</v>
      </c>
      <c r="I117" s="40">
        <v>0</v>
      </c>
      <c r="J117" s="40">
        <v>0</v>
      </c>
      <c r="K117" s="11">
        <v>0</v>
      </c>
      <c r="L117" s="19">
        <v>340</v>
      </c>
      <c r="M117" s="25">
        <v>8.3000000000000007</v>
      </c>
    </row>
    <row r="118" spans="1:13" ht="15.75" customHeight="1" x14ac:dyDescent="0.3">
      <c r="A118" s="40">
        <v>78</v>
      </c>
      <c r="B118" s="42">
        <v>70</v>
      </c>
      <c r="C118" s="47">
        <v>35</v>
      </c>
      <c r="D118" s="51">
        <v>626</v>
      </c>
      <c r="E118" s="42">
        <v>1196</v>
      </c>
      <c r="F118" s="42">
        <v>170</v>
      </c>
      <c r="G118" s="40">
        <v>0</v>
      </c>
      <c r="H118" s="40">
        <v>0</v>
      </c>
      <c r="I118" s="40">
        <v>0</v>
      </c>
      <c r="J118" s="40">
        <v>0</v>
      </c>
      <c r="K118" s="11">
        <v>0</v>
      </c>
      <c r="L118" s="19">
        <v>340</v>
      </c>
      <c r="M118" s="27">
        <v>9.1999999999999993</v>
      </c>
    </row>
    <row r="119" spans="1:13" ht="15.75" customHeight="1" x14ac:dyDescent="0.3">
      <c r="A119" s="40">
        <v>0</v>
      </c>
      <c r="B119" s="42">
        <v>0</v>
      </c>
      <c r="C119" s="47">
        <v>0</v>
      </c>
      <c r="D119" s="51">
        <v>602</v>
      </c>
      <c r="E119" s="42">
        <v>1222</v>
      </c>
      <c r="F119" s="42">
        <v>163</v>
      </c>
      <c r="G119" s="40">
        <v>0.43</v>
      </c>
      <c r="H119" s="40">
        <v>0</v>
      </c>
      <c r="I119" s="40">
        <v>0</v>
      </c>
      <c r="J119" s="40">
        <v>0</v>
      </c>
      <c r="K119" s="11">
        <v>0</v>
      </c>
      <c r="L119" s="19">
        <v>340</v>
      </c>
      <c r="M119" s="25">
        <v>7.4</v>
      </c>
    </row>
    <row r="120" spans="1:13" ht="15.75" customHeight="1" x14ac:dyDescent="0.3">
      <c r="A120" s="40">
        <v>39</v>
      </c>
      <c r="B120" s="42">
        <v>70</v>
      </c>
      <c r="C120" s="47">
        <v>35</v>
      </c>
      <c r="D120" s="51">
        <v>604</v>
      </c>
      <c r="E120" s="42">
        <v>1226</v>
      </c>
      <c r="F120" s="42">
        <v>158</v>
      </c>
      <c r="G120" s="40">
        <v>0.43</v>
      </c>
      <c r="H120" s="40">
        <v>0</v>
      </c>
      <c r="I120" s="40">
        <v>0</v>
      </c>
      <c r="J120" s="40">
        <v>0</v>
      </c>
      <c r="K120" s="11">
        <v>0</v>
      </c>
      <c r="L120" s="19">
        <v>340</v>
      </c>
      <c r="M120" s="25">
        <v>7.7</v>
      </c>
    </row>
    <row r="121" spans="1:13" ht="15.75" customHeight="1" x14ac:dyDescent="0.3">
      <c r="A121" s="40">
        <v>78</v>
      </c>
      <c r="B121" s="42">
        <v>70</v>
      </c>
      <c r="C121" s="47">
        <v>35</v>
      </c>
      <c r="D121" s="51">
        <v>604</v>
      </c>
      <c r="E121" s="42">
        <v>1220</v>
      </c>
      <c r="F121" s="42">
        <v>158</v>
      </c>
      <c r="G121" s="40">
        <v>0.43</v>
      </c>
      <c r="H121" s="40">
        <v>0</v>
      </c>
      <c r="I121" s="40">
        <v>0</v>
      </c>
      <c r="J121" s="40">
        <v>0</v>
      </c>
      <c r="K121" s="11">
        <v>0</v>
      </c>
      <c r="L121" s="19">
        <v>340</v>
      </c>
      <c r="M121" s="27">
        <v>8.1</v>
      </c>
    </row>
    <row r="122" spans="1:13" ht="15.75" customHeight="1" x14ac:dyDescent="0.3">
      <c r="A122" s="40">
        <v>0</v>
      </c>
      <c r="B122" s="42">
        <v>0</v>
      </c>
      <c r="C122" s="47">
        <v>0</v>
      </c>
      <c r="D122" s="51">
        <v>593</v>
      </c>
      <c r="E122" s="42">
        <v>1232</v>
      </c>
      <c r="F122" s="42">
        <v>146</v>
      </c>
      <c r="G122" s="40">
        <v>0.76</v>
      </c>
      <c r="H122" s="40">
        <v>0</v>
      </c>
      <c r="I122" s="40">
        <v>0</v>
      </c>
      <c r="J122" s="40">
        <v>0</v>
      </c>
      <c r="K122" s="11">
        <v>0</v>
      </c>
      <c r="L122" s="19">
        <v>340</v>
      </c>
      <c r="M122" s="25">
        <v>7</v>
      </c>
    </row>
    <row r="123" spans="1:13" ht="15.75" customHeight="1" x14ac:dyDescent="0.3">
      <c r="A123" s="40">
        <v>19.5</v>
      </c>
      <c r="B123" s="42">
        <v>70</v>
      </c>
      <c r="C123" s="47">
        <v>35</v>
      </c>
      <c r="D123" s="51">
        <v>593</v>
      </c>
      <c r="E123" s="42">
        <v>1226</v>
      </c>
      <c r="F123" s="42">
        <v>146</v>
      </c>
      <c r="G123" s="40">
        <v>0.76</v>
      </c>
      <c r="H123" s="40">
        <v>0</v>
      </c>
      <c r="I123" s="40">
        <v>0</v>
      </c>
      <c r="J123" s="40">
        <v>0</v>
      </c>
      <c r="K123" s="11">
        <v>0</v>
      </c>
      <c r="L123" s="19">
        <v>340</v>
      </c>
      <c r="M123" s="27">
        <v>7.2</v>
      </c>
    </row>
    <row r="124" spans="1:13" ht="15.75" customHeight="1" x14ac:dyDescent="0.3">
      <c r="A124" s="40">
        <v>39</v>
      </c>
      <c r="B124" s="42">
        <v>70</v>
      </c>
      <c r="C124" s="47">
        <v>35</v>
      </c>
      <c r="D124" s="51">
        <v>593</v>
      </c>
      <c r="E124" s="42">
        <v>1219</v>
      </c>
      <c r="F124" s="42">
        <v>146</v>
      </c>
      <c r="G124" s="40">
        <v>0.76</v>
      </c>
      <c r="H124" s="40">
        <v>0</v>
      </c>
      <c r="I124" s="40">
        <v>0</v>
      </c>
      <c r="J124" s="40">
        <v>0</v>
      </c>
      <c r="K124" s="11">
        <v>0</v>
      </c>
      <c r="L124" s="19">
        <v>340</v>
      </c>
      <c r="M124" s="27">
        <v>8.6999999999999993</v>
      </c>
    </row>
    <row r="125" spans="1:13" ht="15.75" customHeight="1" x14ac:dyDescent="0.3">
      <c r="A125" s="40">
        <v>78</v>
      </c>
      <c r="B125" s="42">
        <v>70</v>
      </c>
      <c r="C125" s="47">
        <v>35</v>
      </c>
      <c r="D125" s="51">
        <v>593</v>
      </c>
      <c r="E125" s="42">
        <v>1212</v>
      </c>
      <c r="F125" s="42">
        <v>146</v>
      </c>
      <c r="G125" s="40">
        <v>0.76</v>
      </c>
      <c r="H125" s="40">
        <v>0</v>
      </c>
      <c r="I125" s="40">
        <v>0</v>
      </c>
      <c r="J125" s="40">
        <v>0</v>
      </c>
      <c r="K125" s="11">
        <v>0</v>
      </c>
      <c r="L125" s="19">
        <v>340</v>
      </c>
      <c r="M125" s="27">
        <v>10.9</v>
      </c>
    </row>
    <row r="126" spans="1:13" ht="15.75" customHeight="1" x14ac:dyDescent="0.3">
      <c r="A126" s="40">
        <v>0</v>
      </c>
      <c r="B126" s="42">
        <v>0</v>
      </c>
      <c r="C126" s="47">
        <v>0</v>
      </c>
      <c r="D126" s="51">
        <v>756</v>
      </c>
      <c r="E126" s="42">
        <v>1135</v>
      </c>
      <c r="F126" s="42">
        <v>140</v>
      </c>
      <c r="G126" s="40">
        <v>4</v>
      </c>
      <c r="H126" s="40">
        <v>0</v>
      </c>
      <c r="I126" s="40">
        <v>0</v>
      </c>
      <c r="J126" s="40">
        <v>0</v>
      </c>
      <c r="K126" s="11">
        <v>0</v>
      </c>
      <c r="L126" s="19">
        <v>400</v>
      </c>
      <c r="M126" s="25">
        <v>7.82</v>
      </c>
    </row>
    <row r="127" spans="1:13" ht="15.75" customHeight="1" x14ac:dyDescent="0.3">
      <c r="A127" s="40">
        <v>19.63</v>
      </c>
      <c r="B127" s="42">
        <v>64</v>
      </c>
      <c r="C127" s="47">
        <v>35</v>
      </c>
      <c r="D127" s="51">
        <v>754</v>
      </c>
      <c r="E127" s="42">
        <v>1131</v>
      </c>
      <c r="F127" s="42">
        <v>140</v>
      </c>
      <c r="G127" s="40">
        <v>4</v>
      </c>
      <c r="H127" s="40">
        <v>0</v>
      </c>
      <c r="I127" s="40">
        <v>0</v>
      </c>
      <c r="J127" s="40">
        <v>0</v>
      </c>
      <c r="K127" s="11">
        <v>0</v>
      </c>
      <c r="L127" s="19">
        <v>400</v>
      </c>
      <c r="M127" s="25">
        <v>7.38</v>
      </c>
    </row>
    <row r="128" spans="1:13" ht="15.75" customHeight="1" x14ac:dyDescent="0.3">
      <c r="A128" s="40">
        <v>39.25</v>
      </c>
      <c r="B128" s="42">
        <v>64</v>
      </c>
      <c r="C128" s="47">
        <v>35</v>
      </c>
      <c r="D128" s="51">
        <v>751</v>
      </c>
      <c r="E128" s="42">
        <v>1127</v>
      </c>
      <c r="F128" s="42">
        <v>140</v>
      </c>
      <c r="G128" s="40">
        <v>4</v>
      </c>
      <c r="H128" s="40">
        <v>0</v>
      </c>
      <c r="I128" s="40">
        <v>0</v>
      </c>
      <c r="J128" s="40">
        <v>0</v>
      </c>
      <c r="K128" s="11">
        <v>0</v>
      </c>
      <c r="L128" s="19">
        <v>400</v>
      </c>
      <c r="M128" s="25">
        <v>7.37</v>
      </c>
    </row>
    <row r="129" spans="1:13" ht="15.75" customHeight="1" x14ac:dyDescent="0.3">
      <c r="A129" s="40">
        <v>78.5</v>
      </c>
      <c r="B129" s="42">
        <v>64</v>
      </c>
      <c r="C129" s="47">
        <v>35</v>
      </c>
      <c r="D129" s="51">
        <v>746</v>
      </c>
      <c r="E129" s="42">
        <v>1119</v>
      </c>
      <c r="F129" s="42">
        <v>140</v>
      </c>
      <c r="G129" s="40">
        <v>4</v>
      </c>
      <c r="H129" s="40">
        <v>0</v>
      </c>
      <c r="I129" s="40">
        <v>0</v>
      </c>
      <c r="J129" s="40">
        <v>0</v>
      </c>
      <c r="K129" s="11">
        <v>0</v>
      </c>
      <c r="L129" s="19">
        <v>400</v>
      </c>
      <c r="M129" s="27">
        <v>8.24</v>
      </c>
    </row>
    <row r="130" spans="1:13" ht="15.75" customHeight="1" x14ac:dyDescent="0.3">
      <c r="A130" s="40">
        <v>117.75</v>
      </c>
      <c r="B130" s="42">
        <v>64</v>
      </c>
      <c r="C130" s="47">
        <v>35</v>
      </c>
      <c r="D130" s="51">
        <v>740</v>
      </c>
      <c r="E130" s="42">
        <v>1111</v>
      </c>
      <c r="F130" s="42">
        <v>140</v>
      </c>
      <c r="G130" s="40">
        <v>4</v>
      </c>
      <c r="H130" s="40">
        <v>0</v>
      </c>
      <c r="I130" s="40">
        <v>0</v>
      </c>
      <c r="J130" s="40">
        <v>0</v>
      </c>
      <c r="K130" s="11">
        <v>0</v>
      </c>
      <c r="L130" s="19">
        <v>400</v>
      </c>
      <c r="M130" s="25">
        <v>10.14</v>
      </c>
    </row>
    <row r="131" spans="1:13" ht="15.75" customHeight="1" x14ac:dyDescent="0.3">
      <c r="A131" s="40">
        <v>0</v>
      </c>
      <c r="B131" s="42">
        <v>0</v>
      </c>
      <c r="C131" s="47">
        <v>0</v>
      </c>
      <c r="D131" s="51">
        <v>750</v>
      </c>
      <c r="E131" s="42">
        <v>1124</v>
      </c>
      <c r="F131" s="42">
        <v>140</v>
      </c>
      <c r="G131" s="40">
        <v>4</v>
      </c>
      <c r="H131" s="40">
        <v>0</v>
      </c>
      <c r="I131" s="40">
        <v>0</v>
      </c>
      <c r="J131" s="40">
        <v>60</v>
      </c>
      <c r="K131" s="11">
        <v>0</v>
      </c>
      <c r="L131" s="19">
        <v>340</v>
      </c>
      <c r="M131" s="27">
        <v>6.71</v>
      </c>
    </row>
    <row r="132" spans="1:13" ht="15.75" customHeight="1" x14ac:dyDescent="0.3">
      <c r="A132" s="40">
        <v>19.63</v>
      </c>
      <c r="B132" s="42">
        <v>64</v>
      </c>
      <c r="C132" s="47">
        <v>35</v>
      </c>
      <c r="D132" s="51">
        <v>747</v>
      </c>
      <c r="E132" s="42">
        <v>1120</v>
      </c>
      <c r="F132" s="42">
        <v>140</v>
      </c>
      <c r="G132" s="40">
        <v>4</v>
      </c>
      <c r="H132" s="40">
        <v>0</v>
      </c>
      <c r="I132" s="40">
        <v>0</v>
      </c>
      <c r="J132" s="40">
        <v>60</v>
      </c>
      <c r="K132" s="11">
        <v>0</v>
      </c>
      <c r="L132" s="19">
        <v>340</v>
      </c>
      <c r="M132" s="27">
        <v>6.76</v>
      </c>
    </row>
    <row r="133" spans="1:13" ht="15.75" customHeight="1" x14ac:dyDescent="0.3">
      <c r="A133" s="40">
        <v>39.25</v>
      </c>
      <c r="B133" s="42">
        <v>64</v>
      </c>
      <c r="C133" s="47">
        <v>35</v>
      </c>
      <c r="D133" s="51">
        <v>744</v>
      </c>
      <c r="E133" s="42">
        <v>1116</v>
      </c>
      <c r="F133" s="42">
        <v>140</v>
      </c>
      <c r="G133" s="40">
        <v>4</v>
      </c>
      <c r="H133" s="40">
        <v>0</v>
      </c>
      <c r="I133" s="40">
        <v>0</v>
      </c>
      <c r="J133" s="40">
        <v>60</v>
      </c>
      <c r="K133" s="11">
        <v>0</v>
      </c>
      <c r="L133" s="19">
        <v>340</v>
      </c>
      <c r="M133" s="25">
        <v>6.96</v>
      </c>
    </row>
    <row r="134" spans="1:13" ht="15.75" customHeight="1" x14ac:dyDescent="0.3">
      <c r="A134" s="40">
        <v>78.5</v>
      </c>
      <c r="B134" s="42">
        <v>64</v>
      </c>
      <c r="C134" s="47">
        <v>35</v>
      </c>
      <c r="D134" s="51">
        <v>739</v>
      </c>
      <c r="E134" s="42">
        <v>1108</v>
      </c>
      <c r="F134" s="42">
        <v>140</v>
      </c>
      <c r="G134" s="40">
        <v>4</v>
      </c>
      <c r="H134" s="40">
        <v>0</v>
      </c>
      <c r="I134" s="40">
        <v>0</v>
      </c>
      <c r="J134" s="40">
        <v>60</v>
      </c>
      <c r="K134" s="11">
        <v>0</v>
      </c>
      <c r="L134" s="19">
        <v>340</v>
      </c>
      <c r="M134" s="25">
        <v>7.62</v>
      </c>
    </row>
    <row r="135" spans="1:13" ht="15.75" customHeight="1" x14ac:dyDescent="0.3">
      <c r="A135" s="40">
        <v>117.75</v>
      </c>
      <c r="B135" s="42">
        <v>64</v>
      </c>
      <c r="C135" s="47">
        <v>35</v>
      </c>
      <c r="D135" s="51">
        <v>734</v>
      </c>
      <c r="E135" s="42">
        <v>1100</v>
      </c>
      <c r="F135" s="42">
        <v>140</v>
      </c>
      <c r="G135" s="40">
        <v>4</v>
      </c>
      <c r="H135" s="40">
        <v>0</v>
      </c>
      <c r="I135" s="40">
        <v>0</v>
      </c>
      <c r="J135" s="40">
        <v>60</v>
      </c>
      <c r="K135" s="11">
        <v>0</v>
      </c>
      <c r="L135" s="19">
        <v>340</v>
      </c>
      <c r="M135" s="27">
        <v>9.07</v>
      </c>
    </row>
    <row r="136" spans="1:13" ht="15.75" customHeight="1" x14ac:dyDescent="0.3">
      <c r="A136" s="40">
        <v>0</v>
      </c>
      <c r="B136" s="42">
        <v>0</v>
      </c>
      <c r="C136" s="47">
        <v>0</v>
      </c>
      <c r="D136" s="51">
        <v>742</v>
      </c>
      <c r="E136" s="42">
        <v>1114</v>
      </c>
      <c r="F136" s="42">
        <v>140</v>
      </c>
      <c r="G136" s="40">
        <v>4</v>
      </c>
      <c r="H136" s="40">
        <v>0</v>
      </c>
      <c r="I136" s="40">
        <v>0</v>
      </c>
      <c r="J136" s="40">
        <v>120</v>
      </c>
      <c r="K136" s="11">
        <v>0</v>
      </c>
      <c r="L136" s="19">
        <v>280</v>
      </c>
      <c r="M136" s="25">
        <v>5.89</v>
      </c>
    </row>
    <row r="137" spans="1:13" ht="15.75" customHeight="1" x14ac:dyDescent="0.3">
      <c r="A137" s="40">
        <v>19.63</v>
      </c>
      <c r="B137" s="42">
        <v>64</v>
      </c>
      <c r="C137" s="47">
        <v>35</v>
      </c>
      <c r="D137" s="51">
        <v>740</v>
      </c>
      <c r="E137" s="42">
        <v>1109</v>
      </c>
      <c r="F137" s="42">
        <v>140</v>
      </c>
      <c r="G137" s="40">
        <v>4</v>
      </c>
      <c r="H137" s="40">
        <v>0</v>
      </c>
      <c r="I137" s="40">
        <v>0</v>
      </c>
      <c r="J137" s="40">
        <v>120</v>
      </c>
      <c r="K137" s="11">
        <v>0</v>
      </c>
      <c r="L137" s="19">
        <v>280</v>
      </c>
      <c r="M137" s="25">
        <v>6.08</v>
      </c>
    </row>
    <row r="138" spans="1:13" ht="15.75" customHeight="1" x14ac:dyDescent="0.3">
      <c r="A138" s="40">
        <v>39.25</v>
      </c>
      <c r="B138" s="42">
        <v>64</v>
      </c>
      <c r="C138" s="47">
        <v>35</v>
      </c>
      <c r="D138" s="51">
        <v>737</v>
      </c>
      <c r="E138" s="42">
        <v>1106</v>
      </c>
      <c r="F138" s="42">
        <v>140</v>
      </c>
      <c r="G138" s="40">
        <v>4</v>
      </c>
      <c r="H138" s="40">
        <v>0</v>
      </c>
      <c r="I138" s="40">
        <v>0</v>
      </c>
      <c r="J138" s="40">
        <v>120</v>
      </c>
      <c r="K138" s="11">
        <v>0</v>
      </c>
      <c r="L138" s="19">
        <v>280</v>
      </c>
      <c r="M138" s="25">
        <v>6.53</v>
      </c>
    </row>
    <row r="139" spans="1:13" ht="15.75" customHeight="1" x14ac:dyDescent="0.3">
      <c r="A139" s="40">
        <v>78.5</v>
      </c>
      <c r="B139" s="42">
        <v>64</v>
      </c>
      <c r="C139" s="47">
        <v>35</v>
      </c>
      <c r="D139" s="51">
        <v>732</v>
      </c>
      <c r="E139" s="42">
        <v>1097</v>
      </c>
      <c r="F139" s="42">
        <v>140</v>
      </c>
      <c r="G139" s="40">
        <v>4</v>
      </c>
      <c r="H139" s="40">
        <v>0</v>
      </c>
      <c r="I139" s="40">
        <v>0</v>
      </c>
      <c r="J139" s="40">
        <v>120</v>
      </c>
      <c r="K139" s="11">
        <v>0</v>
      </c>
      <c r="L139" s="19">
        <v>280</v>
      </c>
      <c r="M139" s="27">
        <v>6.45</v>
      </c>
    </row>
    <row r="140" spans="1:13" ht="15.75" customHeight="1" x14ac:dyDescent="0.3">
      <c r="A140" s="40">
        <v>117.75</v>
      </c>
      <c r="B140" s="42">
        <v>64</v>
      </c>
      <c r="C140" s="47">
        <v>35</v>
      </c>
      <c r="D140" s="51">
        <v>726</v>
      </c>
      <c r="E140" s="42">
        <v>1090</v>
      </c>
      <c r="F140" s="42">
        <v>140</v>
      </c>
      <c r="G140" s="40">
        <v>4</v>
      </c>
      <c r="H140" s="40">
        <v>0</v>
      </c>
      <c r="I140" s="40">
        <v>0</v>
      </c>
      <c r="J140" s="40">
        <v>120</v>
      </c>
      <c r="K140" s="11">
        <v>0</v>
      </c>
      <c r="L140" s="19">
        <v>280</v>
      </c>
      <c r="M140" s="25">
        <v>8.09</v>
      </c>
    </row>
    <row r="141" spans="1:13" ht="15.75" customHeight="1" x14ac:dyDescent="0.3">
      <c r="A141" s="40">
        <v>0</v>
      </c>
      <c r="B141" s="42">
        <v>0</v>
      </c>
      <c r="C141" s="47">
        <v>0</v>
      </c>
      <c r="D141" s="51">
        <f t="shared" ref="D141:D150" si="15">1.78*L141</f>
        <v>632.79</v>
      </c>
      <c r="E141" s="42">
        <f t="shared" ref="E141:E150" si="16">3.71*L141</f>
        <v>1318.905</v>
      </c>
      <c r="F141" s="42">
        <f t="shared" ref="F141:F150" si="17">0.55*L141</f>
        <v>195.52500000000001</v>
      </c>
      <c r="G141" s="40">
        <v>0</v>
      </c>
      <c r="H141" s="40">
        <v>0</v>
      </c>
      <c r="I141" s="40">
        <v>0</v>
      </c>
      <c r="J141" s="40">
        <v>0</v>
      </c>
      <c r="K141" s="11">
        <v>0</v>
      </c>
      <c r="L141" s="19">
        <v>355.5</v>
      </c>
      <c r="M141" s="27">
        <v>3.06</v>
      </c>
    </row>
    <row r="142" spans="1:13" ht="15.75" customHeight="1" x14ac:dyDescent="0.3">
      <c r="A142" s="40">
        <f>7850*0.0025</f>
        <v>19.625</v>
      </c>
      <c r="B142" s="42">
        <f>18.3/1.22</f>
        <v>15.000000000000002</v>
      </c>
      <c r="C142" s="47">
        <v>18.3</v>
      </c>
      <c r="D142" s="51">
        <f t="shared" si="15"/>
        <v>632.79</v>
      </c>
      <c r="E142" s="42">
        <f t="shared" si="16"/>
        <v>1318.905</v>
      </c>
      <c r="F142" s="42">
        <f t="shared" si="17"/>
        <v>195.52500000000001</v>
      </c>
      <c r="G142" s="40">
        <v>0</v>
      </c>
      <c r="H142" s="40">
        <v>0</v>
      </c>
      <c r="I142" s="40">
        <v>0</v>
      </c>
      <c r="J142" s="40">
        <v>0</v>
      </c>
      <c r="K142" s="11">
        <v>0</v>
      </c>
      <c r="L142" s="19">
        <v>355.5</v>
      </c>
      <c r="M142" s="25">
        <v>3.19</v>
      </c>
    </row>
    <row r="143" spans="1:13" ht="15.75" customHeight="1" x14ac:dyDescent="0.3">
      <c r="A143" s="40">
        <f>7850*0.005</f>
        <v>39.25</v>
      </c>
      <c r="B143" s="42">
        <f>18.3/1.22</f>
        <v>15.000000000000002</v>
      </c>
      <c r="C143" s="47">
        <v>18.3</v>
      </c>
      <c r="D143" s="51">
        <f t="shared" si="15"/>
        <v>632.79</v>
      </c>
      <c r="E143" s="42">
        <f t="shared" si="16"/>
        <v>1318.905</v>
      </c>
      <c r="F143" s="42">
        <f t="shared" si="17"/>
        <v>195.52500000000001</v>
      </c>
      <c r="G143" s="40">
        <v>0</v>
      </c>
      <c r="H143" s="40">
        <v>0</v>
      </c>
      <c r="I143" s="40">
        <v>0</v>
      </c>
      <c r="J143" s="40">
        <v>0</v>
      </c>
      <c r="K143" s="11">
        <v>0</v>
      </c>
      <c r="L143" s="19">
        <v>355.5</v>
      </c>
      <c r="M143" s="25">
        <v>3.75</v>
      </c>
    </row>
    <row r="144" spans="1:13" ht="15.75" customHeight="1" x14ac:dyDescent="0.3">
      <c r="A144" s="40">
        <f>7850*0.0075</f>
        <v>58.875</v>
      </c>
      <c r="B144" s="42">
        <f>18.3/1.22</f>
        <v>15.000000000000002</v>
      </c>
      <c r="C144" s="47">
        <v>18.3</v>
      </c>
      <c r="D144" s="51">
        <f t="shared" si="15"/>
        <v>632.79</v>
      </c>
      <c r="E144" s="42">
        <f t="shared" si="16"/>
        <v>1318.905</v>
      </c>
      <c r="F144" s="42">
        <f t="shared" si="17"/>
        <v>195.52500000000001</v>
      </c>
      <c r="G144" s="40">
        <v>0</v>
      </c>
      <c r="H144" s="40">
        <v>0</v>
      </c>
      <c r="I144" s="40">
        <v>0</v>
      </c>
      <c r="J144" s="40">
        <v>0</v>
      </c>
      <c r="K144" s="11">
        <v>0</v>
      </c>
      <c r="L144" s="19">
        <v>355.5</v>
      </c>
      <c r="M144" s="25">
        <v>3.68</v>
      </c>
    </row>
    <row r="145" spans="1:13" ht="15.75" customHeight="1" x14ac:dyDescent="0.3">
      <c r="A145" s="40">
        <f>7850*0.0025</f>
        <v>19.625</v>
      </c>
      <c r="B145" s="42">
        <f>30.5/1.22</f>
        <v>25</v>
      </c>
      <c r="C145" s="47">
        <v>30.5</v>
      </c>
      <c r="D145" s="51">
        <f t="shared" si="15"/>
        <v>632.79</v>
      </c>
      <c r="E145" s="42">
        <f t="shared" si="16"/>
        <v>1318.905</v>
      </c>
      <c r="F145" s="42">
        <f t="shared" si="17"/>
        <v>195.52500000000001</v>
      </c>
      <c r="G145" s="40">
        <v>0</v>
      </c>
      <c r="H145" s="40">
        <v>0</v>
      </c>
      <c r="I145" s="40">
        <v>0</v>
      </c>
      <c r="J145" s="40">
        <v>0</v>
      </c>
      <c r="K145" s="11">
        <v>0</v>
      </c>
      <c r="L145" s="19">
        <v>355.5</v>
      </c>
      <c r="M145" s="27">
        <v>3.26</v>
      </c>
    </row>
    <row r="146" spans="1:13" ht="15.75" customHeight="1" x14ac:dyDescent="0.3">
      <c r="A146" s="40">
        <f>7850*0.005</f>
        <v>39.25</v>
      </c>
      <c r="B146" s="42">
        <f>30.5/1.22</f>
        <v>25</v>
      </c>
      <c r="C146" s="47">
        <v>30.5</v>
      </c>
      <c r="D146" s="51">
        <f t="shared" si="15"/>
        <v>632.79</v>
      </c>
      <c r="E146" s="42">
        <f t="shared" si="16"/>
        <v>1318.905</v>
      </c>
      <c r="F146" s="42">
        <f t="shared" si="17"/>
        <v>195.52500000000001</v>
      </c>
      <c r="G146" s="40">
        <v>0</v>
      </c>
      <c r="H146" s="40">
        <v>0</v>
      </c>
      <c r="I146" s="40">
        <v>0</v>
      </c>
      <c r="J146" s="40">
        <v>0</v>
      </c>
      <c r="K146" s="11">
        <v>0</v>
      </c>
      <c r="L146" s="19">
        <v>355.5</v>
      </c>
      <c r="M146" s="25">
        <v>3.89</v>
      </c>
    </row>
    <row r="147" spans="1:13" ht="15.75" customHeight="1" x14ac:dyDescent="0.3">
      <c r="A147" s="40">
        <f>7850*0.0075</f>
        <v>58.875</v>
      </c>
      <c r="B147" s="42">
        <f>30.5/1.22</f>
        <v>25</v>
      </c>
      <c r="C147" s="47">
        <v>30.5</v>
      </c>
      <c r="D147" s="51">
        <f t="shared" si="15"/>
        <v>632.79</v>
      </c>
      <c r="E147" s="42">
        <f t="shared" si="16"/>
        <v>1318.905</v>
      </c>
      <c r="F147" s="42">
        <f t="shared" si="17"/>
        <v>195.52500000000001</v>
      </c>
      <c r="G147" s="40">
        <v>0</v>
      </c>
      <c r="H147" s="40">
        <v>0</v>
      </c>
      <c r="I147" s="40">
        <v>0</v>
      </c>
      <c r="J147" s="40">
        <v>0</v>
      </c>
      <c r="K147" s="11">
        <v>0</v>
      </c>
      <c r="L147" s="19">
        <v>355.5</v>
      </c>
      <c r="M147" s="27">
        <v>3.54</v>
      </c>
    </row>
    <row r="148" spans="1:13" ht="15.75" customHeight="1" x14ac:dyDescent="0.3">
      <c r="A148" s="40">
        <f>7850*0.0025</f>
        <v>19.625</v>
      </c>
      <c r="B148" s="42">
        <f>42.7/1.22</f>
        <v>35</v>
      </c>
      <c r="C148" s="47">
        <v>42.7</v>
      </c>
      <c r="D148" s="51">
        <f t="shared" si="15"/>
        <v>632.79</v>
      </c>
      <c r="E148" s="42">
        <f t="shared" si="16"/>
        <v>1318.905</v>
      </c>
      <c r="F148" s="42">
        <f t="shared" si="17"/>
        <v>195.52500000000001</v>
      </c>
      <c r="G148" s="40">
        <v>0</v>
      </c>
      <c r="H148" s="40">
        <v>0</v>
      </c>
      <c r="I148" s="40">
        <v>0</v>
      </c>
      <c r="J148" s="40">
        <v>0</v>
      </c>
      <c r="K148" s="11">
        <v>0</v>
      </c>
      <c r="L148" s="19">
        <v>355.5</v>
      </c>
      <c r="M148" s="27">
        <v>3.4</v>
      </c>
    </row>
    <row r="149" spans="1:13" ht="15.75" customHeight="1" x14ac:dyDescent="0.3">
      <c r="A149" s="40">
        <f>7850*0.005</f>
        <v>39.25</v>
      </c>
      <c r="B149" s="42">
        <f>42.7/1.22</f>
        <v>35</v>
      </c>
      <c r="C149" s="47">
        <v>42.7</v>
      </c>
      <c r="D149" s="51">
        <f t="shared" si="15"/>
        <v>632.79</v>
      </c>
      <c r="E149" s="42">
        <f t="shared" si="16"/>
        <v>1318.905</v>
      </c>
      <c r="F149" s="42">
        <f t="shared" si="17"/>
        <v>195.52500000000001</v>
      </c>
      <c r="G149" s="40">
        <v>0</v>
      </c>
      <c r="H149" s="40">
        <v>0</v>
      </c>
      <c r="I149" s="40">
        <v>0</v>
      </c>
      <c r="J149" s="40">
        <v>0</v>
      </c>
      <c r="K149" s="11">
        <v>0</v>
      </c>
      <c r="L149" s="19">
        <v>355.5</v>
      </c>
      <c r="M149" s="25">
        <v>3.82</v>
      </c>
    </row>
    <row r="150" spans="1:13" ht="15.75" customHeight="1" x14ac:dyDescent="0.3">
      <c r="A150" s="40">
        <f>7850*0.0075</f>
        <v>58.875</v>
      </c>
      <c r="B150" s="42">
        <f>42.7/1.22</f>
        <v>35</v>
      </c>
      <c r="C150" s="47">
        <v>42.7</v>
      </c>
      <c r="D150" s="51">
        <f t="shared" si="15"/>
        <v>632.79</v>
      </c>
      <c r="E150" s="42">
        <f t="shared" si="16"/>
        <v>1318.905</v>
      </c>
      <c r="F150" s="42">
        <f t="shared" si="17"/>
        <v>195.52500000000001</v>
      </c>
      <c r="G150" s="40">
        <v>0</v>
      </c>
      <c r="H150" s="40">
        <v>0</v>
      </c>
      <c r="I150" s="40">
        <v>0</v>
      </c>
      <c r="J150" s="40">
        <v>0</v>
      </c>
      <c r="K150" s="11">
        <v>0</v>
      </c>
      <c r="L150" s="19">
        <v>355.5</v>
      </c>
      <c r="M150" s="25">
        <v>3.61</v>
      </c>
    </row>
    <row r="151" spans="1:13" ht="15.75" customHeight="1" x14ac:dyDescent="0.25">
      <c r="A151" s="40">
        <v>0</v>
      </c>
      <c r="B151" s="42">
        <v>0</v>
      </c>
      <c r="C151" s="40">
        <v>0</v>
      </c>
      <c r="D151" s="51">
        <v>756</v>
      </c>
      <c r="E151" s="42">
        <v>1135</v>
      </c>
      <c r="F151" s="42">
        <v>140</v>
      </c>
      <c r="G151" s="40">
        <v>4</v>
      </c>
      <c r="H151" s="40">
        <v>0</v>
      </c>
      <c r="I151" s="40">
        <v>0</v>
      </c>
      <c r="J151" s="40">
        <v>0</v>
      </c>
      <c r="K151" s="11">
        <v>0</v>
      </c>
      <c r="L151" s="20">
        <v>400</v>
      </c>
      <c r="M151" s="25">
        <v>7.82</v>
      </c>
    </row>
    <row r="152" spans="1:13" ht="15.75" customHeight="1" x14ac:dyDescent="0.3">
      <c r="A152" s="40">
        <v>39.25</v>
      </c>
      <c r="B152" s="42">
        <f>35/0.55</f>
        <v>63.636363636363633</v>
      </c>
      <c r="C152" s="47">
        <v>35</v>
      </c>
      <c r="D152" s="51">
        <v>751</v>
      </c>
      <c r="E152" s="42">
        <v>1127</v>
      </c>
      <c r="F152" s="42">
        <v>140</v>
      </c>
      <c r="G152" s="40">
        <v>4</v>
      </c>
      <c r="H152" s="40">
        <v>0</v>
      </c>
      <c r="I152" s="40">
        <v>0</v>
      </c>
      <c r="J152" s="40">
        <v>0</v>
      </c>
      <c r="K152" s="11">
        <v>0</v>
      </c>
      <c r="L152" s="20">
        <v>400</v>
      </c>
      <c r="M152" s="25">
        <v>7.37</v>
      </c>
    </row>
    <row r="153" spans="1:13" ht="15.75" customHeight="1" x14ac:dyDescent="0.3">
      <c r="A153" s="40">
        <v>78.5</v>
      </c>
      <c r="B153" s="42">
        <f>35/0.55</f>
        <v>63.636363636363633</v>
      </c>
      <c r="C153" s="47">
        <v>35</v>
      </c>
      <c r="D153" s="51">
        <v>746</v>
      </c>
      <c r="E153" s="42">
        <v>1119</v>
      </c>
      <c r="F153" s="42">
        <v>140</v>
      </c>
      <c r="G153" s="40">
        <v>4</v>
      </c>
      <c r="H153" s="40">
        <v>0</v>
      </c>
      <c r="I153" s="40">
        <v>0</v>
      </c>
      <c r="J153" s="40">
        <v>0</v>
      </c>
      <c r="K153" s="11">
        <v>0</v>
      </c>
      <c r="L153" s="20">
        <v>400</v>
      </c>
      <c r="M153" s="25">
        <v>8.24</v>
      </c>
    </row>
    <row r="154" spans="1:13" ht="15.75" customHeight="1" x14ac:dyDescent="0.3">
      <c r="A154" s="40">
        <v>117.75</v>
      </c>
      <c r="B154" s="42">
        <f>35/0.55</f>
        <v>63.636363636363633</v>
      </c>
      <c r="C154" s="47">
        <v>35</v>
      </c>
      <c r="D154" s="51">
        <v>740</v>
      </c>
      <c r="E154" s="42">
        <v>1111</v>
      </c>
      <c r="F154" s="42">
        <v>140</v>
      </c>
      <c r="G154" s="40">
        <v>4</v>
      </c>
      <c r="H154" s="40">
        <v>0</v>
      </c>
      <c r="I154" s="40">
        <v>0</v>
      </c>
      <c r="J154" s="40">
        <v>0</v>
      </c>
      <c r="K154" s="11">
        <v>0</v>
      </c>
      <c r="L154" s="20">
        <v>400</v>
      </c>
      <c r="M154" s="25">
        <v>10.14</v>
      </c>
    </row>
    <row r="155" spans="1:13" ht="15.75" customHeight="1" x14ac:dyDescent="0.25">
      <c r="A155" s="40">
        <v>0</v>
      </c>
      <c r="B155" s="42">
        <v>0</v>
      </c>
      <c r="C155" s="40">
        <v>0</v>
      </c>
      <c r="D155" s="51">
        <v>750</v>
      </c>
      <c r="E155" s="42">
        <v>1124</v>
      </c>
      <c r="F155" s="42">
        <v>140</v>
      </c>
      <c r="G155" s="40">
        <v>4</v>
      </c>
      <c r="H155" s="40">
        <v>0</v>
      </c>
      <c r="I155" s="40">
        <v>0</v>
      </c>
      <c r="J155" s="40">
        <v>60</v>
      </c>
      <c r="K155" s="11">
        <v>0</v>
      </c>
      <c r="L155" s="20">
        <v>340</v>
      </c>
      <c r="M155" s="25">
        <v>6.71</v>
      </c>
    </row>
    <row r="156" spans="1:13" ht="15.75" customHeight="1" x14ac:dyDescent="0.3">
      <c r="A156" s="40">
        <v>39.25</v>
      </c>
      <c r="B156" s="42">
        <f>35/0.55</f>
        <v>63.636363636363633</v>
      </c>
      <c r="C156" s="47">
        <v>35</v>
      </c>
      <c r="D156" s="51">
        <v>744</v>
      </c>
      <c r="E156" s="42">
        <v>1116</v>
      </c>
      <c r="F156" s="42">
        <v>140</v>
      </c>
      <c r="G156" s="40">
        <v>4</v>
      </c>
      <c r="H156" s="40">
        <v>0</v>
      </c>
      <c r="I156" s="40">
        <v>0</v>
      </c>
      <c r="J156" s="40">
        <v>60</v>
      </c>
      <c r="K156" s="11">
        <v>0</v>
      </c>
      <c r="L156" s="20">
        <v>340</v>
      </c>
      <c r="M156" s="25">
        <v>6.96</v>
      </c>
    </row>
    <row r="157" spans="1:13" ht="15.75" customHeight="1" x14ac:dyDescent="0.3">
      <c r="A157" s="40">
        <v>78.5</v>
      </c>
      <c r="B157" s="42">
        <f>35/0.55</f>
        <v>63.636363636363633</v>
      </c>
      <c r="C157" s="47">
        <v>35</v>
      </c>
      <c r="D157" s="51">
        <v>739</v>
      </c>
      <c r="E157" s="42">
        <v>1108</v>
      </c>
      <c r="F157" s="42">
        <v>140</v>
      </c>
      <c r="G157" s="40">
        <v>4</v>
      </c>
      <c r="H157" s="40">
        <v>0</v>
      </c>
      <c r="I157" s="40">
        <v>0</v>
      </c>
      <c r="J157" s="40">
        <v>60</v>
      </c>
      <c r="K157" s="11">
        <v>0</v>
      </c>
      <c r="L157" s="20">
        <v>340</v>
      </c>
      <c r="M157" s="25">
        <v>7.62</v>
      </c>
    </row>
    <row r="158" spans="1:13" ht="15.75" customHeight="1" x14ac:dyDescent="0.3">
      <c r="A158" s="40">
        <v>117.75</v>
      </c>
      <c r="B158" s="42">
        <f>35/0.55</f>
        <v>63.636363636363633</v>
      </c>
      <c r="C158" s="47">
        <v>35</v>
      </c>
      <c r="D158" s="51">
        <v>734</v>
      </c>
      <c r="E158" s="42">
        <v>1100</v>
      </c>
      <c r="F158" s="42">
        <v>140</v>
      </c>
      <c r="G158" s="40">
        <v>4</v>
      </c>
      <c r="H158" s="40">
        <v>0</v>
      </c>
      <c r="I158" s="40">
        <v>0</v>
      </c>
      <c r="J158" s="40">
        <v>60</v>
      </c>
      <c r="K158" s="11">
        <v>0</v>
      </c>
      <c r="L158" s="20">
        <v>340</v>
      </c>
      <c r="M158" s="25">
        <v>9.07</v>
      </c>
    </row>
    <row r="159" spans="1:13" ht="15.75" customHeight="1" x14ac:dyDescent="0.25">
      <c r="A159" s="40">
        <v>0</v>
      </c>
      <c r="B159" s="42">
        <v>0</v>
      </c>
      <c r="C159" s="40">
        <v>0</v>
      </c>
      <c r="D159" s="51">
        <v>742</v>
      </c>
      <c r="E159" s="42">
        <v>1114</v>
      </c>
      <c r="F159" s="42">
        <v>140</v>
      </c>
      <c r="G159" s="40">
        <v>4</v>
      </c>
      <c r="H159" s="40">
        <v>0</v>
      </c>
      <c r="I159" s="40">
        <v>0</v>
      </c>
      <c r="J159" s="40">
        <v>120</v>
      </c>
      <c r="K159" s="11">
        <v>0</v>
      </c>
      <c r="L159" s="20">
        <v>280</v>
      </c>
      <c r="M159" s="25">
        <v>5.89</v>
      </c>
    </row>
    <row r="160" spans="1:13" ht="15.75" customHeight="1" x14ac:dyDescent="0.3">
      <c r="A160" s="40">
        <v>39.25</v>
      </c>
      <c r="B160" s="42">
        <f>35/0.55</f>
        <v>63.636363636363633</v>
      </c>
      <c r="C160" s="47">
        <v>35</v>
      </c>
      <c r="D160" s="51">
        <v>737</v>
      </c>
      <c r="E160" s="42">
        <v>1106</v>
      </c>
      <c r="F160" s="42">
        <v>140</v>
      </c>
      <c r="G160" s="40">
        <v>4</v>
      </c>
      <c r="H160" s="40">
        <v>0</v>
      </c>
      <c r="I160" s="40">
        <v>0</v>
      </c>
      <c r="J160" s="40">
        <v>120</v>
      </c>
      <c r="K160" s="11">
        <v>0</v>
      </c>
      <c r="L160" s="20">
        <v>280</v>
      </c>
      <c r="M160" s="25">
        <v>6.53</v>
      </c>
    </row>
    <row r="161" spans="1:13" ht="15.75" customHeight="1" x14ac:dyDescent="0.25">
      <c r="A161" s="40">
        <v>78.5</v>
      </c>
      <c r="B161" s="42">
        <f>35/0.55</f>
        <v>63.636363636363633</v>
      </c>
      <c r="C161" s="40">
        <v>35</v>
      </c>
      <c r="D161" s="51">
        <v>732</v>
      </c>
      <c r="E161" s="42">
        <v>1097</v>
      </c>
      <c r="F161" s="42">
        <v>140</v>
      </c>
      <c r="G161" s="40">
        <v>4</v>
      </c>
      <c r="H161" s="40">
        <v>0</v>
      </c>
      <c r="I161" s="40">
        <v>0</v>
      </c>
      <c r="J161" s="40">
        <v>120</v>
      </c>
      <c r="K161" s="11">
        <v>0</v>
      </c>
      <c r="L161" s="20">
        <v>280</v>
      </c>
      <c r="M161" s="25">
        <v>6.45</v>
      </c>
    </row>
    <row r="162" spans="1:13" ht="15.75" customHeight="1" x14ac:dyDescent="0.3">
      <c r="A162" s="40">
        <v>117.75</v>
      </c>
      <c r="B162" s="42">
        <f>35/0.55</f>
        <v>63.636363636363633</v>
      </c>
      <c r="C162" s="47">
        <v>35</v>
      </c>
      <c r="D162" s="51">
        <v>726</v>
      </c>
      <c r="E162" s="42">
        <v>1090</v>
      </c>
      <c r="F162" s="42">
        <v>140</v>
      </c>
      <c r="G162" s="40">
        <v>4</v>
      </c>
      <c r="H162" s="40">
        <v>0</v>
      </c>
      <c r="I162" s="40">
        <v>0</v>
      </c>
      <c r="J162" s="40">
        <v>120</v>
      </c>
      <c r="K162" s="11">
        <v>0</v>
      </c>
      <c r="L162" s="20">
        <v>280</v>
      </c>
      <c r="M162" s="25">
        <v>8.69</v>
      </c>
    </row>
    <row r="163" spans="1:13" ht="15.75" customHeight="1" x14ac:dyDescent="0.25">
      <c r="A163" s="40">
        <v>20</v>
      </c>
      <c r="B163" s="42">
        <v>65</v>
      </c>
      <c r="C163" s="40">
        <v>60</v>
      </c>
      <c r="D163" s="51">
        <v>857.77</v>
      </c>
      <c r="E163" s="42">
        <v>1063.6400000000001</v>
      </c>
      <c r="F163" s="42">
        <v>188.71</v>
      </c>
      <c r="G163" s="40">
        <v>0</v>
      </c>
      <c r="H163" s="40">
        <v>0</v>
      </c>
      <c r="I163" s="40">
        <v>0</v>
      </c>
      <c r="J163" s="40">
        <v>0</v>
      </c>
      <c r="K163" s="11">
        <v>0</v>
      </c>
      <c r="L163" s="20">
        <v>343</v>
      </c>
      <c r="M163" s="25">
        <v>3.02</v>
      </c>
    </row>
    <row r="164" spans="1:13" ht="15.75" customHeight="1" x14ac:dyDescent="0.3">
      <c r="A164" s="40">
        <v>28</v>
      </c>
      <c r="B164" s="42">
        <v>65</v>
      </c>
      <c r="C164" s="47">
        <v>60</v>
      </c>
      <c r="D164" s="51">
        <v>857.77</v>
      </c>
      <c r="E164" s="42">
        <v>1063.6400000000001</v>
      </c>
      <c r="F164" s="42">
        <v>188.71</v>
      </c>
      <c r="G164" s="40">
        <v>0</v>
      </c>
      <c r="H164" s="40">
        <v>0</v>
      </c>
      <c r="I164" s="40">
        <v>0</v>
      </c>
      <c r="J164" s="40">
        <v>0</v>
      </c>
      <c r="K164" s="11">
        <v>0</v>
      </c>
      <c r="L164" s="20">
        <v>343</v>
      </c>
      <c r="M164" s="25">
        <v>2.84</v>
      </c>
    </row>
    <row r="165" spans="1:13" ht="15.75" customHeight="1" x14ac:dyDescent="0.25">
      <c r="A165" s="40">
        <v>46</v>
      </c>
      <c r="B165" s="42">
        <v>65</v>
      </c>
      <c r="C165" s="40">
        <v>60</v>
      </c>
      <c r="D165" s="51">
        <v>857.77</v>
      </c>
      <c r="E165" s="42">
        <v>1063.6400000000001</v>
      </c>
      <c r="F165" s="42">
        <v>188.71</v>
      </c>
      <c r="G165" s="40">
        <v>0</v>
      </c>
      <c r="H165" s="40">
        <v>0</v>
      </c>
      <c r="I165" s="40">
        <v>0</v>
      </c>
      <c r="J165" s="40">
        <v>0</v>
      </c>
      <c r="K165" s="11">
        <v>0</v>
      </c>
      <c r="L165" s="20">
        <v>343</v>
      </c>
      <c r="M165" s="25">
        <v>3.38</v>
      </c>
    </row>
    <row r="166" spans="1:13" ht="15.75" customHeight="1" x14ac:dyDescent="0.3">
      <c r="A166" s="40">
        <v>20</v>
      </c>
      <c r="B166" s="42">
        <v>80</v>
      </c>
      <c r="C166" s="47">
        <v>59.55</v>
      </c>
      <c r="D166" s="51">
        <v>857.77</v>
      </c>
      <c r="E166" s="42">
        <v>1063.6400000000001</v>
      </c>
      <c r="F166" s="42">
        <v>188.71</v>
      </c>
      <c r="G166" s="40">
        <v>0</v>
      </c>
      <c r="H166" s="40">
        <v>0</v>
      </c>
      <c r="I166" s="40">
        <v>0</v>
      </c>
      <c r="J166" s="40">
        <v>0</v>
      </c>
      <c r="K166" s="11">
        <v>0</v>
      </c>
      <c r="L166" s="20">
        <v>343</v>
      </c>
      <c r="M166" s="25">
        <v>3.01</v>
      </c>
    </row>
    <row r="167" spans="1:13" ht="15.75" customHeight="1" x14ac:dyDescent="0.25">
      <c r="A167" s="40">
        <v>28</v>
      </c>
      <c r="B167" s="42">
        <v>80</v>
      </c>
      <c r="C167" s="40">
        <v>59.55</v>
      </c>
      <c r="D167" s="51">
        <v>857.77</v>
      </c>
      <c r="E167" s="42">
        <v>1063.6400000000001</v>
      </c>
      <c r="F167" s="42">
        <v>188.71</v>
      </c>
      <c r="G167" s="40">
        <v>0</v>
      </c>
      <c r="H167" s="40">
        <v>0</v>
      </c>
      <c r="I167" s="40">
        <v>0</v>
      </c>
      <c r="J167" s="40">
        <v>0</v>
      </c>
      <c r="K167" s="11">
        <v>0</v>
      </c>
      <c r="L167" s="20">
        <v>343</v>
      </c>
      <c r="M167" s="25">
        <v>2.89</v>
      </c>
    </row>
    <row r="168" spans="1:13" ht="15.75" customHeight="1" x14ac:dyDescent="0.3">
      <c r="A168" s="40">
        <v>46</v>
      </c>
      <c r="B168" s="42">
        <v>80</v>
      </c>
      <c r="C168" s="47">
        <v>59.55</v>
      </c>
      <c r="D168" s="51">
        <v>857.77</v>
      </c>
      <c r="E168" s="42">
        <v>1063.6400000000001</v>
      </c>
      <c r="F168" s="42">
        <v>188.71</v>
      </c>
      <c r="G168" s="40">
        <v>0</v>
      </c>
      <c r="H168" s="40">
        <v>0</v>
      </c>
      <c r="I168" s="40">
        <v>0</v>
      </c>
      <c r="J168" s="40">
        <v>0</v>
      </c>
      <c r="K168" s="11">
        <v>0</v>
      </c>
      <c r="L168" s="20">
        <v>343</v>
      </c>
      <c r="M168" s="25">
        <v>3.25</v>
      </c>
    </row>
    <row r="169" spans="1:13" ht="15.75" customHeight="1" x14ac:dyDescent="0.25">
      <c r="A169" s="40">
        <v>0</v>
      </c>
      <c r="B169" s="42">
        <v>0</v>
      </c>
      <c r="C169" s="40">
        <v>0</v>
      </c>
      <c r="D169" s="51">
        <v>857.77</v>
      </c>
      <c r="E169" s="42">
        <v>1063.6400000000001</v>
      </c>
      <c r="F169" s="42">
        <v>188.71</v>
      </c>
      <c r="G169" s="40">
        <v>0</v>
      </c>
      <c r="H169" s="40">
        <v>0</v>
      </c>
      <c r="I169" s="40">
        <v>0</v>
      </c>
      <c r="J169" s="40">
        <v>0</v>
      </c>
      <c r="K169" s="11">
        <v>0</v>
      </c>
      <c r="L169" s="20">
        <v>343</v>
      </c>
      <c r="M169" s="25">
        <v>2.9</v>
      </c>
    </row>
    <row r="170" spans="1:13" ht="15.75" customHeight="1" x14ac:dyDescent="0.3">
      <c r="A170" s="40">
        <v>0</v>
      </c>
      <c r="B170" s="42">
        <v>0</v>
      </c>
      <c r="C170" s="47">
        <v>0</v>
      </c>
      <c r="D170" s="51">
        <v>711</v>
      </c>
      <c r="E170" s="42">
        <v>1006</v>
      </c>
      <c r="F170" s="42">
        <v>207</v>
      </c>
      <c r="G170" s="40">
        <v>0</v>
      </c>
      <c r="H170" s="40">
        <v>0</v>
      </c>
      <c r="I170" s="40">
        <v>0</v>
      </c>
      <c r="J170" s="40">
        <v>0</v>
      </c>
      <c r="K170" s="11">
        <v>0</v>
      </c>
      <c r="L170" s="20">
        <v>421</v>
      </c>
      <c r="M170" s="25">
        <v>3.76</v>
      </c>
    </row>
    <row r="171" spans="1:13" ht="15.75" customHeight="1" x14ac:dyDescent="0.25">
      <c r="A171" s="40">
        <v>78</v>
      </c>
      <c r="B171" s="42">
        <v>50</v>
      </c>
      <c r="C171" s="40">
        <v>34</v>
      </c>
      <c r="D171" s="51">
        <v>711</v>
      </c>
      <c r="E171" s="42">
        <v>1006</v>
      </c>
      <c r="F171" s="42">
        <v>207</v>
      </c>
      <c r="G171" s="40">
        <v>0</v>
      </c>
      <c r="H171" s="40">
        <v>0</v>
      </c>
      <c r="I171" s="40">
        <v>0</v>
      </c>
      <c r="J171" s="40">
        <v>0</v>
      </c>
      <c r="K171" s="11">
        <v>0</v>
      </c>
      <c r="L171" s="20">
        <v>421</v>
      </c>
      <c r="M171" s="25">
        <v>5.33</v>
      </c>
    </row>
    <row r="172" spans="1:13" ht="15.75" customHeight="1" x14ac:dyDescent="0.3">
      <c r="A172" s="40">
        <v>117</v>
      </c>
      <c r="B172" s="42">
        <v>50</v>
      </c>
      <c r="C172" s="47">
        <v>34</v>
      </c>
      <c r="D172" s="51">
        <v>711</v>
      </c>
      <c r="E172" s="42">
        <v>1006</v>
      </c>
      <c r="F172" s="42">
        <v>207</v>
      </c>
      <c r="G172" s="40">
        <v>0</v>
      </c>
      <c r="H172" s="40">
        <v>0</v>
      </c>
      <c r="I172" s="40">
        <v>0</v>
      </c>
      <c r="J172" s="40">
        <v>0</v>
      </c>
      <c r="K172" s="11">
        <v>0</v>
      </c>
      <c r="L172" s="20">
        <v>421</v>
      </c>
      <c r="M172" s="25">
        <v>5.48</v>
      </c>
    </row>
    <row r="173" spans="1:13" ht="15.75" customHeight="1" x14ac:dyDescent="0.25">
      <c r="A173" s="40">
        <v>156</v>
      </c>
      <c r="B173" s="42">
        <v>50</v>
      </c>
      <c r="C173" s="40">
        <v>34</v>
      </c>
      <c r="D173" s="51">
        <v>711</v>
      </c>
      <c r="E173" s="42">
        <v>1006</v>
      </c>
      <c r="F173" s="42">
        <v>207</v>
      </c>
      <c r="G173" s="40">
        <v>0</v>
      </c>
      <c r="H173" s="40">
        <v>0</v>
      </c>
      <c r="I173" s="40">
        <v>0</v>
      </c>
      <c r="J173" s="40">
        <v>0</v>
      </c>
      <c r="K173" s="11">
        <v>0</v>
      </c>
      <c r="L173" s="20">
        <v>421</v>
      </c>
      <c r="M173" s="25">
        <v>6.22</v>
      </c>
    </row>
    <row r="174" spans="1:13" ht="15.75" customHeight="1" x14ac:dyDescent="0.3">
      <c r="A174" s="40">
        <v>195</v>
      </c>
      <c r="B174" s="42">
        <v>50</v>
      </c>
      <c r="C174" s="47">
        <v>34</v>
      </c>
      <c r="D174" s="51">
        <v>711</v>
      </c>
      <c r="E174" s="42">
        <v>1006</v>
      </c>
      <c r="F174" s="42">
        <v>207</v>
      </c>
      <c r="G174" s="40">
        <v>0</v>
      </c>
      <c r="H174" s="40">
        <v>0</v>
      </c>
      <c r="I174" s="40">
        <v>0</v>
      </c>
      <c r="J174" s="40">
        <v>0</v>
      </c>
      <c r="K174" s="11">
        <v>0</v>
      </c>
      <c r="L174" s="20">
        <v>421</v>
      </c>
      <c r="M174" s="25">
        <v>5.28</v>
      </c>
    </row>
    <row r="175" spans="1:13" ht="15.75" customHeight="1" x14ac:dyDescent="0.25">
      <c r="A175" s="40">
        <v>78</v>
      </c>
      <c r="B175" s="42">
        <v>70</v>
      </c>
      <c r="C175" s="40">
        <v>47.6</v>
      </c>
      <c r="D175" s="51">
        <v>711</v>
      </c>
      <c r="E175" s="42">
        <v>1006</v>
      </c>
      <c r="F175" s="42">
        <v>207</v>
      </c>
      <c r="G175" s="40">
        <v>0</v>
      </c>
      <c r="H175" s="40">
        <v>0</v>
      </c>
      <c r="I175" s="40">
        <v>0</v>
      </c>
      <c r="J175" s="40">
        <v>0</v>
      </c>
      <c r="K175" s="11">
        <v>0</v>
      </c>
      <c r="L175" s="20">
        <v>421</v>
      </c>
      <c r="M175" s="25">
        <v>5.38</v>
      </c>
    </row>
    <row r="176" spans="1:13" ht="15.75" customHeight="1" x14ac:dyDescent="0.3">
      <c r="A176" s="40">
        <v>117</v>
      </c>
      <c r="B176" s="42">
        <v>70</v>
      </c>
      <c r="C176" s="47">
        <v>47.6</v>
      </c>
      <c r="D176" s="51">
        <v>711</v>
      </c>
      <c r="E176" s="42">
        <v>1006</v>
      </c>
      <c r="F176" s="42">
        <v>207</v>
      </c>
      <c r="G176" s="40">
        <v>0</v>
      </c>
      <c r="H176" s="40">
        <v>0</v>
      </c>
      <c r="I176" s="40">
        <v>0</v>
      </c>
      <c r="J176" s="40">
        <v>0</v>
      </c>
      <c r="K176" s="11">
        <v>0</v>
      </c>
      <c r="L176" s="20">
        <v>421</v>
      </c>
      <c r="M176" s="25">
        <v>4.4000000000000004</v>
      </c>
    </row>
    <row r="177" spans="1:13" ht="15.75" customHeight="1" x14ac:dyDescent="0.25">
      <c r="A177" s="40">
        <v>156</v>
      </c>
      <c r="B177" s="42">
        <v>70</v>
      </c>
      <c r="C177" s="40">
        <v>47.6</v>
      </c>
      <c r="D177" s="51">
        <v>711</v>
      </c>
      <c r="E177" s="42">
        <v>1006</v>
      </c>
      <c r="F177" s="42">
        <v>207</v>
      </c>
      <c r="G177" s="40">
        <v>0</v>
      </c>
      <c r="H177" s="40">
        <v>0</v>
      </c>
      <c r="I177" s="40">
        <v>0</v>
      </c>
      <c r="J177" s="40">
        <v>0</v>
      </c>
      <c r="K177" s="11">
        <v>0</v>
      </c>
      <c r="L177" s="20">
        <v>421</v>
      </c>
      <c r="M177" s="25">
        <v>6.55</v>
      </c>
    </row>
    <row r="178" spans="1:13" ht="15.75" customHeight="1" x14ac:dyDescent="0.3">
      <c r="A178" s="40">
        <v>195</v>
      </c>
      <c r="B178" s="42">
        <v>70</v>
      </c>
      <c r="C178" s="47">
        <v>47.6</v>
      </c>
      <c r="D178" s="51">
        <v>711</v>
      </c>
      <c r="E178" s="42">
        <v>1006</v>
      </c>
      <c r="F178" s="42">
        <v>207</v>
      </c>
      <c r="G178" s="40">
        <v>0</v>
      </c>
      <c r="H178" s="40">
        <v>0</v>
      </c>
      <c r="I178" s="40">
        <v>0</v>
      </c>
      <c r="J178" s="40">
        <v>0</v>
      </c>
      <c r="K178" s="11">
        <v>0</v>
      </c>
      <c r="L178" s="20">
        <v>421</v>
      </c>
      <c r="M178" s="25">
        <v>6.48</v>
      </c>
    </row>
    <row r="179" spans="1:13" ht="15.75" customHeight="1" x14ac:dyDescent="0.25">
      <c r="A179" s="40">
        <v>0</v>
      </c>
      <c r="B179" s="42">
        <v>0</v>
      </c>
      <c r="C179" s="40">
        <v>0</v>
      </c>
      <c r="D179" s="51">
        <v>785</v>
      </c>
      <c r="E179" s="42">
        <v>1120</v>
      </c>
      <c r="F179" s="42">
        <v>183</v>
      </c>
      <c r="G179" s="40">
        <v>1.905</v>
      </c>
      <c r="H179" s="40">
        <v>0</v>
      </c>
      <c r="I179" s="40">
        <v>0</v>
      </c>
      <c r="J179" s="40">
        <v>0</v>
      </c>
      <c r="K179" s="11">
        <v>0</v>
      </c>
      <c r="L179" s="20">
        <v>381</v>
      </c>
      <c r="M179" s="25">
        <v>5.05</v>
      </c>
    </row>
    <row r="180" spans="1:13" ht="15.75" customHeight="1" x14ac:dyDescent="0.3">
      <c r="A180" s="40">
        <v>20</v>
      </c>
      <c r="B180" s="42">
        <v>66.67</v>
      </c>
      <c r="C180" s="47">
        <v>50</v>
      </c>
      <c r="D180" s="51">
        <v>785</v>
      </c>
      <c r="E180" s="42">
        <v>1120</v>
      </c>
      <c r="F180" s="42">
        <v>183</v>
      </c>
      <c r="G180" s="40">
        <v>1.905</v>
      </c>
      <c r="H180" s="40">
        <v>0</v>
      </c>
      <c r="I180" s="40">
        <v>0</v>
      </c>
      <c r="J180" s="40">
        <v>0</v>
      </c>
      <c r="K180" s="11">
        <v>0</v>
      </c>
      <c r="L180" s="20">
        <v>381</v>
      </c>
      <c r="M180" s="25">
        <v>5.64</v>
      </c>
    </row>
    <row r="181" spans="1:13" ht="15.75" customHeight="1" x14ac:dyDescent="0.3">
      <c r="A181" s="40">
        <v>30</v>
      </c>
      <c r="B181" s="42">
        <v>66.67</v>
      </c>
      <c r="C181" s="47">
        <v>50</v>
      </c>
      <c r="D181" s="51">
        <v>785</v>
      </c>
      <c r="E181" s="42">
        <v>1120</v>
      </c>
      <c r="F181" s="42">
        <v>183</v>
      </c>
      <c r="G181" s="40">
        <v>1.905</v>
      </c>
      <c r="H181" s="40">
        <v>0</v>
      </c>
      <c r="I181" s="40">
        <v>0</v>
      </c>
      <c r="J181" s="40">
        <v>0</v>
      </c>
      <c r="K181" s="11">
        <v>0</v>
      </c>
      <c r="L181" s="20">
        <v>381</v>
      </c>
      <c r="M181" s="25">
        <v>5.0999999999999996</v>
      </c>
    </row>
    <row r="182" spans="1:13" ht="15.75" customHeight="1" x14ac:dyDescent="0.3">
      <c r="A182" s="40">
        <v>40</v>
      </c>
      <c r="B182" s="42">
        <v>66.67</v>
      </c>
      <c r="C182" s="47">
        <v>50</v>
      </c>
      <c r="D182" s="51">
        <v>785</v>
      </c>
      <c r="E182" s="42">
        <v>1120</v>
      </c>
      <c r="F182" s="42">
        <v>183</v>
      </c>
      <c r="G182" s="40">
        <v>1.905</v>
      </c>
      <c r="H182" s="40">
        <v>0</v>
      </c>
      <c r="I182" s="40">
        <v>0</v>
      </c>
      <c r="J182" s="40">
        <v>0</v>
      </c>
      <c r="K182" s="11">
        <v>0</v>
      </c>
      <c r="L182" s="20">
        <v>381</v>
      </c>
      <c r="M182" s="25">
        <v>5.29</v>
      </c>
    </row>
    <row r="183" spans="1:13" ht="15.75" customHeight="1" x14ac:dyDescent="0.25">
      <c r="A183" s="43">
        <v>0</v>
      </c>
      <c r="B183" s="48">
        <v>0</v>
      </c>
      <c r="C183" s="42">
        <v>0</v>
      </c>
      <c r="D183" s="40">
        <f>2*L183</f>
        <v>814</v>
      </c>
      <c r="E183" s="40">
        <f>3*L183</f>
        <v>1221</v>
      </c>
      <c r="F183" s="40">
        <f>0.45*L183</f>
        <v>183.15</v>
      </c>
      <c r="G183" s="40">
        <v>0</v>
      </c>
      <c r="H183" s="40">
        <v>0</v>
      </c>
      <c r="I183" s="40">
        <v>0</v>
      </c>
      <c r="J183" s="40">
        <v>0</v>
      </c>
      <c r="K183" s="9">
        <v>0</v>
      </c>
      <c r="L183" s="21">
        <v>407</v>
      </c>
      <c r="M183" s="26">
        <v>3.45</v>
      </c>
    </row>
    <row r="184" spans="1:13" ht="15.75" customHeight="1" x14ac:dyDescent="0.25">
      <c r="A184" s="43">
        <f>7850*0.005</f>
        <v>39.25</v>
      </c>
      <c r="B184" s="48">
        <f>25/0.53</f>
        <v>47.169811320754718</v>
      </c>
      <c r="C184" s="42">
        <v>25</v>
      </c>
      <c r="D184" s="40">
        <f>2*L184</f>
        <v>814</v>
      </c>
      <c r="E184" s="40">
        <f>3*L184</f>
        <v>1221</v>
      </c>
      <c r="F184" s="40">
        <f>0.45*L184</f>
        <v>183.15</v>
      </c>
      <c r="G184" s="40">
        <v>0</v>
      </c>
      <c r="H184" s="40">
        <v>0</v>
      </c>
      <c r="I184" s="40">
        <v>0</v>
      </c>
      <c r="J184" s="40">
        <v>0</v>
      </c>
      <c r="K184" s="9">
        <v>0</v>
      </c>
      <c r="L184" s="21">
        <v>407</v>
      </c>
      <c r="M184" s="26">
        <v>4.33</v>
      </c>
    </row>
    <row r="185" spans="1:13" ht="15.75" customHeight="1" x14ac:dyDescent="0.25">
      <c r="A185" s="43">
        <f>7850*0.01</f>
        <v>78.5</v>
      </c>
      <c r="B185" s="48">
        <f>25/0.53</f>
        <v>47.169811320754718</v>
      </c>
      <c r="C185" s="42">
        <v>25</v>
      </c>
      <c r="D185" s="40">
        <f>2*L185</f>
        <v>814</v>
      </c>
      <c r="E185" s="40">
        <f>3*L185</f>
        <v>1221</v>
      </c>
      <c r="F185" s="40">
        <f>0.45*L185</f>
        <v>183.15</v>
      </c>
      <c r="G185" s="40">
        <v>0</v>
      </c>
      <c r="H185" s="40">
        <v>0</v>
      </c>
      <c r="I185" s="40">
        <v>0</v>
      </c>
      <c r="J185" s="40">
        <v>0</v>
      </c>
      <c r="K185" s="9">
        <v>0</v>
      </c>
      <c r="L185" s="21">
        <v>407</v>
      </c>
      <c r="M185" s="26">
        <v>5.0999999999999996</v>
      </c>
    </row>
    <row r="186" spans="1:13" ht="15.75" customHeight="1" x14ac:dyDescent="0.25">
      <c r="A186" s="43">
        <f>7850*0.015</f>
        <v>117.75</v>
      </c>
      <c r="B186" s="48">
        <f>25/0.53</f>
        <v>47.169811320754718</v>
      </c>
      <c r="C186" s="42">
        <v>25</v>
      </c>
      <c r="D186" s="40">
        <f>2*L186</f>
        <v>814</v>
      </c>
      <c r="E186" s="40">
        <f>3*L186</f>
        <v>1221</v>
      </c>
      <c r="F186" s="40">
        <f>0.45*L186</f>
        <v>183.15</v>
      </c>
      <c r="G186" s="40">
        <v>0</v>
      </c>
      <c r="H186" s="40">
        <v>0</v>
      </c>
      <c r="I186" s="40">
        <v>0</v>
      </c>
      <c r="J186" s="40">
        <v>0</v>
      </c>
      <c r="K186" s="9">
        <v>0</v>
      </c>
      <c r="L186" s="21">
        <v>407</v>
      </c>
      <c r="M186" s="26">
        <v>5.73</v>
      </c>
    </row>
    <row r="187" spans="1:13" ht="15.75" customHeight="1" x14ac:dyDescent="0.25">
      <c r="A187" s="43">
        <v>0</v>
      </c>
      <c r="B187" s="48">
        <v>0</v>
      </c>
      <c r="C187" s="42">
        <v>0</v>
      </c>
      <c r="D187" s="40">
        <v>680</v>
      </c>
      <c r="E187" s="40">
        <v>1116</v>
      </c>
      <c r="F187" s="40">
        <v>140</v>
      </c>
      <c r="G187" s="40">
        <v>7.31</v>
      </c>
      <c r="H187" s="40">
        <v>61</v>
      </c>
      <c r="I187" s="40">
        <v>0</v>
      </c>
      <c r="J187" s="40">
        <v>0</v>
      </c>
      <c r="K187" s="9">
        <v>0</v>
      </c>
      <c r="L187" s="21">
        <v>584</v>
      </c>
      <c r="M187" s="26">
        <v>9.1999999999999993</v>
      </c>
    </row>
    <row r="188" spans="1:13" ht="15.75" customHeight="1" x14ac:dyDescent="0.25">
      <c r="A188" s="43">
        <v>80</v>
      </c>
      <c r="B188" s="48">
        <f>35/0.55</f>
        <v>63.636363636363633</v>
      </c>
      <c r="C188" s="42">
        <v>35</v>
      </c>
      <c r="D188" s="40">
        <v>721</v>
      </c>
      <c r="E188" s="40">
        <v>1089</v>
      </c>
      <c r="F188" s="40">
        <v>140</v>
      </c>
      <c r="G188" s="40">
        <v>7.28</v>
      </c>
      <c r="H188" s="40">
        <v>56</v>
      </c>
      <c r="I188" s="40">
        <v>0</v>
      </c>
      <c r="J188" s="40">
        <v>0</v>
      </c>
      <c r="K188" s="9">
        <v>0</v>
      </c>
      <c r="L188" s="21">
        <v>504</v>
      </c>
      <c r="M188" s="26">
        <v>10.9</v>
      </c>
    </row>
    <row r="189" spans="1:13" ht="15.75" customHeight="1" x14ac:dyDescent="0.25">
      <c r="A189" s="43">
        <v>100</v>
      </c>
      <c r="B189" s="48">
        <f>35/0.55</f>
        <v>63.636363636363633</v>
      </c>
      <c r="C189" s="42">
        <v>35</v>
      </c>
      <c r="D189" s="40">
        <v>726</v>
      </c>
      <c r="E189" s="40">
        <v>1067</v>
      </c>
      <c r="F189" s="40">
        <v>140</v>
      </c>
      <c r="G189" s="40">
        <v>7.84</v>
      </c>
      <c r="H189" s="40">
        <v>56</v>
      </c>
      <c r="I189" s="40">
        <v>0</v>
      </c>
      <c r="J189" s="40">
        <v>0</v>
      </c>
      <c r="K189" s="9">
        <v>0</v>
      </c>
      <c r="L189" s="21">
        <v>504</v>
      </c>
      <c r="M189" s="26">
        <v>12.3</v>
      </c>
    </row>
    <row r="190" spans="1:13" ht="15.75" customHeight="1" x14ac:dyDescent="0.25">
      <c r="A190" s="43">
        <v>120</v>
      </c>
      <c r="B190" s="48">
        <f>35/0.55</f>
        <v>63.636363636363633</v>
      </c>
      <c r="C190" s="42">
        <v>35</v>
      </c>
      <c r="D190" s="40">
        <v>750</v>
      </c>
      <c r="E190" s="40">
        <v>1044</v>
      </c>
      <c r="F190" s="40">
        <v>140</v>
      </c>
      <c r="G190" s="40">
        <v>7.84</v>
      </c>
      <c r="H190" s="40">
        <v>56</v>
      </c>
      <c r="I190" s="40">
        <v>0</v>
      </c>
      <c r="J190" s="40">
        <v>0</v>
      </c>
      <c r="K190" s="9">
        <v>0</v>
      </c>
      <c r="L190" s="21">
        <v>504</v>
      </c>
      <c r="M190" s="26">
        <v>13.1</v>
      </c>
    </row>
    <row r="191" spans="1:13" ht="15.75" customHeight="1" x14ac:dyDescent="0.3">
      <c r="A191" s="43">
        <v>0</v>
      </c>
      <c r="B191" s="48">
        <v>0</v>
      </c>
      <c r="C191" s="42">
        <v>0</v>
      </c>
      <c r="D191" s="40">
        <f t="shared" ref="D191:D197" si="18">1.35*L191</f>
        <v>705.68550000000005</v>
      </c>
      <c r="E191" s="42">
        <f t="shared" ref="E191:E197" si="19">2.12*L191</f>
        <v>1108.1876000000002</v>
      </c>
      <c r="F191" s="42">
        <f t="shared" ref="F191:F197" si="20">0.35*L191</f>
        <v>182.9555</v>
      </c>
      <c r="G191" s="40">
        <v>0</v>
      </c>
      <c r="H191" s="40">
        <v>0</v>
      </c>
      <c r="I191" s="40">
        <v>0</v>
      </c>
      <c r="J191" s="40">
        <v>0</v>
      </c>
      <c r="K191" s="9">
        <v>0</v>
      </c>
      <c r="L191" s="21">
        <v>522.73</v>
      </c>
      <c r="M191" s="28">
        <v>5.35</v>
      </c>
    </row>
    <row r="192" spans="1:13" ht="15.75" customHeight="1" x14ac:dyDescent="0.3">
      <c r="A192" s="43">
        <f>7800*0.01</f>
        <v>78</v>
      </c>
      <c r="B192" s="45">
        <f>50/1.24</f>
        <v>40.322580645161288</v>
      </c>
      <c r="C192" s="42">
        <v>50</v>
      </c>
      <c r="D192" s="40">
        <f t="shared" si="18"/>
        <v>705.68550000000005</v>
      </c>
      <c r="E192" s="42">
        <f t="shared" si="19"/>
        <v>1108.1876000000002</v>
      </c>
      <c r="F192" s="42">
        <f t="shared" si="20"/>
        <v>182.9555</v>
      </c>
      <c r="G192" s="40">
        <v>0</v>
      </c>
      <c r="H192" s="40">
        <v>0</v>
      </c>
      <c r="I192" s="40">
        <v>0</v>
      </c>
      <c r="J192" s="40">
        <v>0</v>
      </c>
      <c r="K192" s="9">
        <v>0</v>
      </c>
      <c r="L192" s="21">
        <v>522.73</v>
      </c>
      <c r="M192" s="28">
        <v>7.5</v>
      </c>
    </row>
    <row r="193" spans="1:13" ht="15.75" customHeight="1" x14ac:dyDescent="0.3">
      <c r="A193" s="43">
        <f>7800*0.01</f>
        <v>78</v>
      </c>
      <c r="B193" s="45">
        <f>25/1.24</f>
        <v>20.161290322580644</v>
      </c>
      <c r="C193" s="42">
        <v>25</v>
      </c>
      <c r="D193" s="40">
        <f t="shared" si="18"/>
        <v>705.68550000000005</v>
      </c>
      <c r="E193" s="42">
        <f t="shared" si="19"/>
        <v>1108.1876000000002</v>
      </c>
      <c r="F193" s="42">
        <f t="shared" si="20"/>
        <v>182.9555</v>
      </c>
      <c r="G193" s="40">
        <v>0</v>
      </c>
      <c r="H193" s="40">
        <v>0</v>
      </c>
      <c r="I193" s="40">
        <v>0</v>
      </c>
      <c r="J193" s="40">
        <v>0</v>
      </c>
      <c r="K193" s="9">
        <v>0</v>
      </c>
      <c r="L193" s="21">
        <v>522.73</v>
      </c>
      <c r="M193" s="28">
        <v>7.16</v>
      </c>
    </row>
    <row r="194" spans="1:13" ht="15.75" customHeight="1" x14ac:dyDescent="0.3">
      <c r="A194" s="43">
        <f>7800*0.015</f>
        <v>117</v>
      </c>
      <c r="B194" s="45">
        <f>50/1.24</f>
        <v>40.322580645161288</v>
      </c>
      <c r="C194" s="42">
        <v>50</v>
      </c>
      <c r="D194" s="40">
        <f t="shared" si="18"/>
        <v>705.68550000000005</v>
      </c>
      <c r="E194" s="42">
        <f t="shared" si="19"/>
        <v>1108.1876000000002</v>
      </c>
      <c r="F194" s="42">
        <f t="shared" si="20"/>
        <v>182.9555</v>
      </c>
      <c r="G194" s="40">
        <v>0</v>
      </c>
      <c r="H194" s="40">
        <v>0</v>
      </c>
      <c r="I194" s="40">
        <v>0</v>
      </c>
      <c r="J194" s="40">
        <v>0</v>
      </c>
      <c r="K194" s="9">
        <v>0</v>
      </c>
      <c r="L194" s="21">
        <v>522.73</v>
      </c>
      <c r="M194" s="28">
        <v>9.44</v>
      </c>
    </row>
    <row r="195" spans="1:13" ht="15.75" customHeight="1" x14ac:dyDescent="0.3">
      <c r="A195" s="43">
        <f>7800*0.015</f>
        <v>117</v>
      </c>
      <c r="B195" s="45">
        <f>25/1.24</f>
        <v>20.161290322580644</v>
      </c>
      <c r="C195" s="42">
        <v>25</v>
      </c>
      <c r="D195" s="40">
        <f t="shared" si="18"/>
        <v>705.68550000000005</v>
      </c>
      <c r="E195" s="42">
        <f t="shared" si="19"/>
        <v>1108.1876000000002</v>
      </c>
      <c r="F195" s="42">
        <f t="shared" si="20"/>
        <v>182.9555</v>
      </c>
      <c r="G195" s="40">
        <v>0</v>
      </c>
      <c r="H195" s="40">
        <v>0</v>
      </c>
      <c r="I195" s="40">
        <v>0</v>
      </c>
      <c r="J195" s="40">
        <v>0</v>
      </c>
      <c r="K195" s="9">
        <v>0</v>
      </c>
      <c r="L195" s="21">
        <v>522.73</v>
      </c>
      <c r="M195" s="28">
        <v>7.73</v>
      </c>
    </row>
    <row r="196" spans="1:13" ht="15.75" customHeight="1" x14ac:dyDescent="0.3">
      <c r="A196" s="43">
        <f>7800*0.02</f>
        <v>156</v>
      </c>
      <c r="B196" s="45">
        <f>50/1.24</f>
        <v>40.322580645161288</v>
      </c>
      <c r="C196" s="42">
        <v>50</v>
      </c>
      <c r="D196" s="40">
        <f t="shared" si="18"/>
        <v>705.68550000000005</v>
      </c>
      <c r="E196" s="42">
        <f t="shared" si="19"/>
        <v>1108.1876000000002</v>
      </c>
      <c r="F196" s="42">
        <f t="shared" si="20"/>
        <v>182.9555</v>
      </c>
      <c r="G196" s="40">
        <v>0</v>
      </c>
      <c r="H196" s="40">
        <v>0</v>
      </c>
      <c r="I196" s="40">
        <v>0</v>
      </c>
      <c r="J196" s="40">
        <v>0</v>
      </c>
      <c r="K196" s="9">
        <v>0</v>
      </c>
      <c r="L196" s="21">
        <v>522.73</v>
      </c>
      <c r="M196" s="28">
        <v>10.72</v>
      </c>
    </row>
    <row r="197" spans="1:13" ht="15.75" customHeight="1" x14ac:dyDescent="0.3">
      <c r="A197" s="43">
        <f>7800*0.02</f>
        <v>156</v>
      </c>
      <c r="B197" s="45">
        <f>25/1.24</f>
        <v>20.161290322580644</v>
      </c>
      <c r="C197" s="42">
        <v>25</v>
      </c>
      <c r="D197" s="40">
        <f t="shared" si="18"/>
        <v>705.68550000000005</v>
      </c>
      <c r="E197" s="42">
        <f t="shared" si="19"/>
        <v>1108.1876000000002</v>
      </c>
      <c r="F197" s="42">
        <f t="shared" si="20"/>
        <v>182.9555</v>
      </c>
      <c r="G197" s="40">
        <v>0</v>
      </c>
      <c r="H197" s="40">
        <v>0</v>
      </c>
      <c r="I197" s="40">
        <v>0</v>
      </c>
      <c r="J197" s="40">
        <v>0</v>
      </c>
      <c r="K197" s="9">
        <v>0</v>
      </c>
      <c r="L197" s="21">
        <v>522.73</v>
      </c>
      <c r="M197" s="28">
        <v>8.11</v>
      </c>
    </row>
    <row r="198" spans="1:13" ht="15.75" customHeight="1" x14ac:dyDescent="0.25">
      <c r="A198" s="43">
        <v>0</v>
      </c>
      <c r="B198" s="48">
        <v>0</v>
      </c>
      <c r="C198" s="42">
        <v>0</v>
      </c>
      <c r="D198" s="40">
        <v>664.5</v>
      </c>
      <c r="E198" s="40">
        <v>1181.3</v>
      </c>
      <c r="F198" s="40">
        <v>172</v>
      </c>
      <c r="G198" s="40">
        <v>2.7</v>
      </c>
      <c r="H198" s="40">
        <v>0</v>
      </c>
      <c r="I198" s="40">
        <v>0</v>
      </c>
      <c r="J198" s="40">
        <v>0</v>
      </c>
      <c r="K198" s="9">
        <v>0</v>
      </c>
      <c r="L198" s="21">
        <v>347.5</v>
      </c>
      <c r="M198" s="26">
        <v>5.2</v>
      </c>
    </row>
    <row r="199" spans="1:13" ht="15.75" customHeight="1" x14ac:dyDescent="0.25">
      <c r="A199" s="43">
        <v>39</v>
      </c>
      <c r="B199" s="48">
        <f>60/0.9</f>
        <v>66.666666666666671</v>
      </c>
      <c r="C199" s="42">
        <v>60</v>
      </c>
      <c r="D199" s="40">
        <v>674.3</v>
      </c>
      <c r="E199" s="40">
        <v>1159.5</v>
      </c>
      <c r="F199" s="40">
        <v>172</v>
      </c>
      <c r="G199" s="40">
        <v>2.7</v>
      </c>
      <c r="H199" s="40">
        <v>0</v>
      </c>
      <c r="I199" s="40">
        <v>0</v>
      </c>
      <c r="J199" s="40">
        <v>0</v>
      </c>
      <c r="K199" s="9">
        <v>0</v>
      </c>
      <c r="L199" s="21">
        <v>347.5</v>
      </c>
      <c r="M199" s="26">
        <v>5.9</v>
      </c>
    </row>
    <row r="200" spans="1:13" ht="15.75" customHeight="1" x14ac:dyDescent="0.25">
      <c r="A200" s="43">
        <v>58.9</v>
      </c>
      <c r="B200" s="48">
        <f>60/0.9</f>
        <v>66.666666666666671</v>
      </c>
      <c r="C200" s="42">
        <v>60</v>
      </c>
      <c r="D200" s="40">
        <v>679.2</v>
      </c>
      <c r="E200" s="40">
        <v>1148.5999999999999</v>
      </c>
      <c r="F200" s="40">
        <v>172</v>
      </c>
      <c r="G200" s="40">
        <v>2.7</v>
      </c>
      <c r="H200" s="40">
        <v>0</v>
      </c>
      <c r="I200" s="40">
        <v>0</v>
      </c>
      <c r="J200" s="40">
        <v>0</v>
      </c>
      <c r="K200" s="9">
        <v>0</v>
      </c>
      <c r="L200" s="21">
        <v>347.5</v>
      </c>
      <c r="M200" s="26">
        <v>6.85</v>
      </c>
    </row>
    <row r="201" spans="1:13" ht="15.75" customHeight="1" x14ac:dyDescent="0.25">
      <c r="A201" s="43">
        <v>78.5</v>
      </c>
      <c r="B201" s="48">
        <f>60/0.9</f>
        <v>66.666666666666671</v>
      </c>
      <c r="C201" s="42">
        <v>60</v>
      </c>
      <c r="D201" s="40">
        <v>684.9</v>
      </c>
      <c r="E201" s="40">
        <v>1137.8</v>
      </c>
      <c r="F201" s="40">
        <v>172</v>
      </c>
      <c r="G201" s="40">
        <v>2.7</v>
      </c>
      <c r="H201" s="40">
        <v>0</v>
      </c>
      <c r="I201" s="40">
        <v>0</v>
      </c>
      <c r="J201" s="40">
        <v>0</v>
      </c>
      <c r="K201" s="9">
        <v>0</v>
      </c>
      <c r="L201" s="21">
        <v>347.5</v>
      </c>
      <c r="M201" s="26">
        <v>8.4</v>
      </c>
    </row>
    <row r="202" spans="1:13" ht="15.75" customHeight="1" x14ac:dyDescent="0.25">
      <c r="A202" s="43">
        <v>117</v>
      </c>
      <c r="B202" s="48">
        <f>60/0.9</f>
        <v>66.666666666666671</v>
      </c>
      <c r="C202" s="42">
        <v>60</v>
      </c>
      <c r="D202" s="40">
        <v>693.7</v>
      </c>
      <c r="E202" s="40">
        <v>1115.0999999999999</v>
      </c>
      <c r="F202" s="40">
        <v>172</v>
      </c>
      <c r="G202" s="40">
        <v>2.7</v>
      </c>
      <c r="H202" s="40">
        <v>0</v>
      </c>
      <c r="I202" s="40">
        <v>0</v>
      </c>
      <c r="J202" s="40">
        <v>0</v>
      </c>
      <c r="K202" s="9">
        <v>0</v>
      </c>
      <c r="L202" s="21">
        <v>347.5</v>
      </c>
      <c r="M202" s="26">
        <v>9.6999999999999993</v>
      </c>
    </row>
    <row r="203" spans="1:13" ht="15.75" customHeight="1" x14ac:dyDescent="0.25">
      <c r="A203" s="43">
        <v>0</v>
      </c>
      <c r="B203" s="48">
        <v>0</v>
      </c>
      <c r="C203" s="42">
        <v>0</v>
      </c>
      <c r="D203" s="40">
        <v>660.8</v>
      </c>
      <c r="E203" s="40">
        <v>1078.2</v>
      </c>
      <c r="F203" s="40">
        <v>164</v>
      </c>
      <c r="G203" s="40">
        <v>4.9000000000000004</v>
      </c>
      <c r="H203" s="40">
        <v>0</v>
      </c>
      <c r="I203" s="40">
        <v>0</v>
      </c>
      <c r="J203" s="40">
        <v>0</v>
      </c>
      <c r="K203" s="9">
        <v>0</v>
      </c>
      <c r="L203" s="21">
        <v>451.8</v>
      </c>
      <c r="M203" s="26">
        <v>6.72</v>
      </c>
    </row>
    <row r="204" spans="1:13" ht="15.75" customHeight="1" x14ac:dyDescent="0.25">
      <c r="A204" s="43">
        <v>39</v>
      </c>
      <c r="B204" s="48">
        <f>60/0.9</f>
        <v>66.666666666666671</v>
      </c>
      <c r="C204" s="42">
        <v>60</v>
      </c>
      <c r="D204" s="40">
        <v>671.2</v>
      </c>
      <c r="E204" s="40">
        <v>1055.8</v>
      </c>
      <c r="F204" s="40">
        <v>164</v>
      </c>
      <c r="G204" s="40">
        <v>4.9000000000000004</v>
      </c>
      <c r="H204" s="40">
        <v>0</v>
      </c>
      <c r="I204" s="40">
        <v>0</v>
      </c>
      <c r="J204" s="40">
        <v>0</v>
      </c>
      <c r="K204" s="9">
        <v>0</v>
      </c>
      <c r="L204" s="21">
        <v>451.8</v>
      </c>
      <c r="M204" s="26">
        <v>7.05</v>
      </c>
    </row>
    <row r="205" spans="1:13" ht="15.75" customHeight="1" x14ac:dyDescent="0.25">
      <c r="A205" s="43">
        <v>58.9</v>
      </c>
      <c r="B205" s="48">
        <f>60/0.9</f>
        <v>66.666666666666671</v>
      </c>
      <c r="C205" s="42">
        <v>60</v>
      </c>
      <c r="D205" s="40">
        <v>681.5</v>
      </c>
      <c r="E205" s="40">
        <v>1033.5</v>
      </c>
      <c r="F205" s="40">
        <v>164</v>
      </c>
      <c r="G205" s="40">
        <v>4.9000000000000004</v>
      </c>
      <c r="H205" s="40">
        <v>0</v>
      </c>
      <c r="I205" s="40">
        <v>0</v>
      </c>
      <c r="J205" s="40">
        <v>0</v>
      </c>
      <c r="K205" s="9">
        <v>0</v>
      </c>
      <c r="L205" s="21">
        <v>451.8</v>
      </c>
      <c r="M205" s="26">
        <v>7.41</v>
      </c>
    </row>
    <row r="206" spans="1:13" ht="15.75" customHeight="1" x14ac:dyDescent="0.25">
      <c r="A206" s="43">
        <v>78.5</v>
      </c>
      <c r="B206" s="48">
        <f>60/0.9</f>
        <v>66.666666666666671</v>
      </c>
      <c r="C206" s="42">
        <v>60</v>
      </c>
      <c r="D206" s="40">
        <v>691.9</v>
      </c>
      <c r="E206" s="40">
        <v>1011.1</v>
      </c>
      <c r="F206" s="40">
        <v>164</v>
      </c>
      <c r="G206" s="40">
        <v>4.9000000000000004</v>
      </c>
      <c r="H206" s="40">
        <v>0</v>
      </c>
      <c r="I206" s="40">
        <v>0</v>
      </c>
      <c r="J206" s="40">
        <v>0</v>
      </c>
      <c r="K206" s="9">
        <v>0</v>
      </c>
      <c r="L206" s="21">
        <v>451.8</v>
      </c>
      <c r="M206" s="26">
        <v>9.7799999999999994</v>
      </c>
    </row>
    <row r="207" spans="1:13" ht="15.75" customHeight="1" x14ac:dyDescent="0.25">
      <c r="A207" s="43">
        <v>117</v>
      </c>
      <c r="B207" s="48">
        <f>60/0.9</f>
        <v>66.666666666666671</v>
      </c>
      <c r="C207" s="42">
        <v>60</v>
      </c>
      <c r="D207" s="40">
        <v>702.2</v>
      </c>
      <c r="E207" s="40">
        <v>988.8</v>
      </c>
      <c r="F207" s="40">
        <v>164</v>
      </c>
      <c r="G207" s="40">
        <v>4.9000000000000004</v>
      </c>
      <c r="H207" s="40">
        <v>0</v>
      </c>
      <c r="I207" s="40">
        <v>0</v>
      </c>
      <c r="J207" s="40">
        <v>0</v>
      </c>
      <c r="K207" s="9">
        <v>0</v>
      </c>
      <c r="L207" s="21">
        <v>451.8</v>
      </c>
      <c r="M207" s="26">
        <v>11.94</v>
      </c>
    </row>
    <row r="208" spans="1:13" ht="15.75" customHeight="1" x14ac:dyDescent="0.25">
      <c r="A208" s="43">
        <v>0</v>
      </c>
      <c r="B208" s="48">
        <v>0</v>
      </c>
      <c r="C208" s="42">
        <v>0</v>
      </c>
      <c r="D208" s="40">
        <f>378+691</f>
        <v>1069</v>
      </c>
      <c r="E208" s="40">
        <f>540+223</f>
        <v>763</v>
      </c>
      <c r="F208" s="40">
        <v>192</v>
      </c>
      <c r="G208" s="40">
        <v>4.9000000000000004</v>
      </c>
      <c r="H208" s="40">
        <v>0</v>
      </c>
      <c r="I208" s="40">
        <v>0</v>
      </c>
      <c r="J208" s="40">
        <v>0</v>
      </c>
      <c r="K208" s="9">
        <v>0</v>
      </c>
      <c r="L208" s="21">
        <v>325</v>
      </c>
      <c r="M208" s="26">
        <v>6.95</v>
      </c>
    </row>
    <row r="209" spans="1:13" ht="15.75" customHeight="1" x14ac:dyDescent="0.25">
      <c r="A209" s="43">
        <v>15</v>
      </c>
      <c r="B209" s="48">
        <f>30/0.5</f>
        <v>60</v>
      </c>
      <c r="C209" s="42">
        <v>30</v>
      </c>
      <c r="D209" s="40">
        <f>373+683</f>
        <v>1056</v>
      </c>
      <c r="E209" s="40">
        <f>533+220</f>
        <v>753</v>
      </c>
      <c r="F209" s="40">
        <v>192</v>
      </c>
      <c r="G209" s="40">
        <v>4.9000000000000004</v>
      </c>
      <c r="H209" s="40">
        <v>0</v>
      </c>
      <c r="I209" s="40">
        <v>0</v>
      </c>
      <c r="J209" s="40">
        <v>0</v>
      </c>
      <c r="K209" s="9">
        <v>0</v>
      </c>
      <c r="L209" s="21">
        <v>325</v>
      </c>
      <c r="M209" s="26">
        <v>7.78</v>
      </c>
    </row>
    <row r="210" spans="1:13" ht="15.75" customHeight="1" x14ac:dyDescent="0.25">
      <c r="A210" s="43">
        <v>30</v>
      </c>
      <c r="B210" s="48">
        <f>30/0.5</f>
        <v>60</v>
      </c>
      <c r="C210" s="42">
        <v>30</v>
      </c>
      <c r="D210" s="40">
        <f>375+685</f>
        <v>1060</v>
      </c>
      <c r="E210" s="40">
        <f>535+220</f>
        <v>755</v>
      </c>
      <c r="F210" s="40">
        <v>192</v>
      </c>
      <c r="G210" s="40">
        <v>4.9000000000000004</v>
      </c>
      <c r="H210" s="40">
        <v>0</v>
      </c>
      <c r="I210" s="40">
        <v>0</v>
      </c>
      <c r="J210" s="40">
        <v>0</v>
      </c>
      <c r="K210" s="9">
        <v>0</v>
      </c>
      <c r="L210" s="21">
        <v>325</v>
      </c>
      <c r="M210" s="26">
        <v>8.0500000000000007</v>
      </c>
    </row>
    <row r="211" spans="1:13" ht="15.75" customHeight="1" x14ac:dyDescent="0.25">
      <c r="A211" s="43">
        <v>45</v>
      </c>
      <c r="B211" s="48">
        <f>30/0.5</f>
        <v>60</v>
      </c>
      <c r="C211" s="42">
        <v>30</v>
      </c>
      <c r="D211" s="40">
        <f>372+680</f>
        <v>1052</v>
      </c>
      <c r="E211" s="40">
        <f>530+219</f>
        <v>749</v>
      </c>
      <c r="F211" s="40">
        <v>192</v>
      </c>
      <c r="G211" s="40">
        <v>4.9000000000000004</v>
      </c>
      <c r="H211" s="40">
        <v>0</v>
      </c>
      <c r="I211" s="40">
        <v>0</v>
      </c>
      <c r="J211" s="40">
        <v>0</v>
      </c>
      <c r="K211" s="9">
        <v>0</v>
      </c>
      <c r="L211" s="21">
        <v>325</v>
      </c>
      <c r="M211" s="26">
        <v>8.93</v>
      </c>
    </row>
    <row r="212" spans="1:13" ht="15.75" customHeight="1" x14ac:dyDescent="0.25">
      <c r="A212" s="43">
        <v>60</v>
      </c>
      <c r="B212" s="48">
        <f>30/0.5</f>
        <v>60</v>
      </c>
      <c r="C212" s="42">
        <v>30</v>
      </c>
      <c r="D212" s="40">
        <f>372+687</f>
        <v>1059</v>
      </c>
      <c r="E212" s="40">
        <f>532+220</f>
        <v>752</v>
      </c>
      <c r="F212" s="40">
        <v>192</v>
      </c>
      <c r="G212" s="40">
        <v>4.9000000000000004</v>
      </c>
      <c r="H212" s="40">
        <v>0</v>
      </c>
      <c r="I212" s="40">
        <v>0</v>
      </c>
      <c r="J212" s="40">
        <v>0</v>
      </c>
      <c r="K212" s="9">
        <v>0</v>
      </c>
      <c r="L212" s="21">
        <v>325</v>
      </c>
      <c r="M212" s="26">
        <v>9.32</v>
      </c>
    </row>
    <row r="213" spans="1:13" ht="15.75" customHeight="1" x14ac:dyDescent="0.25">
      <c r="A213" s="43">
        <v>15</v>
      </c>
      <c r="B213" s="48">
        <f>60/0.75</f>
        <v>80</v>
      </c>
      <c r="C213" s="42">
        <v>60</v>
      </c>
      <c r="D213" s="40">
        <f>376+688</f>
        <v>1064</v>
      </c>
      <c r="E213" s="40">
        <f>537+221</f>
        <v>758</v>
      </c>
      <c r="F213" s="40">
        <v>192</v>
      </c>
      <c r="G213" s="40">
        <v>4.9000000000000004</v>
      </c>
      <c r="H213" s="40">
        <v>0</v>
      </c>
      <c r="I213" s="40">
        <v>0</v>
      </c>
      <c r="J213" s="40">
        <v>0</v>
      </c>
      <c r="K213" s="9">
        <v>0</v>
      </c>
      <c r="L213" s="21">
        <v>325</v>
      </c>
      <c r="M213" s="26">
        <v>8.4499999999999993</v>
      </c>
    </row>
    <row r="214" spans="1:13" ht="15.75" customHeight="1" x14ac:dyDescent="0.25">
      <c r="A214" s="43">
        <v>30</v>
      </c>
      <c r="B214" s="48">
        <f>60/0.75</f>
        <v>80</v>
      </c>
      <c r="C214" s="42">
        <v>60</v>
      </c>
      <c r="D214" s="40">
        <f>375+685</f>
        <v>1060</v>
      </c>
      <c r="E214" s="40">
        <f>535+220</f>
        <v>755</v>
      </c>
      <c r="F214" s="40">
        <v>192</v>
      </c>
      <c r="G214" s="40">
        <v>4.9000000000000004</v>
      </c>
      <c r="H214" s="40">
        <v>0</v>
      </c>
      <c r="I214" s="40">
        <v>0</v>
      </c>
      <c r="J214" s="40">
        <v>0</v>
      </c>
      <c r="K214" s="9">
        <v>0</v>
      </c>
      <c r="L214" s="21">
        <v>325</v>
      </c>
      <c r="M214" s="26">
        <v>8.75</v>
      </c>
    </row>
    <row r="215" spans="1:13" ht="15.75" customHeight="1" x14ac:dyDescent="0.25">
      <c r="A215" s="43">
        <v>45</v>
      </c>
      <c r="B215" s="48">
        <f>60/0.75</f>
        <v>80</v>
      </c>
      <c r="C215" s="42">
        <v>60</v>
      </c>
      <c r="D215" s="40">
        <f>374+684</f>
        <v>1058</v>
      </c>
      <c r="E215" s="40">
        <f>533+220</f>
        <v>753</v>
      </c>
      <c r="F215" s="40">
        <v>192</v>
      </c>
      <c r="G215" s="40">
        <v>4.9000000000000004</v>
      </c>
      <c r="H215" s="40">
        <v>0</v>
      </c>
      <c r="I215" s="40">
        <v>0</v>
      </c>
      <c r="J215" s="40">
        <v>0</v>
      </c>
      <c r="K215" s="9">
        <v>0</v>
      </c>
      <c r="L215" s="21">
        <v>325</v>
      </c>
      <c r="M215" s="26">
        <v>9.2100000000000009</v>
      </c>
    </row>
    <row r="216" spans="1:13" ht="15.75" customHeight="1" x14ac:dyDescent="0.25">
      <c r="A216" s="43">
        <v>60</v>
      </c>
      <c r="B216" s="48">
        <f>60/0.75</f>
        <v>80</v>
      </c>
      <c r="C216" s="42">
        <v>60</v>
      </c>
      <c r="D216" s="40">
        <f>372+681</f>
        <v>1053</v>
      </c>
      <c r="E216" s="40">
        <f>531+219</f>
        <v>750</v>
      </c>
      <c r="F216" s="40">
        <v>192</v>
      </c>
      <c r="G216" s="40">
        <v>4.9000000000000004</v>
      </c>
      <c r="H216" s="40">
        <v>0</v>
      </c>
      <c r="I216" s="40">
        <v>0</v>
      </c>
      <c r="J216" s="40">
        <v>0</v>
      </c>
      <c r="K216" s="9">
        <v>0</v>
      </c>
      <c r="L216" s="21">
        <v>325</v>
      </c>
      <c r="M216" s="26">
        <v>9.7200000000000006</v>
      </c>
    </row>
    <row r="217" spans="1:13" ht="15.75" customHeight="1" x14ac:dyDescent="0.3">
      <c r="A217" s="43">
        <v>20</v>
      </c>
      <c r="B217" s="48">
        <f t="shared" ref="B217:B225" si="21">60/0.9</f>
        <v>66.666666666666671</v>
      </c>
      <c r="C217" s="42">
        <v>60</v>
      </c>
      <c r="D217" s="40">
        <v>871</v>
      </c>
      <c r="E217" s="40">
        <v>758</v>
      </c>
      <c r="F217" s="40">
        <v>222</v>
      </c>
      <c r="G217" s="40">
        <v>0</v>
      </c>
      <c r="H217" s="40">
        <v>0</v>
      </c>
      <c r="I217" s="40">
        <v>0</v>
      </c>
      <c r="J217" s="40">
        <v>0</v>
      </c>
      <c r="K217" s="9">
        <v>0</v>
      </c>
      <c r="L217" s="21">
        <v>418</v>
      </c>
      <c r="M217" s="28">
        <v>3.84</v>
      </c>
    </row>
    <row r="218" spans="1:13" ht="15.75" customHeight="1" x14ac:dyDescent="0.3">
      <c r="A218" s="43">
        <v>40</v>
      </c>
      <c r="B218" s="48">
        <f t="shared" si="21"/>
        <v>66.666666666666671</v>
      </c>
      <c r="C218" s="42">
        <v>60</v>
      </c>
      <c r="D218" s="40">
        <v>871</v>
      </c>
      <c r="E218" s="40">
        <v>758</v>
      </c>
      <c r="F218" s="40">
        <v>222</v>
      </c>
      <c r="G218" s="40">
        <v>0</v>
      </c>
      <c r="H218" s="40">
        <v>0</v>
      </c>
      <c r="I218" s="40">
        <v>0</v>
      </c>
      <c r="J218" s="40">
        <v>0</v>
      </c>
      <c r="K218" s="9">
        <v>0</v>
      </c>
      <c r="L218" s="21">
        <v>418</v>
      </c>
      <c r="M218" s="28">
        <v>4.3499999999999996</v>
      </c>
    </row>
    <row r="219" spans="1:13" ht="15.75" customHeight="1" x14ac:dyDescent="0.3">
      <c r="A219" s="43">
        <v>60</v>
      </c>
      <c r="B219" s="48">
        <f t="shared" si="21"/>
        <v>66.666666666666671</v>
      </c>
      <c r="C219" s="42">
        <v>60</v>
      </c>
      <c r="D219" s="40">
        <v>871</v>
      </c>
      <c r="E219" s="40">
        <v>758</v>
      </c>
      <c r="F219" s="40">
        <v>222</v>
      </c>
      <c r="G219" s="40">
        <v>0</v>
      </c>
      <c r="H219" s="40">
        <v>0</v>
      </c>
      <c r="I219" s="40">
        <v>0</v>
      </c>
      <c r="J219" s="40">
        <v>0</v>
      </c>
      <c r="K219" s="9">
        <v>0</v>
      </c>
      <c r="L219" s="21">
        <v>418</v>
      </c>
      <c r="M219" s="28">
        <v>4.91</v>
      </c>
    </row>
    <row r="220" spans="1:13" ht="15.75" customHeight="1" x14ac:dyDescent="0.3">
      <c r="A220" s="43">
        <v>80</v>
      </c>
      <c r="B220" s="48">
        <f t="shared" si="21"/>
        <v>66.666666666666671</v>
      </c>
      <c r="C220" s="42">
        <v>60</v>
      </c>
      <c r="D220" s="40">
        <v>871</v>
      </c>
      <c r="E220" s="40">
        <v>758</v>
      </c>
      <c r="F220" s="40">
        <v>222</v>
      </c>
      <c r="G220" s="40">
        <v>0</v>
      </c>
      <c r="H220" s="40">
        <v>0</v>
      </c>
      <c r="I220" s="40">
        <v>0</v>
      </c>
      <c r="J220" s="40">
        <v>0</v>
      </c>
      <c r="K220" s="9">
        <v>0</v>
      </c>
      <c r="L220" s="21">
        <v>418</v>
      </c>
      <c r="M220" s="28">
        <v>4.3099999999999996</v>
      </c>
    </row>
    <row r="221" spans="1:13" ht="15.75" customHeight="1" x14ac:dyDescent="0.3">
      <c r="A221" s="43">
        <v>40</v>
      </c>
      <c r="B221" s="48">
        <f t="shared" si="21"/>
        <v>66.666666666666671</v>
      </c>
      <c r="C221" s="42">
        <v>60</v>
      </c>
      <c r="D221" s="40">
        <v>971</v>
      </c>
      <c r="E221" s="40">
        <v>758</v>
      </c>
      <c r="F221" s="40">
        <v>222</v>
      </c>
      <c r="G221" s="40">
        <v>0</v>
      </c>
      <c r="H221" s="40">
        <v>0</v>
      </c>
      <c r="I221" s="40">
        <v>0</v>
      </c>
      <c r="J221" s="40">
        <v>0</v>
      </c>
      <c r="K221" s="9">
        <v>0</v>
      </c>
      <c r="L221" s="21">
        <v>299</v>
      </c>
      <c r="M221" s="28">
        <v>4.3099999999999996</v>
      </c>
    </row>
    <row r="222" spans="1:13" ht="15.75" customHeight="1" x14ac:dyDescent="0.3">
      <c r="A222" s="43">
        <v>20</v>
      </c>
      <c r="B222" s="48">
        <f t="shared" si="21"/>
        <v>66.666666666666671</v>
      </c>
      <c r="C222" s="42">
        <v>60</v>
      </c>
      <c r="D222" s="40">
        <v>730</v>
      </c>
      <c r="E222" s="40">
        <v>758</v>
      </c>
      <c r="F222" s="40">
        <v>223</v>
      </c>
      <c r="G222" s="40">
        <v>7.33</v>
      </c>
      <c r="H222" s="40">
        <v>0</v>
      </c>
      <c r="I222" s="40">
        <v>0</v>
      </c>
      <c r="J222" s="40">
        <v>0</v>
      </c>
      <c r="K222" s="9">
        <v>0</v>
      </c>
      <c r="L222" s="21">
        <v>584</v>
      </c>
      <c r="M222" s="28">
        <v>4.24</v>
      </c>
    </row>
    <row r="223" spans="1:13" ht="15.75" customHeight="1" x14ac:dyDescent="0.3">
      <c r="A223" s="43">
        <v>40</v>
      </c>
      <c r="B223" s="48">
        <f t="shared" si="21"/>
        <v>66.666666666666671</v>
      </c>
      <c r="C223" s="42">
        <v>60</v>
      </c>
      <c r="D223" s="40">
        <v>730</v>
      </c>
      <c r="E223" s="40">
        <v>758</v>
      </c>
      <c r="F223" s="40">
        <v>223</v>
      </c>
      <c r="G223" s="40">
        <v>7.33</v>
      </c>
      <c r="H223" s="40">
        <v>0</v>
      </c>
      <c r="I223" s="40">
        <v>0</v>
      </c>
      <c r="J223" s="40">
        <v>0</v>
      </c>
      <c r="K223" s="9">
        <v>0</v>
      </c>
      <c r="L223" s="21">
        <v>584</v>
      </c>
      <c r="M223" s="28">
        <v>5.03</v>
      </c>
    </row>
    <row r="224" spans="1:13" ht="15.75" customHeight="1" x14ac:dyDescent="0.3">
      <c r="A224" s="43">
        <v>60</v>
      </c>
      <c r="B224" s="48">
        <f t="shared" si="21"/>
        <v>66.666666666666671</v>
      </c>
      <c r="C224" s="42">
        <v>60</v>
      </c>
      <c r="D224" s="40">
        <v>730</v>
      </c>
      <c r="E224" s="40">
        <v>758</v>
      </c>
      <c r="F224" s="40">
        <v>223</v>
      </c>
      <c r="G224" s="40">
        <v>7.33</v>
      </c>
      <c r="H224" s="40">
        <v>0</v>
      </c>
      <c r="I224" s="40">
        <v>0</v>
      </c>
      <c r="J224" s="40">
        <v>0</v>
      </c>
      <c r="K224" s="9">
        <v>0</v>
      </c>
      <c r="L224" s="21">
        <v>584</v>
      </c>
      <c r="M224" s="28">
        <v>5.09</v>
      </c>
    </row>
    <row r="225" spans="1:13" ht="15.75" customHeight="1" x14ac:dyDescent="0.3">
      <c r="A225" s="43">
        <v>80</v>
      </c>
      <c r="B225" s="48">
        <f t="shared" si="21"/>
        <v>66.666666666666671</v>
      </c>
      <c r="C225" s="42">
        <v>60</v>
      </c>
      <c r="D225" s="40">
        <v>730</v>
      </c>
      <c r="E225" s="40">
        <v>758</v>
      </c>
      <c r="F225" s="40">
        <v>223</v>
      </c>
      <c r="G225" s="40">
        <v>7.33</v>
      </c>
      <c r="H225" s="40">
        <v>0</v>
      </c>
      <c r="I225" s="40">
        <v>0</v>
      </c>
      <c r="J225" s="40">
        <v>0</v>
      </c>
      <c r="K225" s="9">
        <v>0</v>
      </c>
      <c r="L225" s="21">
        <v>584</v>
      </c>
      <c r="M225" s="28">
        <v>5.79</v>
      </c>
    </row>
    <row r="226" spans="1:13" ht="15.75" customHeight="1" x14ac:dyDescent="0.3">
      <c r="A226" s="43">
        <v>40</v>
      </c>
      <c r="B226" s="48">
        <f>60/0.75</f>
        <v>80</v>
      </c>
      <c r="C226" s="42">
        <v>60</v>
      </c>
      <c r="D226" s="40">
        <v>730</v>
      </c>
      <c r="E226" s="40">
        <v>758</v>
      </c>
      <c r="F226" s="40">
        <v>223</v>
      </c>
      <c r="G226" s="40">
        <v>7.33</v>
      </c>
      <c r="H226" s="40">
        <v>0</v>
      </c>
      <c r="I226" s="40">
        <v>0</v>
      </c>
      <c r="J226" s="40">
        <v>0</v>
      </c>
      <c r="K226" s="9">
        <v>0</v>
      </c>
      <c r="L226" s="21">
        <v>584</v>
      </c>
      <c r="M226" s="28">
        <v>4.96</v>
      </c>
    </row>
    <row r="227" spans="1:13" ht="15.75" customHeight="1" x14ac:dyDescent="0.3">
      <c r="A227" s="43">
        <v>40</v>
      </c>
      <c r="B227" s="48">
        <f>35/0.55</f>
        <v>63.636363636363633</v>
      </c>
      <c r="C227" s="42">
        <v>60</v>
      </c>
      <c r="D227" s="40">
        <v>730</v>
      </c>
      <c r="E227" s="40">
        <v>758</v>
      </c>
      <c r="F227" s="40">
        <v>223</v>
      </c>
      <c r="G227" s="40">
        <v>7.33</v>
      </c>
      <c r="H227" s="40">
        <v>0</v>
      </c>
      <c r="I227" s="40">
        <v>0</v>
      </c>
      <c r="J227" s="40">
        <v>0</v>
      </c>
      <c r="K227" s="9">
        <v>0</v>
      </c>
      <c r="L227" s="21">
        <v>584</v>
      </c>
      <c r="M227" s="28">
        <v>4.9000000000000004</v>
      </c>
    </row>
    <row r="228" spans="1:13" ht="15.75" customHeight="1" x14ac:dyDescent="0.3">
      <c r="A228" s="43">
        <v>0</v>
      </c>
      <c r="B228" s="48">
        <v>0</v>
      </c>
      <c r="C228" s="42">
        <v>0</v>
      </c>
      <c r="D228" s="40">
        <v>835</v>
      </c>
      <c r="E228" s="40">
        <f>665+382</f>
        <v>1047</v>
      </c>
      <c r="F228" s="40">
        <f>0.38*L228</f>
        <v>152</v>
      </c>
      <c r="G228" s="40">
        <v>4</v>
      </c>
      <c r="H228" s="40">
        <v>0</v>
      </c>
      <c r="I228" s="40">
        <v>0</v>
      </c>
      <c r="J228" s="40">
        <v>0</v>
      </c>
      <c r="K228" s="17">
        <v>0</v>
      </c>
      <c r="L228" s="21">
        <v>400</v>
      </c>
      <c r="M228" s="28">
        <v>5.7</v>
      </c>
    </row>
    <row r="229" spans="1:13" ht="15.75" customHeight="1" x14ac:dyDescent="0.3">
      <c r="A229" s="43">
        <f>0.005*7850</f>
        <v>39.25</v>
      </c>
      <c r="B229" s="42">
        <f>40/0.615</f>
        <v>65.040650406504071</v>
      </c>
      <c r="C229" s="42">
        <v>40</v>
      </c>
      <c r="D229" s="40">
        <v>835</v>
      </c>
      <c r="E229" s="40">
        <f>665+382</f>
        <v>1047</v>
      </c>
      <c r="F229" s="40">
        <f>0.38*L229</f>
        <v>152</v>
      </c>
      <c r="G229" s="40">
        <v>4</v>
      </c>
      <c r="H229" s="40">
        <v>0</v>
      </c>
      <c r="I229" s="40">
        <v>0</v>
      </c>
      <c r="J229" s="40">
        <v>0</v>
      </c>
      <c r="K229" s="17">
        <v>0</v>
      </c>
      <c r="L229" s="21">
        <v>400</v>
      </c>
      <c r="M229" s="28">
        <v>5.9</v>
      </c>
    </row>
    <row r="230" spans="1:13" ht="15.75" customHeight="1" x14ac:dyDescent="0.3">
      <c r="A230" s="43">
        <f>0.01*7850</f>
        <v>78.5</v>
      </c>
      <c r="B230" s="42">
        <f>40/0.615</f>
        <v>65.040650406504071</v>
      </c>
      <c r="C230" s="42">
        <v>40</v>
      </c>
      <c r="D230" s="40">
        <v>835</v>
      </c>
      <c r="E230" s="40">
        <f>665+382</f>
        <v>1047</v>
      </c>
      <c r="F230" s="40">
        <f>0.38*L230</f>
        <v>152</v>
      </c>
      <c r="G230" s="40">
        <v>4</v>
      </c>
      <c r="H230" s="40">
        <v>0</v>
      </c>
      <c r="I230" s="40">
        <v>0</v>
      </c>
      <c r="J230" s="40">
        <v>0</v>
      </c>
      <c r="K230" s="17">
        <v>0</v>
      </c>
      <c r="L230" s="21">
        <v>400</v>
      </c>
      <c r="M230" s="28">
        <v>6.69</v>
      </c>
    </row>
    <row r="231" spans="1:13" ht="15.75" customHeight="1" x14ac:dyDescent="0.3">
      <c r="A231" s="43">
        <f>0.005*7850</f>
        <v>39.25</v>
      </c>
      <c r="B231" s="48">
        <f>60/0.75</f>
        <v>80</v>
      </c>
      <c r="C231" s="42">
        <v>60</v>
      </c>
      <c r="D231" s="40">
        <v>835</v>
      </c>
      <c r="E231" s="40">
        <f>665+382</f>
        <v>1047</v>
      </c>
      <c r="F231" s="40">
        <f>0.38*L231</f>
        <v>152</v>
      </c>
      <c r="G231" s="40">
        <v>4</v>
      </c>
      <c r="H231" s="40">
        <v>0</v>
      </c>
      <c r="I231" s="40">
        <v>0</v>
      </c>
      <c r="J231" s="40">
        <v>0</v>
      </c>
      <c r="K231" s="17">
        <v>0</v>
      </c>
      <c r="L231" s="21">
        <v>400</v>
      </c>
      <c r="M231" s="28">
        <v>6.1</v>
      </c>
    </row>
    <row r="232" spans="1:13" ht="15.75" customHeight="1" x14ac:dyDescent="0.3">
      <c r="A232" s="48">
        <v>0</v>
      </c>
      <c r="B232" s="42">
        <v>0</v>
      </c>
      <c r="C232" s="42">
        <v>0</v>
      </c>
      <c r="D232" s="40">
        <f>521+516</f>
        <v>1037</v>
      </c>
      <c r="E232" s="52">
        <v>656</v>
      </c>
      <c r="F232" s="40">
        <v>158.5</v>
      </c>
      <c r="G232" s="40">
        <v>10.95</v>
      </c>
      <c r="H232" s="40">
        <v>0</v>
      </c>
      <c r="I232" s="40">
        <v>0</v>
      </c>
      <c r="J232" s="40">
        <v>0</v>
      </c>
      <c r="K232" s="17">
        <v>0</v>
      </c>
      <c r="L232" s="21">
        <v>438</v>
      </c>
      <c r="M232" s="28">
        <v>5.94</v>
      </c>
    </row>
    <row r="233" spans="1:13" ht="15.75" customHeight="1" x14ac:dyDescent="0.3">
      <c r="A233" s="43">
        <f>0.005*7850</f>
        <v>39.25</v>
      </c>
      <c r="B233" s="42">
        <f>30/0.65</f>
        <v>46.153846153846153</v>
      </c>
      <c r="C233" s="42">
        <v>30</v>
      </c>
      <c r="D233" s="40">
        <f>517+512</f>
        <v>1029</v>
      </c>
      <c r="E233" s="52">
        <v>651</v>
      </c>
      <c r="F233" s="40">
        <v>158.69999999999999</v>
      </c>
      <c r="G233" s="40">
        <v>10.95</v>
      </c>
      <c r="H233" s="40">
        <v>0</v>
      </c>
      <c r="I233" s="40">
        <v>0</v>
      </c>
      <c r="J233" s="40">
        <v>0</v>
      </c>
      <c r="K233" s="17">
        <v>0</v>
      </c>
      <c r="L233" s="21">
        <v>438</v>
      </c>
      <c r="M233" s="28">
        <v>6.14</v>
      </c>
    </row>
    <row r="234" spans="1:13" ht="15.75" customHeight="1" x14ac:dyDescent="0.3">
      <c r="A234" s="43">
        <f>0.01*7850</f>
        <v>78.5</v>
      </c>
      <c r="B234" s="42">
        <f>30/0.65</f>
        <v>46.153846153846153</v>
      </c>
      <c r="C234" s="42">
        <v>30</v>
      </c>
      <c r="D234" s="40">
        <f>513+508</f>
        <v>1021</v>
      </c>
      <c r="E234" s="52">
        <v>646</v>
      </c>
      <c r="F234" s="40">
        <v>159</v>
      </c>
      <c r="G234" s="40">
        <v>10.95</v>
      </c>
      <c r="H234" s="40">
        <v>0</v>
      </c>
      <c r="I234" s="40">
        <v>0</v>
      </c>
      <c r="J234" s="40">
        <v>0</v>
      </c>
      <c r="K234" s="17">
        <v>0</v>
      </c>
      <c r="L234" s="21">
        <v>438</v>
      </c>
      <c r="M234" s="28">
        <v>6.31</v>
      </c>
    </row>
    <row r="235" spans="1:13" ht="15.75" customHeight="1" x14ac:dyDescent="0.3">
      <c r="A235" s="43">
        <f>0.015*7850</f>
        <v>117.75</v>
      </c>
      <c r="B235" s="42">
        <f>30/0.65</f>
        <v>46.153846153846153</v>
      </c>
      <c r="C235" s="42">
        <v>30</v>
      </c>
      <c r="D235" s="40">
        <f>510+505</f>
        <v>1015</v>
      </c>
      <c r="E235" s="52">
        <v>641</v>
      </c>
      <c r="F235" s="40">
        <v>159</v>
      </c>
      <c r="G235" s="40">
        <v>10.95</v>
      </c>
      <c r="H235" s="40">
        <v>0</v>
      </c>
      <c r="I235" s="40">
        <v>0</v>
      </c>
      <c r="J235" s="40">
        <v>0</v>
      </c>
      <c r="K235" s="17">
        <v>0</v>
      </c>
      <c r="L235" s="21">
        <v>438</v>
      </c>
      <c r="M235" s="28">
        <v>7.75</v>
      </c>
    </row>
    <row r="236" spans="1:13" ht="15.75" customHeight="1" x14ac:dyDescent="0.3">
      <c r="A236" s="43">
        <f>0.005*7850</f>
        <v>39.25</v>
      </c>
      <c r="B236" s="42">
        <f>60/0.9</f>
        <v>66.666666666666671</v>
      </c>
      <c r="C236" s="42">
        <v>60</v>
      </c>
      <c r="D236" s="40">
        <f>517+512</f>
        <v>1029</v>
      </c>
      <c r="E236" s="52">
        <v>651</v>
      </c>
      <c r="F236" s="40">
        <v>158.69999999999999</v>
      </c>
      <c r="G236" s="40">
        <v>10.95</v>
      </c>
      <c r="H236" s="40">
        <v>0</v>
      </c>
      <c r="I236" s="40">
        <v>0</v>
      </c>
      <c r="J236" s="40">
        <v>0</v>
      </c>
      <c r="K236" s="17">
        <v>0</v>
      </c>
      <c r="L236" s="21">
        <v>438</v>
      </c>
      <c r="M236" s="28">
        <v>6.24</v>
      </c>
    </row>
    <row r="237" spans="1:13" ht="15.75" customHeight="1" x14ac:dyDescent="0.3">
      <c r="A237" s="43">
        <f>0.01*7850</f>
        <v>78.5</v>
      </c>
      <c r="B237" s="42">
        <f>60/0.9</f>
        <v>66.666666666666671</v>
      </c>
      <c r="C237" s="42">
        <v>60</v>
      </c>
      <c r="D237" s="40">
        <f>513+508</f>
        <v>1021</v>
      </c>
      <c r="E237" s="52">
        <v>646</v>
      </c>
      <c r="F237" s="40">
        <v>159</v>
      </c>
      <c r="G237" s="40">
        <v>10.95</v>
      </c>
      <c r="H237" s="40">
        <v>0</v>
      </c>
      <c r="I237" s="40">
        <v>0</v>
      </c>
      <c r="J237" s="40">
        <v>0</v>
      </c>
      <c r="K237" s="17">
        <v>0</v>
      </c>
      <c r="L237" s="21">
        <v>438</v>
      </c>
      <c r="M237" s="28">
        <v>8.08</v>
      </c>
    </row>
    <row r="238" spans="1:13" ht="15.75" customHeight="1" x14ac:dyDescent="0.3">
      <c r="A238" s="43">
        <f>0.015*7850</f>
        <v>117.75</v>
      </c>
      <c r="B238" s="42">
        <f>60/0.9</f>
        <v>66.666666666666671</v>
      </c>
      <c r="C238" s="42">
        <v>60</v>
      </c>
      <c r="D238" s="40">
        <f>510+505</f>
        <v>1015</v>
      </c>
      <c r="E238" s="52">
        <v>641</v>
      </c>
      <c r="F238" s="40">
        <v>159</v>
      </c>
      <c r="G238" s="40">
        <v>10.95</v>
      </c>
      <c r="H238" s="40">
        <v>0</v>
      </c>
      <c r="I238" s="40">
        <v>0</v>
      </c>
      <c r="J238" s="40">
        <v>0</v>
      </c>
      <c r="K238" s="17">
        <v>0</v>
      </c>
      <c r="L238" s="21">
        <v>438</v>
      </c>
      <c r="M238" s="28">
        <v>9.33</v>
      </c>
    </row>
    <row r="239" spans="1:13" ht="15.75" customHeight="1" x14ac:dyDescent="0.3">
      <c r="A239" s="43">
        <f>0.005*7850</f>
        <v>39.25</v>
      </c>
      <c r="B239" s="42">
        <f>60/0.75</f>
        <v>80</v>
      </c>
      <c r="C239" s="42">
        <v>60</v>
      </c>
      <c r="D239" s="40">
        <f>517+512</f>
        <v>1029</v>
      </c>
      <c r="E239" s="52">
        <v>651</v>
      </c>
      <c r="F239" s="40">
        <v>158.69999999999999</v>
      </c>
      <c r="G239" s="40">
        <v>10.95</v>
      </c>
      <c r="H239" s="40">
        <v>0</v>
      </c>
      <c r="I239" s="40">
        <v>0</v>
      </c>
      <c r="J239" s="40">
        <v>0</v>
      </c>
      <c r="K239" s="17">
        <v>0</v>
      </c>
      <c r="L239" s="21">
        <v>438</v>
      </c>
      <c r="M239" s="28">
        <v>6.42</v>
      </c>
    </row>
    <row r="240" spans="1:13" ht="15.75" customHeight="1" x14ac:dyDescent="0.3">
      <c r="A240" s="43">
        <f>0.01*7850</f>
        <v>78.5</v>
      </c>
      <c r="B240" s="42">
        <f>60/0.75</f>
        <v>80</v>
      </c>
      <c r="C240" s="42">
        <v>60</v>
      </c>
      <c r="D240" s="40">
        <f>513+508</f>
        <v>1021</v>
      </c>
      <c r="E240" s="52">
        <v>646</v>
      </c>
      <c r="F240" s="40">
        <v>159</v>
      </c>
      <c r="G240" s="40">
        <v>10.95</v>
      </c>
      <c r="H240" s="40">
        <v>0</v>
      </c>
      <c r="I240" s="40">
        <v>0</v>
      </c>
      <c r="J240" s="40">
        <v>0</v>
      </c>
      <c r="K240" s="17">
        <v>0</v>
      </c>
      <c r="L240" s="21">
        <v>438</v>
      </c>
      <c r="M240" s="28">
        <v>9.74</v>
      </c>
    </row>
    <row r="241" spans="1:13" ht="15.75" customHeight="1" x14ac:dyDescent="0.3">
      <c r="A241" s="43">
        <f>0.015*7850</f>
        <v>117.75</v>
      </c>
      <c r="B241" s="42">
        <f>60/0.75</f>
        <v>80</v>
      </c>
      <c r="C241" s="42">
        <v>60</v>
      </c>
      <c r="D241" s="40">
        <f>510+505</f>
        <v>1015</v>
      </c>
      <c r="E241" s="52">
        <v>641</v>
      </c>
      <c r="F241" s="40">
        <v>159</v>
      </c>
      <c r="G241" s="40">
        <v>10.95</v>
      </c>
      <c r="H241" s="40">
        <v>0</v>
      </c>
      <c r="I241" s="40">
        <v>0</v>
      </c>
      <c r="J241" s="40">
        <v>0</v>
      </c>
      <c r="K241" s="17">
        <v>0</v>
      </c>
      <c r="L241" s="21">
        <v>438</v>
      </c>
      <c r="M241" s="28">
        <v>10.76</v>
      </c>
    </row>
    <row r="242" spans="1:13" ht="15.75" customHeight="1" x14ac:dyDescent="0.25">
      <c r="A242" s="33">
        <v>0</v>
      </c>
      <c r="B242" s="44">
        <v>0</v>
      </c>
      <c r="C242" s="23">
        <v>0</v>
      </c>
      <c r="D242" s="40">
        <f t="shared" ref="D242:D251" si="22">350*2.28</f>
        <v>797.99999999999989</v>
      </c>
      <c r="E242" s="40">
        <f t="shared" ref="E242:E251" si="23">350*3.08</f>
        <v>1078</v>
      </c>
      <c r="F242" s="40">
        <f t="shared" ref="F242:F251" si="24">350*0.45</f>
        <v>157.5</v>
      </c>
      <c r="G242" s="39">
        <f t="shared" ref="G242:G251" si="25">0.0012*L242</f>
        <v>0.42</v>
      </c>
      <c r="H242" s="40">
        <v>0</v>
      </c>
      <c r="I242" s="40">
        <v>0</v>
      </c>
      <c r="J242" s="40">
        <v>0</v>
      </c>
      <c r="K242" s="11">
        <v>0</v>
      </c>
      <c r="L242" s="10">
        <v>350</v>
      </c>
      <c r="M242" s="25">
        <v>4.3499999999999996</v>
      </c>
    </row>
    <row r="243" spans="1:13" ht="15.75" customHeight="1" x14ac:dyDescent="0.25">
      <c r="A243" s="33">
        <v>39</v>
      </c>
      <c r="B243" s="44">
        <f>40/0.62</f>
        <v>64.516129032258064</v>
      </c>
      <c r="C243" s="23">
        <v>40</v>
      </c>
      <c r="D243" s="40">
        <f t="shared" si="22"/>
        <v>797.99999999999989</v>
      </c>
      <c r="E243" s="40">
        <f t="shared" si="23"/>
        <v>1078</v>
      </c>
      <c r="F243" s="40">
        <f t="shared" si="24"/>
        <v>157.5</v>
      </c>
      <c r="G243" s="39">
        <f t="shared" si="25"/>
        <v>0.42</v>
      </c>
      <c r="H243" s="40">
        <v>0</v>
      </c>
      <c r="I243" s="40">
        <v>0</v>
      </c>
      <c r="J243" s="40">
        <v>0</v>
      </c>
      <c r="K243" s="11">
        <v>0</v>
      </c>
      <c r="L243" s="10">
        <v>350</v>
      </c>
      <c r="M243" s="25">
        <v>4.51</v>
      </c>
    </row>
    <row r="244" spans="1:13" ht="15.75" customHeight="1" x14ac:dyDescent="0.25">
      <c r="A244" s="33">
        <v>78</v>
      </c>
      <c r="B244" s="44">
        <f>40/0.62</f>
        <v>64.516129032258064</v>
      </c>
      <c r="C244" s="23">
        <v>40</v>
      </c>
      <c r="D244" s="40">
        <f t="shared" si="22"/>
        <v>797.99999999999989</v>
      </c>
      <c r="E244" s="40">
        <f t="shared" si="23"/>
        <v>1078</v>
      </c>
      <c r="F244" s="40">
        <f t="shared" si="24"/>
        <v>157.5</v>
      </c>
      <c r="G244" s="39">
        <f t="shared" si="25"/>
        <v>0.42</v>
      </c>
      <c r="H244" s="40">
        <v>0</v>
      </c>
      <c r="I244" s="40">
        <v>0</v>
      </c>
      <c r="J244" s="40">
        <v>0</v>
      </c>
      <c r="K244" s="11">
        <v>0</v>
      </c>
      <c r="L244" s="10">
        <v>350</v>
      </c>
      <c r="M244" s="25">
        <v>5.41</v>
      </c>
    </row>
    <row r="245" spans="1:13" ht="15.75" customHeight="1" x14ac:dyDescent="0.25">
      <c r="A245" s="33">
        <f>78+39</f>
        <v>117</v>
      </c>
      <c r="B245" s="44">
        <f>40/0.62</f>
        <v>64.516129032258064</v>
      </c>
      <c r="C245" s="23">
        <v>40</v>
      </c>
      <c r="D245" s="40">
        <f t="shared" si="22"/>
        <v>797.99999999999989</v>
      </c>
      <c r="E245" s="40">
        <f t="shared" si="23"/>
        <v>1078</v>
      </c>
      <c r="F245" s="40">
        <f t="shared" si="24"/>
        <v>157.5</v>
      </c>
      <c r="G245" s="39">
        <f t="shared" si="25"/>
        <v>0.42</v>
      </c>
      <c r="H245" s="40">
        <v>0</v>
      </c>
      <c r="I245" s="40">
        <v>0</v>
      </c>
      <c r="J245" s="40">
        <v>0</v>
      </c>
      <c r="K245" s="11">
        <v>0</v>
      </c>
      <c r="L245" s="10">
        <v>350</v>
      </c>
      <c r="M245" s="25">
        <v>9.75</v>
      </c>
    </row>
    <row r="246" spans="1:13" ht="15.75" customHeight="1" x14ac:dyDescent="0.25">
      <c r="A246" s="33">
        <v>39</v>
      </c>
      <c r="B246" s="44">
        <f>50/0.62</f>
        <v>80.645161290322577</v>
      </c>
      <c r="C246" s="23">
        <v>50</v>
      </c>
      <c r="D246" s="40">
        <f t="shared" si="22"/>
        <v>797.99999999999989</v>
      </c>
      <c r="E246" s="40">
        <f t="shared" si="23"/>
        <v>1078</v>
      </c>
      <c r="F246" s="40">
        <f t="shared" si="24"/>
        <v>157.5</v>
      </c>
      <c r="G246" s="39">
        <f t="shared" si="25"/>
        <v>0.42</v>
      </c>
      <c r="H246" s="40">
        <v>0</v>
      </c>
      <c r="I246" s="40">
        <v>0</v>
      </c>
      <c r="J246" s="40">
        <v>0</v>
      </c>
      <c r="K246" s="11">
        <v>0</v>
      </c>
      <c r="L246" s="10">
        <v>350</v>
      </c>
      <c r="M246" s="25">
        <v>5.43</v>
      </c>
    </row>
    <row r="247" spans="1:13" ht="15.75" customHeight="1" x14ac:dyDescent="0.25">
      <c r="A247" s="33">
        <v>78</v>
      </c>
      <c r="B247" s="44">
        <f>50/0.62</f>
        <v>80.645161290322577</v>
      </c>
      <c r="C247" s="23">
        <v>50</v>
      </c>
      <c r="D247" s="40">
        <f t="shared" si="22"/>
        <v>797.99999999999989</v>
      </c>
      <c r="E247" s="40">
        <f t="shared" si="23"/>
        <v>1078</v>
      </c>
      <c r="F247" s="40">
        <f t="shared" si="24"/>
        <v>157.5</v>
      </c>
      <c r="G247" s="39">
        <f t="shared" si="25"/>
        <v>0.42</v>
      </c>
      <c r="H247" s="40">
        <v>0</v>
      </c>
      <c r="I247" s="40">
        <v>0</v>
      </c>
      <c r="J247" s="40">
        <v>0</v>
      </c>
      <c r="K247" s="11">
        <v>0</v>
      </c>
      <c r="L247" s="10">
        <v>350</v>
      </c>
      <c r="M247" s="25">
        <v>7.31</v>
      </c>
    </row>
    <row r="248" spans="1:13" ht="15.75" customHeight="1" x14ac:dyDescent="0.25">
      <c r="A248" s="33">
        <f>78+39</f>
        <v>117</v>
      </c>
      <c r="B248" s="44">
        <f>50/0.62</f>
        <v>80.645161290322577</v>
      </c>
      <c r="C248" s="23">
        <v>50</v>
      </c>
      <c r="D248" s="40">
        <f t="shared" si="22"/>
        <v>797.99999999999989</v>
      </c>
      <c r="E248" s="40">
        <f t="shared" si="23"/>
        <v>1078</v>
      </c>
      <c r="F248" s="40">
        <f t="shared" si="24"/>
        <v>157.5</v>
      </c>
      <c r="G248" s="39">
        <f t="shared" si="25"/>
        <v>0.42</v>
      </c>
      <c r="H248" s="40">
        <v>0</v>
      </c>
      <c r="I248" s="40">
        <v>0</v>
      </c>
      <c r="J248" s="40">
        <v>0</v>
      </c>
      <c r="K248" s="11">
        <v>0</v>
      </c>
      <c r="L248" s="10">
        <v>350</v>
      </c>
      <c r="M248" s="25">
        <v>9.93</v>
      </c>
    </row>
    <row r="249" spans="1:13" ht="15.75" customHeight="1" x14ac:dyDescent="0.25">
      <c r="A249" s="33">
        <v>39</v>
      </c>
      <c r="B249" s="44">
        <f>60/0.75</f>
        <v>80</v>
      </c>
      <c r="C249" s="23">
        <v>60</v>
      </c>
      <c r="D249" s="40">
        <f t="shared" si="22"/>
        <v>797.99999999999989</v>
      </c>
      <c r="E249" s="40">
        <f t="shared" si="23"/>
        <v>1078</v>
      </c>
      <c r="F249" s="40">
        <f t="shared" si="24"/>
        <v>157.5</v>
      </c>
      <c r="G249" s="39">
        <f t="shared" si="25"/>
        <v>0.42</v>
      </c>
      <c r="H249" s="40">
        <v>0</v>
      </c>
      <c r="I249" s="40">
        <v>0</v>
      </c>
      <c r="J249" s="40">
        <v>0</v>
      </c>
      <c r="K249" s="11">
        <v>0</v>
      </c>
      <c r="L249" s="10">
        <v>350</v>
      </c>
      <c r="M249" s="25">
        <v>5.93</v>
      </c>
    </row>
    <row r="250" spans="1:13" ht="15.75" customHeight="1" x14ac:dyDescent="0.25">
      <c r="A250" s="33">
        <v>78</v>
      </c>
      <c r="B250" s="44">
        <f>60/0.75</f>
        <v>80</v>
      </c>
      <c r="C250" s="23">
        <v>60</v>
      </c>
      <c r="D250" s="40">
        <f t="shared" si="22"/>
        <v>797.99999999999989</v>
      </c>
      <c r="E250" s="40">
        <f t="shared" si="23"/>
        <v>1078</v>
      </c>
      <c r="F250" s="40">
        <f t="shared" si="24"/>
        <v>157.5</v>
      </c>
      <c r="G250" s="39">
        <f t="shared" si="25"/>
        <v>0.42</v>
      </c>
      <c r="H250" s="40">
        <v>0</v>
      </c>
      <c r="I250" s="40">
        <v>0</v>
      </c>
      <c r="J250" s="40">
        <v>0</v>
      </c>
      <c r="K250" s="11">
        <v>0</v>
      </c>
      <c r="L250" s="10">
        <v>350</v>
      </c>
      <c r="M250" s="25">
        <v>9.1999999999999993</v>
      </c>
    </row>
    <row r="251" spans="1:13" ht="15.75" customHeight="1" thickBot="1" x14ac:dyDescent="0.3">
      <c r="A251" s="33">
        <f>78+39</f>
        <v>117</v>
      </c>
      <c r="B251" s="44">
        <f>60/0.75</f>
        <v>80</v>
      </c>
      <c r="C251" s="23">
        <v>60</v>
      </c>
      <c r="D251" s="40">
        <f t="shared" si="22"/>
        <v>797.99999999999989</v>
      </c>
      <c r="E251" s="40">
        <f t="shared" si="23"/>
        <v>1078</v>
      </c>
      <c r="F251" s="40">
        <f t="shared" si="24"/>
        <v>157.5</v>
      </c>
      <c r="G251" s="39">
        <f t="shared" si="25"/>
        <v>0.42</v>
      </c>
      <c r="H251" s="40">
        <v>0</v>
      </c>
      <c r="I251" s="40">
        <v>0</v>
      </c>
      <c r="J251" s="40">
        <v>0</v>
      </c>
      <c r="K251" s="11">
        <v>0</v>
      </c>
      <c r="L251" s="10">
        <v>350</v>
      </c>
      <c r="M251" s="25">
        <v>9.6</v>
      </c>
    </row>
    <row r="252" spans="1:13" ht="15.75" customHeight="1" x14ac:dyDescent="0.25">
      <c r="A252" s="54">
        <v>0</v>
      </c>
      <c r="B252" s="55">
        <v>0</v>
      </c>
      <c r="C252" s="53">
        <v>0</v>
      </c>
      <c r="D252" s="53">
        <f>189+484.44</f>
        <v>673.44</v>
      </c>
      <c r="E252" s="53">
        <f>531.32+648</f>
        <v>1179.3200000000002</v>
      </c>
      <c r="F252" s="53">
        <v>185</v>
      </c>
      <c r="G252" s="53">
        <v>2.06</v>
      </c>
      <c r="H252" s="53">
        <v>0</v>
      </c>
      <c r="I252" s="53">
        <v>0</v>
      </c>
      <c r="J252" s="53">
        <v>0</v>
      </c>
      <c r="K252" s="53">
        <v>0</v>
      </c>
      <c r="L252" s="53">
        <v>308</v>
      </c>
      <c r="M252" s="55">
        <v>4.3600000000000003</v>
      </c>
    </row>
    <row r="253" spans="1:13" ht="15.75" customHeight="1" x14ac:dyDescent="0.25">
      <c r="A253" s="57">
        <v>28</v>
      </c>
      <c r="B253" s="32">
        <f>60/0.9</f>
        <v>66.666666666666671</v>
      </c>
      <c r="C253" s="56">
        <v>60</v>
      </c>
      <c r="D253" s="56">
        <f t="shared" ref="D253:D256" si="26">189+484.44</f>
        <v>673.44</v>
      </c>
      <c r="E253" s="30">
        <f t="shared" ref="E253:E256" si="27">531.32+648</f>
        <v>1179.3200000000002</v>
      </c>
      <c r="F253" s="56">
        <v>185</v>
      </c>
      <c r="G253" s="56">
        <v>2.06</v>
      </c>
      <c r="H253" s="56">
        <v>0</v>
      </c>
      <c r="I253" s="56">
        <v>0</v>
      </c>
      <c r="J253" s="56">
        <v>0</v>
      </c>
      <c r="K253" s="56">
        <v>0</v>
      </c>
      <c r="L253" s="56">
        <v>308</v>
      </c>
      <c r="M253" s="32">
        <v>4.8689999999999998</v>
      </c>
    </row>
    <row r="254" spans="1:13" ht="15.75" customHeight="1" x14ac:dyDescent="0.25">
      <c r="A254" s="57">
        <v>28</v>
      </c>
      <c r="B254" s="32">
        <v>40</v>
      </c>
      <c r="C254" s="56">
        <v>40</v>
      </c>
      <c r="D254" s="56">
        <f t="shared" si="26"/>
        <v>673.44</v>
      </c>
      <c r="E254" s="30">
        <f t="shared" si="27"/>
        <v>1179.3200000000002</v>
      </c>
      <c r="F254" s="56">
        <v>185</v>
      </c>
      <c r="G254" s="56">
        <v>2.06</v>
      </c>
      <c r="H254" s="56">
        <v>0</v>
      </c>
      <c r="I254" s="56">
        <v>0</v>
      </c>
      <c r="J254" s="56">
        <v>0</v>
      </c>
      <c r="K254" s="56">
        <v>0</v>
      </c>
      <c r="L254" s="56">
        <v>308</v>
      </c>
      <c r="M254" s="32">
        <v>4.8559999999999999</v>
      </c>
    </row>
    <row r="255" spans="1:13" ht="15.75" customHeight="1" x14ac:dyDescent="0.25">
      <c r="A255" s="57">
        <v>28</v>
      </c>
      <c r="B255" s="32">
        <f>29/1</f>
        <v>29</v>
      </c>
      <c r="C255" s="56">
        <v>29</v>
      </c>
      <c r="D255" s="56">
        <f t="shared" si="26"/>
        <v>673.44</v>
      </c>
      <c r="E255" s="30">
        <f t="shared" si="27"/>
        <v>1179.3200000000002</v>
      </c>
      <c r="F255" s="56">
        <v>185</v>
      </c>
      <c r="G255" s="56">
        <v>2.06</v>
      </c>
      <c r="H255" s="56">
        <v>0</v>
      </c>
      <c r="I255" s="56">
        <v>0</v>
      </c>
      <c r="J255" s="56">
        <v>0</v>
      </c>
      <c r="K255" s="56">
        <v>0</v>
      </c>
      <c r="L255" s="56">
        <v>308</v>
      </c>
      <c r="M255" s="32">
        <v>4.194</v>
      </c>
    </row>
    <row r="256" spans="1:13" ht="15.75" customHeight="1" x14ac:dyDescent="0.25">
      <c r="A256" s="57">
        <v>27</v>
      </c>
      <c r="B256" s="32">
        <f>25/0.5</f>
        <v>50</v>
      </c>
      <c r="C256" s="56">
        <v>25</v>
      </c>
      <c r="D256" s="56">
        <f t="shared" si="26"/>
        <v>673.44</v>
      </c>
      <c r="E256" s="30">
        <f t="shared" si="27"/>
        <v>1179.3200000000002</v>
      </c>
      <c r="F256" s="56">
        <v>185</v>
      </c>
      <c r="G256" s="56">
        <v>2.06</v>
      </c>
      <c r="H256" s="56">
        <v>0</v>
      </c>
      <c r="I256" s="56">
        <v>0</v>
      </c>
      <c r="J256" s="56">
        <v>0</v>
      </c>
      <c r="K256" s="56">
        <v>0</v>
      </c>
      <c r="L256" s="56">
        <v>308</v>
      </c>
      <c r="M256" s="32">
        <v>4.4880000000000004</v>
      </c>
    </row>
    <row r="257" spans="1:13" ht="15.75" customHeight="1" x14ac:dyDescent="0.25">
      <c r="A257" s="57">
        <v>0</v>
      </c>
      <c r="B257" s="32">
        <v>0</v>
      </c>
      <c r="C257" s="56">
        <v>0</v>
      </c>
      <c r="D257" s="32">
        <f>68.2*(1/0.065)</f>
        <v>1049.2307692307693</v>
      </c>
      <c r="E257" s="56">
        <f>49.4*(1/0.065)</f>
        <v>759.99999999999989</v>
      </c>
      <c r="F257" s="56">
        <f>15*(1/0.065)</f>
        <v>230.76923076923075</v>
      </c>
      <c r="G257" s="31">
        <f>1.21*45*(1/0.065)/1000</f>
        <v>0.83769230769230751</v>
      </c>
      <c r="H257" s="56">
        <v>0</v>
      </c>
      <c r="I257" s="56">
        <v>0</v>
      </c>
      <c r="J257" s="56">
        <v>0</v>
      </c>
      <c r="K257" s="56">
        <v>0</v>
      </c>
      <c r="L257" s="32">
        <f>22*(1/0.065)</f>
        <v>338.46153846153845</v>
      </c>
      <c r="M257" s="32">
        <v>6.4</v>
      </c>
    </row>
    <row r="258" spans="1:13" ht="15.75" customHeight="1" x14ac:dyDescent="0.25">
      <c r="A258" s="57">
        <f>0.005*7850</f>
        <v>39.25</v>
      </c>
      <c r="B258" s="32">
        <f>60/0.75</f>
        <v>80</v>
      </c>
      <c r="C258" s="56">
        <v>60</v>
      </c>
      <c r="D258" s="32">
        <f t="shared" ref="D258:D261" si="28">68.2*(1/0.065)</f>
        <v>1049.2307692307693</v>
      </c>
      <c r="E258" s="56">
        <f t="shared" ref="E258:E261" si="29">49.4*(1/0.065)</f>
        <v>759.99999999999989</v>
      </c>
      <c r="F258" s="56">
        <f t="shared" ref="F258:F261" si="30">15*(1/0.065)</f>
        <v>230.76923076923075</v>
      </c>
      <c r="G258" s="31">
        <f t="shared" ref="G258:G261" si="31">1.21*45*(1/0.065)/1000</f>
        <v>0.83769230769230751</v>
      </c>
      <c r="H258" s="56">
        <v>0</v>
      </c>
      <c r="I258" s="56">
        <v>0</v>
      </c>
      <c r="J258" s="56">
        <v>0</v>
      </c>
      <c r="K258" s="56">
        <v>0</v>
      </c>
      <c r="L258" s="32">
        <f t="shared" ref="L258:L261" si="32">22*(1/0.065)</f>
        <v>338.46153846153845</v>
      </c>
      <c r="M258" s="32">
        <v>7.1</v>
      </c>
    </row>
    <row r="259" spans="1:13" ht="15.75" customHeight="1" x14ac:dyDescent="0.25">
      <c r="A259" s="57">
        <f>0.0075*7850</f>
        <v>58.875</v>
      </c>
      <c r="B259" s="32">
        <f t="shared" ref="B259:B261" si="33">60/0.75</f>
        <v>80</v>
      </c>
      <c r="C259" s="56">
        <v>60</v>
      </c>
      <c r="D259" s="32">
        <f t="shared" si="28"/>
        <v>1049.2307692307693</v>
      </c>
      <c r="E259" s="56">
        <f t="shared" si="29"/>
        <v>759.99999999999989</v>
      </c>
      <c r="F259" s="56">
        <f t="shared" si="30"/>
        <v>230.76923076923075</v>
      </c>
      <c r="G259" s="31">
        <f t="shared" si="31"/>
        <v>0.83769230769230751</v>
      </c>
      <c r="H259" s="56">
        <v>0</v>
      </c>
      <c r="I259" s="56">
        <v>0</v>
      </c>
      <c r="J259" s="56">
        <v>0</v>
      </c>
      <c r="K259" s="56">
        <v>0</v>
      </c>
      <c r="L259" s="32">
        <f t="shared" si="32"/>
        <v>338.46153846153845</v>
      </c>
      <c r="M259" s="32">
        <v>7.3</v>
      </c>
    </row>
    <row r="260" spans="1:13" ht="15.75" customHeight="1" x14ac:dyDescent="0.25">
      <c r="A260" s="57">
        <f>0.01*7850</f>
        <v>78.5</v>
      </c>
      <c r="B260" s="32">
        <f t="shared" si="33"/>
        <v>80</v>
      </c>
      <c r="C260" s="56">
        <v>60</v>
      </c>
      <c r="D260" s="32">
        <f t="shared" si="28"/>
        <v>1049.2307692307693</v>
      </c>
      <c r="E260" s="56">
        <f t="shared" si="29"/>
        <v>759.99999999999989</v>
      </c>
      <c r="F260" s="56">
        <f t="shared" si="30"/>
        <v>230.76923076923075</v>
      </c>
      <c r="G260" s="31">
        <f t="shared" si="31"/>
        <v>0.83769230769230751</v>
      </c>
      <c r="H260" s="56">
        <v>0</v>
      </c>
      <c r="I260" s="56">
        <v>0</v>
      </c>
      <c r="J260" s="56">
        <v>0</v>
      </c>
      <c r="K260" s="56">
        <v>0</v>
      </c>
      <c r="L260" s="32">
        <f t="shared" si="32"/>
        <v>338.46153846153845</v>
      </c>
      <c r="M260" s="32">
        <v>7.8</v>
      </c>
    </row>
    <row r="261" spans="1:13" ht="15.75" customHeight="1" x14ac:dyDescent="0.25">
      <c r="A261" s="57">
        <f>0.0125*7850</f>
        <v>98.125</v>
      </c>
      <c r="B261" s="32">
        <f t="shared" si="33"/>
        <v>80</v>
      </c>
      <c r="C261" s="56">
        <v>60</v>
      </c>
      <c r="D261" s="32">
        <f t="shared" si="28"/>
        <v>1049.2307692307693</v>
      </c>
      <c r="E261" s="56">
        <f t="shared" si="29"/>
        <v>759.99999999999989</v>
      </c>
      <c r="F261" s="56">
        <f t="shared" si="30"/>
        <v>230.76923076923075</v>
      </c>
      <c r="G261" s="31">
        <f t="shared" si="31"/>
        <v>0.83769230769230751</v>
      </c>
      <c r="H261" s="56">
        <v>0</v>
      </c>
      <c r="I261" s="56">
        <v>0</v>
      </c>
      <c r="J261" s="56">
        <v>0</v>
      </c>
      <c r="K261" s="56">
        <v>0</v>
      </c>
      <c r="L261" s="32">
        <f t="shared" si="32"/>
        <v>338.46153846153845</v>
      </c>
      <c r="M261" s="31">
        <v>7.9</v>
      </c>
    </row>
    <row r="262" spans="1:13" ht="15.75" customHeight="1" x14ac:dyDescent="0.25">
      <c r="A262" s="58">
        <v>0</v>
      </c>
      <c r="B262" s="58">
        <v>0</v>
      </c>
      <c r="C262" s="58">
        <v>0</v>
      </c>
      <c r="D262" s="30">
        <f>1*L262</f>
        <v>557</v>
      </c>
      <c r="E262" s="30">
        <f>2*L262</f>
        <v>1114</v>
      </c>
      <c r="F262" s="30">
        <f>0.37*L262</f>
        <v>206.09</v>
      </c>
      <c r="G262" s="31">
        <f>0.02*L262</f>
        <v>11.14</v>
      </c>
      <c r="H262" s="56">
        <v>0</v>
      </c>
      <c r="I262" s="56">
        <v>0</v>
      </c>
      <c r="J262" s="56">
        <v>0</v>
      </c>
      <c r="K262" s="56">
        <v>0</v>
      </c>
      <c r="L262" s="30">
        <v>557</v>
      </c>
      <c r="M262" s="31">
        <v>5.64</v>
      </c>
    </row>
    <row r="263" spans="1:13" ht="15.75" customHeight="1" x14ac:dyDescent="0.25">
      <c r="A263" s="58">
        <f>0.005*7850</f>
        <v>39.25</v>
      </c>
      <c r="B263" s="31">
        <f>60/0.8</f>
        <v>75</v>
      </c>
      <c r="C263" s="30">
        <v>60</v>
      </c>
      <c r="D263" s="30">
        <f>1*L263</f>
        <v>557</v>
      </c>
      <c r="E263" s="30">
        <f t="shared" ref="E263:E264" si="34">2*L263</f>
        <v>1114</v>
      </c>
      <c r="F263" s="30">
        <f t="shared" ref="F263:F264" si="35">0.37*L263</f>
        <v>206.09</v>
      </c>
      <c r="G263" s="31">
        <f t="shared" ref="G263:G264" si="36">0.02*L263</f>
        <v>11.14</v>
      </c>
      <c r="H263" s="56">
        <v>0</v>
      </c>
      <c r="I263" s="56">
        <v>0</v>
      </c>
      <c r="J263" s="56">
        <v>0</v>
      </c>
      <c r="K263" s="56">
        <v>0</v>
      </c>
      <c r="L263" s="30">
        <v>557</v>
      </c>
      <c r="M263" s="31">
        <v>5.88</v>
      </c>
    </row>
    <row r="264" spans="1:13" ht="15.75" customHeight="1" x14ac:dyDescent="0.25">
      <c r="A264" s="58">
        <f>0.01*7850</f>
        <v>78.5</v>
      </c>
      <c r="B264" s="31">
        <f>60/0.8</f>
        <v>75</v>
      </c>
      <c r="C264" s="30">
        <v>60</v>
      </c>
      <c r="D264" s="30">
        <f>1*L264</f>
        <v>557</v>
      </c>
      <c r="E264" s="30">
        <f t="shared" si="34"/>
        <v>1114</v>
      </c>
      <c r="F264" s="30">
        <f t="shared" si="35"/>
        <v>206.09</v>
      </c>
      <c r="G264" s="31">
        <f t="shared" si="36"/>
        <v>11.14</v>
      </c>
      <c r="H264" s="56">
        <v>0</v>
      </c>
      <c r="I264" s="56">
        <v>0</v>
      </c>
      <c r="J264" s="56">
        <v>0</v>
      </c>
      <c r="K264" s="56">
        <v>0</v>
      </c>
      <c r="L264" s="30">
        <v>557</v>
      </c>
      <c r="M264" s="31">
        <v>7.95</v>
      </c>
    </row>
    <row r="265" spans="1:13" ht="15.75" customHeight="1" x14ac:dyDescent="0.25">
      <c r="A265" s="58">
        <v>0</v>
      </c>
      <c r="B265" s="58">
        <v>0</v>
      </c>
      <c r="C265" s="58">
        <v>0</v>
      </c>
      <c r="D265" s="30">
        <f>1.2*L265</f>
        <v>718.68</v>
      </c>
      <c r="E265" s="30">
        <f>1.8*L265</f>
        <v>1078.02</v>
      </c>
      <c r="F265" s="30">
        <f>0.24*L265</f>
        <v>143.73599999999999</v>
      </c>
      <c r="G265" s="31">
        <f>0.06*L265</f>
        <v>35.933999999999997</v>
      </c>
      <c r="H265" s="56">
        <v>0</v>
      </c>
      <c r="I265" s="56">
        <v>0</v>
      </c>
      <c r="J265" s="56">
        <v>0</v>
      </c>
      <c r="K265" s="56">
        <v>0</v>
      </c>
      <c r="L265" s="30">
        <v>598.9</v>
      </c>
      <c r="M265" s="31">
        <v>7.04</v>
      </c>
    </row>
    <row r="266" spans="1:13" ht="15.75" customHeight="1" x14ac:dyDescent="0.25">
      <c r="A266" s="58">
        <f>0.005*7850</f>
        <v>39.25</v>
      </c>
      <c r="B266" s="31">
        <f>60/0.8</f>
        <v>75</v>
      </c>
      <c r="C266" s="30">
        <v>60</v>
      </c>
      <c r="D266" s="30">
        <f t="shared" ref="D266:D267" si="37">1.2*L266</f>
        <v>718.68</v>
      </c>
      <c r="E266" s="30">
        <f t="shared" ref="E266:E267" si="38">1.8*L266</f>
        <v>1078.02</v>
      </c>
      <c r="F266" s="30">
        <f t="shared" ref="F266:F267" si="39">0.24*L266</f>
        <v>143.73599999999999</v>
      </c>
      <c r="G266" s="31">
        <f t="shared" ref="G266:G267" si="40">0.06*L266</f>
        <v>35.933999999999997</v>
      </c>
      <c r="H266" s="56">
        <v>0</v>
      </c>
      <c r="I266" s="56">
        <v>0</v>
      </c>
      <c r="J266" s="56">
        <v>0</v>
      </c>
      <c r="K266" s="56">
        <v>0</v>
      </c>
      <c r="L266" s="30">
        <v>598.9</v>
      </c>
      <c r="M266" s="31">
        <v>7.24</v>
      </c>
    </row>
    <row r="267" spans="1:13" ht="15.75" customHeight="1" x14ac:dyDescent="0.25">
      <c r="A267" s="58">
        <f>0.01*7850</f>
        <v>78.5</v>
      </c>
      <c r="B267" s="31">
        <f>60/0.8</f>
        <v>75</v>
      </c>
      <c r="C267" s="30">
        <v>60</v>
      </c>
      <c r="D267" s="30">
        <f t="shared" si="37"/>
        <v>718.68</v>
      </c>
      <c r="E267" s="30">
        <f t="shared" si="38"/>
        <v>1078.02</v>
      </c>
      <c r="F267" s="30">
        <f t="shared" si="39"/>
        <v>143.73599999999999</v>
      </c>
      <c r="G267" s="31">
        <f t="shared" si="40"/>
        <v>35.933999999999997</v>
      </c>
      <c r="H267" s="56">
        <v>0</v>
      </c>
      <c r="I267" s="56">
        <v>0</v>
      </c>
      <c r="J267" s="56">
        <v>0</v>
      </c>
      <c r="K267" s="56">
        <v>0</v>
      </c>
      <c r="L267" s="30">
        <v>598.9</v>
      </c>
      <c r="M267" s="31">
        <v>9.75</v>
      </c>
    </row>
    <row r="268" spans="1:13" ht="15.75" customHeight="1" x14ac:dyDescent="0.25">
      <c r="A268" s="58">
        <v>0</v>
      </c>
      <c r="B268" s="58">
        <v>0</v>
      </c>
      <c r="C268" s="58">
        <v>0</v>
      </c>
      <c r="D268" s="30">
        <f>1*L268/0.8</f>
        <v>604.20000000000005</v>
      </c>
      <c r="E268" s="30">
        <f>2*L268/0.8</f>
        <v>1208.4000000000001</v>
      </c>
      <c r="F268" s="30">
        <f>0.23*L268/0.8</f>
        <v>138.96600000000001</v>
      </c>
      <c r="G268" s="31">
        <f>0.06*L268/0.8</f>
        <v>36.252000000000002</v>
      </c>
      <c r="H268" s="56">
        <f>0.2*604.2</f>
        <v>120.84000000000002</v>
      </c>
      <c r="I268" s="56">
        <v>0</v>
      </c>
      <c r="J268" s="56">
        <v>0</v>
      </c>
      <c r="K268" s="56">
        <v>0</v>
      </c>
      <c r="L268" s="30">
        <f>604.2*0.8</f>
        <v>483.36000000000007</v>
      </c>
      <c r="M268" s="31">
        <v>9.36</v>
      </c>
    </row>
    <row r="269" spans="1:13" ht="15.75" customHeight="1" x14ac:dyDescent="0.25">
      <c r="A269" s="58">
        <f>0.005*7850</f>
        <v>39.25</v>
      </c>
      <c r="B269" s="31">
        <f>60/0.8</f>
        <v>75</v>
      </c>
      <c r="C269" s="30">
        <v>60</v>
      </c>
      <c r="D269" s="30">
        <f t="shared" ref="D269:D270" si="41">1*L269/0.8</f>
        <v>604.20000000000005</v>
      </c>
      <c r="E269" s="30">
        <f t="shared" ref="E269:E270" si="42">2*L269/0.8</f>
        <v>1208.4000000000001</v>
      </c>
      <c r="F269" s="30">
        <f t="shared" ref="F269:F270" si="43">0.23*L269/0.8</f>
        <v>138.96600000000001</v>
      </c>
      <c r="G269" s="31">
        <f t="shared" ref="G269:G270" si="44">0.06*L269/0.8</f>
        <v>36.252000000000002</v>
      </c>
      <c r="H269" s="56">
        <f t="shared" ref="H269:H270" si="45">0.2*604.2</f>
        <v>120.84000000000002</v>
      </c>
      <c r="I269" s="56">
        <v>0</v>
      </c>
      <c r="J269" s="56">
        <v>0</v>
      </c>
      <c r="K269" s="56">
        <v>0</v>
      </c>
      <c r="L269" s="30">
        <f t="shared" ref="L269:L270" si="46">604.2*0.8</f>
        <v>483.36000000000007</v>
      </c>
      <c r="M269" s="31">
        <v>10.130000000000001</v>
      </c>
    </row>
    <row r="270" spans="1:13" ht="15.75" customHeight="1" x14ac:dyDescent="0.25">
      <c r="A270" s="58">
        <f>0.01*7850</f>
        <v>78.5</v>
      </c>
      <c r="B270" s="31">
        <f>60/0.8</f>
        <v>75</v>
      </c>
      <c r="C270" s="30">
        <v>60</v>
      </c>
      <c r="D270" s="30">
        <f t="shared" si="41"/>
        <v>604.20000000000005</v>
      </c>
      <c r="E270" s="30">
        <f t="shared" si="42"/>
        <v>1208.4000000000001</v>
      </c>
      <c r="F270" s="30">
        <f t="shared" si="43"/>
        <v>138.96600000000001</v>
      </c>
      <c r="G270" s="31">
        <f t="shared" si="44"/>
        <v>36.252000000000002</v>
      </c>
      <c r="H270" s="56">
        <f t="shared" si="45"/>
        <v>120.84000000000002</v>
      </c>
      <c r="I270" s="56">
        <v>0</v>
      </c>
      <c r="J270" s="56">
        <v>0</v>
      </c>
      <c r="K270" s="56">
        <v>0</v>
      </c>
      <c r="L270" s="30">
        <f t="shared" si="46"/>
        <v>483.36000000000007</v>
      </c>
      <c r="M270" s="31">
        <v>11.23</v>
      </c>
    </row>
    <row r="271" spans="1:13" ht="15.75" customHeight="1" x14ac:dyDescent="0.25">
      <c r="A271" s="58">
        <v>0</v>
      </c>
      <c r="B271" s="31">
        <v>0</v>
      </c>
      <c r="C271" s="30">
        <v>0</v>
      </c>
      <c r="D271" s="30">
        <v>1170</v>
      </c>
      <c r="E271" s="30">
        <v>680</v>
      </c>
      <c r="F271" s="30">
        <f>0.43*L271</f>
        <v>199.95</v>
      </c>
      <c r="G271" s="31">
        <v>6.6</v>
      </c>
      <c r="H271" s="30">
        <v>35</v>
      </c>
      <c r="I271" s="56">
        <v>0</v>
      </c>
      <c r="J271" s="56">
        <v>0</v>
      </c>
      <c r="K271" s="56">
        <v>0</v>
      </c>
      <c r="L271" s="31">
        <v>465</v>
      </c>
      <c r="M271" s="60">
        <f>(3*3.33/1000*0.4)/(2*(0.1*0.06*0.06))</f>
        <v>5.5500000000000007</v>
      </c>
    </row>
    <row r="272" spans="1:13" ht="15.75" customHeight="1" x14ac:dyDescent="0.25">
      <c r="A272" s="58">
        <v>39.200000000000003</v>
      </c>
      <c r="B272" s="31">
        <f>30/0.55</f>
        <v>54.54545454545454</v>
      </c>
      <c r="C272" s="30">
        <v>30</v>
      </c>
      <c r="D272" s="30">
        <v>1170</v>
      </c>
      <c r="E272" s="30">
        <v>680</v>
      </c>
      <c r="F272" s="30">
        <f t="shared" ref="F272:F274" si="47">0.43*L272</f>
        <v>199.95</v>
      </c>
      <c r="G272" s="31">
        <v>6.7</v>
      </c>
      <c r="H272" s="30">
        <v>35</v>
      </c>
      <c r="I272" s="56">
        <v>0</v>
      </c>
      <c r="J272" s="56">
        <v>0</v>
      </c>
      <c r="K272" s="56">
        <v>0</v>
      </c>
      <c r="L272" s="31">
        <v>465</v>
      </c>
      <c r="M272" s="60">
        <f>(3*4.18/1000*0.4)/(2*(0.1*0.06*0.06))</f>
        <v>6.9666666666666668</v>
      </c>
    </row>
    <row r="273" spans="1:13" ht="15.75" customHeight="1" x14ac:dyDescent="0.25">
      <c r="A273" s="58">
        <v>78.5</v>
      </c>
      <c r="B273" s="31">
        <f t="shared" ref="B273:B274" si="48">30/0.55</f>
        <v>54.54545454545454</v>
      </c>
      <c r="C273" s="30">
        <v>30</v>
      </c>
      <c r="D273" s="30">
        <v>1170</v>
      </c>
      <c r="E273" s="30">
        <v>680</v>
      </c>
      <c r="F273" s="30">
        <f t="shared" si="47"/>
        <v>199.95</v>
      </c>
      <c r="G273" s="31">
        <v>6.7</v>
      </c>
      <c r="H273" s="30">
        <v>35</v>
      </c>
      <c r="I273" s="56">
        <v>0</v>
      </c>
      <c r="J273" s="56">
        <v>0</v>
      </c>
      <c r="K273" s="56">
        <v>0</v>
      </c>
      <c r="L273" s="31">
        <v>465</v>
      </c>
      <c r="M273" s="60">
        <f>(3*4.31/1000*0.4)/(2*(0.1*0.06*0.06))</f>
        <v>7.1833333333333345</v>
      </c>
    </row>
    <row r="274" spans="1:13" ht="15.75" customHeight="1" x14ac:dyDescent="0.25">
      <c r="A274" s="58">
        <v>117.7</v>
      </c>
      <c r="B274" s="31">
        <f t="shared" si="48"/>
        <v>54.54545454545454</v>
      </c>
      <c r="C274" s="30">
        <v>30</v>
      </c>
      <c r="D274" s="30">
        <v>1170</v>
      </c>
      <c r="E274" s="30">
        <v>680</v>
      </c>
      <c r="F274" s="30">
        <f t="shared" si="47"/>
        <v>199.95</v>
      </c>
      <c r="G274" s="31">
        <v>6.8</v>
      </c>
      <c r="H274" s="30">
        <v>35</v>
      </c>
      <c r="I274" s="56">
        <v>0</v>
      </c>
      <c r="J274" s="56">
        <v>0</v>
      </c>
      <c r="K274" s="56">
        <v>0</v>
      </c>
      <c r="L274" s="31">
        <v>465</v>
      </c>
      <c r="M274" s="60">
        <f>(3*3.82/1000*0.4)/(2*(0.1*0.06*0.06))</f>
        <v>6.366666666666668</v>
      </c>
    </row>
    <row r="275" spans="1:13" ht="15.75" customHeight="1" x14ac:dyDescent="0.25">
      <c r="A275" s="58">
        <v>0</v>
      </c>
      <c r="B275" s="31">
        <v>0</v>
      </c>
      <c r="C275" s="30">
        <v>0</v>
      </c>
      <c r="D275" s="30">
        <f>439+409</f>
        <v>848</v>
      </c>
      <c r="E275" s="30">
        <v>1128</v>
      </c>
      <c r="F275" s="30">
        <v>148</v>
      </c>
      <c r="G275" s="31">
        <v>2.11</v>
      </c>
      <c r="H275" s="30">
        <v>0</v>
      </c>
      <c r="I275" s="30">
        <v>0</v>
      </c>
      <c r="J275" s="30">
        <v>0</v>
      </c>
      <c r="K275" s="30">
        <v>0</v>
      </c>
      <c r="L275" s="30">
        <v>423</v>
      </c>
      <c r="M275" s="31">
        <v>9.68</v>
      </c>
    </row>
    <row r="276" spans="1:13" ht="15.75" customHeight="1" x14ac:dyDescent="0.25">
      <c r="A276" s="58">
        <v>47.1</v>
      </c>
      <c r="B276" s="31">
        <f t="shared" ref="B276:B279" si="49">60/0.8</f>
        <v>75</v>
      </c>
      <c r="C276" s="30">
        <v>60</v>
      </c>
      <c r="D276" s="30">
        <f t="shared" ref="D276:D279" si="50">439+409</f>
        <v>848</v>
      </c>
      <c r="E276" s="30">
        <v>1128</v>
      </c>
      <c r="F276" s="30">
        <v>148</v>
      </c>
      <c r="G276" s="31">
        <v>2.11</v>
      </c>
      <c r="H276" s="30">
        <v>0</v>
      </c>
      <c r="I276" s="30">
        <v>0</v>
      </c>
      <c r="J276" s="30">
        <v>0</v>
      </c>
      <c r="K276" s="30">
        <v>0</v>
      </c>
      <c r="L276" s="30">
        <v>423</v>
      </c>
      <c r="M276" s="31">
        <v>12.01</v>
      </c>
    </row>
    <row r="277" spans="1:13" ht="15.75" customHeight="1" x14ac:dyDescent="0.25">
      <c r="A277" s="58">
        <v>70.650000000000006</v>
      </c>
      <c r="B277" s="31">
        <f t="shared" si="49"/>
        <v>75</v>
      </c>
      <c r="C277" s="30">
        <v>60</v>
      </c>
      <c r="D277" s="30">
        <f t="shared" si="50"/>
        <v>848</v>
      </c>
      <c r="E277" s="30">
        <v>1128</v>
      </c>
      <c r="F277" s="30">
        <v>148</v>
      </c>
      <c r="G277" s="31">
        <v>2.11</v>
      </c>
      <c r="H277" s="30">
        <v>0</v>
      </c>
      <c r="I277" s="30">
        <v>0</v>
      </c>
      <c r="J277" s="30">
        <v>0</v>
      </c>
      <c r="K277" s="30">
        <v>0</v>
      </c>
      <c r="L277" s="30">
        <v>423</v>
      </c>
      <c r="M277" s="31">
        <v>13.14</v>
      </c>
    </row>
    <row r="278" spans="1:13" ht="15.75" customHeight="1" x14ac:dyDescent="0.25">
      <c r="A278" s="58">
        <v>94.2</v>
      </c>
      <c r="B278" s="31">
        <f t="shared" si="49"/>
        <v>75</v>
      </c>
      <c r="C278" s="30">
        <v>60</v>
      </c>
      <c r="D278" s="30">
        <f t="shared" si="50"/>
        <v>848</v>
      </c>
      <c r="E278" s="30">
        <v>1128</v>
      </c>
      <c r="F278" s="30">
        <v>148</v>
      </c>
      <c r="G278" s="31">
        <v>2.11</v>
      </c>
      <c r="H278" s="30">
        <v>0</v>
      </c>
      <c r="I278" s="30">
        <v>0</v>
      </c>
      <c r="J278" s="30">
        <v>0</v>
      </c>
      <c r="K278" s="30">
        <v>0</v>
      </c>
      <c r="L278" s="30">
        <v>423</v>
      </c>
      <c r="M278" s="31">
        <v>13.582000000000001</v>
      </c>
    </row>
    <row r="279" spans="1:13" ht="15.75" customHeight="1" x14ac:dyDescent="0.25">
      <c r="A279" s="58">
        <v>117.75</v>
      </c>
      <c r="B279" s="31">
        <f t="shared" si="49"/>
        <v>75</v>
      </c>
      <c r="C279" s="30">
        <v>60</v>
      </c>
      <c r="D279" s="30">
        <f t="shared" si="50"/>
        <v>848</v>
      </c>
      <c r="E279" s="30">
        <v>1128</v>
      </c>
      <c r="F279" s="30">
        <v>148</v>
      </c>
      <c r="G279" s="31">
        <v>2.11</v>
      </c>
      <c r="H279" s="30">
        <v>0</v>
      </c>
      <c r="I279" s="30">
        <v>0</v>
      </c>
      <c r="J279" s="30">
        <v>0</v>
      </c>
      <c r="K279" s="30">
        <v>0</v>
      </c>
      <c r="L279" s="30">
        <v>423</v>
      </c>
      <c r="M279" s="31">
        <v>16.47</v>
      </c>
    </row>
    <row r="280" spans="1:13" ht="15.75" customHeight="1" x14ac:dyDescent="0.25"/>
    <row r="281" spans="1:13" ht="15.75" customHeight="1" x14ac:dyDescent="0.25"/>
    <row r="282" spans="1:13" ht="15.75" customHeight="1" x14ac:dyDescent="0.25"/>
    <row r="283" spans="1:13" ht="15.75" customHeight="1" x14ac:dyDescent="0.25"/>
    <row r="284" spans="1:13" ht="15.75" customHeight="1" x14ac:dyDescent="0.25"/>
    <row r="285" spans="1:13" ht="15.75" customHeight="1" x14ac:dyDescent="0.25"/>
    <row r="286" spans="1:13" ht="15.75" customHeight="1" x14ac:dyDescent="0.25"/>
    <row r="287" spans="1:13" ht="15.75" customHeight="1" x14ac:dyDescent="0.25"/>
    <row r="288" spans="1:1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</sheetData>
  <phoneticPr fontId="6" type="noConversion"/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compressivestrength</vt:lpstr>
      <vt:lpstr>tensilestrength</vt:lpstr>
      <vt:lpstr>flexuralstrength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 lemos</cp:lastModifiedBy>
  <dcterms:created xsi:type="dcterms:W3CDTF">2020-04-04T13:31:08Z</dcterms:created>
  <dcterms:modified xsi:type="dcterms:W3CDTF">2021-05-22T20:28:14Z</dcterms:modified>
</cp:coreProperties>
</file>