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entao/Downloads/"/>
    </mc:Choice>
  </mc:AlternateContent>
  <xr:revisionPtr revIDLastSave="0" documentId="8_{40CCE5AF-B87A-EA49-B121-2B3EFD6981C9}" xr6:coauthVersionLast="47" xr6:coauthVersionMax="47" xr10:uidLastSave="{00000000-0000-0000-0000-000000000000}"/>
  <bookViews>
    <workbookView xWindow="640" yWindow="500" windowWidth="28160" windowHeight="17500" activeTab="6" xr2:uid="{A19BAB5D-785F-4A4D-B1C1-14FC6548EFC8}"/>
    <workbookView xWindow="1280" yWindow="1060" windowWidth="27840" windowHeight="16940" activeTab="1" xr2:uid="{B56A3A79-6647-E145-AE4A-7E9AE5BA3B2E}"/>
  </bookViews>
  <sheets>
    <sheet name="Sheet1" sheetId="30" r:id="rId1"/>
    <sheet name="拌客源数据1-8月" sheetId="2" r:id="rId2"/>
    <sheet name="数据透视图表-完成版" sheetId="28" r:id="rId3"/>
    <sheet name="常用函数-完成版" sheetId="4" r:id="rId4"/>
    <sheet name="常用函数-练习版" sheetId="18" r:id="rId5"/>
    <sheet name="大厂周报-完成版" sheetId="3" r:id="rId6"/>
    <sheet name="大厂周报-练习版" sheetId="16" r:id="rId7"/>
    <sheet name="源数据备份" sheetId="29" state="hidden" r:id="rId8"/>
  </sheets>
  <definedNames>
    <definedName name="_xlnm._FilterDatabase" localSheetId="1" hidden="1">'拌客源数据1-8月'!$A$1:$X$562</definedName>
    <definedName name="_xlnm._FilterDatabase" localSheetId="7" hidden="1">源数据备份!$A$1:$X$562</definedName>
    <definedName name="切片器_平台i">#N/A</definedName>
    <definedName name="切片器_平台i1">#N/A</definedName>
  </definedNames>
  <calcPr calcId="191029"/>
  <pivotCaches>
    <pivotCache cacheId="0" r:id="rId9"/>
    <pivotCache cacheId="1" r:id="rId10"/>
    <pivotCache cacheId="2" r:id="rId11"/>
    <pivotCache cacheId="3" r:id="rId12"/>
  </pivotCaches>
  <fileRecoveryPr repairLoad="1"/>
  <extLst>
    <ext xmlns:x14="http://schemas.microsoft.com/office/spreadsheetml/2009/9/main" uri="{BBE1A952-AA13-448e-AADC-164F8A28A991}">
      <x14:slicerCaches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6" l="1"/>
  <c r="G7" i="3"/>
  <c r="F9" i="16"/>
  <c r="F9" i="3"/>
  <c r="E9" i="16"/>
  <c r="E9" i="3"/>
  <c r="H8" i="16"/>
  <c r="H8" i="3"/>
  <c r="C9" i="16"/>
  <c r="A9" i="16"/>
  <c r="E20" i="16"/>
  <c r="D9" i="16"/>
  <c r="B9" i="16"/>
  <c r="H32" i="16"/>
  <c r="C13" i="16"/>
  <c r="H25" i="16" s="1"/>
  <c r="F13" i="16"/>
  <c r="G13" i="16"/>
  <c r="D13" i="16"/>
  <c r="D15" i="16"/>
  <c r="D16" i="16"/>
  <c r="C14" i="16"/>
  <c r="H26" i="16" s="1"/>
  <c r="C15" i="16"/>
  <c r="H27" i="16" s="1"/>
  <c r="B1" i="16"/>
  <c r="B26" i="16"/>
  <c r="B27" i="16"/>
  <c r="B29" i="16"/>
  <c r="B30" i="16"/>
  <c r="B25" i="16"/>
  <c r="A31" i="16"/>
  <c r="F31" i="16" s="1"/>
  <c r="A25" i="16"/>
  <c r="D25" i="16" s="1"/>
  <c r="B16" i="16"/>
  <c r="B17" i="16"/>
  <c r="B19" i="16"/>
  <c r="B13" i="16"/>
  <c r="A15" i="16"/>
  <c r="A16" i="16" s="1"/>
  <c r="A17" i="16" s="1"/>
  <c r="A18" i="16" s="1"/>
  <c r="A19" i="16" s="1"/>
  <c r="G19" i="16" s="1"/>
  <c r="A14" i="16"/>
  <c r="D14" i="16" s="1"/>
  <c r="H112" i="18"/>
  <c r="I112" i="18"/>
  <c r="H113" i="18"/>
  <c r="I113" i="18"/>
  <c r="H114" i="18"/>
  <c r="I114" i="18"/>
  <c r="H115" i="18"/>
  <c r="I115" i="18"/>
  <c r="H116" i="18"/>
  <c r="I116" i="18"/>
  <c r="H117" i="18"/>
  <c r="I117" i="18"/>
  <c r="H118" i="18"/>
  <c r="I118" i="18"/>
  <c r="H119" i="18"/>
  <c r="I119" i="18"/>
  <c r="H120" i="18"/>
  <c r="I120" i="18"/>
  <c r="H121" i="18"/>
  <c r="I121" i="18"/>
  <c r="H122" i="18"/>
  <c r="I122" i="18"/>
  <c r="H123" i="18"/>
  <c r="I123" i="18"/>
  <c r="H124" i="18"/>
  <c r="I124" i="18"/>
  <c r="H125" i="18"/>
  <c r="I125" i="18"/>
  <c r="H126" i="18"/>
  <c r="I126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12" i="18"/>
  <c r="E112" i="18"/>
  <c r="F112" i="18"/>
  <c r="E113" i="18"/>
  <c r="F113" i="18"/>
  <c r="E114" i="18"/>
  <c r="F114" i="18"/>
  <c r="E115" i="18"/>
  <c r="F115" i="18"/>
  <c r="E116" i="18"/>
  <c r="F116" i="18"/>
  <c r="E117" i="18"/>
  <c r="F117" i="18"/>
  <c r="E118" i="18"/>
  <c r="F118" i="18"/>
  <c r="E119" i="18"/>
  <c r="F119" i="18"/>
  <c r="E120" i="18"/>
  <c r="F120" i="18"/>
  <c r="E121" i="18"/>
  <c r="F121" i="18"/>
  <c r="E122" i="18"/>
  <c r="F122" i="18"/>
  <c r="E123" i="18"/>
  <c r="F123" i="18"/>
  <c r="E124" i="18"/>
  <c r="F124" i="18"/>
  <c r="E125" i="18"/>
  <c r="F125" i="18"/>
  <c r="E126" i="18"/>
  <c r="F126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12" i="18"/>
  <c r="P97" i="18"/>
  <c r="P98" i="18"/>
  <c r="P99" i="18"/>
  <c r="P100" i="18"/>
  <c r="P101" i="18"/>
  <c r="P102" i="18"/>
  <c r="P103" i="18"/>
  <c r="P96" i="18"/>
  <c r="J99" i="18"/>
  <c r="J96" i="18"/>
  <c r="C96" i="18"/>
  <c r="C97" i="18"/>
  <c r="C98" i="18"/>
  <c r="C99" i="18"/>
  <c r="C100" i="18"/>
  <c r="C101" i="18"/>
  <c r="C102" i="18"/>
  <c r="C103" i="18"/>
  <c r="E81" i="18"/>
  <c r="E82" i="18"/>
  <c r="E83" i="18"/>
  <c r="E84" i="18"/>
  <c r="E85" i="18"/>
  <c r="E86" i="18"/>
  <c r="E87" i="18"/>
  <c r="E80" i="18"/>
  <c r="D65" i="18"/>
  <c r="D66" i="18"/>
  <c r="D67" i="18"/>
  <c r="D68" i="18"/>
  <c r="D69" i="18"/>
  <c r="D70" i="18"/>
  <c r="D71" i="18"/>
  <c r="D64" i="18"/>
  <c r="D55" i="18"/>
  <c r="C55" i="18"/>
  <c r="D40" i="18"/>
  <c r="D41" i="18"/>
  <c r="D42" i="18"/>
  <c r="D43" i="18"/>
  <c r="D44" i="18"/>
  <c r="D45" i="18"/>
  <c r="D46" i="18"/>
  <c r="D39" i="18"/>
  <c r="C40" i="18"/>
  <c r="C41" i="18"/>
  <c r="C42" i="18"/>
  <c r="C43" i="18"/>
  <c r="C44" i="18"/>
  <c r="C45" i="18"/>
  <c r="C46" i="18"/>
  <c r="C39" i="18"/>
  <c r="C39" i="4"/>
  <c r="E30" i="18"/>
  <c r="E30" i="4"/>
  <c r="E31" i="18"/>
  <c r="E32" i="18"/>
  <c r="E33" i="18"/>
  <c r="E34" i="18"/>
  <c r="E35" i="18"/>
  <c r="E36" i="18"/>
  <c r="D31" i="18"/>
  <c r="D32" i="18"/>
  <c r="D33" i="18"/>
  <c r="D34" i="18"/>
  <c r="D35" i="18"/>
  <c r="D36" i="18"/>
  <c r="D30" i="18"/>
  <c r="C31" i="18"/>
  <c r="C32" i="18"/>
  <c r="C33" i="18"/>
  <c r="C34" i="18"/>
  <c r="C35" i="18"/>
  <c r="C36" i="18"/>
  <c r="C30" i="18"/>
  <c r="D5" i="18"/>
  <c r="C15" i="18"/>
  <c r="C16" i="18"/>
  <c r="C17" i="18"/>
  <c r="C18" i="18"/>
  <c r="C19" i="18"/>
  <c r="C20" i="18"/>
  <c r="C21" i="18"/>
  <c r="C5" i="18"/>
  <c r="D13" i="3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A14" i="3"/>
  <c r="A15" i="3" s="1"/>
  <c r="A16" i="3" s="1"/>
  <c r="A17" i="3" s="1"/>
  <c r="A18" i="3" s="1"/>
  <c r="A19" i="3" s="1"/>
  <c r="D19" i="3" s="1"/>
  <c r="H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P93" i="4"/>
  <c r="C96" i="4"/>
  <c r="K83" i="4"/>
  <c r="K82" i="4"/>
  <c r="K81" i="4"/>
  <c r="K80" i="4"/>
  <c r="D64" i="4"/>
  <c r="D65" i="4"/>
  <c r="D66" i="4"/>
  <c r="D67" i="4"/>
  <c r="D68" i="4"/>
  <c r="D69" i="4"/>
  <c r="D70" i="4"/>
  <c r="D71" i="4"/>
  <c r="D40" i="4"/>
  <c r="D41" i="4"/>
  <c r="D42" i="4"/>
  <c r="D43" i="4"/>
  <c r="D44" i="4"/>
  <c r="D45" i="4"/>
  <c r="D46" i="4"/>
  <c r="D39" i="4"/>
  <c r="C40" i="4"/>
  <c r="C41" i="4"/>
  <c r="C42" i="4"/>
  <c r="C43" i="4"/>
  <c r="C44" i="4"/>
  <c r="C45" i="4"/>
  <c r="C46" i="4"/>
  <c r="J31" i="4"/>
  <c r="J32" i="4"/>
  <c r="J33" i="4"/>
  <c r="J34" i="4"/>
  <c r="J35" i="4"/>
  <c r="J36" i="4"/>
  <c r="J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I30" i="4"/>
  <c r="H30" i="4"/>
  <c r="G30" i="4"/>
  <c r="F30" i="4"/>
  <c r="C15" i="4"/>
  <c r="C16" i="4"/>
  <c r="C17" i="4"/>
  <c r="C18" i="4"/>
  <c r="C19" i="4"/>
  <c r="C20" i="4"/>
  <c r="C21" i="4"/>
  <c r="D12" i="4"/>
  <c r="E80" i="4"/>
  <c r="A30" i="16" l="1"/>
  <c r="D30" i="16" s="1"/>
  <c r="A28" i="16"/>
  <c r="D28" i="16" s="1"/>
  <c r="C18" i="16"/>
  <c r="H30" i="16" s="1"/>
  <c r="G17" i="16"/>
  <c r="A27" i="16"/>
  <c r="F27" i="16" s="1"/>
  <c r="C17" i="16"/>
  <c r="H29" i="16" s="1"/>
  <c r="G15" i="16"/>
  <c r="C25" i="16"/>
  <c r="E25" i="16" s="1"/>
  <c r="D31" i="16"/>
  <c r="D27" i="16"/>
  <c r="G27" i="16" s="1"/>
  <c r="B15" i="16"/>
  <c r="A26" i="16"/>
  <c r="D19" i="16"/>
  <c r="F19" i="16"/>
  <c r="F15" i="16"/>
  <c r="C31" i="16"/>
  <c r="F30" i="16"/>
  <c r="G30" i="16" s="1"/>
  <c r="B14" i="16"/>
  <c r="D1" i="16"/>
  <c r="D18" i="16"/>
  <c r="E18" i="16" s="1"/>
  <c r="G18" i="16"/>
  <c r="G14" i="16"/>
  <c r="C30" i="16"/>
  <c r="E30" i="16" s="1"/>
  <c r="B31" i="16"/>
  <c r="C19" i="16"/>
  <c r="D17" i="16"/>
  <c r="E17" i="16" s="1"/>
  <c r="F18" i="16"/>
  <c r="H18" i="16" s="1"/>
  <c r="F14" i="16"/>
  <c r="F25" i="16"/>
  <c r="C28" i="16"/>
  <c r="E28" i="16" s="1"/>
  <c r="C27" i="16"/>
  <c r="F28" i="16"/>
  <c r="G28" i="16" s="1"/>
  <c r="F17" i="16"/>
  <c r="H17" i="16" s="1"/>
  <c r="B18" i="16"/>
  <c r="A29" i="16"/>
  <c r="B28" i="16"/>
  <c r="C16" i="16"/>
  <c r="H28" i="16" s="1"/>
  <c r="G16" i="16"/>
  <c r="H15" i="16"/>
  <c r="F16" i="16"/>
  <c r="H14" i="16"/>
  <c r="H13" i="16"/>
  <c r="E14" i="16"/>
  <c r="E15" i="16"/>
  <c r="E13" i="16"/>
  <c r="D18" i="3"/>
  <c r="D17" i="3"/>
  <c r="D16" i="3"/>
  <c r="D15" i="3"/>
  <c r="D14" i="3"/>
  <c r="C13" i="3"/>
  <c r="G20" i="16" l="1"/>
  <c r="F20" i="16"/>
  <c r="D20" i="16"/>
  <c r="G25" i="16"/>
  <c r="E16" i="16"/>
  <c r="D29" i="16"/>
  <c r="F29" i="16"/>
  <c r="C29" i="16"/>
  <c r="C20" i="16"/>
  <c r="C26" i="16"/>
  <c r="D26" i="16"/>
  <c r="F26" i="16"/>
  <c r="G26" i="16" s="1"/>
  <c r="E27" i="16"/>
  <c r="H19" i="16"/>
  <c r="H31" i="16"/>
  <c r="E31" i="16"/>
  <c r="G31" i="16"/>
  <c r="H16" i="16"/>
  <c r="E19" i="16"/>
  <c r="D20" i="3"/>
  <c r="D1" i="3"/>
  <c r="B1" i="3"/>
  <c r="G29" i="16" l="1"/>
  <c r="E29" i="16"/>
  <c r="C32" i="16"/>
  <c r="A6" i="16" s="1"/>
  <c r="H20" i="16"/>
  <c r="E26" i="16"/>
  <c r="D32" i="16"/>
  <c r="E32" i="16" s="1"/>
  <c r="C6" i="16" s="1"/>
  <c r="F32" i="16"/>
  <c r="F26" i="3"/>
  <c r="F27" i="3"/>
  <c r="F28" i="3"/>
  <c r="F29" i="3"/>
  <c r="F30" i="3"/>
  <c r="F31" i="3"/>
  <c r="F25" i="3"/>
  <c r="D26" i="3"/>
  <c r="D27" i="3"/>
  <c r="D28" i="3"/>
  <c r="D29" i="3"/>
  <c r="D30" i="3"/>
  <c r="D31" i="3"/>
  <c r="D25" i="3"/>
  <c r="C26" i="3"/>
  <c r="C27" i="3"/>
  <c r="C28" i="3"/>
  <c r="C29" i="3"/>
  <c r="C30" i="3"/>
  <c r="C31" i="3"/>
  <c r="C25" i="3"/>
  <c r="F14" i="3"/>
  <c r="G14" i="3"/>
  <c r="F15" i="3"/>
  <c r="G15" i="3"/>
  <c r="F16" i="3"/>
  <c r="G16" i="3"/>
  <c r="F17" i="3"/>
  <c r="G17" i="3"/>
  <c r="F18" i="3"/>
  <c r="G18" i="3"/>
  <c r="F19" i="3"/>
  <c r="G19" i="3"/>
  <c r="G13" i="3"/>
  <c r="F13" i="3"/>
  <c r="C14" i="3"/>
  <c r="C15" i="3"/>
  <c r="H27" i="3" s="1"/>
  <c r="C16" i="3"/>
  <c r="H28" i="3" s="1"/>
  <c r="C17" i="3"/>
  <c r="H29" i="3" s="1"/>
  <c r="C18" i="3"/>
  <c r="H30" i="3" s="1"/>
  <c r="C19" i="3"/>
  <c r="H31" i="3" s="1"/>
  <c r="H25" i="3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P97" i="4"/>
  <c r="P98" i="4"/>
  <c r="P99" i="4"/>
  <c r="P100" i="4"/>
  <c r="P101" i="4"/>
  <c r="P102" i="4"/>
  <c r="P103" i="4"/>
  <c r="P96" i="4"/>
  <c r="J99" i="4"/>
  <c r="J96" i="4"/>
  <c r="C97" i="4"/>
  <c r="C98" i="4"/>
  <c r="C99" i="4"/>
  <c r="C100" i="4"/>
  <c r="C101" i="4"/>
  <c r="C102" i="4"/>
  <c r="C103" i="4"/>
  <c r="E81" i="4"/>
  <c r="E82" i="4"/>
  <c r="E83" i="4"/>
  <c r="E84" i="4"/>
  <c r="E85" i="4"/>
  <c r="E86" i="4"/>
  <c r="E87" i="4"/>
  <c r="D55" i="4"/>
  <c r="C55" i="4"/>
  <c r="C36" i="4"/>
  <c r="E39" i="4"/>
  <c r="G40" i="4"/>
  <c r="G41" i="4"/>
  <c r="G42" i="4"/>
  <c r="G43" i="4"/>
  <c r="G44" i="4"/>
  <c r="G45" i="4"/>
  <c r="G46" i="4"/>
  <c r="G39" i="4"/>
  <c r="F41" i="4"/>
  <c r="F42" i="4"/>
  <c r="F43" i="4"/>
  <c r="F44" i="4"/>
  <c r="F45" i="4"/>
  <c r="F46" i="4"/>
  <c r="F40" i="4"/>
  <c r="F39" i="4"/>
  <c r="E40" i="4"/>
  <c r="E41" i="4"/>
  <c r="E42" i="4"/>
  <c r="E43" i="4"/>
  <c r="E44" i="4"/>
  <c r="E45" i="4"/>
  <c r="E46" i="4"/>
  <c r="E31" i="4"/>
  <c r="E32" i="4"/>
  <c r="E33" i="4"/>
  <c r="E34" i="4"/>
  <c r="E35" i="4"/>
  <c r="E36" i="4"/>
  <c r="D34" i="4"/>
  <c r="D31" i="4"/>
  <c r="D32" i="4"/>
  <c r="D33" i="4"/>
  <c r="D35" i="4"/>
  <c r="D36" i="4"/>
  <c r="D30" i="4"/>
  <c r="C31" i="4"/>
  <c r="C32" i="4"/>
  <c r="C33" i="4"/>
  <c r="C34" i="4"/>
  <c r="C35" i="4"/>
  <c r="C30" i="4"/>
  <c r="D5" i="4"/>
  <c r="C5" i="4"/>
  <c r="G32" i="16" l="1"/>
  <c r="E6" i="16" s="1"/>
  <c r="G20" i="3"/>
  <c r="H26" i="3"/>
  <c r="C20" i="3"/>
  <c r="F20" i="3"/>
  <c r="A9" i="3" s="1"/>
  <c r="B9" i="3" s="1"/>
  <c r="G31" i="3"/>
  <c r="A31" i="3"/>
  <c r="B31" i="3" s="1"/>
  <c r="A30" i="3"/>
  <c r="G29" i="3"/>
  <c r="A29" i="3"/>
  <c r="B29" i="3" s="1"/>
  <c r="A28" i="3"/>
  <c r="A27" i="3"/>
  <c r="B27" i="3" s="1"/>
  <c r="A26" i="3"/>
  <c r="D32" i="3"/>
  <c r="C32" i="3"/>
  <c r="A6" i="3" s="1"/>
  <c r="A25" i="3"/>
  <c r="B25" i="3" s="1"/>
  <c r="H19" i="3"/>
  <c r="B19" i="3"/>
  <c r="E18" i="3"/>
  <c r="B18" i="3"/>
  <c r="B17" i="3"/>
  <c r="B16" i="3"/>
  <c r="B15" i="3"/>
  <c r="B14" i="3"/>
  <c r="B13" i="3"/>
  <c r="H20" i="3" l="1"/>
  <c r="H32" i="3"/>
  <c r="E20" i="3"/>
  <c r="E28" i="3"/>
  <c r="C6" i="3"/>
  <c r="E14" i="3"/>
  <c r="H14" i="3"/>
  <c r="G26" i="3"/>
  <c r="G30" i="3"/>
  <c r="H16" i="3"/>
  <c r="E13" i="3"/>
  <c r="H18" i="3"/>
  <c r="E17" i="3"/>
  <c r="E29" i="3"/>
  <c r="E27" i="3"/>
  <c r="E26" i="3"/>
  <c r="E30" i="3"/>
  <c r="E15" i="3"/>
  <c r="E31" i="3"/>
  <c r="G28" i="3"/>
  <c r="G27" i="3"/>
  <c r="E19" i="3"/>
  <c r="E16" i="3"/>
  <c r="E32" i="3"/>
  <c r="F32" i="3"/>
  <c r="G32" i="3" s="1"/>
  <c r="E6" i="3" s="1"/>
  <c r="H17" i="3"/>
  <c r="H15" i="3"/>
  <c r="H13" i="3"/>
  <c r="E25" i="3"/>
  <c r="G25" i="3"/>
  <c r="B26" i="3"/>
  <c r="B28" i="3"/>
  <c r="B30" i="3"/>
  <c r="C9" i="3" l="1"/>
  <c r="D9" i="3" s="1"/>
</calcChain>
</file>

<file path=xl/sharedStrings.xml><?xml version="1.0" encoding="utf-8"?>
<sst xmlns="http://schemas.openxmlformats.org/spreadsheetml/2006/main" count="8324" uniqueCount="171">
  <si>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</si>
  <si>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</si>
  <si>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</si>
  <si>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</si>
  <si>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</si>
  <si>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</si>
  <si>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</si>
  <si>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</si>
  <si>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</si>
  <si>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</si>
  <si>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</si>
  <si>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</si>
  <si>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</si>
  <si>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</si>
  <si>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</si>
  <si>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</si>
  <si>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</si>
  <si>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</si>
  <si>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</si>
  <si>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</si>
  <si>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</si>
  <si>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</si>
  <si>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</si>
  <si>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</si>
  <si>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</si>
  <si>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</si>
  <si>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</si>
  <si>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</si>
  <si>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</si>
  <si>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</si>
  <si>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</si>
  <si>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</si>
  <si>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</si>
  <si>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</si>
  <si>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</si>
  <si>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</si>
  <si>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</si>
  <si>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</si>
  <si>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</si>
  <si>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</si>
  <si>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</si>
  <si>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</si>
  <si>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</si>
  <si>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</si>
  <si>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</si>
  <si>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</si>
  <si>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</si>
  <si>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</si>
  <si>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</si>
  <si>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</si>
  <si>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</si>
  <si>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</si>
  <si>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</si>
  <si>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</si>
  <si>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</si>
  <si>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</si>
  <si>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</si>
  <si>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20年8月第二周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</si>
  <si>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</si>
  <si>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</si>
  <si>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</si>
  <si>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</si>
  <si>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</si>
  <si>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</si>
  <si>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</si>
  <si>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</si>
  <si>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</si>
  <si>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</si>
  <si>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</si>
  <si>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</si>
  <si>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</si>
  <si>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</si>
  <si>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</si>
  <si>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</si>
  <si>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</si>
  <si>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</si>
  <si>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</si>
  <si>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</si>
  <si>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一、sum - 求和</t>
    <phoneticPr fontId="18" type="noConversion"/>
  </si>
  <si>
    <t>二、sumif -单条件求和</t>
    <phoneticPr fontId="18" type="noConversion"/>
  </si>
  <si>
    <t>三、sumifs - 多条件求和</t>
    <phoneticPr fontId="18" type="noConversion"/>
  </si>
  <si>
    <t>四、sum和subtotal的区别</t>
    <phoneticPr fontId="18" type="noConversion"/>
  </si>
  <si>
    <t>五、if函数</t>
    <phoneticPr fontId="18" type="noConversion"/>
  </si>
  <si>
    <t>1-8月GMV</t>
    <phoneticPr fontId="18" type="noConversion"/>
  </si>
  <si>
    <t>1月和8月GMV</t>
    <phoneticPr fontId="18" type="noConversion"/>
  </si>
  <si>
    <t>日同比</t>
    <phoneticPr fontId="18" type="noConversion"/>
  </si>
  <si>
    <t>日环比</t>
    <phoneticPr fontId="18" type="noConversion"/>
  </si>
  <si>
    <t>月环比</t>
    <phoneticPr fontId="18" type="noConversion"/>
  </si>
  <si>
    <t>sum函数</t>
    <phoneticPr fontId="18" type="noConversion"/>
  </si>
  <si>
    <t>subtotal函数</t>
    <phoneticPr fontId="18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</si>
  <si>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</si>
  <si>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</si>
  <si>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</si>
  <si>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</si>
  <si>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</si>
  <si>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</si>
  <si>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</si>
  <si>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</si>
  <si>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月份</t>
    <phoneticPr fontId="18" type="noConversion"/>
  </si>
  <si>
    <t>cpc总费用</t>
    <phoneticPr fontId="18" type="noConversion"/>
  </si>
  <si>
    <t>判断是否大于月目标10万</t>
    <phoneticPr fontId="18" type="noConversion"/>
  </si>
  <si>
    <t>六、if嵌套</t>
    <phoneticPr fontId="18" type="noConversion"/>
  </si>
  <si>
    <t>大于月目标10万且花费少于5千的为达标</t>
    <phoneticPr fontId="18" type="noConversion"/>
  </si>
  <si>
    <t>门店ID</t>
    <phoneticPr fontId="18" type="noConversion"/>
  </si>
  <si>
    <t>门店名称</t>
    <phoneticPr fontId="18" type="noConversion"/>
  </si>
  <si>
    <t>七、vlookup函数和数据透视表聚合</t>
    <phoneticPr fontId="18" type="noConversion"/>
  </si>
  <si>
    <t>A</t>
    <phoneticPr fontId="18" type="noConversion"/>
  </si>
  <si>
    <t>B</t>
    <phoneticPr fontId="18" type="noConversion"/>
  </si>
  <si>
    <t>判断</t>
    <phoneticPr fontId="18" type="noConversion"/>
  </si>
  <si>
    <t>嵌套举例：</t>
    <phoneticPr fontId="18" type="noConversion"/>
  </si>
  <si>
    <t>类别一</t>
    <phoneticPr fontId="18" type="noConversion"/>
  </si>
  <si>
    <t>C</t>
    <phoneticPr fontId="18" type="noConversion"/>
  </si>
  <si>
    <t>D</t>
    <phoneticPr fontId="18" type="noConversion"/>
  </si>
  <si>
    <t>类别二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</si>
  <si>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</si>
  <si>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</si>
  <si>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</si>
  <si>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值</t>
    <phoneticPr fontId="18" type="noConversion"/>
  </si>
  <si>
    <t>聚合（分类汇总）举例</t>
    <phoneticPr fontId="18" type="noConversion"/>
  </si>
  <si>
    <t>bc</t>
    <phoneticPr fontId="18" type="noConversion"/>
  </si>
  <si>
    <t>bcc</t>
    <phoneticPr fontId="18" type="noConversion"/>
  </si>
  <si>
    <t>模糊查询</t>
    <phoneticPr fontId="18" type="noConversion"/>
  </si>
  <si>
    <t>全名</t>
    <phoneticPr fontId="18" type="noConversion"/>
  </si>
  <si>
    <t>ddd</t>
    <phoneticPr fontId="18" type="noConversion"/>
  </si>
  <si>
    <t>查找项</t>
    <phoneticPr fontId="18" type="noConversion"/>
  </si>
  <si>
    <t>返回值</t>
    <phoneticPr fontId="18" type="noConversion"/>
  </si>
  <si>
    <t>abcd</t>
    <phoneticPr fontId="18" type="noConversion"/>
  </si>
  <si>
    <t>abc</t>
    <phoneticPr fontId="18" type="noConversion"/>
  </si>
  <si>
    <t>查找b开头并且是三个字符所对应的数值</t>
    <phoneticPr fontId="18" type="noConversion"/>
  </si>
  <si>
    <t xml:space="preserve">a </t>
    <phoneticPr fontId="18" type="noConversion"/>
  </si>
  <si>
    <t>查找a对应的值</t>
    <phoneticPr fontId="18" type="noConversion"/>
  </si>
  <si>
    <t>品牌名称</t>
    <phoneticPr fontId="18" type="noConversion"/>
  </si>
  <si>
    <t>品牌ID</t>
    <phoneticPr fontId="18" type="noConversion"/>
  </si>
  <si>
    <t>八、index和match函数</t>
    <phoneticPr fontId="18" type="noConversion"/>
  </si>
  <si>
    <t>美团GMV</t>
    <phoneticPr fontId="18" type="noConversion"/>
  </si>
  <si>
    <t>行标签</t>
  </si>
  <si>
    <t>总计</t>
  </si>
  <si>
    <t>求和项:GMV</t>
  </si>
  <si>
    <t>acd</t>
    <phoneticPr fontId="18" type="noConversion"/>
  </si>
  <si>
    <t>cb</t>
    <phoneticPr fontId="18" type="noConversion"/>
  </si>
  <si>
    <t>A</t>
  </si>
  <si>
    <t>B</t>
  </si>
  <si>
    <t>C</t>
  </si>
  <si>
    <t>D</t>
  </si>
  <si>
    <t>求和项:值2</t>
  </si>
  <si>
    <t>a</t>
  </si>
  <si>
    <t>b</t>
  </si>
  <si>
    <t>c</t>
  </si>
  <si>
    <t>求和项:商家实收</t>
  </si>
  <si>
    <t>文本</t>
    <phoneticPr fontId="18" type="noConversion"/>
  </si>
  <si>
    <t>文本</t>
    <phoneticPr fontId="18" type="noConversion"/>
  </si>
  <si>
    <t>年</t>
    <phoneticPr fontId="18" type="noConversion"/>
  </si>
  <si>
    <t>月</t>
    <phoneticPr fontId="18" type="noConversion"/>
  </si>
  <si>
    <t>日</t>
    <phoneticPr fontId="18" type="noConversion"/>
  </si>
  <si>
    <t>日期组合</t>
    <phoneticPr fontId="18" type="noConversion"/>
  </si>
  <si>
    <t>上个月这一天的GMV</t>
    <phoneticPr fontId="18" type="noConversion"/>
  </si>
  <si>
    <t>每个月第一天</t>
    <phoneticPr fontId="18" type="noConversion"/>
  </si>
  <si>
    <t>错误的每个月最后一天</t>
    <phoneticPr fontId="18" type="noConversion"/>
  </si>
  <si>
    <t>正确的每个月最后一天</t>
    <phoneticPr fontId="18" type="noConversion"/>
  </si>
  <si>
    <t>蛙小辣·美蛙火锅杯(宝山店)</t>
    <phoneticPr fontId="18" type="noConversion"/>
  </si>
  <si>
    <t>bdd1</t>
    <phoneticPr fontId="18" type="noConversion"/>
  </si>
  <si>
    <t>蛙小辣火锅杯（总账号）</t>
    <phoneticPr fontId="18" type="noConversion"/>
  </si>
  <si>
    <t>日环比=今天/昨天-1</t>
    <phoneticPr fontId="18" type="noConversion"/>
  </si>
  <si>
    <t>日同比=今天/上个月今天-1</t>
    <phoneticPr fontId="18" type="noConversion"/>
  </si>
  <si>
    <t>这个月总和/上个月总和-1</t>
    <phoneticPr fontId="18" type="noConversion"/>
  </si>
  <si>
    <t>GMV总和</t>
  </si>
  <si>
    <t>商家实收总和</t>
  </si>
  <si>
    <t>求和项:单词cpc费用</t>
  </si>
  <si>
    <t>计数项:类别一</t>
  </si>
  <si>
    <t>商户补贴</t>
    <phoneticPr fontId="18" type="noConversion"/>
  </si>
  <si>
    <t>cpc总费用/GMV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</si>
</sst>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76" formatCode="_ * #,##0.00_ ;_ * \-#,##0.00_ ;_ * &quot;-&quot;??_ ;_ @_ "/>
    <numFmt numFmtId="177" formatCode="_ * #,##0_ ;_ * \-#,##0_ ;_ * &quot;-&quot;??_ ;_ @_ "/>
    <numFmt numFmtId="178" formatCode="0.00%;0.00%"/>
    <numFmt numFmtId="179" formatCode="[$-804]aaa;@"/>
    <numFmt numFmtId="180" formatCode="yyyymmdd"/>
    <numFmt numFmtId="181" formatCode="yyyy/mm/dd"/>
    <numFmt numFmtId="182" formatCode="yyyy/mm"/>
    <numFmt numFmtId="183" formatCode="0.00_);[Red]\(0.00\)"/>
    <numFmt numFmtId="184" formatCode="0_);[Red]\(0\)"/>
  </numFmts>
  <fonts count="2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3F3F3F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24"/>
      <color theme="1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21" fillId="33" borderId="0" xfId="0" applyFont="1" applyFill="1">
      <alignment vertical="center"/>
    </xf>
    <xf numFmtId="0" fontId="22" fillId="33" borderId="0" xfId="0" applyFont="1" applyFill="1" applyAlignment="1">
      <alignment horizontal="right" vertical="center"/>
    </xf>
    <xf numFmtId="0" fontId="22" fillId="33" borderId="0" xfId="0" applyFont="1" applyFill="1" applyAlignment="1">
      <alignment horizontal="center" vertical="center"/>
    </xf>
    <xf numFmtId="0" fontId="23" fillId="33" borderId="10" xfId="10" applyFont="1" applyFill="1" applyBorder="1" applyAlignment="1">
      <alignment horizontal="center" vertical="center"/>
    </xf>
    <xf numFmtId="0" fontId="21" fillId="33" borderId="11" xfId="10" applyFont="1" applyFill="1" applyBorder="1" applyAlignment="1">
      <alignment horizontal="center" vertical="center"/>
    </xf>
    <xf numFmtId="177" fontId="22" fillId="33" borderId="0" xfId="42" applyNumberFormat="1" applyFont="1" applyFill="1" applyAlignment="1">
      <alignment horizontal="right" vertical="center"/>
    </xf>
    <xf numFmtId="10" fontId="22" fillId="33" borderId="0" xfId="43" applyNumberFormat="1" applyFont="1" applyFill="1" applyAlignment="1">
      <alignment horizontal="right" vertical="center"/>
    </xf>
    <xf numFmtId="14" fontId="19" fillId="33" borderId="0" xfId="0" applyNumberFormat="1" applyFont="1" applyFill="1">
      <alignment vertical="center"/>
    </xf>
    <xf numFmtId="0" fontId="19" fillId="33" borderId="14" xfId="0" applyFont="1" applyFill="1" applyBorder="1">
      <alignment vertical="center"/>
    </xf>
    <xf numFmtId="177" fontId="19" fillId="33" borderId="15" xfId="42" applyNumberFormat="1" applyFont="1" applyFill="1" applyBorder="1">
      <alignment vertical="center"/>
    </xf>
    <xf numFmtId="178" fontId="22" fillId="33" borderId="0" xfId="43" applyNumberFormat="1" applyFont="1" applyFill="1" applyAlignment="1">
      <alignment horizontal="right" vertical="center"/>
    </xf>
    <xf numFmtId="10" fontId="22" fillId="33" borderId="0" xfId="0" applyNumberFormat="1" applyFont="1" applyFill="1" applyAlignment="1">
      <alignment horizontal="right" vertical="center"/>
    </xf>
    <xf numFmtId="10" fontId="19" fillId="33" borderId="0" xfId="43" applyNumberFormat="1" applyFont="1" applyFill="1">
      <alignment vertical="center"/>
    </xf>
    <xf numFmtId="0" fontId="21" fillId="33" borderId="16" xfId="0" applyFont="1" applyFill="1" applyBorder="1">
      <alignment vertical="center"/>
    </xf>
    <xf numFmtId="0" fontId="19" fillId="33" borderId="17" xfId="0" applyFont="1" applyFill="1" applyBorder="1">
      <alignment vertical="center"/>
    </xf>
    <xf numFmtId="0" fontId="19" fillId="33" borderId="18" xfId="0" applyFont="1" applyFill="1" applyBorder="1">
      <alignment vertical="center"/>
    </xf>
    <xf numFmtId="0" fontId="24" fillId="34" borderId="19" xfId="0" applyFont="1" applyFill="1" applyBorder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4" fillId="34" borderId="20" xfId="0" applyFont="1" applyFill="1" applyBorder="1" applyAlignment="1">
      <alignment horizontal="center" vertical="center"/>
    </xf>
    <xf numFmtId="14" fontId="19" fillId="33" borderId="19" xfId="0" applyNumberFormat="1" applyFont="1" applyFill="1" applyBorder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0" fontId="19" fillId="33" borderId="0" xfId="43" applyNumberFormat="1" applyFont="1" applyFill="1" applyBorder="1" applyAlignment="1">
      <alignment horizontal="center" vertical="center"/>
    </xf>
    <xf numFmtId="2" fontId="19" fillId="33" borderId="20" xfId="0" applyNumberFormat="1" applyFont="1" applyFill="1" applyBorder="1" applyAlignment="1">
      <alignment horizontal="center" vertical="center"/>
    </xf>
    <xf numFmtId="14" fontId="19" fillId="33" borderId="21" xfId="0" applyNumberFormat="1" applyFont="1" applyFill="1" applyBorder="1" applyAlignment="1">
      <alignment horizontal="center" vertical="center"/>
    </xf>
    <xf numFmtId="179" fontId="19" fillId="33" borderId="22" xfId="0" applyNumberFormat="1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10" fontId="19" fillId="33" borderId="22" xfId="43" applyNumberFormat="1" applyFont="1" applyFill="1" applyBorder="1" applyAlignment="1">
      <alignment horizontal="center" vertical="center"/>
    </xf>
    <xf numFmtId="2" fontId="19" fillId="33" borderId="23" xfId="0" applyNumberFormat="1" applyFont="1" applyFill="1" applyBorder="1" applyAlignment="1">
      <alignment horizontal="center" vertical="center"/>
    </xf>
    <xf numFmtId="2" fontId="19" fillId="33" borderId="0" xfId="0" applyNumberFormat="1" applyFont="1" applyFill="1" applyAlignment="1">
      <alignment horizontal="center" vertical="center"/>
    </xf>
    <xf numFmtId="10" fontId="19" fillId="33" borderId="20" xfId="43" applyNumberFormat="1" applyFont="1" applyFill="1" applyBorder="1" applyAlignment="1">
      <alignment horizontal="center" vertical="center"/>
    </xf>
    <xf numFmtId="10" fontId="19" fillId="33" borderId="23" xfId="43" applyNumberFormat="1" applyFont="1" applyFill="1" applyBorder="1" applyAlignment="1">
      <alignment horizontal="center" vertical="center"/>
    </xf>
    <xf numFmtId="10" fontId="19" fillId="33" borderId="0" xfId="43" applyNumberFormat="1" applyFont="1" applyFill="1" applyAlignment="1">
      <alignment horizontal="center" vertical="center"/>
    </xf>
    <xf numFmtId="180" fontId="19" fillId="33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0" fillId="0" borderId="24" xfId="0" applyFill="1" applyBorder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6" fontId="0" fillId="0" borderId="0" xfId="42" applyFont="1" applyFill="1">
      <alignment vertical="center"/>
    </xf>
    <xf numFmtId="181" fontId="0" fillId="0" borderId="24" xfId="0" applyNumberFormat="1" applyFill="1" applyBorder="1" applyAlignment="1">
      <alignment horizontal="center" vertical="center"/>
    </xf>
    <xf numFmtId="183" fontId="0" fillId="0" borderId="0" xfId="0" applyNumberFormat="1" applyFill="1">
      <alignment vertical="center"/>
    </xf>
    <xf numFmtId="181" fontId="0" fillId="0" borderId="0" xfId="0" applyNumberFormat="1" applyFill="1" applyBorder="1" applyAlignment="1">
      <alignment horizontal="center" vertical="center"/>
    </xf>
    <xf numFmtId="182" fontId="0" fillId="0" borderId="24" xfId="0" applyNumberFormat="1" applyFill="1" applyBorder="1" applyAlignment="1">
      <alignment horizontal="center" vertical="center"/>
    </xf>
    <xf numFmtId="182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81" fontId="0" fillId="0" borderId="0" xfId="0" applyNumberFormat="1" applyFill="1">
      <alignment vertical="center"/>
    </xf>
    <xf numFmtId="10" fontId="0" fillId="0" borderId="24" xfId="43" applyNumberFormat="1" applyFont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10" fontId="0" fillId="0" borderId="24" xfId="43" applyNumberFormat="1" applyFont="1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76" fontId="19" fillId="33" borderId="0" xfId="0" applyNumberFormat="1" applyFont="1" applyFill="1">
      <alignment vertical="center"/>
    </xf>
    <xf numFmtId="184" fontId="19" fillId="33" borderId="0" xfId="0" applyNumberFormat="1" applyFont="1" applyFill="1" applyAlignment="1">
      <alignment horizontal="center" vertical="center"/>
    </xf>
    <xf numFmtId="184" fontId="19" fillId="33" borderId="22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0" fontId="0" fillId="0" borderId="0" xfId="0" applyNumberFormat="1" applyFill="1">
      <alignment vertical="center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4" xfId="0" applyNumberFormat="1" applyFill="1" applyBorder="1" applyAlignment="1">
      <alignment horizontal="center" vertical="center"/>
    </xf>
    <xf numFmtId="182" fontId="0" fillId="0" borderId="0" xfId="0" applyNumberFormat="1" applyFill="1" applyBorder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NumberFormat="1" applyFill="1">
      <alignment vertical="center"/>
    </xf>
    <xf numFmtId="0" fontId="0" fillId="0" borderId="0" xfId="0" applyNumberFormat="1" applyFill="1" applyBorder="1">
      <alignment vertical="center"/>
    </xf>
    <xf numFmtId="10" fontId="0" fillId="0" borderId="24" xfId="0" applyNumberFormat="1" applyFill="1" applyBorder="1" applyAlignment="1">
      <alignment horizontal="center" vertical="center"/>
    </xf>
    <xf numFmtId="14" fontId="19" fillId="0" borderId="0" xfId="0" applyNumberFormat="1" applyFont="1">
      <alignment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57" fontId="20" fillId="33" borderId="0" xfId="0" applyNumberFormat="1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9" fontId="19" fillId="33" borderId="12" xfId="43" applyFont="1" applyFill="1" applyBorder="1" applyAlignment="1">
      <alignment horizontal="right" vertical="center"/>
    </xf>
    <xf numFmtId="9" fontId="19" fillId="33" borderId="13" xfId="43" applyFont="1" applyFill="1" applyBorder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right" vertical="center"/>
    </xf>
    <xf numFmtId="10" fontId="22" fillId="0" borderId="0" xfId="0" applyNumberFormat="1" applyFont="1" applyAlignment="1">
      <alignment horizontal="right" vertical="center"/>
    </xf>
    <xf numFmtId="0" fontId="19" fillId="0" borderId="0" xfId="0" applyFont="1" applyBorder="1">
      <alignment vertical="center"/>
    </xf>
    <xf numFmtId="0" fontId="19" fillId="0" borderId="16" xfId="0" applyFont="1" applyBorder="1">
      <alignment vertical="center"/>
    </xf>
    <xf numFmtId="0" fontId="19" fillId="0" borderId="18" xfId="0" applyFont="1" applyBorder="1">
      <alignment vertical="center"/>
    </xf>
    <xf numFmtId="0" fontId="19" fillId="0" borderId="19" xfId="0" applyFont="1" applyBorder="1">
      <alignment vertical="center"/>
    </xf>
    <xf numFmtId="0" fontId="19" fillId="0" borderId="20" xfId="0" applyFont="1" applyBorder="1">
      <alignment vertical="center"/>
    </xf>
    <xf numFmtId="10" fontId="19" fillId="0" borderId="19" xfId="0" applyNumberFormat="1" applyFont="1" applyBorder="1">
      <alignment vertical="center"/>
    </xf>
    <xf numFmtId="10" fontId="19" fillId="0" borderId="20" xfId="0" applyNumberFormat="1" applyFont="1" applyBorder="1">
      <alignment vertical="center"/>
    </xf>
    <xf numFmtId="0" fontId="19" fillId="0" borderId="21" xfId="0" applyFont="1" applyBorder="1">
      <alignment vertical="center"/>
    </xf>
    <xf numFmtId="0" fontId="19" fillId="0" borderId="23" xfId="0" applyFont="1" applyBorder="1">
      <alignment vertical="center"/>
    </xf>
    <xf numFmtId="0" fontId="21" fillId="0" borderId="16" xfId="0" applyFont="1" applyBorder="1">
      <alignment vertical="center"/>
    </xf>
    <xf numFmtId="0" fontId="19" fillId="0" borderId="17" xfId="0" applyFont="1" applyBorder="1">
      <alignment vertical="center"/>
    </xf>
    <xf numFmtId="0" fontId="24" fillId="34" borderId="19" xfId="0" applyFont="1" applyFill="1" applyBorder="1">
      <alignment vertical="center"/>
    </xf>
    <xf numFmtId="0" fontId="24" fillId="34" borderId="0" xfId="0" applyFont="1" applyFill="1" applyBorder="1">
      <alignment vertical="center"/>
    </xf>
    <xf numFmtId="0" fontId="24" fillId="34" borderId="20" xfId="0" applyFont="1" applyFill="1" applyBorder="1">
      <alignment vertical="center"/>
    </xf>
    <xf numFmtId="14" fontId="19" fillId="0" borderId="19" xfId="0" applyNumberFormat="1" applyFont="1" applyBorder="1">
      <alignment vertical="center"/>
    </xf>
    <xf numFmtId="179" fontId="19" fillId="0" borderId="0" xfId="0" applyNumberFormat="1" applyFont="1" applyBorder="1">
      <alignment vertical="center"/>
    </xf>
    <xf numFmtId="10" fontId="19" fillId="0" borderId="0" xfId="0" applyNumberFormat="1" applyFont="1" applyBorder="1">
      <alignment vertical="center"/>
    </xf>
    <xf numFmtId="0" fontId="19" fillId="0" borderId="22" xfId="0" applyFont="1" applyBorder="1">
      <alignment vertical="center"/>
    </xf>
    <xf numFmtId="10" fontId="19" fillId="0" borderId="22" xfId="0" applyNumberFormat="1" applyFont="1" applyBorder="1">
      <alignment vertical="center"/>
    </xf>
    <xf numFmtId="10" fontId="19" fillId="0" borderId="23" xfId="0" applyNumberFormat="1" applyFont="1" applyBorder="1">
      <alignment vertical="center"/>
    </xf>
    <xf numFmtId="1" fontId="19" fillId="0" borderId="0" xfId="0" applyNumberFormat="1" applyFont="1" applyBorder="1">
      <alignment vertical="center"/>
    </xf>
    <xf numFmtId="1" fontId="19" fillId="0" borderId="22" xfId="0" applyNumberFormat="1" applyFont="1" applyBorder="1">
      <alignment vertical="center"/>
    </xf>
    <xf numFmtId="1" fontId="19" fillId="0" borderId="20" xfId="0" applyNumberFormat="1" applyFont="1" applyBorder="1">
      <alignment vertical="center"/>
    </xf>
    <xf numFmtId="1" fontId="19" fillId="0" borderId="23" xfId="0" applyNumberFormat="1" applyFont="1" applyBorder="1">
      <alignment vertical="center"/>
    </xf>
    <xf numFmtId="1" fontId="19" fillId="0" borderId="0" xfId="0" applyNumberFormat="1" applyFont="1">
      <alignment vertical="center"/>
    </xf>
    <xf numFmtId="10" fontId="19" fillId="0" borderId="20" xfId="0" applyNumberFormat="1" applyFont="1" applyBorder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/>
        <i val="0"/>
        <u/>
      </font>
    </dxf>
    <dxf>
      <font>
        <b/>
        <i val="0"/>
        <u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u/>
        <color auto="1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32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[戴师兄数据分析启蒙课_Excel练习.xlsx]Sheet1!数据透视表1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GMV总和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4"/>
                <c:pt idx="0">
                  <c:v>425745.46000000008</c:v>
                </c:pt>
                <c:pt idx="1">
                  <c:v>273854.5799999999</c:v>
                </c:pt>
                <c:pt idx="2">
                  <c:v>6452.04</c:v>
                </c:pt>
                <c:pt idx="3">
                  <c:v>60286.000000000022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2-8F48-89D6-8A9130E7D65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商家实收总和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4"/>
                <c:pt idx="0">
                  <c:v>142226.6</c:v>
                </c:pt>
                <c:pt idx="1">
                  <c:v>102452.97000000004</c:v>
                </c:pt>
                <c:pt idx="2">
                  <c:v>2445.6</c:v>
                </c:pt>
                <c:pt idx="3">
                  <c:v>22958.25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92-8F48-89D6-8A9130E7D65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求和项:单词cpc费用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龙阳广场店</c:v>
                </c:pt>
                <c:pt idx="3">
                  <c:v>五角场店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4"/>
                <c:pt idx="0">
                  <c:v>0.10251099684349864</c:v>
                </c:pt>
                <c:pt idx="1">
                  <c:v>7.8221967735510808E-2</c:v>
                </c:pt>
                <c:pt idx="2">
                  <c:v>9.4337802869912959E-2</c:v>
                </c:pt>
                <c:pt idx="3">
                  <c:v>8.9926042247099963E-2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92-8F48-89D6-8A9130E7D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84446127"/>
        <c:axId val="384447775"/>
      </c:barChart>
      <c:catAx>
        <c:axId val="38444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447775"/>
        <c:crosses val="autoZero"/>
        <c:auto val="1"/>
        <c:lblAlgn val="ctr"/>
        <c:lblOffset val="100"/>
        <c:noMultiLvlLbl val="0"/>
      </c:catAx>
      <c:valAx>
        <c:axId val="38444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44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[戴师兄数据分析启蒙课_Excel练习.xlsx]数据透视图表-完成版!数据透视表4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[戴师兄数据分析启蒙课_Excel练习.xlsx]数据透视图表-完成版!数据透视表4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435-A9FC-DDFF9BACA98B}"/>
            </c:ext>
          </c:extLst>
        </c:ser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435-A9FC-DDFF9BAC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[戴师兄数据分析启蒙课_Excel练习.xlsx]常用函数-练习版!数据透视表4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'常用函数-练习版'!$Q$120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'常用函数-练习版'!$P$121:$P$129</c:f>
              <c:strCache>
                <c:ptCount val="8"/>
                <c:pt idx="0">
                  <c:v>2000507076</c:v>
                </c:pt>
                <c:pt idx="1">
                  <c:v>2001104355</c:v>
                </c:pt>
                <c:pt idx="2">
                  <c:v>305225345</c:v>
                </c:pt>
                <c:pt idx="3">
                  <c:v>337460136</c:v>
                </c:pt>
                <c:pt idx="4">
                  <c:v>8106681</c:v>
                </c:pt>
                <c:pt idx="5">
                  <c:v>8184590</c:v>
                </c:pt>
                <c:pt idx="6">
                  <c:v>8491999</c:v>
                </c:pt>
                <c:pt idx="7">
                  <c:v>9428110</c:v>
                </c:pt>
              </c:strCache>
            </c:strRef>
          </c:cat>
          <c:val>
            <c:numRef>
              <c:f>'常用函数-练习版'!$Q$121:$Q$129</c:f>
              <c:numCache>
                <c:formatCode>General</c:formatCode>
                <c:ptCount val="8"/>
                <c:pt idx="0">
                  <c:v>60286.000000000022</c:v>
                </c:pt>
                <c:pt idx="1">
                  <c:v>273854.58</c:v>
                </c:pt>
                <c:pt idx="2">
                  <c:v>6452.04</c:v>
                </c:pt>
                <c:pt idx="3">
                  <c:v>425745.45999999996</c:v>
                </c:pt>
                <c:pt idx="4">
                  <c:v>4313.57</c:v>
                </c:pt>
                <c:pt idx="5">
                  <c:v>16838.82</c:v>
                </c:pt>
                <c:pt idx="6">
                  <c:v>169975.03999999998</c:v>
                </c:pt>
                <c:pt idx="7">
                  <c:v>114007.74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2-294C-9014-FE01F55EA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422112"/>
        <c:axId val="1567424432"/>
      </c:barChart>
      <c:catAx>
        <c:axId val="15674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424432"/>
        <c:crosses val="autoZero"/>
        <c:auto val="1"/>
        <c:lblAlgn val="ctr"/>
        <c:lblOffset val="100"/>
        <c:noMultiLvlLbl val="0"/>
      </c:catAx>
      <c:valAx>
        <c:axId val="15674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742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8</xdr:row>
      <xdr:rowOff>139700</xdr:rowOff>
    </xdr:from>
    <xdr:to>
      <xdr:col>12</xdr:col>
      <xdr:colOff>63500</xdr:colOff>
      <xdr:row>23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A48467-F2C7-EEF6-9BF1-B67992FCF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749300</xdr:colOff>
      <xdr:row>12</xdr:row>
      <xdr:rowOff>38100</xdr:rowOff>
    </xdr:from>
    <xdr:to>
      <xdr:col>5</xdr:col>
      <xdr:colOff>317500</xdr:colOff>
      <xdr:row>23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平台i">
              <a:extLst>
                <a:ext uri="{FF2B5EF4-FFF2-40B4-BE49-F238E27FC236}">
                  <a16:creationId xmlns:a16="http://schemas.microsoft.com/office/drawing/2014/main" id="{86F46086-8BCB-A0E7-1D43-3D62E9154C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2300" y="23241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333375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1">
              <a:extLst>
                <a:ext uri="{FF2B5EF4-FFF2-40B4-BE49-F238E27FC236}">
                  <a16:creationId xmlns:a16="http://schemas.microsoft.com/office/drawing/2014/main" id="{B9F7D232-F71C-4BA9-AF97-92D44D322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1714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5623B3-7062-44D9-BB55-FAF1DFAF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15</xdr:row>
      <xdr:rowOff>133350</xdr:rowOff>
    </xdr:from>
    <xdr:to>
      <xdr:col>10</xdr:col>
      <xdr:colOff>533400</xdr:colOff>
      <xdr:row>30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ABE736-9F7E-4E3F-B38A-DB2A82B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412750</xdr:colOff>
      <xdr:row>129</xdr:row>
      <xdr:rowOff>114300</xdr:rowOff>
    </xdr:from>
    <xdr:to>
      <xdr:col>12</xdr:col>
      <xdr:colOff>412750</xdr:colOff>
      <xdr:row>144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696302A-79AF-D6EF-E39F-0C824DBB3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拌客源数据1-8月"/>
  </cacheSource>
  <cacheFields count="30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674458796297" createdVersion="7" refreshedVersion="7" minRefreshableVersion="3" recordCount="8" xr:uid="{1FE6FBB3-CCE5-4ACE-9A3E-E427D01BD665}">
  <cacheSource type="worksheet">
    <worksheetSource ref="S95:U103" sheet="常用函数-完成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88.855337847221" createdVersion="7" refreshedVersion="7" minRefreshableVersion="3" recordCount="562" xr:uid="{0269A4CF-01C4-B949-B05B-B5EC4ED643F2}">
  <cacheSource type="worksheet">
    <worksheetSource ref="A1:X1048576" sheet="拌客源数据1-8月"/>
  </cacheSource>
  <cacheFields count="25">
    <cacheField name="日期" numFmtId="14">
      <sharedItems containsNonDate="0" containsDate="1" containsString="0" containsBlank="1" minDate="2020-01-01T00:00:00" maxDate="2020-09-01T00:00:00"/>
    </cacheField>
    <cacheField name="品牌ID" numFmtId="0">
      <sharedItems containsString="0" containsBlank="1" containsNumber="1" containsInteger="1" minValue="4636" maxValue="6108"/>
    </cacheField>
    <cacheField name="品牌名称" numFmtId="0">
      <sharedItems containsBlank="1"/>
    </cacheField>
    <cacheField name="门店ID" numFmtId="0">
      <sharedItems containsBlank="1"/>
    </cacheField>
    <cacheField name="门店名称" numFmtId="0">
      <sharedItems containsBlank="1" count="6">
        <s v="宝山店"/>
        <s v="五角场店"/>
        <s v="龙阳广场店"/>
        <s v="怒江路店"/>
        <s v="拌客干拌麻辣烫(武宁路店)"/>
        <m/>
      </sharedItems>
    </cacheField>
    <cacheField name="城市" numFmtId="0">
      <sharedItems containsBlank="1"/>
    </cacheField>
    <cacheField name="平台" numFmtId="0">
      <sharedItems containsBlank="1"/>
    </cacheField>
    <cacheField name="平台i" numFmtId="0">
      <sharedItems containsBlank="1" count="3">
        <s v="饿了么"/>
        <s v="美团"/>
        <m/>
      </sharedItems>
    </cacheField>
    <cacheField name="平台门店名称" numFmtId="0">
      <sharedItems containsBlank="1"/>
    </cacheField>
    <cacheField name="GMV" numFmtId="0">
      <sharedItems containsString="0" containsBlank="1" containsNumber="1" minValue="0" maxValue="11012.76" count="557">
        <n v="3545.74"/>
        <n v="2065.6"/>
        <n v="1498.22"/>
        <n v="2184.44"/>
        <n v="2878.18"/>
        <n v="2592"/>
        <n v="1640.77"/>
        <n v="2225.1"/>
        <n v="4093.26"/>
        <n v="1782.05"/>
        <n v="3455.42"/>
        <n v="4058.06"/>
        <n v="2130.38"/>
        <n v="1531"/>
        <n v="2473.8200000000002"/>
        <n v="3576.58"/>
        <n v="2655.38"/>
        <n v="2265.8200000000002"/>
        <n v="2397.1999999999998"/>
        <n v="3735.26"/>
        <n v="3299.56"/>
        <n v="2757.22"/>
        <n v="3332.6"/>
        <n v="2059.71"/>
        <n v="1317.5"/>
        <n v="1654.01"/>
        <n v="1167.76"/>
        <n v="1908.22"/>
        <n v="1278.08"/>
        <n v="1738.06"/>
        <n v="1316.57"/>
        <n v="1915.36"/>
        <n v="1006.99"/>
        <n v="1384.55"/>
        <n v="1112.52"/>
        <n v="1513.37"/>
        <n v="1825.26"/>
        <n v="984.56"/>
        <n v="758.35"/>
        <n v="1135.1400000000001"/>
        <n v="1370.68"/>
        <n v="2294.79"/>
        <n v="1708.47"/>
        <n v="1470.49"/>
        <n v="1433.74"/>
        <n v="1216.3599999999999"/>
        <n v="1244.8800000000001"/>
        <n v="1798.82"/>
        <n v="930.74"/>
        <n v="1687.17"/>
        <n v="704.21"/>
        <n v="2072.36"/>
        <n v="1401.49"/>
        <n v="1085"/>
        <n v="1739.49"/>
        <n v="723.57"/>
        <n v="1221.93"/>
        <n v="545.27"/>
        <n v="1013.08"/>
        <n v="639.20000000000005"/>
        <n v="1227.58"/>
        <n v="448.37"/>
        <n v="883.53"/>
        <n v="601.70000000000005"/>
        <n v="1021.94"/>
        <n v="384.1"/>
        <n v="1112.56"/>
        <n v="1367.21"/>
        <n v="894.03"/>
        <n v="388.73"/>
        <n v="1377.74"/>
        <n v="968.82"/>
        <n v="2567"/>
        <n v="640.04"/>
        <n v="1581.86"/>
        <n v="583.72"/>
        <n v="1449.58"/>
        <n v="815.11"/>
        <n v="529.41"/>
        <n v="742.35"/>
        <n v="1595.19"/>
        <n v="868.91"/>
        <n v="596.26"/>
        <n v="522.53"/>
        <n v="1703.44"/>
        <n v="402.23"/>
        <n v="1749.35"/>
        <n v="596.30999999999995"/>
        <n v="1458.53"/>
        <n v="849.38"/>
        <n v="837.26"/>
        <n v="706.88"/>
        <n v="1293.56"/>
        <n v="1366.3"/>
        <n v="299.62"/>
        <n v="1462.61"/>
        <n v="561.78"/>
        <n v="940.11"/>
        <n v="958.69"/>
        <n v="414.71"/>
        <n v="823.99"/>
        <n v="1045.28"/>
        <n v="1337.57"/>
        <n v="535.13"/>
        <n v="842.06"/>
        <n v="1096.1099999999999"/>
        <n v="1198.9000000000001"/>
        <n v="495.56"/>
        <n v="588.05999999999995"/>
        <n v="644.99"/>
        <n v="1117.31"/>
        <n v="721.7"/>
        <n v="1385.08"/>
        <n v="1220.96"/>
        <n v="772.45"/>
        <n v="1478.17"/>
        <n v="1779.61"/>
        <n v="1340.95"/>
        <n v="784.71"/>
        <n v="1120.27"/>
        <n v="1459.54"/>
        <n v="1389.11"/>
        <n v="865.17"/>
        <n v="521.65"/>
        <n v="942.11"/>
        <n v="626.38"/>
        <n v="1738.67"/>
        <n v="942.31"/>
        <n v="1139.1600000000001"/>
        <n v="722.17"/>
        <n v="613.71"/>
        <n v="699.07"/>
        <n v="1142.8599999999999"/>
        <n v="1096.04"/>
        <n v="867.68"/>
        <n v="912.99"/>
        <n v="1093.71"/>
        <n v="649.5"/>
        <n v="605.23"/>
        <n v="989.16"/>
        <n v="1078.27"/>
        <n v="1154.54"/>
        <n v="816.51"/>
        <n v="1439.93"/>
        <n v="904.72"/>
        <n v="915.11"/>
        <n v="1581.29"/>
        <n v="572.22"/>
        <n v="1343.59"/>
        <n v="1160.4100000000001"/>
        <n v="1122.72"/>
        <n v="1232.58"/>
        <n v="925.98"/>
        <n v="1581.67"/>
        <n v="1624.43"/>
        <n v="2244.4"/>
        <n v="1550.12"/>
        <n v="628.23"/>
        <n v="1394.61"/>
        <n v="434.58"/>
        <n v="969.22"/>
        <n v="732.99"/>
        <n v="1028.3399999999999"/>
        <n v="1244.75"/>
        <n v="1548.92"/>
        <n v="1252.94"/>
        <n v="1442.36"/>
        <n v="1541.06"/>
        <n v="1037.31"/>
        <n v="916.39"/>
        <n v="1377.46"/>
        <n v="1131.1300000000001"/>
        <n v="1043.3499999999999"/>
        <n v="1144.9100000000001"/>
        <n v="1996.39"/>
        <n v="1304.3399999999999"/>
        <n v="1102.18"/>
        <n v="1260.33"/>
        <n v="1018.93"/>
        <n v="1255.31"/>
        <n v="1190.5999999999999"/>
        <n v="1381.03"/>
        <n v="998.14"/>
        <n v="1114.4100000000001"/>
        <n v="689.82"/>
        <n v="1309.72"/>
        <n v="1213"/>
        <n v="1968.36"/>
        <n v="476.4"/>
        <n v="1381.09"/>
        <n v="1060.02"/>
        <n v="1101.4000000000001"/>
        <n v="562.64"/>
        <n v="1122.81"/>
        <n v="682.13"/>
        <n v="1255.4100000000001"/>
        <n v="1147.7"/>
        <n v="1316.44"/>
        <n v="1035"/>
        <n v="1774.86"/>
        <n v="1612.33"/>
        <n v="784.28"/>
        <n v="1641.93"/>
        <n v="2393.9299999999998"/>
        <n v="771.92"/>
        <n v="1088.92"/>
        <n v="939.51"/>
        <n v="1645.35"/>
        <n v="1299.9100000000001"/>
        <n v="654"/>
        <n v="2096.54"/>
        <n v="1956.95"/>
        <n v="1126.08"/>
        <n v="1160.52"/>
        <n v="1547.39"/>
        <n v="754.7"/>
        <n v="1216.56"/>
        <n v="753.97"/>
        <n v="500.94"/>
        <n v="1838.31"/>
        <n v="812.12"/>
        <n v="1398.73"/>
        <n v="423.09"/>
        <n v="2279.29"/>
        <n v="1217.47"/>
        <n v="1266.68"/>
        <n v="1257.0999999999999"/>
        <n v="971.14"/>
        <n v="1270.51"/>
        <n v="1088.55"/>
        <n v="0"/>
        <n v="1512.86"/>
        <n v="1446.19"/>
        <n v="1481.46"/>
        <n v="1772.64"/>
        <n v="2432.3000000000002"/>
        <n v="1204.7"/>
        <n v="3397.32"/>
        <n v="1679.15"/>
        <n v="2978.46"/>
        <n v="1980.86"/>
        <n v="1228.8"/>
        <n v="4054.28"/>
        <n v="1614.63"/>
        <n v="1702.43"/>
        <n v="4838.26"/>
        <n v="1428.49"/>
        <n v="1416.87"/>
        <n v="3843.94"/>
        <n v="1436"/>
        <n v="1081.05"/>
        <n v="4531.12"/>
        <n v="1080.22"/>
        <n v="1279.46"/>
        <n v="4559.76"/>
        <n v="1353.97"/>
        <n v="1010.16"/>
        <n v="6077.68"/>
        <n v="1652.9"/>
        <n v="1078.1400000000001"/>
        <n v="5724.72"/>
        <n v="1284.21"/>
        <n v="1301.3"/>
        <n v="5849.3"/>
        <n v="1022.18"/>
        <n v="1218.28"/>
        <n v="7174.94"/>
        <n v="904.57"/>
        <n v="1680.79"/>
        <n v="4405.0600000000004"/>
        <n v="681.8"/>
        <n v="1255.1600000000001"/>
        <n v="5858.64"/>
        <n v="1592.9"/>
        <n v="1243.21"/>
        <n v="7527.96"/>
        <n v="724.8"/>
        <n v="888.55"/>
        <n v="9230.5400000000009"/>
        <n v="1203.94"/>
        <n v="798.86"/>
        <n v="8404.02"/>
        <n v="600.83000000000004"/>
        <n v="750.51"/>
        <n v="7598.3"/>
        <n v="783.5"/>
        <n v="1278.8800000000001"/>
        <n v="8633"/>
        <n v="1145.81"/>
        <n v="612.80999999999995"/>
        <n v="8992.48"/>
        <n v="1713.99"/>
        <n v="1606.52"/>
        <n v="7903.2"/>
        <n v="1237.56"/>
        <n v="1211.8499999999999"/>
        <n v="8847.58"/>
        <n v="1093.08"/>
        <n v="1131.45"/>
        <n v="9614.5"/>
        <n v="1171.1600000000001"/>
        <n v="839.37"/>
        <n v="9423.76"/>
        <n v="1373.93"/>
        <n v="1220.3699999999999"/>
        <n v="11012.76"/>
        <n v="1371.05"/>
        <n v="1474.39"/>
        <n v="7396.28"/>
        <n v="1987.12"/>
        <n v="1143.3399999999999"/>
        <n v="8589.2999999999993"/>
        <n v="1179.8800000000001"/>
        <n v="1118.3900000000001"/>
        <n v="8415.34"/>
        <n v="1167.1400000000001"/>
        <n v="412.69"/>
        <n v="6646.12"/>
        <n v="1111.3"/>
        <n v="663.67"/>
        <n v="7555.66"/>
        <n v="1009.49"/>
        <n v="893.69"/>
        <n v="7359.1"/>
        <n v="1115.02"/>
        <n v="6686.34"/>
        <n v="1074.9100000000001"/>
        <n v="7506.96"/>
        <n v="1048.17"/>
        <n v="1309.0899999999999"/>
        <n v="5435.2"/>
        <n v="683.97"/>
        <n v="1246.8800000000001"/>
        <n v="5645.9"/>
        <n v="921.67"/>
        <n v="926.36"/>
        <n v="6062.04"/>
        <n v="1028.98"/>
        <n v="1188.56"/>
        <n v="6308.08"/>
        <n v="1225.9100000000001"/>
        <n v="1023.08"/>
        <n v="7264.28"/>
        <n v="1249.05"/>
        <n v="621.87"/>
        <n v="6747.18"/>
        <n v="1114.76"/>
        <n v="726.48"/>
        <n v="7206.96"/>
        <n v="776.34"/>
        <n v="1345.21"/>
        <n v="5097.66"/>
        <n v="884.92"/>
        <n v="849.23"/>
        <n v="4318.16"/>
        <n v="623.66"/>
        <n v="372.7"/>
        <n v="5131.1400000000003"/>
        <n v="728.88"/>
        <n v="738.79"/>
        <n v="5989.36"/>
        <n v="557.08000000000004"/>
        <n v="841.7"/>
        <n v="6057.96"/>
        <n v="822.57"/>
        <n v="792.65"/>
        <n v="3726.24"/>
        <n v="1444.26"/>
        <n v="843.64"/>
        <n v="3968.66"/>
        <n v="1230.6400000000001"/>
        <n v="569.04"/>
        <n v="5250.46"/>
        <n v="1641.73"/>
        <n v="1067.8399999999999"/>
        <n v="4908.66"/>
        <n v="1501.9"/>
        <n v="856.82"/>
        <n v="4302.28"/>
        <n v="619.76"/>
        <n v="888.53"/>
        <n v="4423.18"/>
        <n v="1034.82"/>
        <n v="931.71"/>
        <n v="3824.26"/>
        <n v="1168.8399999999999"/>
        <n v="1008.28"/>
        <n v="4943.76"/>
        <n v="1257.6099999999999"/>
        <n v="1023.39"/>
        <n v="3219.04"/>
        <n v="1066.54"/>
        <n v="999.86"/>
        <n v="2946.86"/>
        <n v="1034.2"/>
        <n v="1144.82"/>
        <n v="2690.46"/>
        <n v="927.85"/>
        <n v="755.47"/>
        <n v="978.89"/>
        <n v="1171.43"/>
        <n v="3240.96"/>
        <n v="781.55"/>
        <n v="742.2"/>
        <n v="3378.12"/>
        <n v="4978.66"/>
        <n v="1230.72"/>
        <n v="605.22"/>
        <n v="3427.6"/>
        <n v="4772.74"/>
        <n v="960.69"/>
        <n v="766.23"/>
        <n v="2797.24"/>
        <n v="4644.68"/>
        <n v="1658.28"/>
        <n v="813"/>
        <n v="2584.6799999999998"/>
        <n v="3374.12"/>
        <n v="801.72"/>
        <n v="802.14"/>
        <n v="1839.2"/>
        <n v="2967.4"/>
        <n v="981.76"/>
        <n v="1162.96"/>
        <n v="2870.86"/>
        <n v="4035.58"/>
        <n v="865.98"/>
        <n v="917.18"/>
        <n v="3212.68"/>
        <n v="5440.48"/>
        <n v="710.3"/>
        <n v="1075.7"/>
        <n v="3539.82"/>
        <n v="7633.74"/>
        <n v="1208.0899999999999"/>
        <n v="909.68"/>
        <n v="3405.32"/>
        <n v="6502.66"/>
        <n v="1250.93"/>
        <n v="3097.62"/>
        <n v="6540.56"/>
        <n v="1150.23"/>
        <n v="2162.2199999999998"/>
        <n v="3945.32"/>
        <n v="1078.07"/>
        <n v="1994.08"/>
        <n v="3775.28"/>
        <n v="311.94"/>
        <n v="3771.52"/>
        <n v="5450.54"/>
        <n v="3173.74"/>
        <n v="4533.6000000000004"/>
        <n v="906.2"/>
        <n v="3558.84"/>
        <n v="5140.9799999999996"/>
        <n v="1185.92"/>
        <n v="863.77"/>
        <n v="2769.7"/>
        <n v="5289.66"/>
        <n v="1240.07"/>
        <n v="1345.44"/>
        <n v="2791.1"/>
        <n v="5455.66"/>
        <n v="1522.05"/>
        <n v="1139.06"/>
        <n v="2446"/>
        <n v="1491.77"/>
        <n v="3059.28"/>
        <n v="3700.24"/>
        <n v="1204.4100000000001"/>
        <n v="2848.94"/>
        <n v="4271.26"/>
        <n v="1416.77"/>
        <n v="4116.74"/>
        <n v="3338.34"/>
        <n v="920.29"/>
        <n v="1466.39"/>
        <n v="3094.72"/>
        <n v="3300.02"/>
        <n v="1024.71"/>
        <n v="789.09"/>
        <n v="3651.06"/>
        <n v="3402.26"/>
        <n v="1244.1300000000001"/>
        <n v="1163.7"/>
        <n v="3744.96"/>
        <n v="3920.22"/>
        <n v="1177.3599999999999"/>
        <n v="1853.47"/>
        <n v="3093.24"/>
        <n v="2346.3000000000002"/>
        <n v="1231.55"/>
        <n v="1040.8"/>
        <n v="2989.62"/>
        <n v="2934.5"/>
        <n v="955.18"/>
        <n v="1136.29"/>
        <n v="3067.38"/>
        <n v="2312.94"/>
        <n v="1022.11"/>
        <n v="1083.77"/>
        <n v="1167.6600000000001"/>
        <n v="1617"/>
        <n v="877.66"/>
        <n v="1817.37"/>
        <n v="963.34"/>
        <n v="1105.81"/>
        <n v="1459.53"/>
        <n v="1145.82"/>
        <n v="532.48"/>
        <n v="841.93"/>
        <n v="769.03"/>
        <n v="1461.14"/>
        <n v="695.55"/>
        <n v="1538.37"/>
        <n v="1107.25"/>
        <n v="1252.93"/>
        <n v="875.68"/>
        <n v="911.86"/>
        <n v="760.49"/>
        <n v="1054.44"/>
        <n v="1210.5999999999999"/>
        <n v="1011.71"/>
        <n v="1389.29"/>
        <n v="1139.3499999999999"/>
        <n v="886"/>
        <n v="1164.02"/>
        <n v="1116.4000000000001"/>
        <n v="979.64"/>
        <n v="954.76"/>
        <n v="923.86"/>
        <n v="1515.71"/>
        <n v="1072.98"/>
        <n v="881.23"/>
        <n v="976.94"/>
        <n v="707.68"/>
        <n v="1411.11"/>
        <n v="720.95"/>
        <n v="1219.2"/>
        <n v="661.55"/>
        <n v="1094.55"/>
        <n v="622.86"/>
        <n v="1093.42"/>
        <n v="710.52"/>
        <n v="1003.88"/>
        <n v="771.47"/>
        <n v="1199.8"/>
        <n v="1036.1500000000001"/>
        <n v="2058.86"/>
        <n v="1343.79"/>
        <n v="946.64"/>
        <n v="1297.9000000000001"/>
        <n v="768.83"/>
        <n v="660.37"/>
        <n v="805.97"/>
        <n v="857.91"/>
        <m/>
      </sharedItems>
    </cacheField>
    <cacheField name="商家实收" numFmtId="0">
      <sharedItems containsString="0" containsBlank="1" containsNumber="1" minValue="0" maxValue="3780.11"/>
    </cacheField>
    <cacheField name="门店曝光量" numFmtId="0">
      <sharedItems containsString="0" containsBlank="1" containsNumber="1" containsInteger="1" minValue="0" maxValue="10621"/>
    </cacheField>
    <cacheField name="门店访问量" numFmtId="0">
      <sharedItems containsString="0" containsBlank="1" containsNumber="1" containsInteger="1" minValue="0" maxValue="701"/>
    </cacheField>
    <cacheField name="门店下单量" numFmtId="0">
      <sharedItems containsString="0" containsBlank="1" containsNumber="1" containsInteger="1" minValue="5" maxValue="233"/>
    </cacheField>
    <cacheField name="无效订单" numFmtId="0">
      <sharedItems containsString="0" containsBlank="1" containsNumber="1" containsInteger="1" minValue="0" maxValue="11"/>
    </cacheField>
    <cacheField name="有效订单" numFmtId="0">
      <sharedItems containsString="0" containsBlank="1" containsNumber="1" containsInteger="1" minValue="5" maxValue="232"/>
    </cacheField>
    <cacheField name="曝光人数" numFmtId="0">
      <sharedItems containsString="0" containsBlank="1" containsNumber="1" containsInteger="1" minValue="0" maxValue="10621"/>
    </cacheField>
    <cacheField name="进店人数" numFmtId="0">
      <sharedItems containsString="0" containsBlank="1" containsNumber="1" containsInteger="1" minValue="0" maxValue="701"/>
    </cacheField>
    <cacheField name="下单人数" numFmtId="0">
      <sharedItems containsString="0" containsBlank="1" containsNumber="1" containsInteger="1" minValue="0" maxValue="224"/>
    </cacheField>
    <cacheField name="cpc总费用" numFmtId="0">
      <sharedItems containsString="0" containsBlank="1" containsNumber="1" minValue="0" maxValue="846.4"/>
    </cacheField>
    <cacheField name="cpc曝光量" numFmtId="0">
      <sharedItems containsString="0" containsBlank="1" containsNumber="1" containsInteger="1" minValue="0" maxValue="7812"/>
    </cacheField>
    <cacheField name="cpc访问量" numFmtId="0">
      <sharedItems containsString="0" containsBlank="1" containsNumber="1" containsInteger="1" minValue="0" maxValue="409"/>
    </cacheField>
    <cacheField name="商户补贴" numFmtId="0">
      <sharedItems containsString="0" containsBlank="1" containsNumber="1" containsInteger="1" minValue="174" maxValue="5882"/>
    </cacheField>
    <cacheField name="平台补贴" numFmtId="0">
      <sharedItems containsString="0" containsBlank="1" containsNumber="1" containsInteger="1" minValue="4" maxValue="1141"/>
    </cacheField>
    <cacheField name="单词cpc费用" numFmtId="0" formula="cpc总费用 /cpc曝光量" databaseField="0"/>
  </cacheFields>
  <extLst>
    <ext xmlns:x14="http://schemas.microsoft.com/office/spreadsheetml/2009/9/main" uri="{725AE2AE-9491-48be-B2B4-4EB974FC3084}">
      <x14:pivotCacheDefinition pivotCacheId="36175122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88.870482060185" createdVersion="7" refreshedVersion="7" minRefreshableVersion="3" recordCount="8" xr:uid="{61BDE40C-27AF-1945-945A-5200C1EA6F63}">
  <cacheSource type="worksheet">
    <worksheetSource ref="S95:U103" sheet="常用函数-练习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2">
  <r>
    <d v="2020-01-01T00:00:00"/>
    <n v="4636"/>
    <s v="蛙小辣火锅杯（总账号）"/>
    <s v="2001104355"/>
    <x v="0"/>
    <s v="上海"/>
    <s v="eleme"/>
    <x v="0"/>
    <s v="蛙小辣·美蛙火锅杯(宝山店)"/>
    <x v="0"/>
    <n v="1349.51"/>
    <n v="4427"/>
    <n v="355"/>
    <n v="58"/>
    <n v="1"/>
    <n v="57"/>
    <n v="4169"/>
    <n v="361"/>
    <n v="52"/>
    <n v="209"/>
    <n v="3280"/>
    <n v="212"/>
    <n v="1825"/>
    <n v="32"/>
  </r>
  <r>
    <d v="2020-01-01T00:00:00"/>
    <n v="4636"/>
    <s v="蛙小辣火锅杯（总账号）"/>
    <s v="8184590"/>
    <x v="1"/>
    <s v="上海"/>
    <s v="meituan"/>
    <x v="1"/>
    <s v="蛙小辣火锅杯（合生汇店）"/>
    <x v="1"/>
    <n v="741.23"/>
    <n v="4172"/>
    <n v="324"/>
    <n v="39"/>
    <n v="3"/>
    <n v="36"/>
    <n v="4172"/>
    <n v="324"/>
    <n v="38"/>
    <n v="243.8"/>
    <n v="3660"/>
    <n v="194"/>
    <n v="1069"/>
    <n v="24"/>
  </r>
  <r>
    <d v="2020-01-01T00:00:00"/>
    <n v="4636"/>
    <s v="蛙小辣火锅杯（总账号）"/>
    <s v="305225345"/>
    <x v="2"/>
    <s v="上海"/>
    <s v="eleme"/>
    <x v="0"/>
    <s v="蛙小辣火锅杯(龙阳广场店)"/>
    <x v="2"/>
    <n v="585.91"/>
    <n v="2377"/>
    <n v="168"/>
    <n v="25"/>
    <n v="1"/>
    <n v="24"/>
    <n v="2227"/>
    <n v="180"/>
    <n v="23"/>
    <n v="137.1"/>
    <n v="1618"/>
    <n v="97"/>
    <n v="762"/>
    <n v="148"/>
  </r>
  <r>
    <d v="2020-01-01T00:00:00"/>
    <n v="4636"/>
    <s v="蛙小辣火锅杯（总账号）"/>
    <s v="2000507076"/>
    <x v="1"/>
    <s v="上海"/>
    <s v="eleme"/>
    <x v="0"/>
    <s v="蛙小辣火锅杯(五角场店)"/>
    <x v="3"/>
    <n v="1114.05"/>
    <n v="2684"/>
    <n v="190"/>
    <n v="36"/>
    <n v="0"/>
    <n v="36"/>
    <n v="2685"/>
    <n v="194"/>
    <n v="33"/>
    <n v="44.06"/>
    <n v="545"/>
    <n v="40"/>
    <n v="811"/>
    <n v="49"/>
  </r>
  <r>
    <d v="2020-01-02T00:00:00"/>
    <n v="4636"/>
    <s v="蛙小辣火锅杯（总账号）"/>
    <s v="2001104355"/>
    <x v="0"/>
    <s v="上海"/>
    <s v="eleme"/>
    <x v="0"/>
    <s v="蛙小辣·美蛙火锅杯(宝山店)"/>
    <x v="4"/>
    <n v="1069.32"/>
    <n v="3419"/>
    <n v="257"/>
    <n v="50"/>
    <n v="0"/>
    <n v="50"/>
    <n v="3196"/>
    <n v="257"/>
    <n v="48"/>
    <n v="192.9"/>
    <n v="2519"/>
    <n v="155"/>
    <n v="1498"/>
    <n v="32"/>
  </r>
  <r>
    <d v="2020-01-02T00:00:00"/>
    <n v="4636"/>
    <s v="蛙小辣火锅杯（总账号）"/>
    <s v="8184590"/>
    <x v="1"/>
    <s v="上海"/>
    <s v="meituan"/>
    <x v="1"/>
    <s v="蛙小辣火锅杯（合生汇店）"/>
    <x v="5"/>
    <n v="974.62"/>
    <n v="2599"/>
    <n v="238"/>
    <n v="44"/>
    <n v="1"/>
    <n v="43"/>
    <n v="2599"/>
    <n v="238"/>
    <n v="43"/>
    <n v="155.12"/>
    <n v="1683"/>
    <n v="104"/>
    <n v="1338"/>
    <n v="25"/>
  </r>
  <r>
    <d v="2020-01-02T00:00:00"/>
    <n v="4636"/>
    <s v="蛙小辣火锅杯（总账号）"/>
    <s v="305225345"/>
    <x v="2"/>
    <s v="上海"/>
    <s v="eleme"/>
    <x v="0"/>
    <s v="蛙小辣火锅杯(龙阳广场店)"/>
    <x v="6"/>
    <n v="602.88"/>
    <n v="1476"/>
    <n v="118"/>
    <n v="30"/>
    <n v="0"/>
    <n v="30"/>
    <n v="1436"/>
    <n v="128"/>
    <n v="29"/>
    <n v="91.4"/>
    <n v="911"/>
    <n v="60"/>
    <n v="864"/>
    <n v="160"/>
  </r>
  <r>
    <d v="2020-01-02T00:00:00"/>
    <n v="4636"/>
    <s v="蛙小辣火锅杯（总账号）"/>
    <s v="2000507076"/>
    <x v="1"/>
    <s v="上海"/>
    <s v="eleme"/>
    <x v="0"/>
    <s v="蛙小辣火锅杯(五角场店)"/>
    <x v="7"/>
    <n v="1180.31"/>
    <n v="3071"/>
    <n v="226"/>
    <n v="31"/>
    <n v="0"/>
    <n v="31"/>
    <n v="2853"/>
    <n v="229"/>
    <n v="31"/>
    <n v="156"/>
    <n v="1699"/>
    <n v="107"/>
    <n v="780"/>
    <n v="55"/>
  </r>
  <r>
    <d v="2020-01-03T00:00:00"/>
    <n v="4636"/>
    <s v="蛙小辣火锅杯（总账号）"/>
    <s v="2001104355"/>
    <x v="0"/>
    <s v="上海"/>
    <s v="eleme"/>
    <x v="0"/>
    <s v="蛙小辣·美蛙火锅杯(宝山店)"/>
    <x v="8"/>
    <n v="1595.58"/>
    <n v="3587"/>
    <n v="303"/>
    <n v="66"/>
    <n v="1"/>
    <n v="65"/>
    <n v="3355"/>
    <n v="303"/>
    <n v="62"/>
    <n v="205.4"/>
    <n v="2745"/>
    <n v="193"/>
    <n v="2061"/>
    <n v="45"/>
  </r>
  <r>
    <d v="2020-01-03T00:00:00"/>
    <n v="4636"/>
    <s v="蛙小辣火锅杯（总账号）"/>
    <s v="305225345"/>
    <x v="2"/>
    <s v="上海"/>
    <s v="eleme"/>
    <x v="0"/>
    <s v="蛙小辣火锅杯(龙阳广场店)"/>
    <x v="9"/>
    <n v="642.23"/>
    <n v="1541"/>
    <n v="134"/>
    <n v="32"/>
    <n v="0"/>
    <n v="32"/>
    <n v="1583"/>
    <n v="145"/>
    <n v="31"/>
    <n v="92.76"/>
    <n v="912"/>
    <n v="64"/>
    <n v="945"/>
    <n v="162"/>
  </r>
  <r>
    <d v="2020-01-03T00:00:00"/>
    <n v="4636"/>
    <s v="蛙小辣火锅杯（总账号）"/>
    <s v="2000507076"/>
    <x v="1"/>
    <s v="上海"/>
    <s v="eleme"/>
    <x v="0"/>
    <s v="蛙小辣火锅杯(五角场店)"/>
    <x v="10"/>
    <n v="1607.79"/>
    <n v="3844"/>
    <n v="287"/>
    <n v="57"/>
    <n v="0"/>
    <n v="57"/>
    <n v="3587"/>
    <n v="290"/>
    <n v="56"/>
    <n v="198.41"/>
    <n v="2125"/>
    <n v="140"/>
    <n v="1460"/>
    <n v="62"/>
  </r>
  <r>
    <d v="2020-01-04T00:00:00"/>
    <n v="4636"/>
    <s v="蛙小辣火锅杯（总账号）"/>
    <s v="2001104355"/>
    <x v="0"/>
    <s v="上海"/>
    <s v="eleme"/>
    <x v="0"/>
    <s v="蛙小辣·美蛙火锅杯(宝山店)"/>
    <x v="11"/>
    <n v="1573.61"/>
    <n v="3846"/>
    <n v="339"/>
    <n v="65"/>
    <n v="0"/>
    <n v="65"/>
    <n v="3551"/>
    <n v="339"/>
    <n v="57"/>
    <n v="205.44"/>
    <n v="2813"/>
    <n v="182"/>
    <n v="2066"/>
    <n v="41"/>
  </r>
  <r>
    <d v="2020-01-04T00:00:00"/>
    <n v="4636"/>
    <s v="蛙小辣火锅杯（总账号）"/>
    <s v="8184590"/>
    <x v="1"/>
    <s v="上海"/>
    <s v="meituan"/>
    <x v="1"/>
    <s v="蛙小辣火锅杯（合生汇店）"/>
    <x v="12"/>
    <n v="870.73"/>
    <n v="2779"/>
    <n v="213"/>
    <n v="32"/>
    <n v="0"/>
    <n v="32"/>
    <n v="2779"/>
    <n v="213"/>
    <n v="32"/>
    <n v="100"/>
    <n v="1738"/>
    <n v="89"/>
    <n v="1017"/>
    <n v="27"/>
  </r>
  <r>
    <d v="2020-01-04T00:00:00"/>
    <n v="4636"/>
    <s v="蛙小辣火锅杯（总账号）"/>
    <s v="305225345"/>
    <x v="2"/>
    <s v="上海"/>
    <s v="eleme"/>
    <x v="0"/>
    <s v="蛙小辣火锅杯(龙阳广场店)"/>
    <x v="13"/>
    <n v="614.58000000000004"/>
    <n v="2251"/>
    <n v="136"/>
    <n v="26"/>
    <n v="0"/>
    <n v="26"/>
    <n v="2115"/>
    <n v="137"/>
    <n v="25"/>
    <n v="79.77"/>
    <n v="810"/>
    <n v="50"/>
    <n v="751"/>
    <n v="181"/>
  </r>
  <r>
    <d v="2020-01-04T00:00:00"/>
    <n v="4636"/>
    <s v="蛙小辣火锅杯（总账号）"/>
    <s v="2000507076"/>
    <x v="1"/>
    <s v="上海"/>
    <s v="eleme"/>
    <x v="0"/>
    <s v="蛙小辣火锅杯(五角场店)"/>
    <x v="14"/>
    <n v="1157.83"/>
    <n v="3663"/>
    <n v="263"/>
    <n v="36"/>
    <n v="0"/>
    <n v="36"/>
    <n v="3460"/>
    <n v="264"/>
    <n v="35"/>
    <n v="168.17"/>
    <n v="2231"/>
    <n v="131"/>
    <n v="1045"/>
    <n v="85"/>
  </r>
  <r>
    <d v="2020-01-05T00:00:00"/>
    <n v="4636"/>
    <s v="蛙小辣火锅杯（总账号）"/>
    <s v="2001104355"/>
    <x v="0"/>
    <s v="上海"/>
    <s v="eleme"/>
    <x v="0"/>
    <s v="蛙小辣·美蛙火锅杯(宝山店)"/>
    <x v="15"/>
    <n v="1368.12"/>
    <n v="3689"/>
    <n v="328"/>
    <n v="60"/>
    <n v="0"/>
    <n v="60"/>
    <n v="3418"/>
    <n v="335"/>
    <n v="58"/>
    <n v="200.44"/>
    <n v="2793"/>
    <n v="198"/>
    <n v="1819"/>
    <n v="49"/>
  </r>
  <r>
    <d v="2020-01-05T00:00:00"/>
    <n v="4636"/>
    <s v="蛙小辣火锅杯（总账号）"/>
    <s v="2000507076"/>
    <x v="1"/>
    <s v="上海"/>
    <s v="eleme"/>
    <x v="0"/>
    <s v="蛙小辣火锅杯(五角场店)"/>
    <x v="16"/>
    <n v="1139.24"/>
    <n v="2774"/>
    <n v="179"/>
    <n v="44"/>
    <n v="1"/>
    <n v="43"/>
    <n v="2689"/>
    <n v="189"/>
    <n v="42"/>
    <n v="51.79"/>
    <n v="417"/>
    <n v="29"/>
    <n v="1235"/>
    <n v="54"/>
  </r>
  <r>
    <d v="2020-01-06T00:00:00"/>
    <n v="4636"/>
    <s v="蛙小辣火锅杯（总账号）"/>
    <s v="2001104355"/>
    <x v="0"/>
    <s v="上海"/>
    <s v="eleme"/>
    <x v="0"/>
    <s v="蛙小辣·美蛙火锅杯(宝山店)"/>
    <x v="17"/>
    <n v="843.54"/>
    <n v="3157"/>
    <n v="239"/>
    <n v="39"/>
    <n v="0"/>
    <n v="39"/>
    <n v="2908"/>
    <n v="237"/>
    <n v="38"/>
    <n v="189.29"/>
    <n v="2337"/>
    <n v="141"/>
    <n v="1181"/>
    <n v="32"/>
  </r>
  <r>
    <d v="2020-01-06T00:00:00"/>
    <n v="4636"/>
    <s v="蛙小辣火锅杯（总账号）"/>
    <s v="2000507076"/>
    <x v="1"/>
    <s v="上海"/>
    <s v="eleme"/>
    <x v="0"/>
    <s v="蛙小辣火锅杯(五角场店)"/>
    <x v="18"/>
    <n v="909.82"/>
    <n v="2269"/>
    <n v="135"/>
    <n v="45"/>
    <n v="0"/>
    <n v="45"/>
    <n v="2210"/>
    <n v="143"/>
    <n v="44"/>
    <n v="0"/>
    <n v="1"/>
    <n v="0"/>
    <n v="1221"/>
    <n v="57"/>
  </r>
  <r>
    <d v="2020-01-07T00:00:00"/>
    <n v="4636"/>
    <s v="蛙小辣火锅杯（总账号）"/>
    <s v="2001104355"/>
    <x v="0"/>
    <s v="上海"/>
    <s v="eleme"/>
    <x v="0"/>
    <s v="蛙小辣·美蛙火锅杯(宝山店)"/>
    <x v="19"/>
    <n v="1466.4"/>
    <n v="2999"/>
    <n v="243"/>
    <n v="58"/>
    <n v="0"/>
    <n v="58"/>
    <n v="2999"/>
    <n v="243"/>
    <n v="56"/>
    <n v="146.68"/>
    <n v="1855"/>
    <n v="123"/>
    <n v="1867"/>
    <n v="31"/>
  </r>
  <r>
    <d v="2020-01-08T00:00:00"/>
    <n v="4636"/>
    <s v="蛙小辣火锅杯（总账号）"/>
    <s v="2001104355"/>
    <x v="0"/>
    <s v="上海"/>
    <s v="eleme"/>
    <x v="0"/>
    <s v="蛙小辣·美蛙火锅杯(宝山店)"/>
    <x v="20"/>
    <n v="1223.6199999999999"/>
    <n v="2549"/>
    <n v="230"/>
    <n v="56"/>
    <n v="0"/>
    <n v="56"/>
    <n v="2549"/>
    <n v="230"/>
    <n v="53"/>
    <n v="134.51"/>
    <n v="1896"/>
    <n v="113"/>
    <n v="1729"/>
    <n v="45"/>
  </r>
  <r>
    <d v="2020-01-09T00:00:00"/>
    <n v="4636"/>
    <s v="蛙小辣火锅杯（总账号）"/>
    <s v="2001104355"/>
    <x v="0"/>
    <s v="上海"/>
    <s v="eleme"/>
    <x v="0"/>
    <s v="蛙小辣·美蛙火锅杯(宝山店)"/>
    <x v="21"/>
    <n v="986.41"/>
    <n v="2679"/>
    <n v="231"/>
    <n v="47"/>
    <n v="0"/>
    <n v="47"/>
    <n v="2679"/>
    <n v="231"/>
    <n v="46"/>
    <n v="130.76"/>
    <n v="0"/>
    <n v="125"/>
    <n v="1478"/>
    <n v="25"/>
  </r>
  <r>
    <d v="2020-01-10T00:00:00"/>
    <n v="4636"/>
    <s v="蛙小辣火锅杯（总账号）"/>
    <s v="2001104355"/>
    <x v="0"/>
    <s v="上海"/>
    <s v="eleme"/>
    <x v="0"/>
    <s v="蛙小辣·美蛙火锅杯(宝山店)"/>
    <x v="22"/>
    <n v="1245.54"/>
    <n v="2939"/>
    <n v="274"/>
    <n v="57"/>
    <n v="2"/>
    <n v="55"/>
    <n v="2939"/>
    <n v="274"/>
    <n v="53"/>
    <n v="130.24"/>
    <n v="2005"/>
    <n v="130"/>
    <n v="1733"/>
    <n v="41"/>
  </r>
  <r>
    <d v="2020-01-30T00:00:00"/>
    <n v="4636"/>
    <s v="蛙小辣火锅杯（总账号）"/>
    <s v="2001104355"/>
    <x v="0"/>
    <s v="上海"/>
    <s v="eleme"/>
    <x v="0"/>
    <s v="蛙小辣·美蛙火锅杯(宝山店)"/>
    <x v="23"/>
    <n v="953.51"/>
    <n v="2922"/>
    <n v="253"/>
    <n v="27"/>
    <n v="0"/>
    <n v="27"/>
    <n v="2922"/>
    <n v="253"/>
    <n v="25"/>
    <n v="81.2"/>
    <n v="0"/>
    <n v="74"/>
    <n v="878"/>
    <n v="34"/>
  </r>
  <r>
    <d v="2020-02-09T00:00:00"/>
    <n v="4636"/>
    <s v="蛙小辣火锅杯（总账号）"/>
    <s v="2001104355"/>
    <x v="0"/>
    <s v="上海"/>
    <s v="eleme"/>
    <x v="0"/>
    <s v="蛙小辣·美蛙火锅杯(宝山店)"/>
    <x v="24"/>
    <n v="633.09"/>
    <n v="2234"/>
    <n v="173"/>
    <n v="17"/>
    <n v="0"/>
    <n v="17"/>
    <n v="2234"/>
    <n v="173"/>
    <n v="17"/>
    <n v="47.2"/>
    <n v="786"/>
    <n v="68"/>
    <n v="531"/>
    <n v="25"/>
  </r>
  <r>
    <d v="2020-02-10T00:00:00"/>
    <n v="4636"/>
    <s v="蛙小辣火锅杯（总账号）"/>
    <s v="2001104355"/>
    <x v="0"/>
    <s v="上海"/>
    <s v="eleme"/>
    <x v="0"/>
    <s v="蛙小辣·美蛙火锅杯(宝山店)"/>
    <x v="25"/>
    <n v="673.11"/>
    <n v="2370"/>
    <n v="175"/>
    <n v="24"/>
    <n v="0"/>
    <n v="24"/>
    <n v="2370"/>
    <n v="175"/>
    <n v="23"/>
    <n v="46.1"/>
    <n v="740"/>
    <n v="54"/>
    <n v="812"/>
    <n v="16"/>
  </r>
  <r>
    <d v="2020-02-11T00:00:00"/>
    <n v="4636"/>
    <s v="蛙小辣火锅杯（总账号）"/>
    <s v="2001104355"/>
    <x v="0"/>
    <s v="上海"/>
    <s v="eleme"/>
    <x v="0"/>
    <s v="蛙小辣·美蛙火锅杯(宝山店)"/>
    <x v="26"/>
    <n v="455.59"/>
    <n v="2439"/>
    <n v="185"/>
    <n v="16"/>
    <n v="0"/>
    <n v="16"/>
    <n v="2439"/>
    <n v="185"/>
    <n v="14"/>
    <n v="48.8"/>
    <n v="822"/>
    <n v="55"/>
    <n v="604"/>
    <n v="67"/>
  </r>
  <r>
    <d v="2020-02-12T00:00:00"/>
    <n v="4636"/>
    <s v="蛙小辣火锅杯（总账号）"/>
    <s v="2001104355"/>
    <x v="0"/>
    <s v="上海"/>
    <s v="eleme"/>
    <x v="0"/>
    <s v="蛙小辣·美蛙火锅杯(宝山店)"/>
    <x v="27"/>
    <n v="808.1"/>
    <n v="2323"/>
    <n v="186"/>
    <n v="26"/>
    <n v="0"/>
    <n v="26"/>
    <n v="2323"/>
    <n v="186"/>
    <n v="23"/>
    <n v="49.6"/>
    <n v="878"/>
    <n v="67"/>
    <n v="906"/>
    <n v="161"/>
  </r>
  <r>
    <d v="2020-02-13T00:00:00"/>
    <n v="4636"/>
    <s v="蛙小辣火锅杯（总账号）"/>
    <s v="2001104355"/>
    <x v="0"/>
    <s v="上海"/>
    <s v="eleme"/>
    <x v="0"/>
    <s v="蛙小辣·美蛙火锅杯(宝山店)"/>
    <x v="28"/>
    <n v="553.16999999999996"/>
    <n v="2372"/>
    <n v="181"/>
    <n v="17"/>
    <n v="0"/>
    <n v="17"/>
    <n v="2372"/>
    <n v="181"/>
    <n v="15"/>
    <n v="49.1"/>
    <n v="1039"/>
    <n v="80"/>
    <n v="591"/>
    <n v="109"/>
  </r>
  <r>
    <d v="2020-02-14T00:00:00"/>
    <n v="4636"/>
    <s v="蛙小辣火锅杯（总账号）"/>
    <s v="2001104355"/>
    <x v="0"/>
    <s v="上海"/>
    <s v="eleme"/>
    <x v="0"/>
    <s v="蛙小辣·美蛙火锅杯(宝山店)"/>
    <x v="29"/>
    <n v="755.48"/>
    <n v="2843"/>
    <n v="224"/>
    <n v="22"/>
    <n v="0"/>
    <n v="22"/>
    <n v="2843"/>
    <n v="224"/>
    <n v="18"/>
    <n v="49.6"/>
    <n v="1090"/>
    <n v="81"/>
    <n v="803"/>
    <n v="137"/>
  </r>
  <r>
    <d v="2020-02-15T00:00:00"/>
    <n v="4636"/>
    <s v="蛙小辣火锅杯（总账号）"/>
    <s v="2001104355"/>
    <x v="0"/>
    <s v="上海"/>
    <s v="eleme"/>
    <x v="0"/>
    <s v="蛙小辣·美蛙火锅杯(宝山店)"/>
    <x v="30"/>
    <n v="524.51"/>
    <n v="3154"/>
    <n v="260"/>
    <n v="19"/>
    <n v="0"/>
    <n v="19"/>
    <n v="3154"/>
    <n v="260"/>
    <n v="18"/>
    <n v="50"/>
    <n v="1079"/>
    <n v="66"/>
    <n v="662"/>
    <n v="115"/>
  </r>
  <r>
    <d v="2020-02-16T00:00:00"/>
    <n v="4636"/>
    <s v="蛙小辣火锅杯（总账号）"/>
    <s v="2001104355"/>
    <x v="0"/>
    <s v="上海"/>
    <s v="eleme"/>
    <x v="0"/>
    <s v="蛙小辣·美蛙火锅杯(宝山店)"/>
    <x v="31"/>
    <n v="792.95"/>
    <n v="2483"/>
    <n v="204"/>
    <n v="26"/>
    <n v="0"/>
    <n v="26"/>
    <n v="2483"/>
    <n v="204"/>
    <n v="23"/>
    <n v="48.62"/>
    <n v="1142"/>
    <n v="76"/>
    <n v="929"/>
    <n v="158"/>
  </r>
  <r>
    <d v="2020-02-17T00:00:00"/>
    <n v="4636"/>
    <s v="蛙小辣火锅杯（总账号）"/>
    <s v="2001104355"/>
    <x v="0"/>
    <s v="上海"/>
    <s v="eleme"/>
    <x v="0"/>
    <s v="蛙小辣·美蛙火锅杯(宝山店)"/>
    <x v="32"/>
    <n v="419.69"/>
    <n v="1356"/>
    <n v="107"/>
    <n v="14"/>
    <n v="0"/>
    <n v="14"/>
    <n v="1356"/>
    <n v="107"/>
    <n v="14"/>
    <n v="10.51"/>
    <n v="101"/>
    <n v="13"/>
    <n v="483"/>
    <n v="85"/>
  </r>
  <r>
    <d v="2020-02-18T00:00:00"/>
    <n v="4636"/>
    <s v="蛙小辣火锅杯（总账号）"/>
    <s v="2001104355"/>
    <x v="0"/>
    <s v="上海"/>
    <s v="eleme"/>
    <x v="0"/>
    <s v="蛙小辣·美蛙火锅杯(宝山店)"/>
    <x v="33"/>
    <n v="584.82000000000005"/>
    <n v="1537"/>
    <n v="137"/>
    <n v="19"/>
    <n v="0"/>
    <n v="19"/>
    <n v="1537"/>
    <n v="137"/>
    <n v="18"/>
    <n v="29.67"/>
    <n v="524"/>
    <n v="51"/>
    <n v="657"/>
    <n v="106"/>
  </r>
  <r>
    <d v="2020-02-19T00:00:00"/>
    <n v="4636"/>
    <s v="蛙小辣火锅杯（总账号）"/>
    <s v="2001104355"/>
    <x v="0"/>
    <s v="上海"/>
    <s v="eleme"/>
    <x v="0"/>
    <s v="蛙小辣·美蛙火锅杯(宝山店)"/>
    <x v="34"/>
    <n v="454.74"/>
    <n v="1579"/>
    <n v="145"/>
    <n v="17"/>
    <n v="1"/>
    <n v="16"/>
    <n v="1579"/>
    <n v="145"/>
    <n v="15"/>
    <n v="29.9"/>
    <n v="550"/>
    <n v="49"/>
    <n v="549"/>
    <n v="89"/>
  </r>
  <r>
    <d v="2020-02-20T00:00:00"/>
    <n v="4636"/>
    <s v="蛙小辣火锅杯（总账号）"/>
    <s v="2001104355"/>
    <x v="0"/>
    <s v="上海"/>
    <s v="eleme"/>
    <x v="0"/>
    <s v="蛙小辣·美蛙火锅杯(宝山店)"/>
    <x v="35"/>
    <n v="663.99"/>
    <n v="1688"/>
    <n v="147"/>
    <n v="20"/>
    <n v="0"/>
    <n v="20"/>
    <n v="1688"/>
    <n v="147"/>
    <n v="20"/>
    <n v="29.6"/>
    <n v="558"/>
    <n v="51"/>
    <n v="689"/>
    <n v="131"/>
  </r>
  <r>
    <d v="2020-02-21T00:00:00"/>
    <n v="4636"/>
    <s v="蛙小辣火锅杯（总账号）"/>
    <s v="2001104355"/>
    <x v="0"/>
    <s v="上海"/>
    <s v="eleme"/>
    <x v="0"/>
    <s v="蛙小辣·美蛙火锅杯(宝山店)"/>
    <x v="36"/>
    <n v="816.25"/>
    <n v="1756"/>
    <n v="155"/>
    <n v="24"/>
    <n v="1"/>
    <n v="23"/>
    <n v="1756"/>
    <n v="155"/>
    <n v="21"/>
    <n v="29.8"/>
    <n v="490"/>
    <n v="51"/>
    <n v="821"/>
    <n v="165"/>
  </r>
  <r>
    <d v="2020-02-22T00:00:00"/>
    <n v="4636"/>
    <s v="蛙小辣火锅杯（总账号）"/>
    <s v="2001104355"/>
    <x v="0"/>
    <s v="上海"/>
    <s v="eleme"/>
    <x v="0"/>
    <s v="蛙小辣·美蛙火锅杯(宝山店)"/>
    <x v="37"/>
    <n v="396.86"/>
    <n v="1832"/>
    <n v="172"/>
    <n v="14"/>
    <n v="0"/>
    <n v="14"/>
    <n v="1832"/>
    <n v="172"/>
    <n v="13"/>
    <n v="29.97"/>
    <n v="640"/>
    <n v="51"/>
    <n v="488"/>
    <n v="20"/>
  </r>
  <r>
    <d v="2020-02-23T00:00:00"/>
    <n v="4636"/>
    <s v="蛙小辣火锅杯（总账号）"/>
    <s v="2001104355"/>
    <x v="0"/>
    <s v="上海"/>
    <s v="eleme"/>
    <x v="0"/>
    <s v="蛙小辣·美蛙火锅杯(宝山店)"/>
    <x v="38"/>
    <n v="306.64999999999998"/>
    <n v="1568"/>
    <n v="126"/>
    <n v="11"/>
    <n v="0"/>
    <n v="11"/>
    <n v="1568"/>
    <n v="126"/>
    <n v="11"/>
    <n v="30"/>
    <n v="537"/>
    <n v="54"/>
    <n v="378"/>
    <n v="19"/>
  </r>
  <r>
    <d v="2020-02-24T00:00:00"/>
    <n v="4636"/>
    <s v="蛙小辣火锅杯（总账号）"/>
    <s v="2001104355"/>
    <x v="0"/>
    <s v="上海"/>
    <s v="eleme"/>
    <x v="0"/>
    <s v="蛙小辣·美蛙火锅杯(宝山店)"/>
    <x v="39"/>
    <n v="463.55"/>
    <n v="1479"/>
    <n v="152"/>
    <n v="17"/>
    <n v="0"/>
    <n v="17"/>
    <n v="1479"/>
    <n v="152"/>
    <n v="17"/>
    <n v="29.9"/>
    <n v="553"/>
    <n v="52"/>
    <n v="553"/>
    <n v="16"/>
  </r>
  <r>
    <d v="2020-02-25T00:00:00"/>
    <n v="4636"/>
    <s v="蛙小辣火锅杯（总账号）"/>
    <s v="2001104355"/>
    <x v="0"/>
    <s v="上海"/>
    <s v="eleme"/>
    <x v="0"/>
    <s v="蛙小辣·美蛙火锅杯(宝山店)"/>
    <x v="40"/>
    <n v="553.47"/>
    <n v="2218"/>
    <n v="177"/>
    <n v="20"/>
    <n v="0"/>
    <n v="20"/>
    <n v="2218"/>
    <n v="177"/>
    <n v="20"/>
    <n v="48.1"/>
    <n v="874"/>
    <n v="76"/>
    <n v="684"/>
    <n v="20"/>
  </r>
  <r>
    <d v="2020-02-26T00:00:00"/>
    <n v="4636"/>
    <s v="蛙小辣火锅杯（总账号）"/>
    <s v="2001104355"/>
    <x v="0"/>
    <s v="上海"/>
    <s v="eleme"/>
    <x v="0"/>
    <s v="蛙小辣·美蛙火锅杯(宝山店)"/>
    <x v="41"/>
    <n v="989.24"/>
    <n v="2432"/>
    <n v="223"/>
    <n v="32"/>
    <n v="0"/>
    <n v="32"/>
    <n v="2432"/>
    <n v="223"/>
    <n v="31"/>
    <n v="49.5"/>
    <n v="859"/>
    <n v="71"/>
    <n v="1057"/>
    <n v="31"/>
  </r>
  <r>
    <d v="2020-02-27T00:00:00"/>
    <n v="4636"/>
    <s v="蛙小辣火锅杯（总账号）"/>
    <s v="2001104355"/>
    <x v="0"/>
    <s v="上海"/>
    <s v="eleme"/>
    <x v="0"/>
    <s v="蛙小辣·美蛙火锅杯(宝山店)"/>
    <x v="42"/>
    <n v="747.47"/>
    <n v="2174"/>
    <n v="184"/>
    <n v="22"/>
    <n v="0"/>
    <n v="22"/>
    <n v="2174"/>
    <n v="184"/>
    <n v="21"/>
    <n v="48.3"/>
    <n v="769"/>
    <n v="73"/>
    <n v="779"/>
    <n v="20"/>
  </r>
  <r>
    <d v="2020-02-28T00:00:00"/>
    <n v="4636"/>
    <s v="蛙小辣火锅杯（总账号）"/>
    <s v="2001104355"/>
    <x v="0"/>
    <s v="上海"/>
    <s v="eleme"/>
    <x v="0"/>
    <s v="蛙小辣·美蛙火锅杯(宝山店)"/>
    <x v="43"/>
    <n v="616.08000000000004"/>
    <n v="2311"/>
    <n v="178"/>
    <n v="22"/>
    <n v="0"/>
    <n v="22"/>
    <n v="2311"/>
    <n v="178"/>
    <n v="19"/>
    <n v="48.6"/>
    <n v="975"/>
    <n v="75"/>
    <n v="695"/>
    <n v="14"/>
  </r>
  <r>
    <d v="2020-02-28T00:00:00"/>
    <n v="4636"/>
    <s v="蛙小辣火锅杯（总账号）"/>
    <s v="8106681"/>
    <x v="3"/>
    <s v="上海"/>
    <s v="meituan"/>
    <x v="1"/>
    <s v="蛙小辣·美蛙火锅杯（长风大悦城店）"/>
    <x v="44"/>
    <n v="600.1"/>
    <n v="1193"/>
    <n v="119"/>
    <n v="23"/>
    <n v="0"/>
    <n v="23"/>
    <n v="1193"/>
    <n v="119"/>
    <n v="22"/>
    <n v="38.299999999999997"/>
    <n v="732"/>
    <n v="50"/>
    <n v="689"/>
    <n v="153"/>
  </r>
  <r>
    <d v="2020-02-29T00:00:00"/>
    <n v="4636"/>
    <s v="蛙小辣火锅杯（总账号）"/>
    <s v="2001104355"/>
    <x v="0"/>
    <s v="上海"/>
    <s v="eleme"/>
    <x v="0"/>
    <s v="蛙小辣·美蛙火锅杯(宝山店)"/>
    <x v="45"/>
    <n v="557.37"/>
    <n v="2389"/>
    <n v="204"/>
    <n v="14"/>
    <n v="0"/>
    <n v="14"/>
    <n v="2389"/>
    <n v="204"/>
    <n v="14"/>
    <n v="50"/>
    <n v="888"/>
    <n v="75"/>
    <n v="532"/>
    <n v="13"/>
  </r>
  <r>
    <d v="2020-02-29T00:00:00"/>
    <n v="4636"/>
    <s v="蛙小辣火锅杯（总账号）"/>
    <s v="8106681"/>
    <x v="3"/>
    <s v="上海"/>
    <s v="meituan"/>
    <x v="1"/>
    <s v="蛙小辣·美蛙火锅杯（长风大悦城店）"/>
    <x v="46"/>
    <n v="605.16999999999996"/>
    <n v="1016"/>
    <n v="77"/>
    <n v="18"/>
    <n v="1"/>
    <n v="17"/>
    <n v="1016"/>
    <n v="77"/>
    <n v="17"/>
    <n v="11.7"/>
    <n v="144"/>
    <n v="10"/>
    <n v="503"/>
    <n v="89"/>
  </r>
  <r>
    <d v="2020-03-01T00:00:00"/>
    <n v="4636"/>
    <s v="蛙小辣火锅杯（总账号）"/>
    <s v="2001104355"/>
    <x v="0"/>
    <s v="上海"/>
    <s v="eleme"/>
    <x v="0"/>
    <s v="蛙小辣·美蛙火锅杯(宝山店)"/>
    <x v="47"/>
    <n v="700.31"/>
    <n v="2334"/>
    <n v="180"/>
    <n v="29"/>
    <n v="0"/>
    <n v="29"/>
    <n v="2334"/>
    <n v="180"/>
    <n v="24"/>
    <n v="45.73"/>
    <n v="1077"/>
    <n v="67"/>
    <n v="913"/>
    <n v="29"/>
  </r>
  <r>
    <d v="2020-03-01T00:00:00"/>
    <n v="4636"/>
    <s v="蛙小辣火锅杯（总账号）"/>
    <s v="8106681"/>
    <x v="3"/>
    <s v="上海"/>
    <s v="meituan"/>
    <x v="1"/>
    <s v="蛙小辣·美蛙火锅杯（长风大悦城店）"/>
    <x v="48"/>
    <n v="399.59"/>
    <n v="1135"/>
    <n v="98"/>
    <n v="15"/>
    <n v="0"/>
    <n v="15"/>
    <n v="1135"/>
    <n v="98"/>
    <n v="15"/>
    <n v="48.72"/>
    <n v="805"/>
    <n v="50"/>
    <n v="441"/>
    <n v="81"/>
  </r>
  <r>
    <d v="2020-03-02T00:00:00"/>
    <n v="4636"/>
    <s v="蛙小辣火锅杯（总账号）"/>
    <s v="2001104355"/>
    <x v="0"/>
    <s v="上海"/>
    <s v="eleme"/>
    <x v="0"/>
    <s v="蛙小辣·美蛙火锅杯(宝山店)"/>
    <x v="49"/>
    <n v="687.28"/>
    <n v="1573"/>
    <n v="147"/>
    <n v="25"/>
    <n v="0"/>
    <n v="25"/>
    <n v="1573"/>
    <n v="147"/>
    <n v="23"/>
    <n v="47.79"/>
    <n v="734"/>
    <n v="77"/>
    <n v="824"/>
    <n v="22"/>
  </r>
  <r>
    <d v="2020-03-02T00:00:00"/>
    <n v="4636"/>
    <s v="蛙小辣火锅杯（总账号）"/>
    <s v="8106681"/>
    <x v="3"/>
    <s v="上海"/>
    <s v="meituan"/>
    <x v="1"/>
    <s v="蛙小辣·美蛙火锅杯（长风大悦城店）"/>
    <x v="50"/>
    <n v="292.77"/>
    <n v="845"/>
    <n v="73"/>
    <n v="12"/>
    <n v="0"/>
    <n v="12"/>
    <n v="845"/>
    <n v="73"/>
    <n v="12"/>
    <n v="1.28"/>
    <n v="7"/>
    <n v="2"/>
    <n v="342"/>
    <n v="66"/>
  </r>
  <r>
    <d v="2020-03-03T00:00:00"/>
    <n v="4636"/>
    <s v="蛙小辣火锅杯（总账号）"/>
    <s v="2001104355"/>
    <x v="0"/>
    <s v="上海"/>
    <s v="eleme"/>
    <x v="0"/>
    <s v="蛙小辣·美蛙火锅杯(宝山店)"/>
    <x v="51"/>
    <n v="808.72"/>
    <n v="1344"/>
    <n v="135"/>
    <n v="30"/>
    <n v="1"/>
    <n v="29"/>
    <n v="1344"/>
    <n v="135"/>
    <n v="28"/>
    <n v="46.3"/>
    <n v="683"/>
    <n v="63"/>
    <n v="1054"/>
    <n v="27"/>
  </r>
  <r>
    <d v="2020-03-04T00:00:00"/>
    <n v="4636"/>
    <s v="蛙小辣火锅杯（总账号）"/>
    <s v="2001104355"/>
    <x v="0"/>
    <s v="上海"/>
    <s v="eleme"/>
    <x v="0"/>
    <s v="蛙小辣·美蛙火锅杯(宝山店)"/>
    <x v="52"/>
    <n v="531.23"/>
    <n v="1566"/>
    <n v="137"/>
    <n v="21"/>
    <n v="0"/>
    <n v="21"/>
    <n v="1566"/>
    <n v="137"/>
    <n v="21"/>
    <n v="46.89"/>
    <n v="662"/>
    <n v="57"/>
    <n v="735"/>
    <n v="32"/>
  </r>
  <r>
    <d v="2020-03-05T00:00:00"/>
    <n v="4636"/>
    <s v="蛙小辣火锅杯（总账号）"/>
    <s v="2001104355"/>
    <x v="0"/>
    <s v="上海"/>
    <s v="eleme"/>
    <x v="0"/>
    <s v="蛙小辣·美蛙火锅杯(宝山店)"/>
    <x v="53"/>
    <n v="411.25"/>
    <n v="1541"/>
    <n v="137"/>
    <n v="17"/>
    <n v="0"/>
    <n v="17"/>
    <n v="1541"/>
    <n v="137"/>
    <n v="17"/>
    <n v="48"/>
    <n v="522"/>
    <n v="55"/>
    <n v="561"/>
    <n v="18"/>
  </r>
  <r>
    <d v="2020-03-06T00:00:00"/>
    <n v="4636"/>
    <s v="蛙小辣火锅杯（总账号）"/>
    <s v="2001104355"/>
    <x v="0"/>
    <s v="上海"/>
    <s v="eleme"/>
    <x v="0"/>
    <s v="蛙小辣·美蛙火锅杯(宝山店)"/>
    <x v="54"/>
    <n v="669.5"/>
    <n v="1571"/>
    <n v="148"/>
    <n v="25"/>
    <n v="0"/>
    <n v="25"/>
    <n v="1571"/>
    <n v="148"/>
    <n v="22"/>
    <n v="41"/>
    <n v="672"/>
    <n v="49"/>
    <n v="887"/>
    <n v="28"/>
  </r>
  <r>
    <d v="2020-03-06T00:00:00"/>
    <n v="4636"/>
    <s v="蛙小辣火锅杯（总账号）"/>
    <s v="8491999"/>
    <x v="0"/>
    <s v="上海"/>
    <s v="meituan"/>
    <x v="1"/>
    <s v="蛙小辣火锅杯（宝山店）"/>
    <x v="55"/>
    <n v="325.48"/>
    <n v="1274"/>
    <n v="114"/>
    <n v="11"/>
    <n v="0"/>
    <n v="11"/>
    <n v="1274"/>
    <n v="114"/>
    <n v="9"/>
    <n v="46.6"/>
    <n v="972"/>
    <n v="66"/>
    <n v="322"/>
    <n v="49"/>
  </r>
  <r>
    <d v="2020-03-07T00:00:00"/>
    <n v="4636"/>
    <s v="蛙小辣火锅杯（总账号）"/>
    <s v="2001104355"/>
    <x v="0"/>
    <s v="上海"/>
    <s v="eleme"/>
    <x v="0"/>
    <s v="蛙小辣·美蛙火锅杯(宝山店)"/>
    <x v="56"/>
    <n v="446.19"/>
    <n v="1632"/>
    <n v="129"/>
    <n v="18"/>
    <n v="0"/>
    <n v="18"/>
    <n v="1632"/>
    <n v="129"/>
    <n v="17"/>
    <n v="44.5"/>
    <n v="652"/>
    <n v="50"/>
    <n v="658"/>
    <n v="16"/>
  </r>
  <r>
    <d v="2020-03-07T00:00:00"/>
    <n v="4636"/>
    <s v="蛙小辣火锅杯（总账号）"/>
    <s v="8491999"/>
    <x v="0"/>
    <s v="上海"/>
    <s v="meituan"/>
    <x v="1"/>
    <s v="蛙小辣火锅杯（宝山店）"/>
    <x v="57"/>
    <n v="232.67"/>
    <n v="1265"/>
    <n v="111"/>
    <n v="9"/>
    <n v="0"/>
    <n v="9"/>
    <n v="1265"/>
    <n v="111"/>
    <n v="9"/>
    <n v="26.09"/>
    <n v="855"/>
    <n v="59"/>
    <n v="256"/>
    <n v="36"/>
  </r>
  <r>
    <d v="2020-03-08T00:00:00"/>
    <n v="4636"/>
    <s v="蛙小辣火锅杯（总账号）"/>
    <s v="2001104355"/>
    <x v="0"/>
    <s v="上海"/>
    <s v="eleme"/>
    <x v="0"/>
    <s v="蛙小辣·美蛙火锅杯(宝山店)"/>
    <x v="58"/>
    <n v="321.76"/>
    <n v="1463"/>
    <n v="135"/>
    <n v="18"/>
    <n v="0"/>
    <n v="18"/>
    <n v="1463"/>
    <n v="135"/>
    <n v="18"/>
    <n v="44.4"/>
    <n v="588"/>
    <n v="48"/>
    <n v="591"/>
    <n v="24"/>
  </r>
  <r>
    <d v="2020-03-08T00:00:00"/>
    <n v="4636"/>
    <s v="蛙小辣火锅杯（总账号）"/>
    <s v="8491999"/>
    <x v="0"/>
    <s v="上海"/>
    <s v="meituan"/>
    <x v="1"/>
    <s v="蛙小辣火锅杯（宝山店）"/>
    <x v="59"/>
    <n v="285.77"/>
    <n v="1224"/>
    <n v="114"/>
    <n v="12"/>
    <n v="0"/>
    <n v="12"/>
    <n v="1224"/>
    <n v="114"/>
    <n v="12"/>
    <n v="50"/>
    <n v="912"/>
    <n v="64"/>
    <n v="284"/>
    <n v="55"/>
  </r>
  <r>
    <d v="2020-03-09T00:00:00"/>
    <n v="4636"/>
    <s v="蛙小辣火锅杯（总账号）"/>
    <s v="2001104355"/>
    <x v="0"/>
    <s v="上海"/>
    <s v="eleme"/>
    <x v="0"/>
    <s v="蛙小辣·美蛙火锅杯(宝山店)"/>
    <x v="60"/>
    <n v="434.38"/>
    <n v="1325"/>
    <n v="108"/>
    <n v="19"/>
    <n v="0"/>
    <n v="19"/>
    <n v="1325"/>
    <n v="108"/>
    <n v="17"/>
    <n v="41.7"/>
    <n v="514"/>
    <n v="46"/>
    <n v="670"/>
    <n v="25"/>
  </r>
  <r>
    <d v="2020-03-09T00:00:00"/>
    <n v="4636"/>
    <s v="蛙小辣火锅杯（总账号）"/>
    <s v="8491999"/>
    <x v="0"/>
    <s v="上海"/>
    <s v="meituan"/>
    <x v="1"/>
    <s v="蛙小辣火锅杯（宝山店）"/>
    <x v="61"/>
    <n v="186.2"/>
    <n v="1224"/>
    <n v="98"/>
    <n v="7"/>
    <n v="0"/>
    <n v="7"/>
    <n v="1224"/>
    <n v="98"/>
    <n v="7"/>
    <n v="47.08"/>
    <n v="1014"/>
    <n v="61"/>
    <n v="217"/>
    <n v="26"/>
  </r>
  <r>
    <d v="2020-03-09T00:00:00"/>
    <n v="4636"/>
    <s v="蛙小辣火锅杯（总账号）"/>
    <s v="8184590"/>
    <x v="1"/>
    <s v="上海"/>
    <s v="meituan"/>
    <x v="1"/>
    <s v="蛙小辣火锅杯（五角场店）"/>
    <x v="62"/>
    <n v="291.23"/>
    <n v="633"/>
    <n v="54"/>
    <n v="15"/>
    <n v="0"/>
    <n v="15"/>
    <n v="633"/>
    <n v="54"/>
    <n v="15"/>
    <n v="23.6"/>
    <n v="313"/>
    <n v="23"/>
    <n v="501"/>
    <n v="16"/>
  </r>
  <r>
    <d v="2020-03-09T00:00:00"/>
    <n v="4636"/>
    <s v="蛙小辣火锅杯（总账号）"/>
    <s v="2000507076"/>
    <x v="1"/>
    <s v="上海"/>
    <s v="eleme"/>
    <x v="0"/>
    <s v="蛙小辣火锅杯(五角场店)"/>
    <x v="63"/>
    <n v="198.36"/>
    <n v="1546"/>
    <n v="101"/>
    <n v="9"/>
    <n v="0"/>
    <n v="9"/>
    <n v="1546"/>
    <n v="101"/>
    <n v="9"/>
    <n v="40.5"/>
    <n v="473"/>
    <n v="42"/>
    <n v="345"/>
    <n v="36"/>
  </r>
  <r>
    <d v="2020-03-10T00:00:00"/>
    <n v="4636"/>
    <s v="蛙小辣火锅杯（总账号）"/>
    <s v="2001104355"/>
    <x v="0"/>
    <s v="上海"/>
    <s v="eleme"/>
    <x v="0"/>
    <s v="蛙小辣·美蛙火锅杯(宝山店)"/>
    <x v="64"/>
    <n v="346.99"/>
    <n v="1392"/>
    <n v="93"/>
    <n v="17"/>
    <n v="0"/>
    <n v="17"/>
    <n v="1392"/>
    <n v="93"/>
    <n v="17"/>
    <n v="43.7"/>
    <n v="595"/>
    <n v="41"/>
    <n v="571"/>
    <n v="20"/>
  </r>
  <r>
    <d v="2020-03-10T00:00:00"/>
    <n v="4636"/>
    <s v="蛙小辣火锅杯（总账号）"/>
    <s v="8491999"/>
    <x v="0"/>
    <s v="上海"/>
    <s v="meituan"/>
    <x v="1"/>
    <s v="蛙小辣火锅杯（宝山店）"/>
    <x v="65"/>
    <n v="159.97"/>
    <n v="1021"/>
    <n v="100"/>
    <n v="6"/>
    <n v="0"/>
    <n v="6"/>
    <n v="1021"/>
    <n v="100"/>
    <n v="5"/>
    <n v="15.98"/>
    <n v="775"/>
    <n v="59"/>
    <n v="185"/>
    <n v="29"/>
  </r>
  <r>
    <d v="2020-03-10T00:00:00"/>
    <n v="4636"/>
    <s v="蛙小辣火锅杯（总账号）"/>
    <s v="8184590"/>
    <x v="1"/>
    <s v="上海"/>
    <s v="meituan"/>
    <x v="1"/>
    <s v="蛙小辣火锅杯（五角场店）"/>
    <x v="66"/>
    <n v="366.14"/>
    <n v="808"/>
    <n v="61"/>
    <n v="19"/>
    <n v="0"/>
    <n v="19"/>
    <n v="808"/>
    <n v="61"/>
    <n v="19"/>
    <n v="38.74"/>
    <n v="507"/>
    <n v="33"/>
    <n v="635"/>
    <n v="45"/>
  </r>
  <r>
    <d v="2020-03-10T00:00:00"/>
    <n v="4636"/>
    <s v="蛙小辣火锅杯（总账号）"/>
    <s v="2000507076"/>
    <x v="1"/>
    <s v="上海"/>
    <s v="eleme"/>
    <x v="0"/>
    <s v="蛙小辣火锅杯(五角场店)"/>
    <x v="67"/>
    <n v="419.6"/>
    <n v="1171"/>
    <n v="93"/>
    <n v="24"/>
    <n v="0"/>
    <n v="24"/>
    <n v="1171"/>
    <n v="93"/>
    <n v="22"/>
    <n v="32.700000000000003"/>
    <n v="389"/>
    <n v="32"/>
    <n v="810"/>
    <n v="57"/>
  </r>
  <r>
    <d v="2020-03-11T00:00:00"/>
    <n v="4636"/>
    <s v="蛙小辣火锅杯（总账号）"/>
    <s v="2001104355"/>
    <x v="0"/>
    <s v="上海"/>
    <s v="eleme"/>
    <x v="0"/>
    <s v="蛙小辣·美蛙火锅杯(宝山店)"/>
    <x v="68"/>
    <n v="348.98"/>
    <n v="1265"/>
    <n v="100"/>
    <n v="13"/>
    <n v="0"/>
    <n v="13"/>
    <n v="1265"/>
    <n v="100"/>
    <n v="12"/>
    <n v="44.7"/>
    <n v="468"/>
    <n v="42"/>
    <n v="455"/>
    <n v="19"/>
  </r>
  <r>
    <d v="2020-03-11T00:00:00"/>
    <n v="4636"/>
    <s v="蛙小辣火锅杯（总账号）"/>
    <s v="8491999"/>
    <x v="0"/>
    <s v="上海"/>
    <s v="meituan"/>
    <x v="1"/>
    <s v="蛙小辣火锅杯（宝山店）"/>
    <x v="69"/>
    <n v="131.76"/>
    <n v="701"/>
    <n v="60"/>
    <n v="7"/>
    <n v="0"/>
    <n v="7"/>
    <n v="701"/>
    <n v="60"/>
    <n v="7"/>
    <n v="14.25"/>
    <n v="193"/>
    <n v="19"/>
    <n v="218"/>
    <n v="22"/>
  </r>
  <r>
    <d v="2020-03-11T00:00:00"/>
    <n v="4636"/>
    <s v="蛙小辣火锅杯（总账号）"/>
    <s v="2000507076"/>
    <x v="1"/>
    <s v="上海"/>
    <s v="eleme"/>
    <x v="0"/>
    <s v="蛙小辣火锅杯(五角场店)"/>
    <x v="70"/>
    <n v="486.9"/>
    <n v="911"/>
    <n v="85"/>
    <n v="23"/>
    <n v="1"/>
    <n v="22"/>
    <n v="911"/>
    <n v="85"/>
    <n v="22"/>
    <n v="26.74"/>
    <n v="138"/>
    <n v="25"/>
    <n v="760"/>
    <n v="63"/>
  </r>
  <r>
    <d v="2020-03-11T00:00:00"/>
    <n v="4636"/>
    <s v="蛙小辣火锅杯（总账号）"/>
    <s v="8184590"/>
    <x v="1"/>
    <s v="上海"/>
    <s v="meituan"/>
    <x v="1"/>
    <s v="蛙小辣火锅杯（五角场店）"/>
    <x v="71"/>
    <n v="302.12"/>
    <n v="837"/>
    <n v="82"/>
    <n v="19"/>
    <n v="1"/>
    <n v="18"/>
    <n v="837"/>
    <n v="82"/>
    <n v="18"/>
    <n v="37.659999999999997"/>
    <n v="447"/>
    <n v="34"/>
    <n v="557"/>
    <n v="55"/>
  </r>
  <r>
    <d v="2020-03-12T00:00:00"/>
    <n v="4636"/>
    <s v="蛙小辣火锅杯（总账号）"/>
    <s v="2001104355"/>
    <x v="0"/>
    <s v="上海"/>
    <s v="eleme"/>
    <x v="0"/>
    <s v="蛙小辣·美蛙火锅杯(宝山店)"/>
    <x v="72"/>
    <n v="1184.02"/>
    <n v="1322"/>
    <n v="105"/>
    <n v="32"/>
    <n v="0"/>
    <n v="32"/>
    <n v="1322"/>
    <n v="105"/>
    <n v="30"/>
    <n v="41.28"/>
    <n v="431"/>
    <n v="41"/>
    <n v="1100"/>
    <n v="36"/>
  </r>
  <r>
    <d v="2020-03-12T00:00:00"/>
    <n v="4636"/>
    <s v="蛙小辣火锅杯（总账号）"/>
    <s v="8491999"/>
    <x v="0"/>
    <s v="上海"/>
    <s v="meituan"/>
    <x v="1"/>
    <s v="蛙小辣火锅杯（宝山店）"/>
    <x v="73"/>
    <n v="256.64999999999998"/>
    <n v="764"/>
    <n v="70"/>
    <n v="11"/>
    <n v="0"/>
    <n v="11"/>
    <n v="764"/>
    <n v="70"/>
    <n v="10"/>
    <n v="20"/>
    <n v="429"/>
    <n v="34"/>
    <n v="312"/>
    <n v="50"/>
  </r>
  <r>
    <d v="2020-03-13T00:00:00"/>
    <n v="4636"/>
    <s v="蛙小辣火锅杯（总账号）"/>
    <s v="2001104355"/>
    <x v="0"/>
    <s v="上海"/>
    <s v="eleme"/>
    <x v="0"/>
    <s v="蛙小辣·美蛙火锅杯(宝山店)"/>
    <x v="74"/>
    <n v="589.51"/>
    <n v="1843"/>
    <n v="158"/>
    <n v="27"/>
    <n v="1"/>
    <n v="26"/>
    <n v="1843"/>
    <n v="158"/>
    <n v="26"/>
    <n v="46.6"/>
    <n v="463"/>
    <n v="43"/>
    <n v="829"/>
    <n v="25"/>
  </r>
  <r>
    <d v="2020-03-13T00:00:00"/>
    <n v="4636"/>
    <s v="蛙小辣火锅杯（总账号）"/>
    <s v="8491999"/>
    <x v="0"/>
    <s v="上海"/>
    <s v="meituan"/>
    <x v="1"/>
    <s v="蛙小辣火锅杯（宝山店）"/>
    <x v="75"/>
    <n v="226.66"/>
    <n v="1074"/>
    <n v="96"/>
    <n v="9"/>
    <n v="0"/>
    <n v="9"/>
    <n v="1074"/>
    <n v="96"/>
    <n v="9"/>
    <n v="46.91"/>
    <n v="792"/>
    <n v="58"/>
    <n v="303"/>
    <n v="58"/>
  </r>
  <r>
    <d v="2020-03-14T00:00:00"/>
    <n v="4636"/>
    <s v="蛙小辣火锅杯（总账号）"/>
    <s v="2001104355"/>
    <x v="0"/>
    <s v="上海"/>
    <s v="eleme"/>
    <x v="0"/>
    <s v="蛙小辣·美蛙火锅杯(宝山店)"/>
    <x v="76"/>
    <n v="568.53"/>
    <n v="1847"/>
    <n v="141"/>
    <n v="22"/>
    <n v="0"/>
    <n v="22"/>
    <n v="1847"/>
    <n v="141"/>
    <n v="18"/>
    <n v="46.7"/>
    <n v="453"/>
    <n v="40"/>
    <n v="735"/>
    <n v="34"/>
  </r>
  <r>
    <d v="2020-03-14T00:00:00"/>
    <n v="4636"/>
    <s v="蛙小辣火锅杯（总账号）"/>
    <s v="8491999"/>
    <x v="0"/>
    <s v="上海"/>
    <s v="meituan"/>
    <x v="1"/>
    <s v="蛙小辣火锅杯（宝山店）"/>
    <x v="77"/>
    <n v="339.7"/>
    <n v="821"/>
    <n v="84"/>
    <n v="12"/>
    <n v="0"/>
    <n v="12"/>
    <n v="821"/>
    <n v="84"/>
    <n v="12"/>
    <n v="20.86"/>
    <n v="480"/>
    <n v="27"/>
    <n v="388"/>
    <n v="56"/>
  </r>
  <r>
    <d v="2020-03-15T00:00:00"/>
    <n v="4636"/>
    <s v="蛙小辣火锅杯（总账号）"/>
    <s v="2001104355"/>
    <x v="0"/>
    <s v="上海"/>
    <s v="eleme"/>
    <x v="0"/>
    <s v="蛙小辣·美蛙火锅杯(宝山店)"/>
    <x v="78"/>
    <n v="207.56"/>
    <n v="1417"/>
    <n v="106"/>
    <n v="8"/>
    <n v="0"/>
    <n v="8"/>
    <n v="1417"/>
    <n v="106"/>
    <n v="8"/>
    <n v="44.66"/>
    <n v="466"/>
    <n v="40"/>
    <n v="269"/>
    <n v="7"/>
  </r>
  <r>
    <d v="2020-03-15T00:00:00"/>
    <n v="4636"/>
    <s v="蛙小辣火锅杯（总账号）"/>
    <s v="8491999"/>
    <x v="0"/>
    <s v="上海"/>
    <s v="meituan"/>
    <x v="1"/>
    <s v="蛙小辣火锅杯（宝山店）"/>
    <x v="79"/>
    <n v="263.44"/>
    <n v="1051"/>
    <n v="75"/>
    <n v="13"/>
    <n v="0"/>
    <n v="13"/>
    <n v="1051"/>
    <n v="75"/>
    <n v="12"/>
    <n v="44.63"/>
    <n v="947"/>
    <n v="46"/>
    <n v="405"/>
    <n v="64"/>
  </r>
  <r>
    <d v="2020-03-16T00:00:00"/>
    <n v="4636"/>
    <s v="蛙小辣火锅杯（总账号）"/>
    <s v="2001104355"/>
    <x v="0"/>
    <s v="上海"/>
    <s v="eleme"/>
    <x v="0"/>
    <s v="蛙小辣·美蛙火锅杯(宝山店)"/>
    <x v="80"/>
    <n v="624.96"/>
    <n v="978"/>
    <n v="89"/>
    <n v="24"/>
    <n v="0"/>
    <n v="24"/>
    <n v="978"/>
    <n v="89"/>
    <n v="22"/>
    <n v="45.11"/>
    <n v="399"/>
    <n v="42"/>
    <n v="810"/>
    <n v="32"/>
  </r>
  <r>
    <d v="2020-03-16T00:00:00"/>
    <n v="4636"/>
    <s v="蛙小辣火锅杯（总账号）"/>
    <s v="8491999"/>
    <x v="0"/>
    <s v="上海"/>
    <s v="meituan"/>
    <x v="1"/>
    <s v="蛙小辣火锅杯（宝山店）"/>
    <x v="81"/>
    <n v="363.86"/>
    <n v="835"/>
    <n v="78"/>
    <n v="13"/>
    <n v="0"/>
    <n v="13"/>
    <n v="835"/>
    <n v="78"/>
    <n v="13"/>
    <n v="39.22"/>
    <n v="671"/>
    <n v="41"/>
    <n v="421"/>
    <n v="57"/>
  </r>
  <r>
    <d v="2020-03-17T00:00:00"/>
    <n v="4636"/>
    <s v="蛙小辣火锅杯（总账号）"/>
    <s v="2001104355"/>
    <x v="0"/>
    <s v="上海"/>
    <s v="eleme"/>
    <x v="0"/>
    <s v="蛙小辣·美蛙火锅杯(宝山店)"/>
    <x v="82"/>
    <n v="204.92"/>
    <n v="1010"/>
    <n v="73"/>
    <n v="10"/>
    <n v="0"/>
    <n v="10"/>
    <n v="1010"/>
    <n v="73"/>
    <n v="9"/>
    <n v="40"/>
    <n v="434"/>
    <n v="33"/>
    <n v="331"/>
    <n v="11"/>
  </r>
  <r>
    <d v="2020-03-17T00:00:00"/>
    <n v="4636"/>
    <s v="蛙小辣火锅杯（总账号）"/>
    <s v="8491999"/>
    <x v="0"/>
    <s v="上海"/>
    <s v="meituan"/>
    <x v="1"/>
    <s v="蛙小辣火锅杯（宝山店）"/>
    <x v="83"/>
    <n v="199.07"/>
    <n v="939"/>
    <n v="74"/>
    <n v="8"/>
    <n v="0"/>
    <n v="8"/>
    <n v="939"/>
    <n v="74"/>
    <n v="8"/>
    <n v="38.869999999999997"/>
    <n v="676"/>
    <n v="40"/>
    <n v="274"/>
    <n v="33"/>
  </r>
  <r>
    <d v="2020-03-18T00:00:00"/>
    <n v="4636"/>
    <s v="蛙小辣火锅杯（总账号）"/>
    <s v="2001104355"/>
    <x v="0"/>
    <s v="上海"/>
    <s v="eleme"/>
    <x v="0"/>
    <s v="蛙小辣·美蛙火锅杯(宝山店)"/>
    <x v="84"/>
    <n v="625.35"/>
    <n v="1132"/>
    <n v="93"/>
    <n v="25"/>
    <n v="0"/>
    <n v="25"/>
    <n v="1132"/>
    <n v="93"/>
    <n v="25"/>
    <n v="41.28"/>
    <n v="378"/>
    <n v="37"/>
    <n v="910"/>
    <n v="18"/>
  </r>
  <r>
    <d v="2020-03-18T00:00:00"/>
    <n v="4636"/>
    <s v="蛙小辣火锅杯（总账号）"/>
    <s v="8491999"/>
    <x v="0"/>
    <s v="上海"/>
    <s v="meituan"/>
    <x v="1"/>
    <s v="蛙小辣火锅杯（宝山店）"/>
    <x v="85"/>
    <n v="153.72999999999999"/>
    <n v="802"/>
    <n v="69"/>
    <n v="6"/>
    <n v="0"/>
    <n v="6"/>
    <n v="802"/>
    <n v="69"/>
    <n v="6"/>
    <n v="40.369999999999997"/>
    <n v="448"/>
    <n v="40"/>
    <n v="209"/>
    <n v="18"/>
  </r>
  <r>
    <d v="2020-03-19T00:00:00"/>
    <n v="4636"/>
    <s v="蛙小辣火锅杯（总账号）"/>
    <s v="2001104355"/>
    <x v="0"/>
    <s v="上海"/>
    <s v="eleme"/>
    <x v="0"/>
    <s v="蛙小辣·美蛙火锅杯(宝山店)"/>
    <x v="86"/>
    <n v="631.54999999999995"/>
    <n v="1076"/>
    <n v="99"/>
    <n v="27"/>
    <n v="1"/>
    <n v="26"/>
    <n v="1076"/>
    <n v="99"/>
    <n v="27"/>
    <n v="38.6"/>
    <n v="340"/>
    <n v="34"/>
    <n v="949"/>
    <n v="29"/>
  </r>
  <r>
    <d v="2020-03-19T00:00:00"/>
    <n v="4636"/>
    <s v="蛙小辣火锅杯（总账号）"/>
    <s v="8491999"/>
    <x v="0"/>
    <s v="上海"/>
    <s v="meituan"/>
    <x v="1"/>
    <s v="蛙小辣火锅杯（宝山店）"/>
    <x v="87"/>
    <n v="232.66"/>
    <n v="1935"/>
    <n v="123"/>
    <n v="10"/>
    <n v="0"/>
    <n v="10"/>
    <n v="1935"/>
    <n v="123"/>
    <n v="10"/>
    <n v="27.04"/>
    <n v="501"/>
    <n v="27"/>
    <n v="307"/>
    <n v="58"/>
  </r>
  <r>
    <d v="2020-03-20T00:00:00"/>
    <n v="4636"/>
    <s v="蛙小辣火锅杯（总账号）"/>
    <s v="2001104355"/>
    <x v="0"/>
    <s v="上海"/>
    <s v="eleme"/>
    <x v="0"/>
    <s v="蛙小辣·美蛙火锅杯(宝山店)"/>
    <x v="88"/>
    <n v="517.61"/>
    <n v="1135"/>
    <n v="78"/>
    <n v="22"/>
    <n v="0"/>
    <n v="22"/>
    <n v="1135"/>
    <n v="78"/>
    <n v="19"/>
    <n v="27.66"/>
    <n v="350"/>
    <n v="25"/>
    <n v="803"/>
    <n v="19"/>
  </r>
  <r>
    <d v="2020-03-20T00:00:00"/>
    <n v="4636"/>
    <s v="蛙小辣火锅杯（总账号）"/>
    <s v="8491999"/>
    <x v="0"/>
    <s v="上海"/>
    <s v="meituan"/>
    <x v="1"/>
    <s v="蛙小辣火锅杯（宝山店）"/>
    <x v="89"/>
    <n v="327.01"/>
    <n v="1961"/>
    <n v="130"/>
    <n v="15"/>
    <n v="0"/>
    <n v="15"/>
    <n v="1961"/>
    <n v="130"/>
    <n v="15"/>
    <n v="22.1"/>
    <n v="559"/>
    <n v="21"/>
    <n v="438"/>
    <n v="88"/>
  </r>
  <r>
    <d v="2020-03-20T00:00:00"/>
    <n v="4636"/>
    <s v="蛙小辣火锅杯（总账号）"/>
    <s v="8184590"/>
    <x v="1"/>
    <s v="上海"/>
    <s v="meituan"/>
    <x v="1"/>
    <s v="蛙小辣火锅杯（五角场店）"/>
    <x v="90"/>
    <n v="249.13"/>
    <n v="1085"/>
    <n v="73"/>
    <n v="14"/>
    <n v="0"/>
    <n v="14"/>
    <n v="1085"/>
    <n v="73"/>
    <n v="13"/>
    <n v="48.81"/>
    <n v="414"/>
    <n v="32"/>
    <n v="506"/>
    <n v="49"/>
  </r>
  <r>
    <d v="2020-03-20T00:00:00"/>
    <n v="4636"/>
    <s v="蛙小辣火锅杯（总账号）"/>
    <s v="2000507076"/>
    <x v="1"/>
    <s v="上海"/>
    <s v="eleme"/>
    <x v="0"/>
    <s v="蛙小辣火锅杯(五角场店)"/>
    <x v="91"/>
    <n v="235.83"/>
    <n v="1044"/>
    <n v="66"/>
    <n v="12"/>
    <n v="0"/>
    <n v="12"/>
    <n v="1044"/>
    <n v="66"/>
    <n v="11"/>
    <n v="41.9"/>
    <n v="506"/>
    <n v="29"/>
    <n v="403"/>
    <n v="29"/>
  </r>
  <r>
    <d v="2020-03-21T00:00:00"/>
    <n v="4636"/>
    <s v="蛙小辣火锅杯（总账号）"/>
    <s v="2001104355"/>
    <x v="0"/>
    <s v="上海"/>
    <s v="eleme"/>
    <x v="0"/>
    <s v="蛙小辣·美蛙火锅杯(宝山店)"/>
    <x v="92"/>
    <n v="524.39"/>
    <n v="1783"/>
    <n v="108"/>
    <n v="18"/>
    <n v="0"/>
    <n v="18"/>
    <n v="1783"/>
    <n v="108"/>
    <n v="16"/>
    <n v="32.17"/>
    <n v="341"/>
    <n v="28"/>
    <n v="628"/>
    <n v="29"/>
  </r>
  <r>
    <d v="2020-03-21T00:00:00"/>
    <n v="4636"/>
    <s v="蛙小辣火锅杯（总账号）"/>
    <s v="2000507076"/>
    <x v="1"/>
    <s v="上海"/>
    <s v="eleme"/>
    <x v="0"/>
    <s v="蛙小辣火锅杯(五角场店)"/>
    <x v="93"/>
    <n v="509.43"/>
    <n v="1239"/>
    <n v="73"/>
    <n v="19"/>
    <n v="0"/>
    <n v="19"/>
    <n v="1239"/>
    <n v="73"/>
    <n v="18"/>
    <n v="26.7"/>
    <n v="343"/>
    <n v="21"/>
    <n v="732"/>
    <n v="47"/>
  </r>
  <r>
    <d v="2020-03-21T00:00:00"/>
    <n v="4636"/>
    <s v="蛙小辣火锅杯（总账号）"/>
    <s v="8184590"/>
    <x v="1"/>
    <s v="上海"/>
    <s v="meituan"/>
    <x v="1"/>
    <s v="蛙小辣火锅杯（五角场店）"/>
    <x v="94"/>
    <n v="76.349999999999994"/>
    <n v="916"/>
    <n v="54"/>
    <n v="6"/>
    <n v="0"/>
    <n v="6"/>
    <n v="916"/>
    <n v="54"/>
    <n v="6"/>
    <n v="17.920000000000002"/>
    <n v="258"/>
    <n v="15"/>
    <n v="190"/>
    <n v="26"/>
  </r>
  <r>
    <d v="2020-03-22T00:00:00"/>
    <n v="4636"/>
    <s v="蛙小辣火锅杯（总账号）"/>
    <s v="2001104355"/>
    <x v="0"/>
    <s v="上海"/>
    <s v="eleme"/>
    <x v="0"/>
    <s v="蛙小辣·美蛙火锅杯(宝山店)"/>
    <x v="95"/>
    <n v="495.64"/>
    <n v="1833"/>
    <n v="124"/>
    <n v="24"/>
    <n v="0"/>
    <n v="24"/>
    <n v="1833"/>
    <n v="124"/>
    <n v="22"/>
    <n v="35.4"/>
    <n v="404"/>
    <n v="30"/>
    <n v="820"/>
    <n v="52"/>
  </r>
  <r>
    <d v="2020-03-22T00:00:00"/>
    <n v="4636"/>
    <s v="蛙小辣火锅杯（总账号）"/>
    <s v="8184590"/>
    <x v="1"/>
    <s v="上海"/>
    <s v="meituan"/>
    <x v="1"/>
    <s v="蛙小辣火锅杯（五角场店）"/>
    <x v="96"/>
    <n v="221"/>
    <n v="790"/>
    <n v="47"/>
    <n v="10"/>
    <n v="1"/>
    <n v="9"/>
    <n v="790"/>
    <n v="47"/>
    <n v="9"/>
    <n v="13.25"/>
    <n v="183"/>
    <n v="13"/>
    <n v="284"/>
    <n v="33"/>
  </r>
  <r>
    <d v="2020-03-22T00:00:00"/>
    <n v="4636"/>
    <s v="蛙小辣火锅杯（总账号）"/>
    <s v="2000507076"/>
    <x v="1"/>
    <s v="上海"/>
    <s v="eleme"/>
    <x v="0"/>
    <s v="蛙小辣火锅杯(五角场店)"/>
    <x v="97"/>
    <n v="340.42"/>
    <n v="928"/>
    <n v="49"/>
    <n v="14"/>
    <n v="0"/>
    <n v="14"/>
    <n v="928"/>
    <n v="49"/>
    <n v="13"/>
    <n v="15.4"/>
    <n v="229"/>
    <n v="13"/>
    <n v="509"/>
    <n v="41"/>
  </r>
  <r>
    <d v="2020-03-23T00:00:00"/>
    <n v="4636"/>
    <s v="蛙小辣火锅杯（总账号）"/>
    <s v="2001104355"/>
    <x v="0"/>
    <s v="上海"/>
    <s v="eleme"/>
    <x v="0"/>
    <s v="蛙小辣·美蛙火锅杯(宝山店)"/>
    <x v="98"/>
    <n v="323.02999999999997"/>
    <n v="1425"/>
    <n v="99"/>
    <n v="16"/>
    <n v="0"/>
    <n v="16"/>
    <n v="1425"/>
    <n v="99"/>
    <n v="15"/>
    <n v="29.39"/>
    <n v="281"/>
    <n v="25"/>
    <n v="541"/>
    <n v="30"/>
  </r>
  <r>
    <d v="2020-03-23T00:00:00"/>
    <n v="4636"/>
    <s v="蛙小辣火锅杯（总账号）"/>
    <s v="8491999"/>
    <x v="0"/>
    <s v="上海"/>
    <s v="meituan"/>
    <x v="1"/>
    <s v="蛙小辣火锅杯（宝山店）"/>
    <x v="99"/>
    <n v="155.24"/>
    <n v="806"/>
    <n v="60"/>
    <n v="7"/>
    <n v="0"/>
    <n v="7"/>
    <n v="806"/>
    <n v="60"/>
    <n v="7"/>
    <n v="31.06"/>
    <n v="521"/>
    <n v="29"/>
    <n v="221"/>
    <n v="35"/>
  </r>
  <r>
    <d v="2020-03-23T00:00:00"/>
    <n v="4636"/>
    <s v="蛙小辣火锅杯（总账号）"/>
    <s v="8184590"/>
    <x v="1"/>
    <s v="上海"/>
    <s v="meituan"/>
    <x v="1"/>
    <s v="蛙小辣火锅杯（五角场店）"/>
    <x v="100"/>
    <n v="298.60000000000002"/>
    <n v="1689"/>
    <n v="68"/>
    <n v="14"/>
    <n v="0"/>
    <n v="14"/>
    <n v="1689"/>
    <n v="68"/>
    <n v="13"/>
    <n v="39.32"/>
    <n v="331"/>
    <n v="26"/>
    <n v="441"/>
    <n v="36"/>
  </r>
  <r>
    <d v="2020-03-23T00:00:00"/>
    <n v="4636"/>
    <s v="蛙小辣火锅杯（总账号）"/>
    <s v="2000507076"/>
    <x v="1"/>
    <s v="上海"/>
    <s v="eleme"/>
    <x v="0"/>
    <s v="蛙小辣火锅杯(五角场店)"/>
    <x v="101"/>
    <n v="411.35"/>
    <n v="930"/>
    <n v="59"/>
    <n v="15"/>
    <n v="0"/>
    <n v="15"/>
    <n v="930"/>
    <n v="59"/>
    <n v="14"/>
    <n v="22.8"/>
    <n v="267"/>
    <n v="16"/>
    <n v="523"/>
    <n v="23"/>
  </r>
  <r>
    <d v="2020-03-24T00:00:00"/>
    <n v="4636"/>
    <s v="蛙小辣火锅杯（总账号）"/>
    <s v="2001104355"/>
    <x v="0"/>
    <s v="上海"/>
    <s v="eleme"/>
    <x v="0"/>
    <s v="蛙小辣·美蛙火锅杯(宝山店)"/>
    <x v="102"/>
    <n v="467.26"/>
    <n v="1366"/>
    <n v="105"/>
    <n v="21"/>
    <n v="0"/>
    <n v="21"/>
    <n v="1366"/>
    <n v="105"/>
    <n v="21"/>
    <n v="21.13"/>
    <n v="281"/>
    <n v="18"/>
    <n v="738"/>
    <n v="36"/>
  </r>
  <r>
    <d v="2020-03-24T00:00:00"/>
    <n v="4636"/>
    <s v="蛙小辣火锅杯（总账号）"/>
    <s v="8491999"/>
    <x v="0"/>
    <s v="上海"/>
    <s v="meituan"/>
    <x v="1"/>
    <s v="蛙小辣火锅杯（宝山店）"/>
    <x v="103"/>
    <n v="197.66"/>
    <n v="820"/>
    <n v="74"/>
    <n v="10"/>
    <n v="0"/>
    <n v="10"/>
    <n v="820"/>
    <n v="74"/>
    <n v="10"/>
    <n v="39.299999999999997"/>
    <n v="658"/>
    <n v="37"/>
    <n v="282"/>
    <n v="52"/>
  </r>
  <r>
    <d v="2020-03-24T00:00:00"/>
    <n v="4636"/>
    <s v="蛙小辣火锅杯（总账号）"/>
    <s v="8184590"/>
    <x v="1"/>
    <s v="上海"/>
    <s v="meituan"/>
    <x v="1"/>
    <s v="蛙小辣火锅杯（五角场店）"/>
    <x v="104"/>
    <n v="277.11"/>
    <n v="1377"/>
    <n v="74"/>
    <n v="12"/>
    <n v="0"/>
    <n v="12"/>
    <n v="1377"/>
    <n v="74"/>
    <n v="12"/>
    <n v="43.4"/>
    <n v="327"/>
    <n v="26"/>
    <n v="489"/>
    <n v="40"/>
  </r>
  <r>
    <d v="2020-03-24T00:00:00"/>
    <n v="4636"/>
    <s v="蛙小辣火锅杯（总账号）"/>
    <s v="2000507076"/>
    <x v="1"/>
    <s v="上海"/>
    <s v="eleme"/>
    <x v="0"/>
    <s v="蛙小辣火锅杯(五角场店)"/>
    <x v="105"/>
    <n v="379.32"/>
    <n v="900"/>
    <n v="57"/>
    <n v="19"/>
    <n v="1"/>
    <n v="18"/>
    <n v="900"/>
    <n v="57"/>
    <n v="17"/>
    <n v="26.23"/>
    <n v="275"/>
    <n v="19"/>
    <n v="613"/>
    <n v="64"/>
  </r>
  <r>
    <d v="2020-03-25T00:00:00"/>
    <n v="4636"/>
    <s v="蛙小辣火锅杯（总账号）"/>
    <s v="2001104355"/>
    <x v="0"/>
    <s v="上海"/>
    <s v="eleme"/>
    <x v="0"/>
    <s v="蛙小辣·美蛙火锅杯(宝山店)"/>
    <x v="106"/>
    <n v="386.19"/>
    <n v="1622"/>
    <n v="114"/>
    <n v="21"/>
    <n v="0"/>
    <n v="21"/>
    <n v="1622"/>
    <n v="114"/>
    <n v="20"/>
    <n v="44.7"/>
    <n v="511"/>
    <n v="37"/>
    <n v="687"/>
    <n v="51"/>
  </r>
  <r>
    <d v="2020-03-25T00:00:00"/>
    <n v="4636"/>
    <s v="蛙小辣火锅杯（总账号）"/>
    <s v="8491999"/>
    <x v="0"/>
    <s v="上海"/>
    <s v="meituan"/>
    <x v="1"/>
    <s v="蛙小辣火锅杯（宝山店）"/>
    <x v="107"/>
    <n v="179.71"/>
    <n v="787"/>
    <n v="52"/>
    <n v="9"/>
    <n v="0"/>
    <n v="9"/>
    <n v="787"/>
    <n v="52"/>
    <n v="9"/>
    <n v="35.19"/>
    <n v="528"/>
    <n v="29"/>
    <n v="266"/>
    <n v="43"/>
  </r>
  <r>
    <d v="2020-03-25T00:00:00"/>
    <n v="4636"/>
    <s v="蛙小辣火锅杯（总账号）"/>
    <s v="8184590"/>
    <x v="1"/>
    <s v="上海"/>
    <s v="meituan"/>
    <x v="1"/>
    <s v="蛙小辣火锅杯（五角场店）"/>
    <x v="108"/>
    <n v="201.38"/>
    <n v="774"/>
    <n v="35"/>
    <n v="10"/>
    <n v="0"/>
    <n v="10"/>
    <n v="774"/>
    <n v="35"/>
    <n v="10"/>
    <n v="5.81"/>
    <n v="56"/>
    <n v="6"/>
    <n v="328"/>
    <n v="24"/>
  </r>
  <r>
    <d v="2020-03-25T00:00:00"/>
    <n v="4636"/>
    <s v="蛙小辣火锅杯（总账号）"/>
    <s v="2000507076"/>
    <x v="1"/>
    <s v="上海"/>
    <s v="eleme"/>
    <x v="0"/>
    <s v="蛙小辣火锅杯(五角场店)"/>
    <x v="109"/>
    <n v="213.41"/>
    <n v="802"/>
    <n v="57"/>
    <n v="11"/>
    <n v="0"/>
    <n v="11"/>
    <n v="802"/>
    <n v="57"/>
    <n v="11"/>
    <n v="14.32"/>
    <n v="126"/>
    <n v="12"/>
    <n v="371"/>
    <n v="31"/>
  </r>
  <r>
    <d v="2020-03-26T00:00:00"/>
    <n v="4636"/>
    <s v="蛙小辣火锅杯（总账号）"/>
    <s v="2001104355"/>
    <x v="0"/>
    <s v="上海"/>
    <s v="eleme"/>
    <x v="0"/>
    <s v="蛙小辣·美蛙火锅杯(宝山店)"/>
    <x v="110"/>
    <n v="417.47"/>
    <n v="1924"/>
    <n v="132"/>
    <n v="17"/>
    <n v="0"/>
    <n v="17"/>
    <n v="1924"/>
    <n v="132"/>
    <n v="15"/>
    <n v="46.39"/>
    <n v="538"/>
    <n v="36"/>
    <n v="587"/>
    <n v="24"/>
  </r>
  <r>
    <d v="2020-03-26T00:00:00"/>
    <n v="4636"/>
    <s v="蛙小辣火锅杯（总账号）"/>
    <s v="8491999"/>
    <x v="0"/>
    <s v="上海"/>
    <s v="meituan"/>
    <x v="1"/>
    <s v="蛙小辣火锅杯（宝山店）"/>
    <x v="111"/>
    <n v="313.35000000000002"/>
    <n v="969"/>
    <n v="89"/>
    <n v="11"/>
    <n v="0"/>
    <n v="11"/>
    <n v="969"/>
    <n v="89"/>
    <n v="10"/>
    <n v="60"/>
    <n v="848"/>
    <n v="50"/>
    <n v="334"/>
    <n v="47"/>
  </r>
  <r>
    <d v="2020-03-26T00:00:00"/>
    <n v="4636"/>
    <s v="蛙小辣火锅杯（总账号）"/>
    <s v="2000507076"/>
    <x v="1"/>
    <s v="上海"/>
    <s v="eleme"/>
    <x v="0"/>
    <s v="蛙小辣火锅杯(五角场店)"/>
    <x v="112"/>
    <n v="489.67"/>
    <n v="983"/>
    <n v="80"/>
    <n v="22"/>
    <n v="1"/>
    <n v="21"/>
    <n v="983"/>
    <n v="80"/>
    <n v="21"/>
    <n v="25.2"/>
    <n v="326"/>
    <n v="20"/>
    <n v="759"/>
    <n v="64"/>
  </r>
  <r>
    <d v="2020-03-27T00:00:00"/>
    <n v="4636"/>
    <s v="蛙小辣火锅杯（总账号）"/>
    <s v="2001104355"/>
    <x v="0"/>
    <s v="上海"/>
    <s v="eleme"/>
    <x v="0"/>
    <s v="蛙小辣·美蛙火锅杯(宝山店)"/>
    <x v="113"/>
    <n v="476.12"/>
    <n v="1731"/>
    <n v="123"/>
    <n v="18"/>
    <n v="1"/>
    <n v="17"/>
    <n v="1731"/>
    <n v="123"/>
    <n v="17"/>
    <n v="36.1"/>
    <n v="522"/>
    <n v="29"/>
    <n v="629"/>
    <n v="40"/>
  </r>
  <r>
    <d v="2020-03-27T00:00:00"/>
    <n v="4636"/>
    <s v="蛙小辣火锅杯（总账号）"/>
    <s v="8491999"/>
    <x v="0"/>
    <s v="上海"/>
    <s v="meituan"/>
    <x v="1"/>
    <s v="蛙小辣火锅杯（宝山店）"/>
    <x v="114"/>
    <n v="308.24"/>
    <n v="2176"/>
    <n v="158"/>
    <n v="13"/>
    <n v="0"/>
    <n v="13"/>
    <n v="2176"/>
    <n v="158"/>
    <n v="12"/>
    <n v="20.57"/>
    <n v="286"/>
    <n v="17"/>
    <n v="389"/>
    <n v="53"/>
  </r>
  <r>
    <d v="2020-03-27T00:00:00"/>
    <n v="4636"/>
    <s v="蛙小辣火锅杯（总账号）"/>
    <s v="2000507076"/>
    <x v="1"/>
    <s v="上海"/>
    <s v="eleme"/>
    <x v="0"/>
    <s v="蛙小辣火锅杯(五角场店)"/>
    <x v="115"/>
    <n v="570.27"/>
    <n v="947"/>
    <n v="71"/>
    <n v="24"/>
    <n v="1"/>
    <n v="23"/>
    <n v="947"/>
    <n v="71"/>
    <n v="22"/>
    <n v="20.77"/>
    <n v="179"/>
    <n v="19"/>
    <n v="760"/>
    <n v="67"/>
  </r>
  <r>
    <d v="2020-03-28T00:00:00"/>
    <n v="4636"/>
    <s v="蛙小辣火锅杯（总账号）"/>
    <s v="2001104355"/>
    <x v="0"/>
    <s v="上海"/>
    <s v="eleme"/>
    <x v="0"/>
    <s v="蛙小辣·美蛙火锅杯(宝山店)"/>
    <x v="116"/>
    <n v="707.35"/>
    <n v="1803"/>
    <n v="145"/>
    <n v="24"/>
    <n v="0"/>
    <n v="24"/>
    <n v="1803"/>
    <n v="145"/>
    <n v="23"/>
    <n v="44.8"/>
    <n v="534"/>
    <n v="38"/>
    <n v="878"/>
    <n v="36"/>
  </r>
  <r>
    <d v="2020-03-28T00:00:00"/>
    <n v="4636"/>
    <s v="蛙小辣火锅杯（总账号）"/>
    <s v="8491999"/>
    <x v="0"/>
    <s v="上海"/>
    <s v="meituan"/>
    <x v="1"/>
    <s v="蛙小辣火锅杯（宝山店）"/>
    <x v="117"/>
    <n v="577.14"/>
    <n v="2090"/>
    <n v="155"/>
    <n v="20"/>
    <n v="0"/>
    <n v="20"/>
    <n v="2090"/>
    <n v="155"/>
    <n v="20"/>
    <n v="18.38"/>
    <n v="484"/>
    <n v="20"/>
    <n v="626"/>
    <n v="90"/>
  </r>
  <r>
    <d v="2020-03-28T00:00:00"/>
    <n v="4636"/>
    <s v="蛙小辣火锅杯（总账号）"/>
    <s v="2000507076"/>
    <x v="1"/>
    <s v="上海"/>
    <s v="eleme"/>
    <x v="0"/>
    <s v="蛙小辣火锅杯麻辣烫(五角场店)"/>
    <x v="118"/>
    <n v="263.39"/>
    <n v="943"/>
    <n v="48"/>
    <n v="12"/>
    <n v="0"/>
    <n v="12"/>
    <n v="943"/>
    <n v="48"/>
    <n v="11"/>
    <n v="5.8"/>
    <n v="43"/>
    <n v="5"/>
    <n v="451"/>
    <n v="45"/>
  </r>
  <r>
    <d v="2020-03-29T00:00:00"/>
    <n v="4636"/>
    <s v="蛙小辣火锅杯（总账号）"/>
    <s v="2001104355"/>
    <x v="0"/>
    <s v="上海"/>
    <s v="eleme"/>
    <x v="0"/>
    <s v="蛙小辣·美蛙火锅杯(宝山店)"/>
    <x v="119"/>
    <n v="371.76"/>
    <n v="2100"/>
    <n v="146"/>
    <n v="18"/>
    <n v="0"/>
    <n v="18"/>
    <n v="2100"/>
    <n v="146"/>
    <n v="15"/>
    <n v="59.97"/>
    <n v="962"/>
    <n v="47"/>
    <n v="642"/>
    <n v="19"/>
  </r>
  <r>
    <d v="2020-03-29T00:00:00"/>
    <n v="4636"/>
    <s v="蛙小辣火锅杯（总账号）"/>
    <s v="8491999"/>
    <x v="0"/>
    <s v="上海"/>
    <s v="meituan"/>
    <x v="1"/>
    <s v="蛙小辣火锅杯（宝山店）"/>
    <x v="120"/>
    <n v="599.44000000000005"/>
    <n v="1790"/>
    <n v="104"/>
    <n v="22"/>
    <n v="0"/>
    <n v="22"/>
    <n v="1790"/>
    <n v="104"/>
    <n v="21"/>
    <n v="1.3"/>
    <n v="38"/>
    <n v="1"/>
    <n v="712"/>
    <n v="98"/>
  </r>
  <r>
    <d v="2020-03-29T00:00:00"/>
    <n v="4636"/>
    <s v="蛙小辣火锅杯（总账号）"/>
    <s v="2000507076"/>
    <x v="1"/>
    <s v="上海"/>
    <s v="eleme"/>
    <x v="0"/>
    <s v="蛙小辣火锅杯(五角场店)"/>
    <x v="121"/>
    <n v="519.22"/>
    <n v="1274"/>
    <n v="86"/>
    <n v="19"/>
    <n v="0"/>
    <n v="19"/>
    <n v="1274"/>
    <n v="86"/>
    <n v="19"/>
    <n v="0.94"/>
    <n v="4"/>
    <n v="1"/>
    <n v="745"/>
    <n v="67"/>
  </r>
  <r>
    <d v="2020-03-30T00:00:00"/>
    <n v="4636"/>
    <s v="蛙小辣火锅杯（总账号）"/>
    <s v="8491999"/>
    <x v="0"/>
    <s v="上海"/>
    <s v="meituan"/>
    <x v="1"/>
    <s v="蛙小辣火锅杯（宝山店）"/>
    <x v="122"/>
    <n v="379.93"/>
    <n v="1019"/>
    <n v="71"/>
    <n v="13"/>
    <n v="0"/>
    <n v="13"/>
    <n v="1019"/>
    <n v="71"/>
    <n v="13"/>
    <n v="59.84"/>
    <n v="860"/>
    <n v="45"/>
    <n v="389"/>
    <n v="36"/>
  </r>
  <r>
    <d v="2020-03-31T00:00:00"/>
    <n v="4636"/>
    <s v="蛙小辣火锅杯（总账号）"/>
    <s v="8491999"/>
    <x v="0"/>
    <s v="上海"/>
    <s v="meituan"/>
    <x v="1"/>
    <s v="蛙小辣火锅杯（宝山店）"/>
    <x v="123"/>
    <n v="218.69"/>
    <n v="886"/>
    <n v="58"/>
    <n v="7"/>
    <n v="0"/>
    <n v="7"/>
    <n v="886"/>
    <n v="58"/>
    <n v="7"/>
    <n v="44.52"/>
    <n v="650"/>
    <n v="34"/>
    <n v="250"/>
    <n v="25"/>
  </r>
  <r>
    <d v="2020-04-01T00:00:00"/>
    <n v="4636"/>
    <s v="蛙小辣火锅杯（总账号）"/>
    <s v="2001104355"/>
    <x v="0"/>
    <s v="上海"/>
    <s v="eleme"/>
    <x v="0"/>
    <s v="蛙小辣·美蛙火锅杯(宝山店)"/>
    <x v="124"/>
    <n v="326.95"/>
    <n v="1318"/>
    <n v="72"/>
    <n v="15"/>
    <n v="0"/>
    <n v="15"/>
    <n v="1318"/>
    <n v="72"/>
    <n v="14"/>
    <n v="39.96"/>
    <n v="592"/>
    <n v="30"/>
    <n v="525"/>
    <n v="14"/>
  </r>
  <r>
    <d v="2020-04-01T00:00:00"/>
    <n v="4636"/>
    <s v="蛙小辣火锅杯（总账号）"/>
    <s v="8491999"/>
    <x v="0"/>
    <s v="上海"/>
    <s v="meituan"/>
    <x v="1"/>
    <s v="蛙小辣火锅杯（宝山店）"/>
    <x v="125"/>
    <n v="243.39"/>
    <n v="1079"/>
    <n v="74"/>
    <n v="11"/>
    <n v="0"/>
    <n v="11"/>
    <n v="1079"/>
    <n v="74"/>
    <n v="11"/>
    <n v="37.24"/>
    <n v="351"/>
    <n v="26"/>
    <n v="320"/>
    <n v="47"/>
  </r>
  <r>
    <d v="2020-04-02T00:00:00"/>
    <n v="4636"/>
    <s v="蛙小辣火锅杯（总账号）"/>
    <s v="2001104355"/>
    <x v="0"/>
    <s v="上海"/>
    <s v="eleme"/>
    <x v="0"/>
    <s v="蛙小辣·美蛙火锅杯(宝山店)"/>
    <x v="126"/>
    <n v="634.51"/>
    <n v="1418"/>
    <n v="105"/>
    <n v="29"/>
    <n v="3"/>
    <n v="26"/>
    <n v="1418"/>
    <n v="105"/>
    <n v="23"/>
    <n v="48"/>
    <n v="549"/>
    <n v="38"/>
    <n v="934"/>
    <n v="34"/>
  </r>
  <r>
    <d v="2020-04-02T00:00:00"/>
    <n v="4636"/>
    <s v="蛙小辣火锅杯（总账号）"/>
    <s v="8491999"/>
    <x v="0"/>
    <s v="上海"/>
    <s v="meituan"/>
    <x v="1"/>
    <s v="蛙小辣火锅杯（宝山店）"/>
    <x v="127"/>
    <n v="385.67"/>
    <n v="1337"/>
    <n v="87"/>
    <n v="16"/>
    <n v="0"/>
    <n v="16"/>
    <n v="1337"/>
    <n v="87"/>
    <n v="16"/>
    <n v="46.08"/>
    <n v="757"/>
    <n v="35"/>
    <n v="466"/>
    <n v="44"/>
  </r>
  <r>
    <d v="2020-04-02T00:00:00"/>
    <n v="4636"/>
    <s v="蛙小辣火锅杯（总账号）"/>
    <s v="2000507076"/>
    <x v="1"/>
    <s v="上海"/>
    <s v="eleme"/>
    <x v="0"/>
    <s v="蛙小辣火锅杯(五角场店)"/>
    <x v="128"/>
    <n v="402.64"/>
    <n v="1127"/>
    <n v="69"/>
    <n v="16"/>
    <n v="0"/>
    <n v="16"/>
    <n v="1127"/>
    <n v="69"/>
    <n v="15"/>
    <n v="40.200000000000003"/>
    <n v="490"/>
    <n v="30"/>
    <n v="630"/>
    <n v="46"/>
  </r>
  <r>
    <d v="2020-04-02T00:00:00"/>
    <n v="4636"/>
    <s v="蛙小辣火锅杯（总账号）"/>
    <s v="8184590"/>
    <x v="1"/>
    <s v="上海"/>
    <s v="meituan"/>
    <x v="1"/>
    <s v="蛙小辣火锅杯（五角场店）"/>
    <x v="129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d v="2020-04-03T00:00:00"/>
    <n v="4636"/>
    <s v="蛙小辣火锅杯（总账号）"/>
    <s v="2001104355"/>
    <x v="0"/>
    <s v="上海"/>
    <s v="eleme"/>
    <x v="0"/>
    <s v="蛙小辣·美蛙火锅杯(宝山店)"/>
    <x v="130"/>
    <n v="199.19"/>
    <n v="1223"/>
    <n v="98"/>
    <n v="9"/>
    <n v="0"/>
    <n v="9"/>
    <n v="1223"/>
    <n v="98"/>
    <n v="9"/>
    <n v="40.5"/>
    <n v="467"/>
    <n v="36"/>
    <n v="360"/>
    <n v="10"/>
  </r>
  <r>
    <d v="2020-04-03T00:00:00"/>
    <n v="4636"/>
    <s v="蛙小辣火锅杯（总账号）"/>
    <s v="8491999"/>
    <x v="0"/>
    <s v="上海"/>
    <s v="meituan"/>
    <x v="1"/>
    <s v="蛙小辣火锅杯（宝山店）"/>
    <x v="131"/>
    <n v="263.38"/>
    <n v="1879"/>
    <n v="84"/>
    <n v="11"/>
    <n v="0"/>
    <n v="11"/>
    <n v="1879"/>
    <n v="84"/>
    <n v="11"/>
    <n v="48.48"/>
    <n v="657"/>
    <n v="35"/>
    <n v="369"/>
    <n v="47"/>
  </r>
  <r>
    <d v="2020-04-03T00:00:00"/>
    <n v="4636"/>
    <s v="蛙小辣火锅杯（总账号）"/>
    <s v="2000507076"/>
    <x v="1"/>
    <s v="上海"/>
    <s v="eleme"/>
    <x v="0"/>
    <s v="蛙小辣火锅杯(五角场店)"/>
    <x v="132"/>
    <n v="373.97"/>
    <n v="882"/>
    <n v="57"/>
    <n v="19"/>
    <n v="0"/>
    <n v="19"/>
    <n v="882"/>
    <n v="57"/>
    <n v="19"/>
    <n v="18.239999999999998"/>
    <n v="208"/>
    <n v="16"/>
    <n v="658"/>
    <n v="63"/>
  </r>
  <r>
    <d v="2020-04-04T00:00:00"/>
    <n v="4636"/>
    <s v="蛙小辣火锅杯（总账号）"/>
    <s v="2001104355"/>
    <x v="0"/>
    <s v="上海"/>
    <s v="eleme"/>
    <x v="0"/>
    <s v="蛙小辣·美蛙火锅杯(宝山店)"/>
    <x v="133"/>
    <n v="385.3"/>
    <n v="1563"/>
    <n v="127"/>
    <n v="15"/>
    <n v="0"/>
    <n v="15"/>
    <n v="1563"/>
    <n v="127"/>
    <n v="15"/>
    <n v="44.5"/>
    <n v="407"/>
    <n v="40"/>
    <n v="615"/>
    <n v="15"/>
  </r>
  <r>
    <d v="2020-04-04T00:00:00"/>
    <n v="4636"/>
    <s v="蛙小辣火锅杯（总账号）"/>
    <s v="8491999"/>
    <x v="0"/>
    <s v="上海"/>
    <s v="meituan"/>
    <x v="1"/>
    <s v="蛙小辣火锅杯（宝山店）"/>
    <x v="134"/>
    <n v="269.83"/>
    <n v="1365"/>
    <n v="93"/>
    <n v="15"/>
    <n v="0"/>
    <n v="15"/>
    <n v="1365"/>
    <n v="93"/>
    <n v="14"/>
    <n v="50"/>
    <n v="696"/>
    <n v="36"/>
    <n v="521"/>
    <n v="70"/>
  </r>
  <r>
    <d v="2020-04-04T00:00:00"/>
    <n v="4636"/>
    <s v="蛙小辣火锅杯（总账号）"/>
    <s v="2000507076"/>
    <x v="1"/>
    <s v="上海"/>
    <s v="eleme"/>
    <x v="0"/>
    <s v="蛙小辣火锅杯(五角场店)"/>
    <x v="135"/>
    <n v="315.55"/>
    <n v="718"/>
    <n v="41"/>
    <n v="14"/>
    <n v="0"/>
    <n v="14"/>
    <n v="718"/>
    <n v="41"/>
    <n v="14"/>
    <n v="4.5999999999999996"/>
    <n v="115"/>
    <n v="5"/>
    <n v="510"/>
    <n v="28"/>
  </r>
  <r>
    <d v="2020-04-05T00:00:00"/>
    <n v="4636"/>
    <s v="蛙小辣火锅杯（总账号）"/>
    <s v="2001104355"/>
    <x v="0"/>
    <s v="上海"/>
    <s v="eleme"/>
    <x v="0"/>
    <s v="蛙小辣·美蛙火锅杯(宝山店)"/>
    <x v="136"/>
    <n v="370.53"/>
    <n v="1553"/>
    <n v="105"/>
    <n v="16"/>
    <n v="0"/>
    <n v="16"/>
    <n v="1553"/>
    <n v="105"/>
    <n v="16"/>
    <n v="47.4"/>
    <n v="676"/>
    <n v="37"/>
    <n v="625"/>
    <n v="12"/>
  </r>
  <r>
    <d v="2020-04-05T00:00:00"/>
    <n v="4636"/>
    <s v="蛙小辣火锅杯（总账号）"/>
    <s v="8491999"/>
    <x v="0"/>
    <s v="上海"/>
    <s v="meituan"/>
    <x v="1"/>
    <s v="蛙小辣火锅杯（宝山店）"/>
    <x v="137"/>
    <n v="216.21"/>
    <n v="1459"/>
    <n v="71"/>
    <n v="10"/>
    <n v="0"/>
    <n v="10"/>
    <n v="1459"/>
    <n v="71"/>
    <n v="10"/>
    <n v="50"/>
    <n v="619"/>
    <n v="40"/>
    <n v="376"/>
    <n v="59"/>
  </r>
  <r>
    <d v="2020-04-05T00:00:00"/>
    <n v="4636"/>
    <s v="蛙小辣火锅杯（总账号）"/>
    <s v="2000507076"/>
    <x v="1"/>
    <s v="上海"/>
    <s v="eleme"/>
    <x v="0"/>
    <s v="蛙小辣火锅杯(五角场店)"/>
    <x v="138"/>
    <n v="183.1"/>
    <n v="931"/>
    <n v="60"/>
    <n v="10"/>
    <n v="0"/>
    <n v="10"/>
    <n v="931"/>
    <n v="60"/>
    <n v="10"/>
    <n v="21.7"/>
    <n v="211"/>
    <n v="18"/>
    <n v="367"/>
    <n v="35"/>
  </r>
  <r>
    <d v="2020-04-06T00:00:00"/>
    <n v="4636"/>
    <s v="蛙小辣火锅杯（总账号）"/>
    <s v="2001104355"/>
    <x v="0"/>
    <s v="上海"/>
    <s v="eleme"/>
    <x v="0"/>
    <s v="蛙小辣·美蛙火锅杯(宝山店)"/>
    <x v="139"/>
    <n v="352.06"/>
    <n v="1395"/>
    <n v="94"/>
    <n v="14"/>
    <n v="0"/>
    <n v="14"/>
    <n v="1395"/>
    <n v="94"/>
    <n v="13"/>
    <n v="71.3"/>
    <n v="1034"/>
    <n v="57"/>
    <n v="542"/>
    <n v="9"/>
  </r>
  <r>
    <d v="2020-04-06T00:00:00"/>
    <n v="4636"/>
    <s v="蛙小辣火锅杯（总账号）"/>
    <s v="8491999"/>
    <x v="0"/>
    <s v="上海"/>
    <s v="meituan"/>
    <x v="1"/>
    <s v="蛙小辣火锅杯（宝山店）"/>
    <x v="140"/>
    <n v="361.99"/>
    <n v="2108"/>
    <n v="112"/>
    <n v="17"/>
    <n v="0"/>
    <n v="17"/>
    <n v="2108"/>
    <n v="112"/>
    <n v="17"/>
    <n v="77.53"/>
    <n v="1138"/>
    <n v="58"/>
    <n v="621"/>
    <n v="81"/>
  </r>
  <r>
    <d v="2020-04-06T00:00:00"/>
    <n v="4636"/>
    <s v="蛙小辣火锅杯（总账号）"/>
    <s v="2000507076"/>
    <x v="1"/>
    <s v="上海"/>
    <s v="eleme"/>
    <x v="0"/>
    <s v="蛙小辣火锅杯(五角场店)"/>
    <x v="141"/>
    <n v="449.65"/>
    <n v="1131"/>
    <n v="77"/>
    <n v="15"/>
    <n v="0"/>
    <n v="15"/>
    <n v="1131"/>
    <n v="77"/>
    <n v="14"/>
    <n v="36.79"/>
    <n v="416"/>
    <n v="29"/>
    <n v="592"/>
    <n v="43"/>
  </r>
  <r>
    <d v="2020-04-07T00:00:00"/>
    <n v="4636"/>
    <s v="蛙小辣火锅杯（总账号）"/>
    <s v="2001104355"/>
    <x v="0"/>
    <s v="上海"/>
    <s v="eleme"/>
    <x v="0"/>
    <s v="蛙小辣·美蛙火锅杯(宝山店)"/>
    <x v="142"/>
    <n v="274.58"/>
    <n v="1129"/>
    <n v="93"/>
    <n v="13"/>
    <n v="1"/>
    <n v="12"/>
    <n v="1129"/>
    <n v="93"/>
    <n v="12"/>
    <n v="59.7"/>
    <n v="644"/>
    <n v="44"/>
    <n v="467"/>
    <n v="11"/>
  </r>
  <r>
    <d v="2020-04-07T00:00:00"/>
    <n v="4636"/>
    <s v="蛙小辣火锅杯（总账号）"/>
    <s v="2000507076"/>
    <x v="1"/>
    <s v="上海"/>
    <s v="eleme"/>
    <x v="0"/>
    <s v="蛙小辣·美蛙火锅杯(五角场店)"/>
    <x v="143"/>
    <n v="467.13"/>
    <n v="1012"/>
    <n v="67"/>
    <n v="25"/>
    <n v="1"/>
    <n v="24"/>
    <n v="1012"/>
    <n v="67"/>
    <n v="24"/>
    <n v="28.8"/>
    <n v="502"/>
    <n v="19"/>
    <n v="833"/>
    <n v="78"/>
  </r>
  <r>
    <d v="2020-04-07T00:00:00"/>
    <n v="4636"/>
    <s v="蛙小辣火锅杯（总账号）"/>
    <s v="8491999"/>
    <x v="0"/>
    <s v="上海"/>
    <s v="meituan"/>
    <x v="1"/>
    <s v="蛙小辣火锅杯（宝山店）"/>
    <x v="144"/>
    <n v="328.09"/>
    <n v="1412"/>
    <n v="97"/>
    <n v="14"/>
    <n v="0"/>
    <n v="14"/>
    <n v="1412"/>
    <n v="97"/>
    <n v="14"/>
    <n v="80"/>
    <n v="804"/>
    <n v="57"/>
    <n v="493"/>
    <n v="69"/>
  </r>
  <r>
    <d v="2020-04-08T00:00:00"/>
    <n v="4636"/>
    <s v="蛙小辣火锅杯（总账号）"/>
    <s v="2001104355"/>
    <x v="0"/>
    <s v="上海"/>
    <s v="eleme"/>
    <x v="0"/>
    <s v="蛙小辣·美蛙火锅杯(宝山店)"/>
    <x v="145"/>
    <n v="335.48"/>
    <n v="1004"/>
    <n v="86"/>
    <n v="12"/>
    <n v="0"/>
    <n v="12"/>
    <n v="1004"/>
    <n v="86"/>
    <n v="11"/>
    <n v="58"/>
    <n v="682"/>
    <n v="43"/>
    <n v="496"/>
    <n v="8"/>
  </r>
  <r>
    <d v="2020-04-08T00:00:00"/>
    <n v="4636"/>
    <s v="蛙小辣火锅杯（总账号）"/>
    <s v="2000507076"/>
    <x v="1"/>
    <s v="上海"/>
    <s v="eleme"/>
    <x v="0"/>
    <s v="蛙小辣·美蛙火锅杯(五角场店)"/>
    <x v="146"/>
    <n v="529.58000000000004"/>
    <n v="828"/>
    <n v="71"/>
    <n v="25"/>
    <n v="1"/>
    <n v="24"/>
    <n v="828"/>
    <n v="71"/>
    <n v="23"/>
    <n v="43.13"/>
    <n v="449"/>
    <n v="31"/>
    <n v="909"/>
    <n v="69"/>
  </r>
  <r>
    <d v="2020-04-08T00:00:00"/>
    <n v="4636"/>
    <s v="蛙小辣火锅杯（总账号）"/>
    <s v="8491999"/>
    <x v="0"/>
    <s v="上海"/>
    <s v="meituan"/>
    <x v="1"/>
    <s v="蛙小辣火锅杯（宝山店）"/>
    <x v="147"/>
    <n v="217.8"/>
    <n v="1470"/>
    <n v="77"/>
    <n v="9"/>
    <n v="0"/>
    <n v="9"/>
    <n v="1470"/>
    <n v="77"/>
    <n v="9"/>
    <n v="58.82"/>
    <n v="835"/>
    <n v="41"/>
    <n v="297"/>
    <n v="35"/>
  </r>
  <r>
    <d v="2020-04-09T00:00:00"/>
    <n v="4636"/>
    <s v="蛙小辣火锅杯（总账号）"/>
    <s v="2001104355"/>
    <x v="0"/>
    <s v="上海"/>
    <s v="eleme"/>
    <x v="0"/>
    <s v="蛙小辣·美蛙火锅杯(宝山店)"/>
    <x v="148"/>
    <n v="433.44"/>
    <n v="972"/>
    <n v="85"/>
    <n v="21"/>
    <n v="0"/>
    <n v="21"/>
    <n v="972"/>
    <n v="85"/>
    <n v="21"/>
    <n v="50.4"/>
    <n v="477"/>
    <n v="43"/>
    <n v="785"/>
    <n v="18"/>
  </r>
  <r>
    <d v="2020-04-09T00:00:00"/>
    <n v="4636"/>
    <s v="蛙小辣火锅杯（总账号）"/>
    <s v="2000507076"/>
    <x v="1"/>
    <s v="上海"/>
    <s v="eleme"/>
    <x v="0"/>
    <s v="蛙小辣·美蛙火锅杯(五角场店)"/>
    <x v="149"/>
    <n v="406.42"/>
    <n v="756"/>
    <n v="62"/>
    <n v="17"/>
    <n v="0"/>
    <n v="17"/>
    <n v="756"/>
    <n v="62"/>
    <n v="16"/>
    <n v="43.1"/>
    <n v="387"/>
    <n v="27"/>
    <n v="649"/>
    <n v="44"/>
  </r>
  <r>
    <d v="2020-04-09T00:00:00"/>
    <n v="4636"/>
    <s v="蛙小辣火锅杯（总账号）"/>
    <s v="8491999"/>
    <x v="0"/>
    <s v="上海"/>
    <s v="meituan"/>
    <x v="1"/>
    <s v="蛙小辣火锅杯（宝山店）"/>
    <x v="150"/>
    <n v="401.05"/>
    <n v="1379"/>
    <n v="89"/>
    <n v="18"/>
    <n v="0"/>
    <n v="18"/>
    <n v="1379"/>
    <n v="89"/>
    <n v="18"/>
    <n v="74.099999999999994"/>
    <n v="938"/>
    <n v="52"/>
    <n v="617"/>
    <n v="95"/>
  </r>
  <r>
    <d v="2020-04-10T00:00:00"/>
    <n v="4636"/>
    <s v="蛙小辣火锅杯（总账号）"/>
    <s v="2001104355"/>
    <x v="0"/>
    <s v="上海"/>
    <s v="eleme"/>
    <x v="0"/>
    <s v="蛙小辣·美蛙火锅杯(宝山店)"/>
    <x v="151"/>
    <n v="500.28"/>
    <n v="1220"/>
    <n v="94"/>
    <n v="16"/>
    <n v="0"/>
    <n v="16"/>
    <n v="1220"/>
    <n v="94"/>
    <n v="15"/>
    <n v="36.6"/>
    <n v="500"/>
    <n v="32"/>
    <n v="606"/>
    <n v="17"/>
  </r>
  <r>
    <d v="2020-04-10T00:00:00"/>
    <n v="4636"/>
    <s v="蛙小辣火锅杯（总账号）"/>
    <s v="2000507076"/>
    <x v="1"/>
    <s v="上海"/>
    <s v="eleme"/>
    <x v="0"/>
    <s v="蛙小辣·美蛙火锅杯(五角场店)"/>
    <x v="152"/>
    <n v="294.74"/>
    <n v="874"/>
    <n v="57"/>
    <n v="16"/>
    <n v="0"/>
    <n v="16"/>
    <n v="874"/>
    <n v="57"/>
    <n v="15"/>
    <n v="41.34"/>
    <n v="552"/>
    <n v="26"/>
    <n v="538"/>
    <n v="35"/>
  </r>
  <r>
    <d v="2020-04-10T00:00:00"/>
    <n v="4636"/>
    <s v="蛙小辣火锅杯（总账号）"/>
    <s v="8491999"/>
    <x v="0"/>
    <s v="上海"/>
    <s v="meituan"/>
    <x v="1"/>
    <s v="蛙小辣火锅杯（宝山店）"/>
    <x v="153"/>
    <n v="601.79999999999995"/>
    <n v="1716"/>
    <n v="112"/>
    <n v="23"/>
    <n v="0"/>
    <n v="23"/>
    <n v="1716"/>
    <n v="112"/>
    <n v="22"/>
    <n v="99.62"/>
    <n v="1325"/>
    <n v="71"/>
    <n v="833"/>
    <n v="115"/>
  </r>
  <r>
    <d v="2020-04-11T00:00:00"/>
    <n v="4636"/>
    <s v="蛙小辣火锅杯（总账号）"/>
    <s v="2000507076"/>
    <x v="1"/>
    <s v="上海"/>
    <s v="eleme"/>
    <x v="0"/>
    <s v="蛙小辣·美蛙火锅杯(五角场店)"/>
    <x v="154"/>
    <n v="640.25"/>
    <n v="1484"/>
    <n v="98"/>
    <n v="21"/>
    <n v="0"/>
    <n v="21"/>
    <n v="1484"/>
    <n v="98"/>
    <n v="18"/>
    <n v="47.01"/>
    <n v="521"/>
    <n v="32"/>
    <n v="827"/>
    <n v="34"/>
  </r>
  <r>
    <d v="2020-04-11T00:00:00"/>
    <n v="4636"/>
    <s v="蛙小辣火锅杯（总账号）"/>
    <s v="2001104355"/>
    <x v="0"/>
    <s v="上海"/>
    <s v="eleme"/>
    <x v="0"/>
    <s v="蛙小辣·美蛙火锅杯麻辣烫(宝山店)"/>
    <x v="155"/>
    <n v="782.06"/>
    <n v="1639"/>
    <n v="140"/>
    <n v="34"/>
    <n v="1"/>
    <n v="33"/>
    <n v="1639"/>
    <n v="140"/>
    <n v="31"/>
    <n v="69.7"/>
    <n v="818"/>
    <n v="59"/>
    <n v="1252"/>
    <n v="30"/>
  </r>
  <r>
    <d v="2020-04-11T00:00:00"/>
    <n v="4636"/>
    <s v="蛙小辣火锅杯（总账号）"/>
    <s v="8491999"/>
    <x v="0"/>
    <s v="上海"/>
    <s v="meituan"/>
    <x v="1"/>
    <s v="蛙小辣火锅杯（宝山店）"/>
    <x v="156"/>
    <n v="588.29"/>
    <n v="2017"/>
    <n v="160"/>
    <n v="25"/>
    <n v="0"/>
    <n v="25"/>
    <n v="2017"/>
    <n v="160"/>
    <n v="24"/>
    <n v="120"/>
    <n v="1452"/>
    <n v="92"/>
    <n v="818"/>
    <n v="133"/>
  </r>
  <r>
    <d v="2020-04-12T00:00:00"/>
    <n v="4636"/>
    <s v="蛙小辣火锅杯（总账号）"/>
    <s v="2000507076"/>
    <x v="1"/>
    <s v="上海"/>
    <s v="eleme"/>
    <x v="0"/>
    <s v="蛙小辣·美蛙火锅杯(五角场店)"/>
    <x v="157"/>
    <n v="230.26"/>
    <n v="1114"/>
    <n v="74"/>
    <n v="9"/>
    <n v="0"/>
    <n v="9"/>
    <n v="1114"/>
    <n v="74"/>
    <n v="9"/>
    <n v="46.41"/>
    <n v="489"/>
    <n v="35"/>
    <n v="337"/>
    <n v="18"/>
  </r>
  <r>
    <d v="2020-04-12T00:00:00"/>
    <n v="4636"/>
    <s v="蛙小辣火锅杯（总账号）"/>
    <s v="2001104355"/>
    <x v="0"/>
    <s v="上海"/>
    <s v="eleme"/>
    <x v="0"/>
    <s v="蛙小辣·美蛙火锅杯麻辣烫(宝山店)"/>
    <x v="158"/>
    <n v="505.91"/>
    <n v="1818"/>
    <n v="122"/>
    <n v="19"/>
    <n v="0"/>
    <n v="19"/>
    <n v="1818"/>
    <n v="122"/>
    <n v="19"/>
    <n v="74.900000000000006"/>
    <n v="1020"/>
    <n v="61"/>
    <n v="754"/>
    <n v="15"/>
  </r>
  <r>
    <d v="2020-04-12T00:00:00"/>
    <n v="4636"/>
    <s v="蛙小辣火锅杯（总账号）"/>
    <s v="8491999"/>
    <x v="0"/>
    <s v="上海"/>
    <s v="meituan"/>
    <x v="1"/>
    <s v="蛙小辣火锅杯（宝山店）"/>
    <x v="159"/>
    <n v="154.26"/>
    <n v="1558"/>
    <n v="117"/>
    <n v="7"/>
    <n v="0"/>
    <n v="7"/>
    <n v="1558"/>
    <n v="117"/>
    <n v="6"/>
    <n v="85.88"/>
    <n v="899"/>
    <n v="67"/>
    <n v="242"/>
    <n v="34"/>
  </r>
  <r>
    <d v="2020-04-13T00:00:00"/>
    <n v="4636"/>
    <s v="蛙小辣火锅杯（总账号）"/>
    <s v="2000507076"/>
    <x v="1"/>
    <s v="上海"/>
    <s v="eleme"/>
    <x v="0"/>
    <s v="蛙小辣·美蛙火锅杯(五角场店)"/>
    <x v="160"/>
    <n v="345.46"/>
    <n v="881"/>
    <n v="70"/>
    <n v="15"/>
    <n v="0"/>
    <n v="15"/>
    <n v="881"/>
    <n v="70"/>
    <n v="14"/>
    <n v="44.4"/>
    <n v="418"/>
    <n v="32"/>
    <n v="534"/>
    <n v="21"/>
  </r>
  <r>
    <d v="2020-04-13T00:00:00"/>
    <n v="4636"/>
    <s v="蛙小辣火锅杯（总账号）"/>
    <s v="2001104355"/>
    <x v="0"/>
    <s v="上海"/>
    <s v="eleme"/>
    <x v="0"/>
    <s v="蛙小辣·美蛙火锅杯麻辣烫(宝山店)"/>
    <x v="161"/>
    <n v="247.51"/>
    <n v="1323"/>
    <n v="94"/>
    <n v="11"/>
    <n v="0"/>
    <n v="11"/>
    <n v="1323"/>
    <n v="94"/>
    <n v="11"/>
    <n v="55.7"/>
    <n v="692"/>
    <n v="46"/>
    <n v="421"/>
    <n v="10"/>
  </r>
  <r>
    <d v="2020-04-13T00:00:00"/>
    <n v="4636"/>
    <s v="蛙小辣火锅杯（总账号）"/>
    <s v="8491999"/>
    <x v="0"/>
    <s v="上海"/>
    <s v="meituan"/>
    <x v="1"/>
    <s v="蛙小辣火锅杯（宝山店）"/>
    <x v="162"/>
    <n v="379.12"/>
    <n v="1076"/>
    <n v="83"/>
    <n v="17"/>
    <n v="0"/>
    <n v="17"/>
    <n v="1076"/>
    <n v="83"/>
    <n v="17"/>
    <n v="57.85"/>
    <n v="680"/>
    <n v="42"/>
    <n v="554"/>
    <n v="90"/>
  </r>
  <r>
    <d v="2020-04-14T00:00:00"/>
    <n v="4636"/>
    <s v="蛙小辣火锅杯（总账号）"/>
    <s v="2000507076"/>
    <x v="1"/>
    <s v="上海"/>
    <s v="eleme"/>
    <x v="0"/>
    <s v="蛙小辣·美蛙火锅杯(五角场店)"/>
    <x v="163"/>
    <n v="448.35"/>
    <n v="757"/>
    <n v="72"/>
    <n v="18"/>
    <n v="0"/>
    <n v="18"/>
    <n v="757"/>
    <n v="72"/>
    <n v="16"/>
    <n v="48.4"/>
    <n v="456"/>
    <n v="38"/>
    <n v="676"/>
    <n v="17"/>
  </r>
  <r>
    <d v="2020-04-14T00:00:00"/>
    <n v="4636"/>
    <s v="蛙小辣火锅杯（总账号）"/>
    <s v="2001104355"/>
    <x v="0"/>
    <s v="上海"/>
    <s v="eleme"/>
    <x v="0"/>
    <s v="蛙小辣·美蛙火锅杯麻辣烫(宝山店)"/>
    <x v="164"/>
    <n v="513.88"/>
    <n v="1300"/>
    <n v="99"/>
    <n v="24"/>
    <n v="0"/>
    <n v="24"/>
    <n v="1300"/>
    <n v="99"/>
    <n v="20"/>
    <n v="31.4"/>
    <n v="542"/>
    <n v="24"/>
    <n v="890"/>
    <n v="29"/>
  </r>
  <r>
    <d v="2020-04-14T00:00:00"/>
    <n v="4636"/>
    <s v="蛙小辣火锅杯（总账号）"/>
    <s v="8491999"/>
    <x v="0"/>
    <s v="上海"/>
    <s v="meituan"/>
    <x v="1"/>
    <s v="蛙小辣火锅杯（宝山店）"/>
    <x v="165"/>
    <n v="454.89"/>
    <n v="1444"/>
    <n v="105"/>
    <n v="19"/>
    <n v="0"/>
    <n v="19"/>
    <n v="1444"/>
    <n v="105"/>
    <n v="19"/>
    <n v="71.09"/>
    <n v="1000"/>
    <n v="51"/>
    <n v="678"/>
    <n v="97"/>
  </r>
  <r>
    <d v="2020-04-15T00:00:00"/>
    <n v="4636"/>
    <s v="蛙小辣火锅杯（总账号）"/>
    <s v="2000507076"/>
    <x v="1"/>
    <s v="上海"/>
    <s v="eleme"/>
    <x v="0"/>
    <s v="蛙小辣·美蛙火锅杯(五角场店)"/>
    <x v="16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d v="2020-04-15T00:00:00"/>
    <n v="4636"/>
    <s v="蛙小辣火锅杯（总账号）"/>
    <s v="2001104355"/>
    <x v="0"/>
    <s v="上海"/>
    <s v="eleme"/>
    <x v="0"/>
    <s v="蛙小辣·美蛙火锅杯麻辣烫(宝山店)"/>
    <x v="167"/>
    <n v="561.83000000000004"/>
    <n v="1261"/>
    <n v="93"/>
    <n v="23"/>
    <n v="0"/>
    <n v="23"/>
    <n v="1261"/>
    <n v="93"/>
    <n v="22"/>
    <n v="41.32"/>
    <n v="466"/>
    <n v="35"/>
    <n v="821"/>
    <n v="18"/>
  </r>
  <r>
    <d v="2020-04-15T00:00:00"/>
    <n v="4636"/>
    <s v="蛙小辣火锅杯（总账号）"/>
    <s v="8491999"/>
    <x v="0"/>
    <s v="上海"/>
    <s v="meituan"/>
    <x v="1"/>
    <s v="蛙小辣火锅杯（宝山店）"/>
    <x v="168"/>
    <n v="370.49"/>
    <n v="1771"/>
    <n v="116"/>
    <n v="18"/>
    <n v="0"/>
    <n v="18"/>
    <n v="1771"/>
    <n v="116"/>
    <n v="18"/>
    <n v="99.51"/>
    <n v="1375"/>
    <n v="73"/>
    <n v="566"/>
    <n v="65"/>
  </r>
  <r>
    <d v="2020-04-16T00:00:00"/>
    <n v="4636"/>
    <s v="蛙小辣火锅杯（总账号）"/>
    <s v="2000507076"/>
    <x v="1"/>
    <s v="上海"/>
    <s v="eleme"/>
    <x v="0"/>
    <s v="蛙小辣·美蛙火锅杯(五角场店)"/>
    <x v="169"/>
    <n v="331.88"/>
    <n v="880"/>
    <n v="61"/>
    <n v="14"/>
    <n v="0"/>
    <n v="14"/>
    <n v="880"/>
    <n v="61"/>
    <n v="12"/>
    <n v="45.99"/>
    <n v="433"/>
    <n v="32"/>
    <n v="488"/>
    <n v="38"/>
  </r>
  <r>
    <d v="2020-04-16T00:00:00"/>
    <n v="4636"/>
    <s v="蛙小辣火锅杯（总账号）"/>
    <s v="2001104355"/>
    <x v="0"/>
    <s v="上海"/>
    <s v="eleme"/>
    <x v="0"/>
    <s v="蛙小辣·美蛙火锅杯麻辣烫(宝山店)"/>
    <x v="170"/>
    <n v="416.93"/>
    <n v="1430"/>
    <n v="99"/>
    <n v="23"/>
    <n v="0"/>
    <n v="23"/>
    <n v="1430"/>
    <n v="99"/>
    <n v="23"/>
    <n v="61.26"/>
    <n v="788"/>
    <n v="47"/>
    <n v="832"/>
    <n v="21"/>
  </r>
  <r>
    <d v="2020-04-16T00:00:00"/>
    <n v="4636"/>
    <s v="蛙小辣火锅杯（总账号）"/>
    <s v="8491999"/>
    <x v="0"/>
    <s v="上海"/>
    <s v="meituan"/>
    <x v="1"/>
    <s v="蛙小辣火锅杯（宝山店）"/>
    <x v="171"/>
    <n v="392.18"/>
    <n v="1468"/>
    <n v="110"/>
    <n v="19"/>
    <n v="0"/>
    <n v="19"/>
    <n v="1468"/>
    <n v="110"/>
    <n v="19"/>
    <n v="90"/>
    <n v="960"/>
    <n v="64"/>
    <n v="632"/>
    <n v="100"/>
  </r>
  <r>
    <d v="2020-04-17T00:00:00"/>
    <n v="4636"/>
    <s v="蛙小辣火锅杯（总账号）"/>
    <s v="2001104355"/>
    <x v="0"/>
    <s v="上海"/>
    <s v="eleme"/>
    <x v="0"/>
    <s v="蛙小辣·美蛙火锅杯麻辣烫(宝山店)"/>
    <x v="172"/>
    <n v="413.5"/>
    <n v="1362"/>
    <n v="94"/>
    <n v="15"/>
    <n v="0"/>
    <n v="15"/>
    <n v="1362"/>
    <n v="94"/>
    <n v="14"/>
    <n v="70.8"/>
    <n v="1059"/>
    <n v="60"/>
    <n v="505"/>
    <n v="13"/>
  </r>
  <r>
    <d v="2020-04-17T00:00:00"/>
    <n v="4636"/>
    <s v="蛙小辣火锅杯（总账号）"/>
    <s v="2000507076"/>
    <x v="1"/>
    <s v="上海"/>
    <s v="eleme"/>
    <x v="0"/>
    <s v="蛙小辣·美蛙火锅杯麻辣烫(五角场店)"/>
    <x v="173"/>
    <n v="371.39"/>
    <n v="841"/>
    <n v="71"/>
    <n v="19"/>
    <n v="0"/>
    <n v="19"/>
    <n v="841"/>
    <n v="71"/>
    <n v="19"/>
    <n v="37.369999999999997"/>
    <n v="471"/>
    <n v="28"/>
    <n v="659"/>
    <n v="45"/>
  </r>
  <r>
    <d v="2020-04-17T00:00:00"/>
    <n v="4636"/>
    <s v="蛙小辣火锅杯（总账号）"/>
    <s v="8491999"/>
    <x v="0"/>
    <s v="上海"/>
    <s v="meituan"/>
    <x v="1"/>
    <s v="蛙小辣火锅杯（宝山店）"/>
    <x v="174"/>
    <n v="747.4"/>
    <n v="1441"/>
    <n v="115"/>
    <n v="27"/>
    <n v="0"/>
    <n v="27"/>
    <n v="1441"/>
    <n v="115"/>
    <n v="27"/>
    <n v="90"/>
    <n v="1017"/>
    <n v="66"/>
    <n v="1061"/>
    <n v="153"/>
  </r>
  <r>
    <d v="2020-04-18T00:00:00"/>
    <n v="4636"/>
    <s v="蛙小辣火锅杯（总账号）"/>
    <s v="2001104355"/>
    <x v="0"/>
    <s v="上海"/>
    <s v="eleme"/>
    <x v="0"/>
    <s v="蛙小辣·美蛙火锅杯麻辣烫(宝山店)"/>
    <x v="175"/>
    <n v="438.84"/>
    <n v="886"/>
    <n v="60"/>
    <n v="20"/>
    <n v="0"/>
    <n v="20"/>
    <n v="886"/>
    <n v="60"/>
    <n v="20"/>
    <n v="31.7"/>
    <n v="372"/>
    <n v="23"/>
    <n v="747"/>
    <n v="16"/>
  </r>
  <r>
    <d v="2020-04-18T00:00:00"/>
    <n v="4636"/>
    <s v="蛙小辣火锅杯（总账号）"/>
    <s v="2000507076"/>
    <x v="1"/>
    <s v="上海"/>
    <s v="eleme"/>
    <x v="0"/>
    <s v="蛙小辣·美蛙火锅杯麻辣烫(五角场店)"/>
    <x v="176"/>
    <n v="384.58"/>
    <n v="571"/>
    <n v="48"/>
    <n v="16"/>
    <n v="0"/>
    <n v="16"/>
    <n v="571"/>
    <n v="48"/>
    <n v="16"/>
    <n v="17.489999999999998"/>
    <n v="202"/>
    <n v="17"/>
    <n v="620"/>
    <n v="36"/>
  </r>
  <r>
    <d v="2020-04-18T00:00:00"/>
    <n v="4636"/>
    <s v="蛙小辣火锅杯（总账号）"/>
    <s v="8491999"/>
    <x v="0"/>
    <s v="上海"/>
    <s v="meituan"/>
    <x v="1"/>
    <s v="蛙小辣火锅杯（宝山店）"/>
    <x v="177"/>
    <n v="437.25"/>
    <n v="1872"/>
    <n v="117"/>
    <n v="20"/>
    <n v="0"/>
    <n v="20"/>
    <n v="1872"/>
    <n v="117"/>
    <n v="20"/>
    <n v="75.77"/>
    <n v="1259"/>
    <n v="54"/>
    <n v="712"/>
    <n v="139"/>
  </r>
  <r>
    <d v="2020-04-19T00:00:00"/>
    <n v="4636"/>
    <s v="蛙小辣火锅杯（总账号）"/>
    <s v="2001104355"/>
    <x v="0"/>
    <s v="上海"/>
    <s v="eleme"/>
    <x v="0"/>
    <s v="蛙小辣·美蛙火锅杯麻辣烫(宝山店)"/>
    <x v="178"/>
    <n v="351.68"/>
    <n v="1146"/>
    <n v="104"/>
    <n v="15"/>
    <n v="0"/>
    <n v="15"/>
    <n v="1146"/>
    <n v="104"/>
    <n v="15"/>
    <n v="71.2"/>
    <n v="739"/>
    <n v="55"/>
    <n v="571"/>
    <n v="13"/>
  </r>
  <r>
    <d v="2020-04-19T00:00:00"/>
    <n v="4636"/>
    <s v="蛙小辣火锅杯（总账号）"/>
    <s v="2000507076"/>
    <x v="1"/>
    <s v="上海"/>
    <s v="eleme"/>
    <x v="0"/>
    <s v="蛙小辣·美蛙火锅杯麻辣烫(五角场店)"/>
    <x v="179"/>
    <n v="445.42"/>
    <n v="775"/>
    <n v="72"/>
    <n v="18"/>
    <n v="0"/>
    <n v="18"/>
    <n v="775"/>
    <n v="72"/>
    <n v="17"/>
    <n v="47.44"/>
    <n v="553"/>
    <n v="39"/>
    <n v="702"/>
    <n v="50"/>
  </r>
  <r>
    <d v="2020-04-19T00:00:00"/>
    <n v="4636"/>
    <s v="蛙小辣火锅杯（总账号）"/>
    <s v="8491999"/>
    <x v="0"/>
    <s v="上海"/>
    <s v="meituan"/>
    <x v="1"/>
    <s v="蛙小辣火锅杯（宝山店）"/>
    <x v="180"/>
    <n v="425.75"/>
    <n v="1607"/>
    <n v="126"/>
    <n v="19"/>
    <n v="0"/>
    <n v="19"/>
    <n v="1607"/>
    <n v="126"/>
    <n v="19"/>
    <n v="90"/>
    <n v="1113"/>
    <n v="60"/>
    <n v="659"/>
    <n v="117"/>
  </r>
  <r>
    <d v="2020-04-20T00:00:00"/>
    <n v="4636"/>
    <s v="蛙小辣火锅杯（总账号）"/>
    <s v="2001104355"/>
    <x v="0"/>
    <s v="上海"/>
    <s v="eleme"/>
    <x v="0"/>
    <s v="蛙小辣·美蛙火锅杯麻辣烫(宝山店)"/>
    <x v="181"/>
    <n v="457.35"/>
    <n v="657"/>
    <n v="65"/>
    <n v="20"/>
    <n v="0"/>
    <n v="20"/>
    <n v="657"/>
    <n v="65"/>
    <n v="19"/>
    <n v="25"/>
    <n v="284"/>
    <n v="19"/>
    <n v="798"/>
    <n v="10"/>
  </r>
  <r>
    <d v="2020-04-20T00:00:00"/>
    <n v="4636"/>
    <s v="蛙小辣火锅杯（总账号）"/>
    <s v="2000507076"/>
    <x v="1"/>
    <s v="上海"/>
    <s v="eleme"/>
    <x v="0"/>
    <s v="蛙小辣·美蛙火锅杯麻辣烫(五角场店)"/>
    <x v="182"/>
    <n v="357.04"/>
    <n v="519"/>
    <n v="47"/>
    <n v="14"/>
    <n v="0"/>
    <n v="14"/>
    <n v="519"/>
    <n v="47"/>
    <n v="13"/>
    <n v="36.06"/>
    <n v="252"/>
    <n v="28"/>
    <n v="552"/>
    <n v="31"/>
  </r>
  <r>
    <d v="2020-04-20T00:00:00"/>
    <n v="4636"/>
    <s v="蛙小辣火锅杯（总账号）"/>
    <s v="8491999"/>
    <x v="0"/>
    <s v="上海"/>
    <s v="meituan"/>
    <x v="1"/>
    <s v="蛙小辣火锅杯（宝山店）"/>
    <x v="183"/>
    <n v="367.95"/>
    <n v="1244"/>
    <n v="102"/>
    <n v="18"/>
    <n v="0"/>
    <n v="18"/>
    <n v="1244"/>
    <n v="102"/>
    <n v="17"/>
    <n v="68.45"/>
    <n v="759"/>
    <n v="49"/>
    <n v="647"/>
    <n v="92"/>
  </r>
  <r>
    <d v="2020-04-20T00:00:00"/>
    <n v="4636"/>
    <s v="蛙小辣火锅杯（总账号）"/>
    <s v="8184590"/>
    <x v="1"/>
    <s v="上海"/>
    <s v="meituan"/>
    <x v="1"/>
    <s v="蛙小辣火锅杯（五角场店）"/>
    <x v="184"/>
    <n v="195.95"/>
    <n v="1512"/>
    <n v="66"/>
    <n v="14"/>
    <n v="1"/>
    <n v="13"/>
    <n v="1512"/>
    <n v="66"/>
    <n v="12"/>
    <n v="32.92"/>
    <n v="350"/>
    <n v="16"/>
    <n v="420"/>
    <n v="31"/>
  </r>
  <r>
    <d v="2020-04-21T00:00:00"/>
    <n v="4636"/>
    <s v="蛙小辣火锅杯（总账号）"/>
    <s v="2001104355"/>
    <x v="0"/>
    <s v="上海"/>
    <s v="eleme"/>
    <x v="0"/>
    <s v="蛙小辣·美蛙火锅杯麻辣烫(宝山店)"/>
    <x v="185"/>
    <n v="453"/>
    <n v="792"/>
    <n v="69"/>
    <n v="19"/>
    <n v="0"/>
    <n v="19"/>
    <n v="792"/>
    <n v="69"/>
    <n v="19"/>
    <n v="39.1"/>
    <n v="526"/>
    <n v="31"/>
    <n v="734"/>
    <n v="18"/>
  </r>
  <r>
    <d v="2020-04-21T00:00:00"/>
    <n v="4636"/>
    <s v="蛙小辣火锅杯（总账号）"/>
    <s v="2000507076"/>
    <x v="1"/>
    <s v="上海"/>
    <s v="eleme"/>
    <x v="0"/>
    <s v="蛙小辣·美蛙火锅杯麻辣烫(五角场店)"/>
    <x v="186"/>
    <n v="420.58"/>
    <n v="661"/>
    <n v="65"/>
    <n v="18"/>
    <n v="0"/>
    <n v="18"/>
    <n v="661"/>
    <n v="65"/>
    <n v="18"/>
    <n v="22.7"/>
    <n v="281"/>
    <n v="17"/>
    <n v="681"/>
    <n v="60"/>
  </r>
  <r>
    <d v="2020-04-21T00:00:00"/>
    <n v="4636"/>
    <s v="蛙小辣火锅杯（总账号）"/>
    <s v="8491999"/>
    <x v="0"/>
    <s v="上海"/>
    <s v="meituan"/>
    <x v="1"/>
    <s v="蛙小辣火锅杯（宝山店）"/>
    <x v="187"/>
    <n v="665.67"/>
    <n v="2016"/>
    <n v="117"/>
    <n v="30"/>
    <n v="0"/>
    <n v="30"/>
    <n v="2016"/>
    <n v="117"/>
    <n v="28"/>
    <n v="79.37"/>
    <n v="917"/>
    <n v="57"/>
    <n v="1125"/>
    <n v="180"/>
  </r>
  <r>
    <d v="2020-04-21T00:00:00"/>
    <n v="4636"/>
    <s v="蛙小辣火锅杯（总账号）"/>
    <s v="8184590"/>
    <x v="1"/>
    <s v="上海"/>
    <s v="meituan"/>
    <x v="1"/>
    <s v="蛙小辣火锅杯（五角场店）"/>
    <x v="188"/>
    <n v="137.02000000000001"/>
    <n v="1473"/>
    <n v="60"/>
    <n v="9"/>
    <n v="0"/>
    <n v="9"/>
    <n v="1473"/>
    <n v="60"/>
    <n v="9"/>
    <n v="17.03"/>
    <n v="176"/>
    <n v="13"/>
    <n v="288"/>
    <n v="15"/>
  </r>
  <r>
    <d v="2020-04-22T00:00:00"/>
    <n v="4636"/>
    <s v="蛙小辣火锅杯（总账号）"/>
    <s v="2001104355"/>
    <x v="0"/>
    <s v="上海"/>
    <s v="eleme"/>
    <x v="0"/>
    <s v="蛙小辣·美蛙火锅杯麻辣烫(宝山店)"/>
    <x v="189"/>
    <n v="437.57"/>
    <n v="830"/>
    <n v="72"/>
    <n v="24"/>
    <n v="1"/>
    <n v="23"/>
    <n v="830"/>
    <n v="72"/>
    <n v="23"/>
    <n v="51.96"/>
    <n v="640"/>
    <n v="41"/>
    <n v="808"/>
    <n v="20"/>
  </r>
  <r>
    <d v="2020-04-22T00:00:00"/>
    <n v="4636"/>
    <s v="蛙小辣火锅杯（总账号）"/>
    <s v="2000507076"/>
    <x v="1"/>
    <s v="上海"/>
    <s v="eleme"/>
    <x v="0"/>
    <s v="蛙小辣·美蛙火锅杯麻辣烫(五角场店)"/>
    <x v="190"/>
    <n v="404.66"/>
    <n v="534"/>
    <n v="44"/>
    <n v="15"/>
    <n v="0"/>
    <n v="15"/>
    <n v="534"/>
    <n v="44"/>
    <n v="15"/>
    <n v="23.8"/>
    <n v="191"/>
    <n v="18"/>
    <n v="546"/>
    <n v="26"/>
  </r>
  <r>
    <d v="2020-04-22T00:00:00"/>
    <n v="4636"/>
    <s v="蛙小辣火锅杯（总账号）"/>
    <s v="8491999"/>
    <x v="0"/>
    <s v="上海"/>
    <s v="meituan"/>
    <x v="1"/>
    <s v="蛙小辣火锅杯（宝山店）"/>
    <x v="191"/>
    <n v="370.24"/>
    <n v="1743"/>
    <n v="103"/>
    <n v="18"/>
    <n v="0"/>
    <n v="18"/>
    <n v="1743"/>
    <n v="103"/>
    <n v="18"/>
    <n v="70.48"/>
    <n v="879"/>
    <n v="51"/>
    <n v="631"/>
    <n v="89"/>
  </r>
  <r>
    <d v="2020-04-22T00:00:00"/>
    <n v="4636"/>
    <s v="蛙小辣火锅杯（总账号）"/>
    <s v="8184590"/>
    <x v="1"/>
    <s v="上海"/>
    <s v="meituan"/>
    <x v="1"/>
    <s v="蛙小辣火锅杯（五角场店）"/>
    <x v="192"/>
    <n v="213.88"/>
    <n v="697"/>
    <n v="43"/>
    <n v="8"/>
    <n v="0"/>
    <n v="8"/>
    <n v="697"/>
    <n v="43"/>
    <n v="8"/>
    <n v="13.62"/>
    <n v="249"/>
    <n v="10"/>
    <n v="288"/>
    <n v="12"/>
  </r>
  <r>
    <d v="2020-04-23T00:00:00"/>
    <n v="4636"/>
    <s v="蛙小辣火锅杯（总账号）"/>
    <s v="2001104355"/>
    <x v="0"/>
    <s v="上海"/>
    <s v="eleme"/>
    <x v="0"/>
    <s v="蛙小辣·美蛙火锅杯麻辣烫(宝山店)"/>
    <x v="193"/>
    <n v="380.01"/>
    <n v="798"/>
    <n v="71"/>
    <n v="18"/>
    <n v="0"/>
    <n v="18"/>
    <n v="798"/>
    <n v="71"/>
    <n v="18"/>
    <n v="40.82"/>
    <n v="441"/>
    <n v="32"/>
    <n v="627"/>
    <n v="25"/>
  </r>
  <r>
    <d v="2020-04-23T00:00:00"/>
    <n v="4636"/>
    <s v="蛙小辣火锅杯（总账号）"/>
    <s v="8184590"/>
    <x v="1"/>
    <s v="上海"/>
    <s v="meituan"/>
    <x v="1"/>
    <s v="蛙小辣·美蛙火锅杯麻辣烫（五角场店）"/>
    <x v="194"/>
    <n v="297.89999999999998"/>
    <n v="803"/>
    <n v="45"/>
    <n v="8"/>
    <n v="0"/>
    <n v="8"/>
    <n v="803"/>
    <n v="45"/>
    <n v="8"/>
    <n v="4.2"/>
    <n v="41"/>
    <n v="3"/>
    <n v="300"/>
    <n v="18"/>
  </r>
  <r>
    <d v="2020-04-23T00:00:00"/>
    <n v="4636"/>
    <s v="蛙小辣火锅杯（总账号）"/>
    <s v="2000507076"/>
    <x v="1"/>
    <s v="上海"/>
    <s v="eleme"/>
    <x v="0"/>
    <s v="蛙小辣·美蛙火锅杯麻辣烫(五角场店)"/>
    <x v="195"/>
    <n v="422.63"/>
    <n v="972"/>
    <n v="78"/>
    <n v="19"/>
    <n v="0"/>
    <n v="19"/>
    <n v="972"/>
    <n v="78"/>
    <n v="18"/>
    <n v="25.6"/>
    <n v="328"/>
    <n v="19"/>
    <n v="718"/>
    <n v="36"/>
  </r>
  <r>
    <d v="2020-04-23T00:00:00"/>
    <n v="4636"/>
    <s v="蛙小辣火锅杯（总账号）"/>
    <s v="8491999"/>
    <x v="0"/>
    <s v="上海"/>
    <s v="meituan"/>
    <x v="1"/>
    <s v="蛙小辣火锅杯（宝山店）"/>
    <x v="196"/>
    <n v="384.21"/>
    <n v="1523"/>
    <n v="86"/>
    <n v="19"/>
    <n v="0"/>
    <n v="19"/>
    <n v="1523"/>
    <n v="86"/>
    <n v="18"/>
    <n v="65.13"/>
    <n v="1002"/>
    <n v="47"/>
    <n v="656"/>
    <n v="32"/>
  </r>
  <r>
    <d v="2020-04-24T00:00:00"/>
    <n v="4636"/>
    <s v="蛙小辣火锅杯（总账号）"/>
    <s v="2001104355"/>
    <x v="0"/>
    <s v="上海"/>
    <s v="eleme"/>
    <x v="0"/>
    <s v="蛙小辣·美蛙火锅杯麻辣烫(宝山店)"/>
    <x v="197"/>
    <n v="511.36"/>
    <n v="1134"/>
    <n v="96"/>
    <n v="19"/>
    <n v="0"/>
    <n v="19"/>
    <n v="1134"/>
    <n v="96"/>
    <n v="19"/>
    <n v="50.41"/>
    <n v="526"/>
    <n v="40"/>
    <n v="676"/>
    <n v="17"/>
  </r>
  <r>
    <d v="2020-04-24T00:00:00"/>
    <n v="4636"/>
    <s v="蛙小辣火锅杯（总账号）"/>
    <s v="2000507076"/>
    <x v="1"/>
    <s v="上海"/>
    <s v="eleme"/>
    <x v="0"/>
    <s v="蛙小辣·美蛙火锅杯麻辣烫(五角场店)"/>
    <x v="198"/>
    <n v="305.64"/>
    <n v="1257"/>
    <n v="82"/>
    <n v="20"/>
    <n v="1"/>
    <n v="19"/>
    <n v="1257"/>
    <n v="82"/>
    <n v="18"/>
    <n v="22.5"/>
    <n v="242"/>
    <n v="17"/>
    <n v="623"/>
    <n v="21"/>
  </r>
  <r>
    <d v="2020-04-24T00:00:00"/>
    <n v="4636"/>
    <s v="蛙小辣火锅杯（总账号）"/>
    <s v="8491999"/>
    <x v="0"/>
    <s v="上海"/>
    <s v="meituan"/>
    <x v="1"/>
    <s v="蛙小辣火锅杯（宝山店）"/>
    <x v="199"/>
    <n v="596.16999999999996"/>
    <n v="1419"/>
    <n v="100"/>
    <n v="28"/>
    <n v="0"/>
    <n v="28"/>
    <n v="1419"/>
    <n v="100"/>
    <n v="27"/>
    <n v="66.7"/>
    <n v="759"/>
    <n v="48"/>
    <n v="1021"/>
    <n v="46"/>
  </r>
  <r>
    <d v="2020-04-25T00:00:00"/>
    <n v="4636"/>
    <s v="蛙小辣火锅杯（总账号）"/>
    <s v="2001104355"/>
    <x v="0"/>
    <s v="上海"/>
    <s v="eleme"/>
    <x v="0"/>
    <s v="蛙小辣·美蛙火锅杯麻辣烫(宝山店)"/>
    <x v="200"/>
    <n v="629.23"/>
    <n v="1728"/>
    <n v="118"/>
    <n v="23"/>
    <n v="0"/>
    <n v="23"/>
    <n v="1728"/>
    <n v="118"/>
    <n v="23"/>
    <n v="42.13"/>
    <n v="798"/>
    <n v="34"/>
    <n v="805"/>
    <n v="21"/>
  </r>
  <r>
    <d v="2020-04-25T00:00:00"/>
    <n v="4636"/>
    <s v="蛙小辣火锅杯（总账号）"/>
    <s v="2000507076"/>
    <x v="1"/>
    <s v="上海"/>
    <s v="eleme"/>
    <x v="0"/>
    <s v="蛙小辣·美蛙火锅杯麻辣烫(五角场店)"/>
    <x v="201"/>
    <n v="256.63"/>
    <n v="1141"/>
    <n v="62"/>
    <n v="12"/>
    <n v="0"/>
    <n v="12"/>
    <n v="1141"/>
    <n v="62"/>
    <n v="12"/>
    <n v="1.4"/>
    <n v="0"/>
    <n v="1"/>
    <n v="457"/>
    <n v="22"/>
  </r>
  <r>
    <d v="2020-04-25T00:00:00"/>
    <n v="4636"/>
    <s v="蛙小辣火锅杯（总账号）"/>
    <s v="8491999"/>
    <x v="0"/>
    <s v="上海"/>
    <s v="meituan"/>
    <x v="1"/>
    <s v="蛙小辣火锅杯（宝山店）"/>
    <x v="202"/>
    <n v="546.27"/>
    <n v="1606"/>
    <n v="120"/>
    <n v="26"/>
    <n v="1"/>
    <n v="25"/>
    <n v="1606"/>
    <n v="120"/>
    <n v="23"/>
    <n v="62.59"/>
    <n v="710"/>
    <n v="47"/>
    <n v="953"/>
    <n v="36"/>
  </r>
  <r>
    <d v="2020-04-26T00:00:00"/>
    <n v="4636"/>
    <s v="蛙小辣火锅杯（总账号）"/>
    <s v="2001104355"/>
    <x v="0"/>
    <s v="上海"/>
    <s v="eleme"/>
    <x v="0"/>
    <s v="蛙小辣·美蛙火锅杯麻辣烫(宝山店)"/>
    <x v="203"/>
    <n v="950"/>
    <n v="1480"/>
    <n v="115"/>
    <n v="32"/>
    <n v="1"/>
    <n v="31"/>
    <n v="1480"/>
    <n v="115"/>
    <n v="31"/>
    <n v="42.04"/>
    <n v="521"/>
    <n v="33"/>
    <n v="1200"/>
    <n v="38"/>
  </r>
  <r>
    <d v="2020-04-26T00:00:00"/>
    <n v="4636"/>
    <s v="蛙小辣火锅杯（总账号）"/>
    <s v="8491999"/>
    <x v="0"/>
    <s v="上海"/>
    <s v="meituan"/>
    <x v="1"/>
    <s v="蛙小辣火锅杯（宝山店）"/>
    <x v="204"/>
    <n v="262.74"/>
    <n v="1469"/>
    <n v="82"/>
    <n v="12"/>
    <n v="0"/>
    <n v="12"/>
    <n v="1469"/>
    <n v="82"/>
    <n v="11"/>
    <n v="37.619999999999997"/>
    <n v="615"/>
    <n v="28"/>
    <n v="439"/>
    <n v="15"/>
  </r>
  <r>
    <d v="2020-04-27T00:00:00"/>
    <n v="4636"/>
    <s v="蛙小辣火锅杯（总账号）"/>
    <s v="2001104355"/>
    <x v="0"/>
    <s v="上海"/>
    <s v="eleme"/>
    <x v="0"/>
    <s v="蛙小辣·美蛙火锅杯麻辣烫(宝山店)"/>
    <x v="205"/>
    <n v="375.88"/>
    <n v="1185"/>
    <n v="87"/>
    <n v="17"/>
    <n v="0"/>
    <n v="17"/>
    <n v="1185"/>
    <n v="87"/>
    <n v="17"/>
    <n v="44.68"/>
    <n v="544"/>
    <n v="34"/>
    <n v="610"/>
    <n v="16"/>
  </r>
  <r>
    <d v="2020-04-27T00:00:00"/>
    <n v="4636"/>
    <s v="蛙小辣火锅杯（总账号）"/>
    <s v="2000507076"/>
    <x v="1"/>
    <s v="上海"/>
    <s v="eleme"/>
    <x v="0"/>
    <s v="蛙小辣·美蛙火锅杯麻辣烫(五角场店)"/>
    <x v="206"/>
    <n v="398.69"/>
    <n v="523"/>
    <n v="46"/>
    <n v="12"/>
    <n v="1"/>
    <n v="11"/>
    <n v="523"/>
    <n v="46"/>
    <n v="12"/>
    <n v="8.5"/>
    <n v="148"/>
    <n v="7"/>
    <n v="398"/>
    <n v="16"/>
  </r>
  <r>
    <d v="2020-04-27T00:00:00"/>
    <n v="4636"/>
    <s v="蛙小辣火锅杯（总账号）"/>
    <s v="8491999"/>
    <x v="0"/>
    <s v="上海"/>
    <s v="meituan"/>
    <x v="1"/>
    <s v="蛙小辣火锅杯（宝山店）"/>
    <x v="207"/>
    <n v="545.16999999999996"/>
    <n v="1462"/>
    <n v="105"/>
    <n v="26"/>
    <n v="0"/>
    <n v="26"/>
    <n v="1462"/>
    <n v="105"/>
    <n v="24"/>
    <n v="48.08"/>
    <n v="882"/>
    <n v="36"/>
    <n v="950"/>
    <n v="48"/>
  </r>
  <r>
    <d v="2020-04-28T00:00:00"/>
    <n v="4636"/>
    <s v="蛙小辣火锅杯（总账号）"/>
    <s v="2001104355"/>
    <x v="0"/>
    <s v="上海"/>
    <s v="eleme"/>
    <x v="0"/>
    <s v="蛙小辣·美蛙火锅杯麻辣烫(宝山店)"/>
    <x v="208"/>
    <n v="469.5"/>
    <n v="1896"/>
    <n v="132"/>
    <n v="19"/>
    <n v="0"/>
    <n v="19"/>
    <n v="1896"/>
    <n v="132"/>
    <n v="18"/>
    <n v="52.68"/>
    <n v="709"/>
    <n v="41"/>
    <n v="697"/>
    <n v="14"/>
  </r>
  <r>
    <d v="2020-04-28T00:00:00"/>
    <n v="4636"/>
    <s v="蛙小辣火锅杯（总账号）"/>
    <s v="2000507076"/>
    <x v="1"/>
    <s v="上海"/>
    <s v="eleme"/>
    <x v="0"/>
    <s v="蛙小辣·美蛙火锅杯麻辣烫(五角场店)"/>
    <x v="209"/>
    <n v="192.78"/>
    <n v="687"/>
    <n v="63"/>
    <n v="13"/>
    <n v="0"/>
    <n v="13"/>
    <n v="687"/>
    <n v="63"/>
    <n v="12"/>
    <n v="27.05"/>
    <n v="243"/>
    <n v="21"/>
    <n v="390"/>
    <n v="20"/>
  </r>
  <r>
    <d v="2020-04-28T00:00:00"/>
    <n v="4636"/>
    <s v="蛙小辣火锅杯（总账号）"/>
    <s v="8491999"/>
    <x v="0"/>
    <s v="上海"/>
    <s v="meituan"/>
    <x v="1"/>
    <s v="蛙小辣火锅杯（宝山店）"/>
    <x v="210"/>
    <n v="760.19"/>
    <n v="1180"/>
    <n v="106"/>
    <n v="32"/>
    <n v="0"/>
    <n v="32"/>
    <n v="1180"/>
    <n v="106"/>
    <n v="31"/>
    <n v="42.43"/>
    <n v="557"/>
    <n v="33"/>
    <n v="1138"/>
    <n v="44"/>
  </r>
  <r>
    <d v="2020-04-29T00:00:00"/>
    <n v="4636"/>
    <s v="蛙小辣火锅杯（总账号）"/>
    <s v="2001104355"/>
    <x v="0"/>
    <s v="上海"/>
    <s v="eleme"/>
    <x v="0"/>
    <s v="蛙小辣·美蛙火锅杯麻辣烫(宝山店)"/>
    <x v="211"/>
    <n v="685.13"/>
    <n v="1348"/>
    <n v="106"/>
    <n v="29"/>
    <n v="0"/>
    <n v="29"/>
    <n v="1348"/>
    <n v="106"/>
    <n v="26"/>
    <n v="57.35"/>
    <n v="584"/>
    <n v="42"/>
    <n v="1081"/>
    <n v="30"/>
  </r>
  <r>
    <d v="2020-04-29T00:00:00"/>
    <n v="4636"/>
    <s v="蛙小辣火锅杯（总账号）"/>
    <s v="2000507076"/>
    <x v="1"/>
    <s v="上海"/>
    <s v="eleme"/>
    <x v="0"/>
    <s v="蛙小辣·美蛙火锅杯麻辣烫(五角场店)"/>
    <x v="212"/>
    <n v="365.36"/>
    <n v="673"/>
    <n v="69"/>
    <n v="19"/>
    <n v="0"/>
    <n v="19"/>
    <n v="673"/>
    <n v="69"/>
    <n v="18"/>
    <n v="9.6"/>
    <n v="80"/>
    <n v="7"/>
    <n v="651"/>
    <n v="28"/>
  </r>
  <r>
    <d v="2020-04-29T00:00:00"/>
    <n v="4636"/>
    <s v="蛙小辣火锅杯（总账号）"/>
    <s v="8491999"/>
    <x v="0"/>
    <s v="上海"/>
    <s v="meituan"/>
    <x v="1"/>
    <s v="蛙小辣火锅杯（宝山店）"/>
    <x v="213"/>
    <n v="427.59"/>
    <n v="1453"/>
    <n v="120"/>
    <n v="19"/>
    <n v="0"/>
    <n v="19"/>
    <n v="1453"/>
    <n v="120"/>
    <n v="18"/>
    <n v="73.23"/>
    <n v="787"/>
    <n v="55"/>
    <n v="620"/>
    <n v="31"/>
  </r>
  <r>
    <d v="2020-04-30T00:00:00"/>
    <n v="4636"/>
    <s v="蛙小辣火锅杯（总账号）"/>
    <s v="2001104355"/>
    <x v="0"/>
    <s v="上海"/>
    <s v="eleme"/>
    <x v="0"/>
    <s v="蛙小辣·美蛙火锅杯麻辣烫(宝山店)"/>
    <x v="214"/>
    <n v="538.82000000000005"/>
    <n v="1286"/>
    <n v="93"/>
    <n v="24"/>
    <n v="0"/>
    <n v="24"/>
    <n v="1286"/>
    <n v="93"/>
    <n v="21"/>
    <n v="36.9"/>
    <n v="591"/>
    <n v="28"/>
    <n v="855"/>
    <n v="21"/>
  </r>
  <r>
    <d v="2020-04-30T00:00:00"/>
    <n v="4636"/>
    <s v="蛙小辣火锅杯（总账号）"/>
    <s v="2000507076"/>
    <x v="1"/>
    <s v="上海"/>
    <s v="eleme"/>
    <x v="0"/>
    <s v="蛙小辣·美蛙火锅杯麻辣烫(五角场店)"/>
    <x v="215"/>
    <n v="333.74"/>
    <n v="748"/>
    <n v="54"/>
    <n v="10"/>
    <n v="0"/>
    <n v="10"/>
    <n v="748"/>
    <n v="54"/>
    <n v="9"/>
    <n v="27.2"/>
    <n v="395"/>
    <n v="20"/>
    <n v="334"/>
    <n v="15"/>
  </r>
  <r>
    <d v="2020-04-30T00:00:00"/>
    <n v="4636"/>
    <s v="蛙小辣火锅杯（总账号）"/>
    <s v="8491999"/>
    <x v="0"/>
    <s v="上海"/>
    <s v="meituan"/>
    <x v="1"/>
    <s v="蛙小辣火锅杯（宝山店）"/>
    <x v="216"/>
    <n v="392.64"/>
    <n v="1679"/>
    <n v="123"/>
    <n v="22"/>
    <n v="0"/>
    <n v="22"/>
    <n v="1679"/>
    <n v="123"/>
    <n v="22"/>
    <n v="58.43"/>
    <n v="863"/>
    <n v="44"/>
    <n v="707"/>
    <n v="43"/>
  </r>
  <r>
    <d v="2020-05-01T00:00:00"/>
    <n v="4636"/>
    <s v="蛙小辣火锅杯（总账号）"/>
    <s v="2001104355"/>
    <x v="0"/>
    <s v="上海"/>
    <s v="eleme"/>
    <x v="0"/>
    <s v="蛙小辣·美蛙火锅杯麻辣烫(宝山店)"/>
    <x v="217"/>
    <n v="317.7"/>
    <n v="1063"/>
    <n v="74"/>
    <n v="11"/>
    <n v="0"/>
    <n v="11"/>
    <n v="1063"/>
    <n v="74"/>
    <n v="10"/>
    <n v="26.86"/>
    <n v="406"/>
    <n v="21"/>
    <n v="356"/>
    <n v="20"/>
  </r>
  <r>
    <d v="2020-05-01T00:00:00"/>
    <n v="4636"/>
    <s v="蛙小辣火锅杯（总账号）"/>
    <s v="2000507076"/>
    <x v="1"/>
    <s v="上海"/>
    <s v="eleme"/>
    <x v="0"/>
    <s v="蛙小辣·美蛙火锅杯麻辣烫(五角场店)"/>
    <x v="218"/>
    <n v="207.49"/>
    <n v="749"/>
    <n v="48"/>
    <n v="8"/>
    <n v="0"/>
    <n v="8"/>
    <n v="749"/>
    <n v="48"/>
    <n v="8"/>
    <n v="5.5"/>
    <n v="75"/>
    <n v="4"/>
    <n v="246"/>
    <n v="22"/>
  </r>
  <r>
    <d v="2020-05-01T00:00:00"/>
    <n v="4636"/>
    <s v="蛙小辣火锅杯（总账号）"/>
    <s v="8491999"/>
    <x v="0"/>
    <s v="上海"/>
    <s v="meituan"/>
    <x v="1"/>
    <s v="蛙小辣火锅杯（宝山店）"/>
    <x v="219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d v="2020-05-02T00:00:00"/>
    <n v="4636"/>
    <s v="蛙小辣火锅杯（总账号）"/>
    <s v="2001104355"/>
    <x v="0"/>
    <s v="上海"/>
    <s v="eleme"/>
    <x v="0"/>
    <s v="蛙小辣·美蛙火锅杯麻辣烫(宝山店)"/>
    <x v="220"/>
    <n v="346.95"/>
    <n v="891"/>
    <n v="44"/>
    <n v="10"/>
    <n v="0"/>
    <n v="10"/>
    <n v="891"/>
    <n v="44"/>
    <n v="10"/>
    <n v="19.95"/>
    <n v="309"/>
    <n v="15"/>
    <n v="381"/>
    <n v="31"/>
  </r>
  <r>
    <d v="2020-05-02T00:00:00"/>
    <n v="4636"/>
    <s v="蛙小辣火锅杯（总账号）"/>
    <s v="8491999"/>
    <x v="0"/>
    <s v="上海"/>
    <s v="meituan"/>
    <x v="1"/>
    <s v="蛙小辣火锅杯（宝山店）"/>
    <x v="221"/>
    <n v="454.71"/>
    <n v="1481"/>
    <n v="110"/>
    <n v="24"/>
    <n v="0"/>
    <n v="24"/>
    <n v="1481"/>
    <n v="110"/>
    <n v="23"/>
    <n v="54.37"/>
    <n v="751"/>
    <n v="42"/>
    <n v="809"/>
    <n v="39"/>
  </r>
  <r>
    <d v="2020-05-03T00:00:00"/>
    <n v="4636"/>
    <s v="蛙小辣火锅杯（总账号）"/>
    <s v="2001104355"/>
    <x v="0"/>
    <s v="上海"/>
    <s v="eleme"/>
    <x v="0"/>
    <s v="蛙小辣·美蛙火锅杯麻辣烫(宝山店)"/>
    <x v="222"/>
    <n v="200.04"/>
    <n v="712"/>
    <n v="43"/>
    <n v="5"/>
    <n v="0"/>
    <n v="5"/>
    <n v="712"/>
    <n v="43"/>
    <n v="5"/>
    <n v="20.63"/>
    <n v="303"/>
    <n v="15"/>
    <n v="174"/>
    <n v="8"/>
  </r>
  <r>
    <d v="2020-05-03T00:00:00"/>
    <n v="4636"/>
    <s v="蛙小辣火锅杯（总账号）"/>
    <s v="8491999"/>
    <x v="0"/>
    <s v="上海"/>
    <s v="meituan"/>
    <x v="1"/>
    <s v="蛙小辣火锅杯（宝山店）"/>
    <x v="223"/>
    <n v="809.63"/>
    <n v="1527"/>
    <n v="113"/>
    <n v="35"/>
    <n v="0"/>
    <n v="35"/>
    <n v="1527"/>
    <n v="113"/>
    <n v="34"/>
    <n v="59.42"/>
    <n v="713"/>
    <n v="46"/>
    <n v="1260"/>
    <n v="44"/>
  </r>
  <r>
    <d v="2020-05-04T00:00:00"/>
    <n v="4636"/>
    <s v="蛙小辣火锅杯（总账号）"/>
    <s v="2001104355"/>
    <x v="0"/>
    <s v="上海"/>
    <s v="eleme"/>
    <x v="0"/>
    <s v="蛙小辣·美蛙火锅杯麻辣烫(宝山店)"/>
    <x v="224"/>
    <n v="456.38"/>
    <n v="820"/>
    <n v="65"/>
    <n v="17"/>
    <n v="0"/>
    <n v="17"/>
    <n v="820"/>
    <n v="65"/>
    <n v="16"/>
    <n v="30.2"/>
    <n v="357"/>
    <n v="21"/>
    <n v="647"/>
    <n v="42"/>
  </r>
  <r>
    <d v="2020-05-04T00:00:00"/>
    <n v="4636"/>
    <s v="蛙小辣火锅杯（总账号）"/>
    <s v="8491999"/>
    <x v="0"/>
    <s v="上海"/>
    <s v="meituan"/>
    <x v="1"/>
    <s v="蛙小辣火锅杯（宝山店）"/>
    <x v="225"/>
    <n v="397.06"/>
    <n v="1916"/>
    <n v="108"/>
    <n v="22"/>
    <n v="0"/>
    <n v="22"/>
    <n v="1916"/>
    <n v="108"/>
    <n v="22"/>
    <n v="41.47"/>
    <n v="763"/>
    <n v="30"/>
    <n v="754"/>
    <n v="32"/>
  </r>
  <r>
    <d v="2020-05-05T00:00:00"/>
    <n v="4636"/>
    <s v="蛙小辣火锅杯（总账号）"/>
    <s v="2001104355"/>
    <x v="0"/>
    <s v="上海"/>
    <s v="eleme"/>
    <x v="0"/>
    <s v="蛙小辣·美蛙火锅杯麻辣烫(宝山店)"/>
    <x v="226"/>
    <n v="418.39"/>
    <n v="990"/>
    <n v="78"/>
    <n v="18"/>
    <n v="0"/>
    <n v="18"/>
    <n v="990"/>
    <n v="78"/>
    <n v="17"/>
    <n v="37.479999999999997"/>
    <n v="561"/>
    <n v="27"/>
    <n v="728"/>
    <n v="48"/>
  </r>
  <r>
    <d v="2020-05-05T00:00:00"/>
    <n v="4636"/>
    <s v="蛙小辣火锅杯（总账号）"/>
    <s v="8491999"/>
    <x v="0"/>
    <s v="上海"/>
    <s v="meituan"/>
    <x v="1"/>
    <s v="蛙小辣火锅杯（宝山店）"/>
    <x v="227"/>
    <n v="310.14999999999998"/>
    <n v="1907"/>
    <n v="122"/>
    <n v="17"/>
    <n v="0"/>
    <n v="17"/>
    <n v="1907"/>
    <n v="122"/>
    <n v="17"/>
    <n v="71.17"/>
    <n v="828"/>
    <n v="50"/>
    <n v="571"/>
    <n v="32"/>
  </r>
  <r>
    <d v="2020-05-06T00:00:00"/>
    <n v="4636"/>
    <s v="蛙小辣火锅杯（总账号）"/>
    <s v="2001104355"/>
    <x v="0"/>
    <s v="上海"/>
    <s v="eleme"/>
    <x v="0"/>
    <s v="蛙小辣·美蛙火锅杯麻辣烫(宝山店)"/>
    <x v="228"/>
    <n v="450.61"/>
    <n v="756"/>
    <n v="59"/>
    <n v="18"/>
    <n v="0"/>
    <n v="18"/>
    <n v="756"/>
    <n v="59"/>
    <n v="17"/>
    <n v="30.56"/>
    <n v="332"/>
    <n v="24"/>
    <n v="706"/>
    <n v="45"/>
  </r>
  <r>
    <d v="2020-05-07T00:00:00"/>
    <n v="4636"/>
    <s v="蛙小辣火锅杯（总账号）"/>
    <s v="2001104355"/>
    <x v="0"/>
    <s v="上海"/>
    <s v="eleme"/>
    <x v="0"/>
    <s v="蛙小辣·美蛙火锅杯麻辣烫(宝山店)"/>
    <x v="229"/>
    <n v="335.6"/>
    <n v="842"/>
    <n v="72"/>
    <n v="18"/>
    <n v="0"/>
    <n v="18"/>
    <n v="842"/>
    <n v="72"/>
    <n v="18"/>
    <n v="18.97"/>
    <n v="391"/>
    <n v="16"/>
    <n v="648"/>
    <n v="51"/>
  </r>
  <r>
    <d v="2020-05-07T00:00:00"/>
    <n v="4636"/>
    <s v="蛙小辣火锅杯（总账号）"/>
    <s v="8491999"/>
    <x v="0"/>
    <s v="上海"/>
    <s v="meituan"/>
    <x v="1"/>
    <s v="蛙小辣火锅杯（宝山店）"/>
    <x v="230"/>
    <n v="0"/>
    <n v="0"/>
    <n v="0"/>
    <n v="28"/>
    <n v="0"/>
    <n v="28"/>
    <n v="1628"/>
    <n v="114"/>
    <n v="28"/>
    <n v="63.84"/>
    <n v="686"/>
    <n v="46"/>
    <n v="882"/>
    <n v="44"/>
  </r>
  <r>
    <d v="2020-05-08T00:00:00"/>
    <n v="4636"/>
    <s v="蛙小辣火锅杯（总账号）"/>
    <s v="2001104355"/>
    <x v="0"/>
    <s v="上海"/>
    <s v="eleme"/>
    <x v="0"/>
    <s v="蛙小辣·美蛙火锅杯麻辣烫(宝山店)"/>
    <x v="231"/>
    <n v="534.33000000000004"/>
    <n v="1054"/>
    <n v="94"/>
    <n v="22"/>
    <n v="0"/>
    <n v="22"/>
    <n v="1054"/>
    <n v="94"/>
    <n v="22"/>
    <n v="42.8"/>
    <n v="548"/>
    <n v="31"/>
    <n v="831"/>
    <n v="29"/>
  </r>
  <r>
    <d v="2020-05-08T00:00:00"/>
    <n v="4636"/>
    <s v="蛙小辣火锅杯（总账号）"/>
    <s v="8491999"/>
    <x v="0"/>
    <s v="上海"/>
    <s v="meituan"/>
    <x v="1"/>
    <s v="蛙小辣火锅杯（宝山店）"/>
    <x v="230"/>
    <n v="0"/>
    <n v="0"/>
    <n v="0"/>
    <n v="23"/>
    <n v="0"/>
    <n v="23"/>
    <n v="1407"/>
    <n v="96"/>
    <n v="23"/>
    <n v="44.65"/>
    <n v="730"/>
    <n v="32"/>
    <n v="782"/>
    <n v="51"/>
  </r>
  <r>
    <d v="2020-05-09T00:00:00"/>
    <n v="4636"/>
    <s v="蛙小辣火锅杯（总账号）"/>
    <s v="2001104355"/>
    <x v="0"/>
    <s v="上海"/>
    <s v="eleme"/>
    <x v="0"/>
    <s v="蛙小辣·美蛙火锅杯麻辣烫(宝山店)"/>
    <x v="232"/>
    <n v="460.05"/>
    <n v="1035"/>
    <n v="86"/>
    <n v="23"/>
    <n v="0"/>
    <n v="23"/>
    <n v="1035"/>
    <n v="86"/>
    <n v="23"/>
    <n v="38.57"/>
    <n v="519"/>
    <n v="29"/>
    <n v="848"/>
    <n v="51"/>
  </r>
  <r>
    <d v="2020-05-09T00:00:00"/>
    <n v="4636"/>
    <s v="蛙小辣火锅杯（总账号）"/>
    <s v="8491999"/>
    <x v="0"/>
    <s v="上海"/>
    <s v="meituan"/>
    <x v="1"/>
    <s v="蛙小辣火锅杯（宝山店）"/>
    <x v="230"/>
    <n v="0"/>
    <n v="0"/>
    <n v="0"/>
    <n v="28"/>
    <n v="0"/>
    <n v="28"/>
    <n v="1359"/>
    <n v="108"/>
    <n v="28"/>
    <n v="51.56"/>
    <n v="572"/>
    <n v="36"/>
    <n v="883"/>
    <n v="56"/>
  </r>
  <r>
    <d v="2020-05-10T00:00:00"/>
    <n v="6108"/>
    <s v="拌客（武宁路店）"/>
    <s v="337460136"/>
    <x v="4"/>
    <s v="上海"/>
    <s v="eleme"/>
    <x v="0"/>
    <s v="拌客干拌麻辣烫(武宁路店)"/>
    <x v="233"/>
    <n v="643.41999999999996"/>
    <n v="2816"/>
    <n v="174"/>
    <n v="26"/>
    <n v="0"/>
    <n v="26"/>
    <n v="2816"/>
    <n v="174"/>
    <n v="25"/>
    <n v="190.1"/>
    <n v="2928"/>
    <n v="133"/>
    <n v="671"/>
    <n v="122"/>
  </r>
  <r>
    <d v="2020-05-10T00:00:00"/>
    <n v="4636"/>
    <s v="蛙小辣火锅杯（总账号）"/>
    <s v="2001104355"/>
    <x v="0"/>
    <s v="上海"/>
    <s v="eleme"/>
    <x v="0"/>
    <s v="蛙小辣·美蛙火锅杯麻辣烫(宝山店)"/>
    <x v="234"/>
    <n v="598.1"/>
    <n v="1348"/>
    <n v="89"/>
    <n v="27"/>
    <n v="1"/>
    <n v="26"/>
    <n v="1348"/>
    <n v="89"/>
    <n v="26"/>
    <n v="52.62"/>
    <n v="857"/>
    <n v="41"/>
    <n v="1009"/>
    <n v="27"/>
  </r>
  <r>
    <d v="2020-05-10T00:00:00"/>
    <n v="4636"/>
    <s v="蛙小辣火锅杯（总账号）"/>
    <s v="8491999"/>
    <x v="0"/>
    <s v="上海"/>
    <s v="meituan"/>
    <x v="1"/>
    <s v="蛙小辣火锅杯（宝山店）"/>
    <x v="230"/>
    <n v="0"/>
    <n v="0"/>
    <n v="0"/>
    <n v="23"/>
    <n v="0"/>
    <n v="23"/>
    <n v="0"/>
    <n v="0"/>
    <n v="0"/>
    <n v="80.989999999999995"/>
    <n v="1528"/>
    <n v="60"/>
    <n v="854"/>
    <n v="56"/>
  </r>
  <r>
    <d v="2020-05-11T00:00:00"/>
    <n v="6108"/>
    <s v="拌客（武宁路店）"/>
    <s v="337460136"/>
    <x v="4"/>
    <s v="上海"/>
    <s v="eleme"/>
    <x v="0"/>
    <s v="拌客干拌麻辣烫(武宁路店)"/>
    <x v="235"/>
    <n v="954.35"/>
    <n v="3855"/>
    <n v="267"/>
    <n v="48"/>
    <n v="0"/>
    <n v="48"/>
    <n v="3855"/>
    <n v="267"/>
    <n v="47"/>
    <n v="320.8"/>
    <n v="3989"/>
    <n v="190"/>
    <n v="1192"/>
    <n v="186"/>
  </r>
  <r>
    <d v="2020-05-11T00:00:00"/>
    <n v="4636"/>
    <s v="蛙小辣火锅杯（总账号）"/>
    <s v="2001104355"/>
    <x v="0"/>
    <s v="上海"/>
    <s v="eleme"/>
    <x v="0"/>
    <s v="蛙小辣·美蛙火锅杯麻辣烫(宝山店)"/>
    <x v="236"/>
    <n v="392.87"/>
    <n v="927"/>
    <n v="81"/>
    <n v="20"/>
    <n v="0"/>
    <n v="20"/>
    <n v="927"/>
    <n v="81"/>
    <n v="19"/>
    <n v="30.82"/>
    <n v="392"/>
    <n v="26"/>
    <n v="697"/>
    <n v="27"/>
  </r>
  <r>
    <d v="2020-05-11T00:00:00"/>
    <n v="4636"/>
    <s v="蛙小辣火锅杯（总账号）"/>
    <s v="8491999"/>
    <x v="0"/>
    <s v="上海"/>
    <s v="meituan"/>
    <x v="1"/>
    <s v="蛙小辣火锅杯（宝山店）"/>
    <x v="230"/>
    <n v="0"/>
    <n v="0"/>
    <n v="0"/>
    <n v="30"/>
    <n v="0"/>
    <n v="30"/>
    <n v="1182"/>
    <n v="97"/>
    <n v="30"/>
    <n v="50.27"/>
    <n v="768"/>
    <n v="38"/>
    <n v="998"/>
    <n v="66"/>
  </r>
  <r>
    <d v="2020-05-12T00:00:00"/>
    <n v="6108"/>
    <s v="拌客（武宁路店）"/>
    <s v="337460136"/>
    <x v="4"/>
    <s v="上海"/>
    <s v="eleme"/>
    <x v="0"/>
    <s v="拌客·干拌麻辣烫(武宁路店)"/>
    <x v="237"/>
    <n v="1384.92"/>
    <n v="3943"/>
    <n v="259"/>
    <n v="63"/>
    <n v="0"/>
    <n v="63"/>
    <n v="3943"/>
    <n v="259"/>
    <n v="62"/>
    <n v="398.2"/>
    <n v="3254"/>
    <n v="159"/>
    <n v="1626"/>
    <n v="307"/>
  </r>
  <r>
    <d v="2020-05-12T00:00:00"/>
    <n v="4636"/>
    <s v="蛙小辣火锅杯（总账号）"/>
    <s v="2001104355"/>
    <x v="0"/>
    <s v="上海"/>
    <s v="eleme"/>
    <x v="0"/>
    <s v="蛙小辣·美蛙火锅杯麻辣烫(宝山店)"/>
    <x v="238"/>
    <n v="595.63"/>
    <n v="926"/>
    <n v="71"/>
    <n v="24"/>
    <n v="0"/>
    <n v="24"/>
    <n v="926"/>
    <n v="71"/>
    <n v="19"/>
    <n v="38.770000000000003"/>
    <n v="475"/>
    <n v="31"/>
    <n v="926"/>
    <n v="27"/>
  </r>
  <r>
    <d v="2020-05-12T00:00:00"/>
    <n v="4636"/>
    <s v="蛙小辣火锅杯（总账号）"/>
    <s v="8491999"/>
    <x v="0"/>
    <s v="上海"/>
    <s v="meituan"/>
    <x v="1"/>
    <s v="蛙小辣火锅杯（宝山店）"/>
    <x v="230"/>
    <n v="0"/>
    <n v="0"/>
    <n v="0"/>
    <n v="26"/>
    <n v="1"/>
    <n v="25"/>
    <n v="1335"/>
    <n v="90"/>
    <n v="23"/>
    <n v="43.79"/>
    <n v="859"/>
    <n v="33"/>
    <n v="836"/>
    <n v="48"/>
  </r>
  <r>
    <d v="2020-05-13T00:00:00"/>
    <n v="6108"/>
    <s v="拌客（武宁路店）"/>
    <s v="337460136"/>
    <x v="4"/>
    <s v="上海"/>
    <s v="eleme"/>
    <x v="0"/>
    <s v="拌客·干拌麻辣烫(武宁路店)"/>
    <x v="239"/>
    <n v="1074.44"/>
    <n v="5904"/>
    <n v="352"/>
    <n v="58"/>
    <n v="0"/>
    <n v="58"/>
    <n v="5904"/>
    <n v="352"/>
    <n v="55"/>
    <n v="463.13"/>
    <n v="3179"/>
    <n v="205"/>
    <n v="1560"/>
    <n v="251"/>
  </r>
  <r>
    <d v="2020-05-13T00:00:00"/>
    <n v="4636"/>
    <s v="蛙小辣火锅杯（总账号）"/>
    <s v="2001104355"/>
    <x v="0"/>
    <s v="上海"/>
    <s v="eleme"/>
    <x v="0"/>
    <s v="蛙小辣·美蛙火锅杯麻辣烫(宝山店)"/>
    <x v="240"/>
    <n v="698.07"/>
    <n v="1084"/>
    <n v="87"/>
    <n v="30"/>
    <n v="1"/>
    <n v="29"/>
    <n v="1084"/>
    <n v="87"/>
    <n v="28"/>
    <n v="56.08"/>
    <n v="677"/>
    <n v="44"/>
    <n v="1092"/>
    <n v="30"/>
  </r>
  <r>
    <d v="2020-05-13T00:00:00"/>
    <n v="4636"/>
    <s v="蛙小辣火锅杯（总账号）"/>
    <s v="8491999"/>
    <x v="0"/>
    <s v="上海"/>
    <s v="meituan"/>
    <x v="1"/>
    <s v="蛙小辣火锅杯（宝山店）"/>
    <x v="241"/>
    <n v="481.48"/>
    <n v="1261"/>
    <n v="91"/>
    <n v="21"/>
    <n v="1"/>
    <n v="20"/>
    <n v="1261"/>
    <n v="91"/>
    <n v="21"/>
    <n v="40.99"/>
    <n v="510"/>
    <n v="32"/>
    <n v="619"/>
    <n v="32"/>
  </r>
  <r>
    <d v="2020-05-14T00:00:00"/>
    <n v="6108"/>
    <s v="拌客（武宁路店）"/>
    <s v="337460136"/>
    <x v="4"/>
    <s v="上海"/>
    <s v="eleme"/>
    <x v="0"/>
    <s v="拌客·干拌麻辣烫(武宁路店)"/>
    <x v="242"/>
    <n v="1516.31"/>
    <n v="6045"/>
    <n v="362"/>
    <n v="80"/>
    <n v="0"/>
    <n v="80"/>
    <n v="6045"/>
    <n v="362"/>
    <n v="77"/>
    <n v="447.58"/>
    <n v="2913"/>
    <n v="231"/>
    <n v="2071"/>
    <n v="294"/>
  </r>
  <r>
    <d v="2020-05-14T00:00:00"/>
    <n v="4636"/>
    <s v="蛙小辣火锅杯（总账号）"/>
    <s v="2001104355"/>
    <x v="0"/>
    <s v="上海"/>
    <s v="eleme"/>
    <x v="0"/>
    <s v="蛙小辣·美蛙火锅杯麻辣烫(宝山店)"/>
    <x v="243"/>
    <n v="604.29"/>
    <n v="1414"/>
    <n v="98"/>
    <n v="22"/>
    <n v="0"/>
    <n v="22"/>
    <n v="1414"/>
    <n v="98"/>
    <n v="21"/>
    <n v="44.94"/>
    <n v="489"/>
    <n v="35"/>
    <n v="856"/>
    <n v="15"/>
  </r>
  <r>
    <d v="2020-05-14T00:00:00"/>
    <n v="4636"/>
    <s v="蛙小辣火锅杯（总账号）"/>
    <s v="8491999"/>
    <x v="0"/>
    <s v="上海"/>
    <s v="meituan"/>
    <x v="1"/>
    <s v="蛙小辣火锅杯（宝山店）"/>
    <x v="244"/>
    <n v="651.03"/>
    <n v="1433"/>
    <n v="107"/>
    <n v="27"/>
    <n v="0"/>
    <n v="27"/>
    <n v="1433"/>
    <n v="107"/>
    <n v="27"/>
    <n v="56.83"/>
    <n v="822"/>
    <n v="41"/>
    <n v="891"/>
    <n v="66"/>
  </r>
  <r>
    <d v="2020-05-15T00:00:00"/>
    <n v="6108"/>
    <s v="拌客（武宁路店）"/>
    <s v="337460136"/>
    <x v="4"/>
    <s v="上海"/>
    <s v="eleme"/>
    <x v="0"/>
    <s v="拌客·干拌麻辣烫(武宁路店)"/>
    <x v="245"/>
    <n v="1783.41"/>
    <n v="6085"/>
    <n v="391"/>
    <n v="98"/>
    <n v="1"/>
    <n v="97"/>
    <n v="6085"/>
    <n v="391"/>
    <n v="91"/>
    <n v="477.9"/>
    <n v="3510"/>
    <n v="232"/>
    <n v="2419"/>
    <n v="518"/>
  </r>
  <r>
    <d v="2020-05-15T00:00:00"/>
    <n v="4636"/>
    <s v="蛙小辣火锅杯（总账号）"/>
    <s v="2001104355"/>
    <x v="0"/>
    <s v="上海"/>
    <s v="eleme"/>
    <x v="0"/>
    <s v="蛙小辣·美蛙火锅杯麻辣烫(宝山店)"/>
    <x v="246"/>
    <n v="506.97"/>
    <n v="1659"/>
    <n v="114"/>
    <n v="22"/>
    <n v="2"/>
    <n v="20"/>
    <n v="1659"/>
    <n v="114"/>
    <n v="20"/>
    <n v="29.9"/>
    <n v="494"/>
    <n v="23"/>
    <n v="747"/>
    <n v="13"/>
  </r>
  <r>
    <d v="2020-05-15T00:00:00"/>
    <n v="4636"/>
    <s v="蛙小辣火锅杯（总账号）"/>
    <s v="8491999"/>
    <x v="0"/>
    <s v="上海"/>
    <s v="meituan"/>
    <x v="1"/>
    <s v="蛙小辣火锅杯（宝山店）"/>
    <x v="247"/>
    <n v="531.66"/>
    <n v="1562"/>
    <n v="92"/>
    <n v="23"/>
    <n v="0"/>
    <n v="23"/>
    <n v="1562"/>
    <n v="92"/>
    <n v="23"/>
    <n v="43.17"/>
    <n v="775"/>
    <n v="31"/>
    <n v="751"/>
    <n v="70"/>
  </r>
  <r>
    <d v="2020-05-16T00:00:00"/>
    <n v="6108"/>
    <s v="拌客（武宁路店）"/>
    <s v="337460136"/>
    <x v="4"/>
    <s v="上海"/>
    <s v="eleme"/>
    <x v="0"/>
    <s v="拌客·干拌麻辣烫(武宁路店)"/>
    <x v="248"/>
    <n v="1441.52"/>
    <n v="6069"/>
    <n v="328"/>
    <n v="76"/>
    <n v="1"/>
    <n v="75"/>
    <n v="6069"/>
    <n v="328"/>
    <n v="71"/>
    <n v="397.3"/>
    <n v="3547"/>
    <n v="235"/>
    <n v="1916"/>
    <n v="386"/>
  </r>
  <r>
    <d v="2020-05-16T00:00:00"/>
    <n v="4636"/>
    <s v="蛙小辣火锅杯（总账号）"/>
    <s v="2001104355"/>
    <x v="0"/>
    <s v="上海"/>
    <s v="eleme"/>
    <x v="0"/>
    <s v="蛙小辣·美蛙火锅杯麻辣烫(宝山店)"/>
    <x v="249"/>
    <n v="513.70000000000005"/>
    <n v="1910"/>
    <n v="110"/>
    <n v="21"/>
    <n v="0"/>
    <n v="21"/>
    <n v="1910"/>
    <n v="110"/>
    <n v="20"/>
    <n v="45.54"/>
    <n v="765"/>
    <n v="34"/>
    <n v="742"/>
    <n v="41"/>
  </r>
  <r>
    <d v="2020-05-16T00:00:00"/>
    <n v="4636"/>
    <s v="蛙小辣火锅杯（总账号）"/>
    <s v="8491999"/>
    <x v="0"/>
    <s v="上海"/>
    <s v="meituan"/>
    <x v="1"/>
    <s v="蛙小辣火锅杯（宝山店）"/>
    <x v="250"/>
    <n v="386.65"/>
    <n v="1706"/>
    <n v="118"/>
    <n v="20"/>
    <n v="1"/>
    <n v="19"/>
    <n v="1706"/>
    <n v="118"/>
    <n v="20"/>
    <n v="68.36"/>
    <n v="1032"/>
    <n v="49"/>
    <n v="591"/>
    <n v="51"/>
  </r>
  <r>
    <d v="2020-05-17T00:00:00"/>
    <n v="6108"/>
    <s v="拌客（武宁路店）"/>
    <s v="337460136"/>
    <x v="4"/>
    <s v="上海"/>
    <s v="eleme"/>
    <x v="0"/>
    <s v="拌客·干拌麻辣烫(武宁路店)"/>
    <x v="251"/>
    <n v="1763.57"/>
    <n v="6267"/>
    <n v="367"/>
    <n v="81"/>
    <n v="1"/>
    <n v="80"/>
    <n v="6267"/>
    <n v="367"/>
    <n v="76"/>
    <n v="395.2"/>
    <n v="3698"/>
    <n v="221"/>
    <n v="2206"/>
    <n v="299"/>
  </r>
  <r>
    <d v="2020-05-17T00:00:00"/>
    <n v="4636"/>
    <s v="蛙小辣火锅杯（总账号）"/>
    <s v="2001104355"/>
    <x v="0"/>
    <s v="上海"/>
    <s v="eleme"/>
    <x v="0"/>
    <s v="蛙小辣·美蛙火锅杯麻辣烫(宝山店)"/>
    <x v="252"/>
    <n v="352.92"/>
    <n v="1528"/>
    <n v="103"/>
    <n v="16"/>
    <n v="0"/>
    <n v="16"/>
    <n v="1528"/>
    <n v="103"/>
    <n v="15"/>
    <n v="28.05"/>
    <n v="386"/>
    <n v="22"/>
    <n v="593"/>
    <n v="20"/>
  </r>
  <r>
    <d v="2020-05-17T00:00:00"/>
    <n v="4636"/>
    <s v="蛙小辣火锅杯（总账号）"/>
    <s v="8491999"/>
    <x v="0"/>
    <s v="上海"/>
    <s v="meituan"/>
    <x v="1"/>
    <s v="蛙小辣火锅杯（宝山店）"/>
    <x v="253"/>
    <n v="461.99"/>
    <n v="1531"/>
    <n v="101"/>
    <n v="22"/>
    <n v="0"/>
    <n v="22"/>
    <n v="1531"/>
    <n v="101"/>
    <n v="20"/>
    <n v="62"/>
    <n v="782"/>
    <n v="47"/>
    <n v="695"/>
    <n v="55"/>
  </r>
  <r>
    <d v="2020-05-18T00:00:00"/>
    <n v="6108"/>
    <s v="拌客（武宁路店）"/>
    <s v="337460136"/>
    <x v="4"/>
    <s v="上海"/>
    <s v="eleme"/>
    <x v="0"/>
    <s v="拌客·干拌麻辣烫(武宁路店)"/>
    <x v="254"/>
    <n v="1622.64"/>
    <n v="6317"/>
    <n v="404"/>
    <n v="92"/>
    <n v="1"/>
    <n v="91"/>
    <n v="6317"/>
    <n v="404"/>
    <n v="84"/>
    <n v="443.3"/>
    <n v="3013"/>
    <n v="243"/>
    <n v="2278"/>
    <n v="419"/>
  </r>
  <r>
    <d v="2020-05-18T00:00:00"/>
    <n v="4636"/>
    <s v="蛙小辣火锅杯（总账号）"/>
    <s v="2001104355"/>
    <x v="0"/>
    <s v="上海"/>
    <s v="eleme"/>
    <x v="0"/>
    <s v="蛙小辣·美蛙火锅杯麻辣烫(宝山店)"/>
    <x v="255"/>
    <n v="417.69"/>
    <n v="921"/>
    <n v="72"/>
    <n v="22"/>
    <n v="0"/>
    <n v="22"/>
    <n v="921"/>
    <n v="72"/>
    <n v="22"/>
    <n v="15.6"/>
    <n v="171"/>
    <n v="12"/>
    <n v="770"/>
    <n v="27"/>
  </r>
  <r>
    <d v="2020-05-18T00:00:00"/>
    <n v="4636"/>
    <s v="蛙小辣火锅杯（总账号）"/>
    <s v="8491999"/>
    <x v="0"/>
    <s v="上海"/>
    <s v="meituan"/>
    <x v="1"/>
    <s v="蛙小辣火锅杯（宝山店）"/>
    <x v="256"/>
    <n v="356.58"/>
    <n v="1115"/>
    <n v="86"/>
    <n v="18"/>
    <n v="0"/>
    <n v="18"/>
    <n v="1115"/>
    <n v="86"/>
    <n v="17"/>
    <n v="42.67"/>
    <n v="523"/>
    <n v="31"/>
    <n v="558"/>
    <n v="26"/>
  </r>
  <r>
    <d v="2020-05-19T00:00:00"/>
    <n v="6108"/>
    <s v="拌客（武宁路店）"/>
    <s v="337460136"/>
    <x v="4"/>
    <s v="上海"/>
    <s v="eleme"/>
    <x v="0"/>
    <s v="拌客·干拌麻辣烫(武宁路店)"/>
    <x v="257"/>
    <n v="2260.0100000000002"/>
    <n v="6014"/>
    <n v="406"/>
    <n v="120"/>
    <n v="1"/>
    <n v="119"/>
    <n v="6014"/>
    <n v="406"/>
    <n v="114"/>
    <n v="395.3"/>
    <n v="2170"/>
    <n v="209"/>
    <n v="3074"/>
    <n v="643"/>
  </r>
  <r>
    <d v="2020-05-19T00:00:00"/>
    <n v="4636"/>
    <s v="蛙小辣火锅杯（总账号）"/>
    <s v="2001104355"/>
    <x v="0"/>
    <s v="上海"/>
    <s v="eleme"/>
    <x v="0"/>
    <s v="蛙小辣·美蛙火锅杯麻辣烫(宝山店)"/>
    <x v="258"/>
    <n v="568.96"/>
    <n v="865"/>
    <n v="76"/>
    <n v="25"/>
    <n v="0"/>
    <n v="25"/>
    <n v="865"/>
    <n v="76"/>
    <n v="24"/>
    <n v="32.69"/>
    <n v="356"/>
    <n v="26"/>
    <n v="876"/>
    <n v="31"/>
  </r>
  <r>
    <d v="2020-05-19T00:00:00"/>
    <n v="4636"/>
    <s v="蛙小辣火锅杯（总账号）"/>
    <s v="8491999"/>
    <x v="0"/>
    <s v="上海"/>
    <s v="meituan"/>
    <x v="1"/>
    <s v="蛙小辣火锅杯（宝山店）"/>
    <x v="259"/>
    <n v="375.25"/>
    <n v="1099"/>
    <n v="86"/>
    <n v="20"/>
    <n v="0"/>
    <n v="20"/>
    <n v="1099"/>
    <n v="86"/>
    <n v="19"/>
    <n v="42.41"/>
    <n v="586"/>
    <n v="30"/>
    <n v="599"/>
    <n v="64"/>
  </r>
  <r>
    <d v="2020-05-20T00:00:00"/>
    <n v="6108"/>
    <s v="拌客（武宁路店）"/>
    <s v="337460136"/>
    <x v="4"/>
    <s v="上海"/>
    <s v="eleme"/>
    <x v="0"/>
    <s v="拌客·干拌麻辣烫(武宁路店)"/>
    <x v="260"/>
    <n v="2127.48"/>
    <n v="4769"/>
    <n v="371"/>
    <n v="114"/>
    <n v="3"/>
    <n v="111"/>
    <n v="4769"/>
    <n v="371"/>
    <n v="103"/>
    <n v="368.52"/>
    <n v="2953"/>
    <n v="204"/>
    <n v="2807"/>
    <n v="648"/>
  </r>
  <r>
    <d v="2020-05-20T00:00:00"/>
    <n v="4636"/>
    <s v="蛙小辣火锅杯（总账号）"/>
    <s v="2001104355"/>
    <x v="0"/>
    <s v="上海"/>
    <s v="eleme"/>
    <x v="0"/>
    <s v="蛙小辣·美蛙火锅杯麻辣烫(宝山店)"/>
    <x v="261"/>
    <n v="398.31"/>
    <n v="964"/>
    <n v="76"/>
    <n v="21"/>
    <n v="0"/>
    <n v="21"/>
    <n v="964"/>
    <n v="76"/>
    <n v="18"/>
    <n v="24.8"/>
    <n v="429"/>
    <n v="20"/>
    <n v="713"/>
    <n v="17"/>
  </r>
  <r>
    <d v="2020-05-20T00:00:00"/>
    <n v="4636"/>
    <s v="蛙小辣火锅杯（总账号）"/>
    <s v="8491999"/>
    <x v="0"/>
    <s v="上海"/>
    <s v="meituan"/>
    <x v="1"/>
    <s v="蛙小辣火锅杯（宝山店）"/>
    <x v="262"/>
    <n v="497.1"/>
    <n v="1147"/>
    <n v="81"/>
    <n v="21"/>
    <n v="0"/>
    <n v="21"/>
    <n v="1147"/>
    <n v="81"/>
    <n v="21"/>
    <n v="35.68"/>
    <n v="548"/>
    <n v="25"/>
    <n v="678"/>
    <n v="80"/>
  </r>
  <r>
    <d v="2020-05-21T00:00:00"/>
    <n v="6108"/>
    <s v="拌客（武宁路店）"/>
    <s v="337460136"/>
    <x v="4"/>
    <s v="上海"/>
    <s v="eleme"/>
    <x v="0"/>
    <s v="拌客·干拌麻辣烫(武宁路店)"/>
    <x v="26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d v="2020-05-21T00:00:00"/>
    <n v="4636"/>
    <s v="蛙小辣火锅杯（总账号）"/>
    <s v="2001104355"/>
    <x v="0"/>
    <s v="上海"/>
    <s v="eleme"/>
    <x v="0"/>
    <s v="蛙小辣·美蛙火锅杯麻辣烫(宝山店)"/>
    <x v="264"/>
    <n v="333.79"/>
    <n v="893"/>
    <n v="63"/>
    <n v="15"/>
    <n v="0"/>
    <n v="15"/>
    <n v="893"/>
    <n v="63"/>
    <n v="14"/>
    <n v="28.69"/>
    <n v="465"/>
    <n v="22"/>
    <n v="562"/>
    <n v="25"/>
  </r>
  <r>
    <d v="2020-05-21T00:00:00"/>
    <n v="4636"/>
    <s v="蛙小辣火锅杯（总账号）"/>
    <s v="8491999"/>
    <x v="0"/>
    <s v="上海"/>
    <s v="meituan"/>
    <x v="1"/>
    <s v="蛙小辣火锅杯（宝山店）"/>
    <x v="265"/>
    <n v="446.06"/>
    <n v="1161"/>
    <n v="89"/>
    <n v="21"/>
    <n v="0"/>
    <n v="21"/>
    <n v="1161"/>
    <n v="89"/>
    <n v="20"/>
    <n v="43.72"/>
    <n v="630"/>
    <n v="32"/>
    <n v="656"/>
    <n v="68"/>
  </r>
  <r>
    <d v="2020-05-22T00:00:00"/>
    <n v="6108"/>
    <s v="拌客（武宁路店）"/>
    <s v="337460136"/>
    <x v="4"/>
    <s v="上海"/>
    <s v="eleme"/>
    <x v="0"/>
    <s v="拌客·干拌麻辣烫(武宁路店)"/>
    <x v="266"/>
    <n v="2586.89"/>
    <n v="4680"/>
    <n v="453"/>
    <n v="148"/>
    <n v="2"/>
    <n v="146"/>
    <n v="4680"/>
    <n v="453"/>
    <n v="136"/>
    <n v="426.6"/>
    <n v="3324"/>
    <n v="266"/>
    <n v="3709"/>
    <n v="752"/>
  </r>
  <r>
    <d v="2020-05-22T00:00:00"/>
    <n v="4636"/>
    <s v="蛙小辣火锅杯（总账号）"/>
    <s v="2001104355"/>
    <x v="0"/>
    <s v="上海"/>
    <s v="eleme"/>
    <x v="0"/>
    <s v="蛙小辣·美蛙火锅杯麻辣烫(宝山店)"/>
    <x v="267"/>
    <n v="273.60000000000002"/>
    <n v="1110"/>
    <n v="74"/>
    <n v="15"/>
    <n v="0"/>
    <n v="15"/>
    <n v="1110"/>
    <n v="74"/>
    <n v="15"/>
    <n v="54.94"/>
    <n v="669"/>
    <n v="40"/>
    <n v="543"/>
    <n v="20"/>
  </r>
  <r>
    <d v="2020-05-22T00:00:00"/>
    <n v="4636"/>
    <s v="蛙小辣火锅杯（总账号）"/>
    <s v="8491999"/>
    <x v="0"/>
    <s v="上海"/>
    <s v="meituan"/>
    <x v="1"/>
    <s v="蛙小辣火锅杯（宝山店）"/>
    <x v="268"/>
    <n v="589.59"/>
    <n v="1409"/>
    <n v="109"/>
    <n v="31"/>
    <n v="0"/>
    <n v="31"/>
    <n v="1409"/>
    <n v="109"/>
    <n v="31"/>
    <n v="51.76"/>
    <n v="991"/>
    <n v="38"/>
    <n v="927"/>
    <n v="120"/>
  </r>
  <r>
    <d v="2020-05-23T00:00:00"/>
    <n v="6108"/>
    <s v="拌客（武宁路店）"/>
    <s v="337460136"/>
    <x v="4"/>
    <s v="上海"/>
    <s v="eleme"/>
    <x v="0"/>
    <s v="拌客·干拌麻辣烫(武宁路店)"/>
    <x v="269"/>
    <n v="1671.71"/>
    <n v="5420"/>
    <n v="355"/>
    <n v="85"/>
    <n v="0"/>
    <n v="85"/>
    <n v="5420"/>
    <n v="355"/>
    <n v="82"/>
    <n v="277.2"/>
    <n v="2891"/>
    <n v="199"/>
    <n v="2204"/>
    <n v="513"/>
  </r>
  <r>
    <d v="2020-05-23T00:00:00"/>
    <n v="4636"/>
    <s v="蛙小辣火锅杯（总账号）"/>
    <s v="2001104355"/>
    <x v="0"/>
    <s v="上海"/>
    <s v="eleme"/>
    <x v="0"/>
    <s v="蛙小辣·美蛙火锅杯麻辣烫(宝山店)"/>
    <x v="270"/>
    <n v="221.3"/>
    <n v="1070"/>
    <n v="75"/>
    <n v="11"/>
    <n v="0"/>
    <n v="11"/>
    <n v="1070"/>
    <n v="75"/>
    <n v="10"/>
    <n v="35.92"/>
    <n v="569"/>
    <n v="27"/>
    <n v="394"/>
    <n v="9"/>
  </r>
  <r>
    <d v="2020-05-23T00:00:00"/>
    <n v="4636"/>
    <s v="蛙小辣火锅杯（总账号）"/>
    <s v="8491999"/>
    <x v="0"/>
    <s v="上海"/>
    <s v="meituan"/>
    <x v="1"/>
    <s v="蛙小辣火锅杯（宝山店）"/>
    <x v="271"/>
    <n v="465.97"/>
    <n v="1321"/>
    <n v="91"/>
    <n v="21"/>
    <n v="1"/>
    <n v="20"/>
    <n v="1321"/>
    <n v="91"/>
    <n v="21"/>
    <n v="42.62"/>
    <n v="808"/>
    <n v="30"/>
    <n v="667"/>
    <n v="79"/>
  </r>
  <r>
    <d v="2020-05-24T00:00:00"/>
    <n v="6108"/>
    <s v="拌客（武宁路店）"/>
    <s v="337460136"/>
    <x v="4"/>
    <s v="上海"/>
    <s v="eleme"/>
    <x v="0"/>
    <s v="拌客·干拌麻辣烫(武宁路店)"/>
    <x v="272"/>
    <n v="2131.33"/>
    <n v="6370"/>
    <n v="460"/>
    <n v="117"/>
    <n v="1"/>
    <n v="116"/>
    <n v="6370"/>
    <n v="460"/>
    <n v="103"/>
    <n v="398.74"/>
    <n v="4709"/>
    <n v="284"/>
    <n v="3015"/>
    <n v="596"/>
  </r>
  <r>
    <d v="2020-05-24T00:00:00"/>
    <n v="4636"/>
    <s v="蛙小辣火锅杯（总账号）"/>
    <s v="2001104355"/>
    <x v="0"/>
    <s v="上海"/>
    <s v="eleme"/>
    <x v="0"/>
    <s v="蛙小辣·美蛙火锅杯麻辣烫(宝山店)"/>
    <x v="273"/>
    <n v="647.41"/>
    <n v="1010"/>
    <n v="79"/>
    <n v="21"/>
    <n v="0"/>
    <n v="21"/>
    <n v="1010"/>
    <n v="79"/>
    <n v="19"/>
    <n v="29.4"/>
    <n v="349"/>
    <n v="21"/>
    <n v="783"/>
    <n v="25"/>
  </r>
  <r>
    <d v="2020-05-24T00:00:00"/>
    <n v="4636"/>
    <s v="蛙小辣火锅杯（总账号）"/>
    <s v="8491999"/>
    <x v="0"/>
    <s v="上海"/>
    <s v="meituan"/>
    <x v="1"/>
    <s v="蛙小辣火锅杯（宝山店）"/>
    <x v="274"/>
    <n v="499.83"/>
    <n v="1341"/>
    <n v="105"/>
    <n v="18"/>
    <n v="0"/>
    <n v="18"/>
    <n v="1341"/>
    <n v="105"/>
    <n v="18"/>
    <n v="60"/>
    <n v="747"/>
    <n v="43"/>
    <n v="625"/>
    <n v="56"/>
  </r>
  <r>
    <d v="2020-05-25T00:00:00"/>
    <n v="6108"/>
    <s v="拌客（武宁路店）"/>
    <s v="337460136"/>
    <x v="4"/>
    <s v="上海"/>
    <s v="eleme"/>
    <x v="0"/>
    <s v="拌客·干拌麻辣烫(武宁路店)"/>
    <x v="275"/>
    <n v="2789.79"/>
    <n v="7790"/>
    <n v="554"/>
    <n v="157"/>
    <n v="5"/>
    <n v="152"/>
    <n v="7790"/>
    <n v="554"/>
    <n v="140"/>
    <n v="446.11"/>
    <n v="4727"/>
    <n v="296"/>
    <n v="3800"/>
    <n v="724"/>
  </r>
  <r>
    <d v="2020-05-25T00:00:00"/>
    <n v="4636"/>
    <s v="蛙小辣火锅杯（总账号）"/>
    <s v="2001104355"/>
    <x v="0"/>
    <s v="上海"/>
    <s v="eleme"/>
    <x v="0"/>
    <s v="蛙小辣·美蛙火锅杯麻辣烫(宝山店)"/>
    <x v="276"/>
    <n v="234.64"/>
    <n v="758"/>
    <n v="50"/>
    <n v="12"/>
    <n v="0"/>
    <n v="12"/>
    <n v="758"/>
    <n v="50"/>
    <n v="11"/>
    <n v="22.4"/>
    <n v="396"/>
    <n v="16"/>
    <n v="415"/>
    <n v="15"/>
  </r>
  <r>
    <d v="2020-05-25T00:00:00"/>
    <n v="4636"/>
    <s v="蛙小辣火锅杯（总账号）"/>
    <s v="8491999"/>
    <x v="0"/>
    <s v="上海"/>
    <s v="meituan"/>
    <x v="1"/>
    <s v="蛙小辣火锅杯（宝山店）"/>
    <x v="277"/>
    <n v="323.64"/>
    <n v="1113"/>
    <n v="97"/>
    <n v="16"/>
    <n v="0"/>
    <n v="16"/>
    <n v="1113"/>
    <n v="97"/>
    <n v="14"/>
    <n v="27.6"/>
    <n v="499"/>
    <n v="20"/>
    <n v="476"/>
    <n v="20"/>
  </r>
  <r>
    <d v="2020-05-26T00:00:00"/>
    <n v="6108"/>
    <s v="拌客（武宁路店）"/>
    <s v="337460136"/>
    <x v="4"/>
    <s v="上海"/>
    <s v="eleme"/>
    <x v="0"/>
    <s v="拌客·干拌麻辣烫(武宁路店)"/>
    <x v="278"/>
    <n v="3367.76"/>
    <n v="8388"/>
    <n v="561"/>
    <n v="182"/>
    <n v="1"/>
    <n v="181"/>
    <n v="8388"/>
    <n v="561"/>
    <n v="160"/>
    <n v="427.32"/>
    <n v="4164"/>
    <n v="259"/>
    <n v="4738"/>
    <n v="1053"/>
  </r>
  <r>
    <d v="2020-05-26T00:00:00"/>
    <n v="4636"/>
    <s v="蛙小辣火锅杯（总账号）"/>
    <s v="2001104355"/>
    <x v="0"/>
    <s v="上海"/>
    <s v="eleme"/>
    <x v="0"/>
    <s v="蛙小辣·美蛙火锅杯麻辣烫(宝山店)"/>
    <x v="279"/>
    <n v="496.96"/>
    <n v="1043"/>
    <n v="77"/>
    <n v="22"/>
    <n v="0"/>
    <n v="22"/>
    <n v="1043"/>
    <n v="77"/>
    <n v="20"/>
    <n v="23.63"/>
    <n v="362"/>
    <n v="18"/>
    <n v="573"/>
    <n v="32"/>
  </r>
  <r>
    <d v="2020-05-26T00:00:00"/>
    <n v="4636"/>
    <s v="蛙小辣火锅杯（总账号）"/>
    <s v="8491999"/>
    <x v="0"/>
    <s v="上海"/>
    <s v="meituan"/>
    <x v="1"/>
    <s v="蛙小辣火锅杯（宝山店）"/>
    <x v="280"/>
    <n v="370.99"/>
    <n v="1291"/>
    <n v="87"/>
    <n v="15"/>
    <n v="0"/>
    <n v="15"/>
    <n v="1291"/>
    <n v="87"/>
    <n v="15"/>
    <n v="42.29"/>
    <n v="704"/>
    <n v="31"/>
    <n v="331"/>
    <n v="29"/>
  </r>
  <r>
    <d v="2020-05-27T00:00:00"/>
    <n v="6108"/>
    <s v="拌客（武宁路店）"/>
    <s v="337460136"/>
    <x v="4"/>
    <s v="上海"/>
    <s v="eleme"/>
    <x v="0"/>
    <s v="拌客·干拌麻辣烫(武宁路店)"/>
    <x v="281"/>
    <n v="2993.95"/>
    <n v="9108"/>
    <n v="632"/>
    <n v="176"/>
    <n v="4"/>
    <n v="172"/>
    <n v="9108"/>
    <n v="632"/>
    <n v="163"/>
    <n v="372.41"/>
    <n v="3626"/>
    <n v="269"/>
    <n v="4402"/>
    <n v="1018"/>
  </r>
  <r>
    <d v="2020-05-27T00:00:00"/>
    <n v="4636"/>
    <s v="蛙小辣火锅杯（总账号）"/>
    <s v="2001104355"/>
    <x v="0"/>
    <s v="上海"/>
    <s v="eleme"/>
    <x v="0"/>
    <s v="蛙小辣·美蛙火锅杯麻辣烫(宝山店)"/>
    <x v="282"/>
    <n v="241.72"/>
    <n v="734"/>
    <n v="65"/>
    <n v="10"/>
    <n v="0"/>
    <n v="10"/>
    <n v="734"/>
    <n v="65"/>
    <n v="8"/>
    <n v="35.32"/>
    <n v="342"/>
    <n v="28"/>
    <n v="295"/>
    <n v="11"/>
  </r>
  <r>
    <d v="2020-05-27T00:00:00"/>
    <n v="4636"/>
    <s v="蛙小辣火锅杯（总账号）"/>
    <s v="8491999"/>
    <x v="0"/>
    <s v="上海"/>
    <s v="meituan"/>
    <x v="1"/>
    <s v="蛙小辣火锅杯（宝山店）"/>
    <x v="283"/>
    <n v="321.89"/>
    <n v="1135"/>
    <n v="87"/>
    <n v="14"/>
    <n v="0"/>
    <n v="14"/>
    <n v="1135"/>
    <n v="87"/>
    <n v="13"/>
    <n v="45.19"/>
    <n v="668"/>
    <n v="32"/>
    <n v="342"/>
    <n v="21"/>
  </r>
  <r>
    <d v="2020-05-28T00:00:00"/>
    <n v="6108"/>
    <s v="拌客（武宁路店）"/>
    <s v="337460136"/>
    <x v="4"/>
    <s v="上海"/>
    <s v="eleme"/>
    <x v="0"/>
    <s v="拌客·干拌麻辣烫(武宁路店)"/>
    <x v="284"/>
    <n v="2757"/>
    <n v="8100"/>
    <n v="543"/>
    <n v="152"/>
    <n v="0"/>
    <n v="152"/>
    <n v="8100"/>
    <n v="543"/>
    <n v="139"/>
    <n v="424.14"/>
    <n v="3822"/>
    <n v="263"/>
    <n v="3926"/>
    <n v="937"/>
  </r>
  <r>
    <d v="2020-05-28T00:00:00"/>
    <n v="4636"/>
    <s v="蛙小辣火锅杯（总账号）"/>
    <s v="2001104355"/>
    <x v="0"/>
    <s v="上海"/>
    <s v="eleme"/>
    <x v="0"/>
    <s v="蛙小辣·美蛙火锅杯麻辣烫(宝山店)"/>
    <x v="285"/>
    <n v="328.71"/>
    <n v="985"/>
    <n v="66"/>
    <n v="14"/>
    <n v="0"/>
    <n v="14"/>
    <n v="985"/>
    <n v="66"/>
    <n v="14"/>
    <n v="28.17"/>
    <n v="474"/>
    <n v="21"/>
    <n v="366"/>
    <n v="17"/>
  </r>
  <r>
    <d v="2020-05-28T00:00:00"/>
    <n v="4636"/>
    <s v="蛙小辣火锅杯（总账号）"/>
    <s v="8491999"/>
    <x v="0"/>
    <s v="上海"/>
    <s v="meituan"/>
    <x v="1"/>
    <s v="蛙小辣火锅杯（宝山店）"/>
    <x v="286"/>
    <n v="606.36"/>
    <n v="1334"/>
    <n v="99"/>
    <n v="22"/>
    <n v="0"/>
    <n v="22"/>
    <n v="1334"/>
    <n v="99"/>
    <n v="20"/>
    <n v="49.06"/>
    <n v="851"/>
    <n v="33"/>
    <n v="528"/>
    <n v="26"/>
  </r>
  <r>
    <d v="2020-05-29T00:00:00"/>
    <n v="6108"/>
    <s v="拌客（武宁路店）"/>
    <s v="337460136"/>
    <x v="4"/>
    <s v="上海"/>
    <s v="eleme"/>
    <x v="0"/>
    <s v="拌客·干拌麻辣烫(武宁路店)"/>
    <x v="287"/>
    <n v="2495.79"/>
    <n v="9708"/>
    <n v="670"/>
    <n v="186"/>
    <n v="0"/>
    <n v="186"/>
    <n v="9708"/>
    <n v="670"/>
    <n v="175"/>
    <n v="700"/>
    <n v="6941"/>
    <n v="406"/>
    <n v="5102"/>
    <n v="1031"/>
  </r>
  <r>
    <d v="2020-05-29T00:00:00"/>
    <n v="4636"/>
    <s v="蛙小辣火锅杯（总账号）"/>
    <s v="2001104355"/>
    <x v="0"/>
    <s v="上海"/>
    <s v="eleme"/>
    <x v="0"/>
    <s v="蛙小辣·美蛙火锅杯麻辣烫(宝山店)"/>
    <x v="288"/>
    <n v="517.71"/>
    <n v="1037"/>
    <n v="77"/>
    <n v="16"/>
    <n v="0"/>
    <n v="16"/>
    <n v="1037"/>
    <n v="77"/>
    <n v="16"/>
    <n v="37.18"/>
    <n v="443"/>
    <n v="27"/>
    <n v="502"/>
    <n v="19"/>
  </r>
  <r>
    <d v="2020-05-29T00:00:00"/>
    <n v="4636"/>
    <s v="蛙小辣火锅杯（总账号）"/>
    <s v="8491999"/>
    <x v="0"/>
    <s v="上海"/>
    <s v="meituan"/>
    <x v="1"/>
    <s v="蛙小辣火锅杯（宝山店）"/>
    <x v="289"/>
    <n v="290.54000000000002"/>
    <n v="1280"/>
    <n v="101"/>
    <n v="10"/>
    <n v="0"/>
    <n v="10"/>
    <n v="1280"/>
    <n v="101"/>
    <n v="9"/>
    <n v="56.64"/>
    <n v="678"/>
    <n v="39"/>
    <n v="252"/>
    <n v="13"/>
  </r>
  <r>
    <d v="2020-05-30T00:00:00"/>
    <n v="6108"/>
    <s v="拌客（武宁路店）"/>
    <s v="337460136"/>
    <x v="4"/>
    <s v="上海"/>
    <s v="eleme"/>
    <x v="0"/>
    <s v="拌客·干拌麻辣烫(武宁路店)"/>
    <x v="290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d v="2020-05-30T00:00:00"/>
    <n v="4636"/>
    <s v="蛙小辣火锅杯（总账号）"/>
    <s v="2001104355"/>
    <x v="0"/>
    <s v="上海"/>
    <s v="eleme"/>
    <x v="0"/>
    <s v="蛙小辣·美蛙火锅杯麻辣烫(宝山店)"/>
    <x v="291"/>
    <n v="670.83"/>
    <n v="1906"/>
    <n v="134"/>
    <n v="26"/>
    <n v="0"/>
    <n v="26"/>
    <n v="1906"/>
    <n v="134"/>
    <n v="26"/>
    <n v="71.7"/>
    <n v="952"/>
    <n v="52"/>
    <n v="878"/>
    <n v="32"/>
  </r>
  <r>
    <d v="2020-05-30T00:00:00"/>
    <n v="4636"/>
    <s v="蛙小辣火锅杯（总账号）"/>
    <s v="8491999"/>
    <x v="0"/>
    <s v="上海"/>
    <s v="meituan"/>
    <x v="1"/>
    <s v="蛙小辣火锅杯（宝山店）"/>
    <x v="292"/>
    <n v="702.37"/>
    <n v="1599"/>
    <n v="115"/>
    <n v="24"/>
    <n v="0"/>
    <n v="24"/>
    <n v="1599"/>
    <n v="115"/>
    <n v="24"/>
    <n v="49.9"/>
    <n v="892"/>
    <n v="36"/>
    <n v="740"/>
    <n v="42"/>
  </r>
  <r>
    <d v="2020-05-31T00:00:00"/>
    <n v="6108"/>
    <s v="拌客（武宁路店）"/>
    <s v="337460136"/>
    <x v="4"/>
    <s v="上海"/>
    <s v="eleme"/>
    <x v="0"/>
    <s v="拌客·干拌麻辣烫(武宁路店)"/>
    <x v="293"/>
    <n v="2309.34"/>
    <n v="7154"/>
    <n v="542"/>
    <n v="174"/>
    <n v="1"/>
    <n v="173"/>
    <n v="7154"/>
    <n v="542"/>
    <n v="164"/>
    <n v="400.85"/>
    <n v="4800"/>
    <n v="290"/>
    <n v="4634"/>
    <n v="1034"/>
  </r>
  <r>
    <d v="2020-05-31T00:00:00"/>
    <n v="4636"/>
    <s v="蛙小辣火锅杯（总账号）"/>
    <s v="2001104355"/>
    <x v="0"/>
    <s v="上海"/>
    <s v="eleme"/>
    <x v="0"/>
    <s v="蛙小辣·美蛙火锅杯麻辣烫(宝山店)"/>
    <x v="294"/>
    <n v="481.62"/>
    <n v="1325"/>
    <n v="66"/>
    <n v="19"/>
    <n v="0"/>
    <n v="19"/>
    <n v="1325"/>
    <n v="66"/>
    <n v="18"/>
    <n v="42.37"/>
    <n v="824"/>
    <n v="31"/>
    <n v="636"/>
    <n v="22"/>
  </r>
  <r>
    <d v="2020-05-31T00:00:00"/>
    <n v="4636"/>
    <s v="蛙小辣火锅杯（总账号）"/>
    <s v="8491999"/>
    <x v="0"/>
    <s v="上海"/>
    <s v="meituan"/>
    <x v="1"/>
    <s v="蛙小辣火锅杯（宝山店）"/>
    <x v="295"/>
    <n v="501.34"/>
    <n v="1354"/>
    <n v="96"/>
    <n v="21"/>
    <n v="0"/>
    <n v="21"/>
    <n v="1354"/>
    <n v="96"/>
    <n v="21"/>
    <n v="53.62"/>
    <n v="997"/>
    <n v="39"/>
    <n v="587"/>
    <n v="20"/>
  </r>
  <r>
    <d v="2020-06-01T00:00:00"/>
    <n v="6108"/>
    <s v="拌客（武宁路店）"/>
    <s v="337460136"/>
    <x v="4"/>
    <s v="上海"/>
    <s v="eleme"/>
    <x v="0"/>
    <s v="拌客·干拌麻辣烫(武宁路店)"/>
    <x v="296"/>
    <n v="2992.13"/>
    <n v="10038"/>
    <n v="669"/>
    <n v="190"/>
    <n v="1"/>
    <n v="189"/>
    <n v="10038"/>
    <n v="669"/>
    <n v="186"/>
    <n v="768.15"/>
    <n v="7812"/>
    <n v="403"/>
    <n v="4767"/>
    <n v="841"/>
  </r>
  <r>
    <d v="2020-06-01T00:00:00"/>
    <n v="4636"/>
    <s v="蛙小辣火锅杯（总账号）"/>
    <s v="2001104355"/>
    <x v="0"/>
    <s v="上海"/>
    <s v="eleme"/>
    <x v="0"/>
    <s v="蛙小辣·美蛙火锅杯麻辣烫(宝山店)"/>
    <x v="297"/>
    <n v="436.2"/>
    <n v="986"/>
    <n v="63"/>
    <n v="18"/>
    <n v="0"/>
    <n v="18"/>
    <n v="986"/>
    <n v="63"/>
    <n v="16"/>
    <n v="28.92"/>
    <n v="442"/>
    <n v="21"/>
    <n v="548"/>
    <n v="20"/>
  </r>
  <r>
    <d v="2020-06-01T00:00:00"/>
    <n v="4636"/>
    <s v="蛙小辣火锅杯（总账号）"/>
    <s v="8491999"/>
    <x v="0"/>
    <s v="上海"/>
    <s v="meituan"/>
    <x v="1"/>
    <s v="蛙小辣火锅杯（宝山店）"/>
    <x v="298"/>
    <n v="469.75"/>
    <n v="1423"/>
    <n v="86"/>
    <n v="20"/>
    <n v="0"/>
    <n v="20"/>
    <n v="1423"/>
    <n v="86"/>
    <n v="20"/>
    <n v="48.45"/>
    <n v="1056"/>
    <n v="34"/>
    <n v="540"/>
    <n v="42"/>
  </r>
  <r>
    <d v="2020-06-02T00:00:00"/>
    <n v="6108"/>
    <s v="拌客（武宁路店）"/>
    <s v="337460136"/>
    <x v="4"/>
    <s v="上海"/>
    <s v="eleme"/>
    <x v="0"/>
    <s v="拌客·干拌麻辣烫(武宁路店)"/>
    <x v="299"/>
    <n v="3271.86"/>
    <n v="10238"/>
    <n v="701"/>
    <n v="207"/>
    <n v="0"/>
    <n v="207"/>
    <n v="10238"/>
    <n v="701"/>
    <n v="201"/>
    <n v="846.4"/>
    <n v="7481"/>
    <n v="409"/>
    <n v="5132"/>
    <n v="986"/>
  </r>
  <r>
    <d v="2020-06-02T00:00:00"/>
    <n v="4636"/>
    <s v="蛙小辣火锅杯（总账号）"/>
    <s v="2001104355"/>
    <x v="0"/>
    <s v="上海"/>
    <s v="eleme"/>
    <x v="0"/>
    <s v="蛙小辣·美蛙火锅杯麻辣烫(宝山店)"/>
    <x v="300"/>
    <n v="502.08"/>
    <n v="822"/>
    <n v="65"/>
    <n v="17"/>
    <n v="0"/>
    <n v="17"/>
    <n v="822"/>
    <n v="65"/>
    <n v="17"/>
    <n v="28.92"/>
    <n v="330"/>
    <n v="21"/>
    <n v="544"/>
    <n v="15"/>
  </r>
  <r>
    <d v="2020-06-02T00:00:00"/>
    <n v="4636"/>
    <s v="蛙小辣火锅杯（总账号）"/>
    <s v="8491999"/>
    <x v="0"/>
    <s v="上海"/>
    <s v="meituan"/>
    <x v="1"/>
    <s v="蛙小辣火锅杯（宝山店）"/>
    <x v="301"/>
    <n v="353.85"/>
    <n v="1156"/>
    <n v="93"/>
    <n v="15"/>
    <n v="0"/>
    <n v="15"/>
    <n v="1156"/>
    <n v="93"/>
    <n v="13"/>
    <n v="60"/>
    <n v="749"/>
    <n v="46"/>
    <n v="392"/>
    <n v="19"/>
  </r>
  <r>
    <d v="2020-06-03T00:00:00"/>
    <n v="6108"/>
    <s v="拌客（武宁路店）"/>
    <s v="337460136"/>
    <x v="4"/>
    <s v="上海"/>
    <s v="eleme"/>
    <x v="0"/>
    <s v="拌客·干拌麻辣烫(武宁路店)"/>
    <x v="302"/>
    <n v="3171.21"/>
    <n v="8917"/>
    <n v="677"/>
    <n v="203"/>
    <n v="2"/>
    <n v="201"/>
    <n v="8917"/>
    <n v="677"/>
    <n v="193"/>
    <n v="762.8"/>
    <n v="6710"/>
    <n v="397"/>
    <n v="5087"/>
    <n v="927"/>
  </r>
  <r>
    <d v="2020-06-03T00:00:00"/>
    <n v="4636"/>
    <s v="蛙小辣火锅杯（总账号）"/>
    <s v="2001104355"/>
    <x v="0"/>
    <s v="上海"/>
    <s v="eleme"/>
    <x v="0"/>
    <s v="蛙小辣·美蛙火锅杯麻辣烫(宝山店)"/>
    <x v="303"/>
    <n v="527.41"/>
    <n v="899"/>
    <n v="79"/>
    <n v="23"/>
    <n v="0"/>
    <n v="23"/>
    <n v="899"/>
    <n v="79"/>
    <n v="23"/>
    <n v="39.909999999999997"/>
    <n v="529"/>
    <n v="29"/>
    <n v="703"/>
    <n v="21"/>
  </r>
  <r>
    <d v="2020-06-03T00:00:00"/>
    <n v="4636"/>
    <s v="蛙小辣火锅杯（总账号）"/>
    <s v="8491999"/>
    <x v="0"/>
    <s v="上海"/>
    <s v="meituan"/>
    <x v="1"/>
    <s v="蛙小辣火锅杯（宝山店）"/>
    <x v="304"/>
    <n v="516.91"/>
    <n v="1177"/>
    <n v="107"/>
    <n v="21"/>
    <n v="0"/>
    <n v="21"/>
    <n v="1177"/>
    <n v="107"/>
    <n v="21"/>
    <n v="60"/>
    <n v="768"/>
    <n v="43"/>
    <n v="570"/>
    <n v="33"/>
  </r>
  <r>
    <d v="2020-06-04T00:00:00"/>
    <n v="6108"/>
    <s v="拌客（武宁路店）"/>
    <s v="337460136"/>
    <x v="4"/>
    <s v="上海"/>
    <s v="eleme"/>
    <x v="0"/>
    <s v="拌客·干拌麻辣烫(武宁路店)"/>
    <x v="305"/>
    <n v="3780.11"/>
    <n v="8976"/>
    <n v="683"/>
    <n v="233"/>
    <n v="1"/>
    <n v="232"/>
    <n v="8976"/>
    <n v="683"/>
    <n v="224"/>
    <n v="757.95"/>
    <n v="7178"/>
    <n v="377"/>
    <n v="5882"/>
    <n v="1111"/>
  </r>
  <r>
    <d v="2020-06-04T00:00:00"/>
    <n v="4636"/>
    <s v="蛙小辣火锅杯（总账号）"/>
    <s v="2001104355"/>
    <x v="0"/>
    <s v="上海"/>
    <s v="eleme"/>
    <x v="0"/>
    <s v="蛙小辣·美蛙火锅杯麻辣烫(宝山店)"/>
    <x v="306"/>
    <n v="497.41"/>
    <n v="965"/>
    <n v="85"/>
    <n v="23"/>
    <n v="0"/>
    <n v="23"/>
    <n v="965"/>
    <n v="85"/>
    <n v="23"/>
    <n v="47.35"/>
    <n v="590"/>
    <n v="35"/>
    <n v="736"/>
    <n v="17"/>
  </r>
  <r>
    <d v="2020-06-04T00:00:00"/>
    <n v="4636"/>
    <s v="蛙小辣火锅杯（总账号）"/>
    <s v="8491999"/>
    <x v="0"/>
    <s v="上海"/>
    <s v="meituan"/>
    <x v="1"/>
    <s v="蛙小辣火锅杯（宝山店）"/>
    <x v="307"/>
    <n v="688.33"/>
    <n v="1074"/>
    <n v="101"/>
    <n v="22"/>
    <n v="0"/>
    <n v="22"/>
    <n v="1074"/>
    <n v="101"/>
    <n v="22"/>
    <n v="60"/>
    <n v="664"/>
    <n v="44"/>
    <n v="623"/>
    <n v="36"/>
  </r>
  <r>
    <d v="2020-06-05T00:00:00"/>
    <n v="6108"/>
    <s v="拌客（武宁路店）"/>
    <s v="337460136"/>
    <x v="4"/>
    <s v="上海"/>
    <s v="eleme"/>
    <x v="0"/>
    <s v="拌客·干拌麻辣烫(武宁路店)"/>
    <x v="308"/>
    <n v="2518.89"/>
    <n v="8712"/>
    <n v="658"/>
    <n v="161"/>
    <n v="3"/>
    <n v="158"/>
    <n v="8712"/>
    <n v="658"/>
    <n v="153"/>
    <n v="574.72"/>
    <n v="5824"/>
    <n v="324"/>
    <n v="3962"/>
    <n v="419"/>
  </r>
  <r>
    <d v="2020-06-05T00:00:00"/>
    <n v="4636"/>
    <s v="蛙小辣火锅杯（总账号）"/>
    <s v="2001104355"/>
    <x v="0"/>
    <s v="上海"/>
    <s v="eleme"/>
    <x v="0"/>
    <s v="蛙小辣·美蛙火锅杯麻辣烫(宝山店)"/>
    <x v="309"/>
    <n v="789.29"/>
    <n v="1705"/>
    <n v="119"/>
    <n v="31"/>
    <n v="0"/>
    <n v="31"/>
    <n v="1705"/>
    <n v="119"/>
    <n v="31"/>
    <n v="47.34"/>
    <n v="745"/>
    <n v="35"/>
    <n v="996"/>
    <n v="20"/>
  </r>
  <r>
    <d v="2020-06-05T00:00:00"/>
    <n v="4636"/>
    <s v="蛙小辣火锅杯（总账号）"/>
    <s v="8491999"/>
    <x v="0"/>
    <s v="上海"/>
    <s v="meituan"/>
    <x v="1"/>
    <s v="蛙小辣火锅杯（宝山店）"/>
    <x v="310"/>
    <n v="477.78"/>
    <n v="1428"/>
    <n v="105"/>
    <n v="19"/>
    <n v="0"/>
    <n v="19"/>
    <n v="1428"/>
    <n v="105"/>
    <n v="19"/>
    <n v="54.63"/>
    <n v="864"/>
    <n v="37"/>
    <n v="545"/>
    <n v="30"/>
  </r>
  <r>
    <d v="2020-06-06T00:00:00"/>
    <n v="6108"/>
    <s v="拌客（武宁路店）"/>
    <s v="337460136"/>
    <x v="4"/>
    <s v="上海"/>
    <s v="eleme"/>
    <x v="0"/>
    <s v="拌客·干拌麻辣烫(武宁路店)"/>
    <x v="311"/>
    <n v="2815.73"/>
    <n v="8068"/>
    <n v="556"/>
    <n v="181"/>
    <n v="0"/>
    <n v="181"/>
    <n v="8068"/>
    <n v="556"/>
    <n v="174"/>
    <n v="445.5"/>
    <n v="4984"/>
    <n v="271"/>
    <n v="4724"/>
    <n v="864"/>
  </r>
  <r>
    <d v="2020-06-06T00:00:00"/>
    <n v="4636"/>
    <s v="蛙小辣火锅杯（总账号）"/>
    <s v="2001104355"/>
    <x v="0"/>
    <s v="上海"/>
    <s v="eleme"/>
    <x v="0"/>
    <s v="蛙小辣·美蛙火锅杯麻辣烫(宝山店)"/>
    <x v="312"/>
    <n v="615.12"/>
    <n v="1155"/>
    <n v="75"/>
    <n v="13"/>
    <n v="0"/>
    <n v="13"/>
    <n v="1155"/>
    <n v="75"/>
    <n v="13"/>
    <n v="35.92"/>
    <n v="513"/>
    <n v="26"/>
    <n v="420"/>
    <n v="6"/>
  </r>
  <r>
    <d v="2020-06-06T00:00:00"/>
    <n v="4636"/>
    <s v="蛙小辣火锅杯（总账号）"/>
    <s v="8491999"/>
    <x v="0"/>
    <s v="上海"/>
    <s v="meituan"/>
    <x v="1"/>
    <s v="蛙小辣火锅杯（宝山店）"/>
    <x v="313"/>
    <n v="483.71"/>
    <n v="1350"/>
    <n v="125"/>
    <n v="18"/>
    <n v="0"/>
    <n v="18"/>
    <n v="1350"/>
    <n v="125"/>
    <n v="17"/>
    <n v="60"/>
    <n v="833"/>
    <n v="44"/>
    <n v="519"/>
    <n v="33"/>
  </r>
  <r>
    <d v="2020-06-07T00:00:00"/>
    <n v="6108"/>
    <s v="拌客（武宁路店）"/>
    <s v="337460136"/>
    <x v="4"/>
    <s v="上海"/>
    <s v="eleme"/>
    <x v="0"/>
    <s v="拌客·干拌麻辣烫(武宁路店)"/>
    <x v="31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d v="2020-06-07T00:00:00"/>
    <n v="4636"/>
    <s v="蛙小辣火锅杯（总账号）"/>
    <s v="2001104355"/>
    <x v="0"/>
    <s v="上海"/>
    <s v="eleme"/>
    <x v="0"/>
    <s v="蛙小辣·美蛙火锅杯麻辣烫(宝山店)"/>
    <x v="315"/>
    <n v="468.53"/>
    <n v="1262"/>
    <n v="85"/>
    <n v="19"/>
    <n v="1"/>
    <n v="18"/>
    <n v="1262"/>
    <n v="85"/>
    <n v="18"/>
    <n v="45.6"/>
    <n v="765"/>
    <n v="34"/>
    <n v="575"/>
    <n v="11"/>
  </r>
  <r>
    <d v="2020-06-07T00:00:00"/>
    <n v="4636"/>
    <s v="蛙小辣火锅杯（总账号）"/>
    <s v="8491999"/>
    <x v="0"/>
    <s v="上海"/>
    <s v="meituan"/>
    <x v="1"/>
    <s v="蛙小辣火锅杯（宝山店）"/>
    <x v="316"/>
    <n v="155.09"/>
    <n v="1341"/>
    <n v="99"/>
    <n v="9"/>
    <n v="0"/>
    <n v="9"/>
    <n v="1341"/>
    <n v="99"/>
    <n v="9"/>
    <n v="70"/>
    <n v="1000"/>
    <n v="50"/>
    <n v="212"/>
    <n v="18"/>
  </r>
  <r>
    <d v="2020-06-08T00:00:00"/>
    <n v="6108"/>
    <s v="拌客（武宁路店）"/>
    <s v="337460136"/>
    <x v="4"/>
    <s v="上海"/>
    <s v="eleme"/>
    <x v="0"/>
    <s v="拌客·干拌麻辣烫(武宁路店)"/>
    <x v="317"/>
    <n v="2039.73"/>
    <n v="4937"/>
    <n v="388"/>
    <n v="152"/>
    <n v="2"/>
    <n v="150"/>
    <n v="4937"/>
    <n v="388"/>
    <n v="148"/>
    <n v="35.56"/>
    <n v="430"/>
    <n v="33"/>
    <n v="3767"/>
    <n v="693"/>
  </r>
  <r>
    <d v="2020-06-08T00:00:00"/>
    <n v="4636"/>
    <s v="蛙小辣火锅杯（总账号）"/>
    <s v="2001104355"/>
    <x v="0"/>
    <s v="上海"/>
    <s v="eleme"/>
    <x v="0"/>
    <s v="蛙小辣·美蛙火锅杯麻辣烫(宝山店)"/>
    <x v="318"/>
    <n v="398.4"/>
    <n v="920"/>
    <n v="64"/>
    <n v="20"/>
    <n v="0"/>
    <n v="20"/>
    <n v="920"/>
    <n v="64"/>
    <n v="20"/>
    <n v="42"/>
    <n v="464"/>
    <n v="30"/>
    <n v="591"/>
    <n v="22"/>
  </r>
  <r>
    <d v="2020-06-08T00:00:00"/>
    <n v="4636"/>
    <s v="蛙小辣火锅杯（总账号）"/>
    <s v="8491999"/>
    <x v="0"/>
    <s v="上海"/>
    <s v="meituan"/>
    <x v="1"/>
    <s v="蛙小辣火锅杯（宝山店）"/>
    <x v="319"/>
    <n v="280.52999999999997"/>
    <n v="1050"/>
    <n v="77"/>
    <n v="11"/>
    <n v="0"/>
    <n v="11"/>
    <n v="1050"/>
    <n v="77"/>
    <n v="11"/>
    <n v="50"/>
    <n v="640"/>
    <n v="35"/>
    <n v="316"/>
    <n v="26"/>
  </r>
  <r>
    <d v="2020-06-09T00:00:00"/>
    <n v="6108"/>
    <s v="拌客（武宁路店）"/>
    <s v="337460136"/>
    <x v="4"/>
    <s v="上海"/>
    <s v="eleme"/>
    <x v="0"/>
    <s v="拌客·干拌麻辣烫(武宁路店)"/>
    <x v="320"/>
    <n v="2574.5700000000002"/>
    <n v="6265"/>
    <n v="427"/>
    <n v="160"/>
    <n v="3"/>
    <n v="157"/>
    <n v="6265"/>
    <n v="427"/>
    <n v="149"/>
    <n v="90.88"/>
    <n v="1934"/>
    <n v="80"/>
    <n v="4035"/>
    <n v="728"/>
  </r>
  <r>
    <d v="2020-06-09T00:00:00"/>
    <n v="4636"/>
    <s v="蛙小辣火锅杯（总账号）"/>
    <s v="2001104355"/>
    <x v="0"/>
    <s v="上海"/>
    <s v="eleme"/>
    <x v="0"/>
    <s v="蛙小辣·美蛙火锅杯麻辣烫(宝山店)"/>
    <x v="321"/>
    <n v="414.5"/>
    <n v="853"/>
    <n v="64"/>
    <n v="16"/>
    <n v="0"/>
    <n v="16"/>
    <n v="853"/>
    <n v="64"/>
    <n v="15"/>
    <n v="23.25"/>
    <n v="236"/>
    <n v="17"/>
    <n v="489"/>
    <n v="11"/>
  </r>
  <r>
    <d v="2020-06-09T00:00:00"/>
    <n v="4636"/>
    <s v="蛙小辣火锅杯（总账号）"/>
    <s v="8491999"/>
    <x v="0"/>
    <s v="上海"/>
    <s v="meituan"/>
    <x v="1"/>
    <s v="蛙小辣火锅杯（宝山店）"/>
    <x v="322"/>
    <n v="359.41"/>
    <n v="1008"/>
    <n v="77"/>
    <n v="15"/>
    <n v="0"/>
    <n v="15"/>
    <n v="1008"/>
    <n v="77"/>
    <n v="15"/>
    <n v="31.8"/>
    <n v="563"/>
    <n v="22"/>
    <n v="440"/>
    <n v="26"/>
  </r>
  <r>
    <d v="2020-06-10T00:00:00"/>
    <n v="6108"/>
    <s v="拌客（武宁路店）"/>
    <s v="337460136"/>
    <x v="4"/>
    <s v="上海"/>
    <s v="eleme"/>
    <x v="0"/>
    <s v="拌客·干拌麻辣烫(武宁路店)"/>
    <x v="323"/>
    <n v="2418.73"/>
    <n v="6280"/>
    <n v="446"/>
    <n v="160"/>
    <n v="2"/>
    <n v="158"/>
    <n v="6280"/>
    <n v="446"/>
    <n v="151"/>
    <n v="25.99"/>
    <n v="373"/>
    <n v="29"/>
    <n v="4031"/>
    <n v="728"/>
  </r>
  <r>
    <d v="2020-06-10T00:00:00"/>
    <n v="4636"/>
    <s v="蛙小辣火锅杯（总账号）"/>
    <s v="2001104355"/>
    <x v="0"/>
    <s v="上海"/>
    <s v="eleme"/>
    <x v="0"/>
    <s v="蛙小辣·美蛙火锅杯麻辣烫(宝山店)"/>
    <x v="324"/>
    <n v="436.96"/>
    <n v="1043"/>
    <n v="87"/>
    <n v="18"/>
    <n v="0"/>
    <n v="18"/>
    <n v="1043"/>
    <n v="87"/>
    <n v="16"/>
    <n v="39.69"/>
    <n v="266"/>
    <n v="31"/>
    <n v="566"/>
    <n v="27"/>
  </r>
  <r>
    <d v="2020-06-11T00:00:00"/>
    <n v="6108"/>
    <s v="拌客（武宁路店）"/>
    <s v="337460136"/>
    <x v="4"/>
    <s v="上海"/>
    <s v="eleme"/>
    <x v="0"/>
    <s v="拌客·干拌麻辣烫(武宁路店)"/>
    <x v="325"/>
    <n v="2091.0500000000002"/>
    <n v="5873"/>
    <n v="449"/>
    <n v="142"/>
    <n v="1"/>
    <n v="141"/>
    <n v="5873"/>
    <n v="449"/>
    <n v="137"/>
    <n v="12.9"/>
    <n v="302"/>
    <n v="15"/>
    <n v="3772"/>
    <n v="455"/>
  </r>
  <r>
    <d v="2020-06-11T00:00:00"/>
    <n v="4636"/>
    <s v="蛙小辣火锅杯（总账号）"/>
    <s v="2001104355"/>
    <x v="0"/>
    <s v="上海"/>
    <s v="eleme"/>
    <x v="0"/>
    <s v="蛙小辣·美蛙火锅杯麻辣烫(宝山店)"/>
    <x v="326"/>
    <n v="421.56"/>
    <n v="869"/>
    <n v="77"/>
    <n v="17"/>
    <n v="0"/>
    <n v="17"/>
    <n v="869"/>
    <n v="77"/>
    <n v="17"/>
    <n v="42.29"/>
    <n v="315"/>
    <n v="32"/>
    <n v="549"/>
    <n v="17"/>
  </r>
  <r>
    <d v="2020-06-12T00:00:00"/>
    <n v="6108"/>
    <s v="拌客（武宁路店）"/>
    <s v="337460136"/>
    <x v="4"/>
    <s v="上海"/>
    <s v="eleme"/>
    <x v="0"/>
    <s v="拌客·干拌麻辣烫(武宁路店)"/>
    <x v="327"/>
    <n v="2261.35"/>
    <n v="4731"/>
    <n v="509"/>
    <n v="164"/>
    <n v="4"/>
    <n v="160"/>
    <n v="4731"/>
    <n v="509"/>
    <n v="155"/>
    <n v="27.8"/>
    <n v="459"/>
    <n v="33"/>
    <n v="4299"/>
    <n v="205"/>
  </r>
  <r>
    <d v="2020-06-12T00:00:00"/>
    <n v="4636"/>
    <s v="蛙小辣火锅杯（总账号）"/>
    <s v="2001104355"/>
    <x v="0"/>
    <s v="上海"/>
    <s v="eleme"/>
    <x v="0"/>
    <s v="蛙小辣·美蛙火锅杯麻辣烫(宝山店)"/>
    <x v="328"/>
    <n v="393.68"/>
    <n v="772"/>
    <n v="80"/>
    <n v="17"/>
    <n v="0"/>
    <n v="17"/>
    <n v="772"/>
    <n v="80"/>
    <n v="17"/>
    <n v="35.14"/>
    <n v="315"/>
    <n v="27"/>
    <n v="549"/>
    <n v="23"/>
  </r>
  <r>
    <d v="2020-06-12T00:00:00"/>
    <n v="4636"/>
    <s v="蛙小辣火锅杯（总账号）"/>
    <s v="8491999"/>
    <x v="0"/>
    <s v="上海"/>
    <s v="meituan"/>
    <x v="1"/>
    <s v="蛙小辣火锅杯（宝山店）"/>
    <x v="329"/>
    <n v="547.78"/>
    <n v="983"/>
    <n v="91"/>
    <n v="23"/>
    <n v="0"/>
    <n v="23"/>
    <n v="983"/>
    <n v="91"/>
    <n v="22"/>
    <n v="40.32"/>
    <n v="577"/>
    <n v="34"/>
    <n v="629"/>
    <n v="89"/>
  </r>
  <r>
    <d v="2020-06-13T00:00:00"/>
    <n v="6108"/>
    <s v="拌客（武宁路店）"/>
    <s v="337460136"/>
    <x v="4"/>
    <s v="上海"/>
    <s v="eleme"/>
    <x v="0"/>
    <s v="拌客·干拌麻辣烫(武宁路店)"/>
    <x v="330"/>
    <n v="1669.01"/>
    <n v="6939"/>
    <n v="410"/>
    <n v="116"/>
    <n v="3"/>
    <n v="113"/>
    <n v="6939"/>
    <n v="410"/>
    <n v="108"/>
    <n v="22.96"/>
    <n v="498"/>
    <n v="25"/>
    <n v="3104"/>
    <n v="165"/>
  </r>
  <r>
    <d v="2020-06-13T00:00:00"/>
    <n v="4636"/>
    <s v="蛙小辣火锅杯（总账号）"/>
    <s v="2001104355"/>
    <x v="0"/>
    <s v="上海"/>
    <s v="eleme"/>
    <x v="0"/>
    <s v="蛙小辣·美蛙火锅杯麻辣烫(宝山店)"/>
    <x v="331"/>
    <n v="265.33999999999997"/>
    <n v="1230"/>
    <n v="70"/>
    <n v="10"/>
    <n v="0"/>
    <n v="10"/>
    <n v="1230"/>
    <n v="70"/>
    <n v="10"/>
    <n v="32.81"/>
    <n v="501"/>
    <n v="24"/>
    <n v="356"/>
    <n v="14"/>
  </r>
  <r>
    <d v="2020-06-13T00:00:00"/>
    <n v="4636"/>
    <s v="蛙小辣火锅杯（总账号）"/>
    <s v="8491999"/>
    <x v="0"/>
    <s v="上海"/>
    <s v="meituan"/>
    <x v="1"/>
    <s v="蛙小辣火锅杯（宝山店）"/>
    <x v="332"/>
    <n v="496.7"/>
    <n v="1208"/>
    <n v="92"/>
    <n v="22"/>
    <n v="0"/>
    <n v="22"/>
    <n v="1208"/>
    <n v="92"/>
    <n v="22"/>
    <n v="47.59"/>
    <n v="828"/>
    <n v="40"/>
    <n v="623"/>
    <n v="48"/>
  </r>
  <r>
    <d v="2020-06-14T00:00:00"/>
    <n v="6108"/>
    <s v="拌客（武宁路店）"/>
    <s v="337460136"/>
    <x v="4"/>
    <s v="上海"/>
    <s v="eleme"/>
    <x v="0"/>
    <s v="拌客·干拌麻辣烫(武宁路店)"/>
    <x v="333"/>
    <n v="1694.15"/>
    <n v="6552"/>
    <n v="433"/>
    <n v="123"/>
    <n v="3"/>
    <n v="120"/>
    <n v="6552"/>
    <n v="433"/>
    <n v="118"/>
    <n v="23.59"/>
    <n v="502"/>
    <n v="27"/>
    <n v="3267"/>
    <n v="176"/>
  </r>
  <r>
    <d v="2020-06-14T00:00:00"/>
    <n v="4636"/>
    <s v="蛙小辣火锅杯（总账号）"/>
    <s v="2001104355"/>
    <x v="0"/>
    <s v="上海"/>
    <s v="eleme"/>
    <x v="0"/>
    <s v="蛙小辣·美蛙火锅杯麻辣烫(宝山店)"/>
    <x v="334"/>
    <n v="365.33"/>
    <n v="1122"/>
    <n v="83"/>
    <n v="14"/>
    <n v="0"/>
    <n v="14"/>
    <n v="1122"/>
    <n v="83"/>
    <n v="13"/>
    <n v="35"/>
    <n v="519"/>
    <n v="25"/>
    <n v="465"/>
    <n v="24"/>
  </r>
  <r>
    <d v="2020-06-14T00:00:00"/>
    <n v="4636"/>
    <s v="蛙小辣火锅杯（总账号）"/>
    <s v="8491999"/>
    <x v="0"/>
    <s v="上海"/>
    <s v="meituan"/>
    <x v="1"/>
    <s v="蛙小辣火锅杯（宝山店）"/>
    <x v="335"/>
    <n v="401.97"/>
    <n v="1112"/>
    <n v="100"/>
    <n v="16"/>
    <n v="1"/>
    <n v="15"/>
    <n v="1112"/>
    <n v="100"/>
    <n v="14"/>
    <n v="49.99"/>
    <n v="586"/>
    <n v="41"/>
    <n v="425"/>
    <n v="41"/>
  </r>
  <r>
    <d v="2020-06-15T00:00:00"/>
    <n v="6108"/>
    <s v="拌客（武宁路店）"/>
    <s v="337460136"/>
    <x v="4"/>
    <s v="上海"/>
    <s v="eleme"/>
    <x v="0"/>
    <s v="拌客·干拌麻辣烫(武宁路店)"/>
    <x v="336"/>
    <n v="1830.73"/>
    <n v="7294"/>
    <n v="564"/>
    <n v="138"/>
    <n v="11"/>
    <n v="127"/>
    <n v="7294"/>
    <n v="564"/>
    <n v="127"/>
    <n v="28.61"/>
    <n v="615"/>
    <n v="34"/>
    <n v="3499"/>
    <n v="181"/>
  </r>
  <r>
    <d v="2020-06-15T00:00:00"/>
    <n v="4636"/>
    <s v="蛙小辣火锅杯（总账号）"/>
    <s v="2001104355"/>
    <x v="0"/>
    <s v="上海"/>
    <s v="eleme"/>
    <x v="0"/>
    <s v="蛙小辣·美蛙火锅杯麻辣烫(宝山店)"/>
    <x v="337"/>
    <n v="379.9"/>
    <n v="1440"/>
    <n v="76"/>
    <n v="17"/>
    <n v="0"/>
    <n v="17"/>
    <n v="1440"/>
    <n v="76"/>
    <n v="15"/>
    <n v="35"/>
    <n v="748"/>
    <n v="25"/>
    <n v="550"/>
    <n v="18"/>
  </r>
  <r>
    <d v="2020-06-15T00:00:00"/>
    <n v="4636"/>
    <s v="蛙小辣火锅杯（总账号）"/>
    <s v="8491999"/>
    <x v="0"/>
    <s v="上海"/>
    <s v="meituan"/>
    <x v="1"/>
    <s v="蛙小辣火锅杯（宝山店）"/>
    <x v="338"/>
    <n v="501.51"/>
    <n v="1488"/>
    <n v="108"/>
    <n v="21"/>
    <n v="0"/>
    <n v="21"/>
    <n v="1488"/>
    <n v="108"/>
    <n v="21"/>
    <n v="49.99"/>
    <n v="940"/>
    <n v="41"/>
    <n v="562"/>
    <n v="58"/>
  </r>
  <r>
    <d v="2020-06-16T00:00:00"/>
    <n v="6108"/>
    <s v="拌客（武宁路店）"/>
    <s v="337460136"/>
    <x v="4"/>
    <s v="上海"/>
    <s v="eleme"/>
    <x v="0"/>
    <s v="拌客·干拌麻辣烫(武宁路店)"/>
    <x v="339"/>
    <n v="1912.97"/>
    <n v="6561"/>
    <n v="465"/>
    <n v="133"/>
    <n v="2"/>
    <n v="131"/>
    <n v="6561"/>
    <n v="465"/>
    <n v="129"/>
    <n v="3.2"/>
    <n v="155"/>
    <n v="4"/>
    <n v="3626"/>
    <n v="203"/>
  </r>
  <r>
    <d v="2020-06-16T00:00:00"/>
    <n v="4636"/>
    <s v="蛙小辣火锅杯（总账号）"/>
    <s v="2001104355"/>
    <x v="0"/>
    <s v="上海"/>
    <s v="eleme"/>
    <x v="0"/>
    <s v="蛙小辣·美蛙火锅杯麻辣烫(宝山店)"/>
    <x v="340"/>
    <n v="461.88"/>
    <n v="999"/>
    <n v="74"/>
    <n v="19"/>
    <n v="0"/>
    <n v="19"/>
    <n v="999"/>
    <n v="74"/>
    <n v="19"/>
    <n v="29.4"/>
    <n v="327"/>
    <n v="21"/>
    <n v="644"/>
    <n v="21"/>
  </r>
  <r>
    <d v="2020-06-16T00:00:00"/>
    <n v="4636"/>
    <s v="蛙小辣火锅杯（总账号）"/>
    <s v="8491999"/>
    <x v="0"/>
    <s v="上海"/>
    <s v="meituan"/>
    <x v="1"/>
    <s v="蛙小辣火锅杯（宝山店）"/>
    <x v="341"/>
    <n v="394.37"/>
    <n v="1109"/>
    <n v="86"/>
    <n v="20"/>
    <n v="0"/>
    <n v="20"/>
    <n v="1109"/>
    <n v="86"/>
    <n v="19"/>
    <n v="42.95"/>
    <n v="670"/>
    <n v="34"/>
    <n v="521"/>
    <n v="50"/>
  </r>
  <r>
    <d v="2020-06-17T00:00:00"/>
    <n v="6108"/>
    <s v="拌客（武宁路店）"/>
    <s v="337460136"/>
    <x v="4"/>
    <s v="上海"/>
    <s v="eleme"/>
    <x v="0"/>
    <s v="拌客·干拌麻辣烫(武宁路店)"/>
    <x v="342"/>
    <n v="2220.77"/>
    <n v="7233"/>
    <n v="473"/>
    <n v="158"/>
    <n v="4"/>
    <n v="154"/>
    <n v="7233"/>
    <n v="473"/>
    <n v="152"/>
    <n v="3.66"/>
    <n v="80"/>
    <n v="5"/>
    <n v="4136"/>
    <n v="213"/>
  </r>
  <r>
    <d v="2020-06-17T00:00:00"/>
    <n v="4636"/>
    <s v="蛙小辣火锅杯（总账号）"/>
    <s v="2001104355"/>
    <x v="0"/>
    <s v="上海"/>
    <s v="eleme"/>
    <x v="0"/>
    <s v="蛙小辣·美蛙火锅杯麻辣烫(宝山店)"/>
    <x v="343"/>
    <n v="485.5"/>
    <n v="832"/>
    <n v="58"/>
    <n v="20"/>
    <n v="0"/>
    <n v="20"/>
    <n v="832"/>
    <n v="58"/>
    <n v="20"/>
    <n v="18.88"/>
    <n v="209"/>
    <n v="15"/>
    <n v="634"/>
    <n v="30"/>
  </r>
  <r>
    <d v="2020-06-17T00:00:00"/>
    <n v="4636"/>
    <s v="蛙小辣火锅杯（总账号）"/>
    <s v="8491999"/>
    <x v="0"/>
    <s v="上海"/>
    <s v="meituan"/>
    <x v="1"/>
    <s v="蛙小辣火锅杯（宝山店）"/>
    <x v="344"/>
    <n v="238.08"/>
    <n v="1187"/>
    <n v="81"/>
    <n v="12"/>
    <n v="0"/>
    <n v="12"/>
    <n v="1187"/>
    <n v="81"/>
    <n v="12"/>
    <n v="50"/>
    <n v="874"/>
    <n v="37"/>
    <n v="320"/>
    <n v="26"/>
  </r>
  <r>
    <d v="2020-06-18T00:00:00"/>
    <n v="6108"/>
    <s v="拌客（武宁路店）"/>
    <s v="337460136"/>
    <x v="4"/>
    <s v="上海"/>
    <s v="eleme"/>
    <x v="0"/>
    <s v="拌客·干拌麻辣烫(武宁路店)"/>
    <x v="345"/>
    <n v="1885.89"/>
    <n v="6786"/>
    <n v="485"/>
    <n v="149"/>
    <n v="5"/>
    <n v="144"/>
    <n v="6786"/>
    <n v="485"/>
    <n v="139"/>
    <n v="4"/>
    <n v="79"/>
    <n v="5"/>
    <n v="4038"/>
    <n v="230"/>
  </r>
  <r>
    <d v="2020-06-18T00:00:00"/>
    <n v="4636"/>
    <s v="蛙小辣火锅杯（总账号）"/>
    <s v="2001104355"/>
    <x v="0"/>
    <s v="上海"/>
    <s v="eleme"/>
    <x v="0"/>
    <s v="蛙小辣·美蛙火锅杯麻辣烫(宝山店)"/>
    <x v="346"/>
    <n v="431.14"/>
    <n v="914"/>
    <n v="57"/>
    <n v="17"/>
    <n v="0"/>
    <n v="17"/>
    <n v="914"/>
    <n v="57"/>
    <n v="17"/>
    <n v="28.15"/>
    <n v="349"/>
    <n v="21"/>
    <n v="578"/>
    <n v="24"/>
  </r>
  <r>
    <d v="2020-06-18T00:00:00"/>
    <n v="4636"/>
    <s v="蛙小辣火锅杯（总账号）"/>
    <s v="8491999"/>
    <x v="0"/>
    <s v="上海"/>
    <s v="meituan"/>
    <x v="1"/>
    <s v="蛙小辣火锅杯（宝山店）"/>
    <x v="347"/>
    <n v="265.82"/>
    <n v="1275"/>
    <n v="95"/>
    <n v="14"/>
    <n v="0"/>
    <n v="14"/>
    <n v="1275"/>
    <n v="95"/>
    <n v="14"/>
    <n v="50"/>
    <n v="674"/>
    <n v="36"/>
    <n v="386"/>
    <n v="32"/>
  </r>
  <r>
    <d v="2020-06-19T00:00:00"/>
    <n v="6108"/>
    <s v="拌客（武宁路店）"/>
    <s v="337460136"/>
    <x v="4"/>
    <s v="上海"/>
    <s v="eleme"/>
    <x v="0"/>
    <s v="拌客·干拌麻辣烫(武宁路店)"/>
    <x v="348"/>
    <n v="2301.64"/>
    <n v="6766"/>
    <n v="473"/>
    <n v="158"/>
    <n v="4"/>
    <n v="154"/>
    <n v="6766"/>
    <n v="473"/>
    <n v="151"/>
    <n v="11.81"/>
    <n v="150"/>
    <n v="16"/>
    <n v="4009"/>
    <n v="175"/>
  </r>
  <r>
    <d v="2020-06-19T00:00:00"/>
    <n v="4636"/>
    <s v="蛙小辣火锅杯（总账号）"/>
    <s v="2001104355"/>
    <x v="0"/>
    <s v="上海"/>
    <s v="eleme"/>
    <x v="0"/>
    <s v="蛙小辣·美蛙火锅杯麻辣烫(宝山店)"/>
    <x v="349"/>
    <n v="302.72000000000003"/>
    <n v="933"/>
    <n v="70"/>
    <n v="12"/>
    <n v="0"/>
    <n v="12"/>
    <n v="933"/>
    <n v="70"/>
    <n v="12"/>
    <n v="23.53"/>
    <n v="223"/>
    <n v="17"/>
    <n v="395"/>
    <n v="23"/>
  </r>
  <r>
    <d v="2020-06-19T00:00:00"/>
    <n v="4636"/>
    <s v="蛙小辣火锅杯（总账号）"/>
    <s v="8491999"/>
    <x v="0"/>
    <s v="上海"/>
    <s v="meituan"/>
    <x v="1"/>
    <s v="蛙小辣火锅杯（宝山店）"/>
    <x v="350"/>
    <n v="563.01"/>
    <n v="982"/>
    <n v="89"/>
    <n v="19"/>
    <n v="0"/>
    <n v="19"/>
    <n v="982"/>
    <n v="89"/>
    <n v="19"/>
    <n v="38.799999999999997"/>
    <n v="510"/>
    <n v="27"/>
    <n v="642"/>
    <n v="41"/>
  </r>
  <r>
    <d v="2020-06-20T00:00:00"/>
    <n v="6108"/>
    <s v="拌客（武宁路店）"/>
    <s v="337460136"/>
    <x v="4"/>
    <s v="上海"/>
    <s v="eleme"/>
    <x v="0"/>
    <s v="拌客·干拌麻辣烫(武宁路店)"/>
    <x v="351"/>
    <n v="1713.34"/>
    <n v="6295"/>
    <n v="365"/>
    <n v="105"/>
    <n v="2"/>
    <n v="103"/>
    <n v="6295"/>
    <n v="365"/>
    <n v="98"/>
    <n v="6.6"/>
    <n v="217"/>
    <n v="10"/>
    <n v="2762"/>
    <n v="133"/>
  </r>
  <r>
    <d v="2020-06-20T00:00:00"/>
    <n v="4636"/>
    <s v="蛙小辣火锅杯（总账号）"/>
    <s v="2001104355"/>
    <x v="0"/>
    <s v="上海"/>
    <s v="eleme"/>
    <x v="0"/>
    <s v="蛙小辣·美蛙火锅杯麻辣烫(宝山店)"/>
    <x v="352"/>
    <n v="306.85000000000002"/>
    <n v="1143"/>
    <n v="82"/>
    <n v="16"/>
    <n v="0"/>
    <n v="16"/>
    <n v="1143"/>
    <n v="82"/>
    <n v="15"/>
    <n v="42.81"/>
    <n v="423"/>
    <n v="32"/>
    <n v="482"/>
    <n v="13"/>
  </r>
  <r>
    <d v="2020-06-20T00:00:00"/>
    <n v="4636"/>
    <s v="蛙小辣火锅杯（总账号）"/>
    <s v="8491999"/>
    <x v="0"/>
    <s v="上海"/>
    <s v="meituan"/>
    <x v="1"/>
    <s v="蛙小辣火锅杯（宝山店）"/>
    <x v="353"/>
    <n v="343.55"/>
    <n v="993"/>
    <n v="79"/>
    <n v="15"/>
    <n v="0"/>
    <n v="15"/>
    <n v="993"/>
    <n v="79"/>
    <n v="15"/>
    <n v="50"/>
    <n v="638"/>
    <n v="36"/>
    <n v="423"/>
    <n v="32"/>
  </r>
  <r>
    <d v="2020-06-21T00:00:00"/>
    <n v="6108"/>
    <s v="拌客（武宁路店）"/>
    <s v="337460136"/>
    <x v="4"/>
    <s v="上海"/>
    <s v="eleme"/>
    <x v="0"/>
    <s v="拌客·干拌麻辣烫(武宁路店)"/>
    <x v="354"/>
    <n v="1477.41"/>
    <n v="6754"/>
    <n v="377"/>
    <n v="89"/>
    <n v="1"/>
    <n v="88"/>
    <n v="6754"/>
    <n v="377"/>
    <n v="85"/>
    <n v="11.76"/>
    <n v="229"/>
    <n v="17"/>
    <n v="2334"/>
    <n v="91"/>
  </r>
  <r>
    <d v="2020-06-21T00:00:00"/>
    <n v="4636"/>
    <s v="蛙小辣火锅杯（总账号）"/>
    <s v="2001104355"/>
    <x v="0"/>
    <s v="上海"/>
    <s v="eleme"/>
    <x v="0"/>
    <s v="蛙小辣·美蛙火锅杯麻辣烫(宝山店)"/>
    <x v="355"/>
    <n v="239.11"/>
    <n v="1287"/>
    <n v="73"/>
    <n v="11"/>
    <n v="0"/>
    <n v="11"/>
    <n v="1287"/>
    <n v="73"/>
    <n v="11"/>
    <n v="42.68"/>
    <n v="617"/>
    <n v="32"/>
    <n v="317"/>
    <n v="12"/>
  </r>
  <r>
    <d v="2020-06-21T00:00:00"/>
    <n v="4636"/>
    <s v="蛙小辣火锅杯（总账号）"/>
    <s v="8491999"/>
    <x v="0"/>
    <s v="上海"/>
    <s v="meituan"/>
    <x v="1"/>
    <s v="蛙小辣火锅杯（宝山店）"/>
    <x v="356"/>
    <n v="151.28"/>
    <n v="887"/>
    <n v="79"/>
    <n v="6"/>
    <n v="0"/>
    <n v="6"/>
    <n v="887"/>
    <n v="79"/>
    <n v="6"/>
    <n v="50"/>
    <n v="543"/>
    <n v="37"/>
    <n v="185"/>
    <n v="21"/>
  </r>
  <r>
    <d v="2020-06-22T00:00:00"/>
    <n v="6108"/>
    <s v="拌客（武宁路店）"/>
    <s v="337460136"/>
    <x v="4"/>
    <s v="上海"/>
    <s v="eleme"/>
    <x v="0"/>
    <s v="拌客·干拌麻辣烫(武宁路店)"/>
    <x v="357"/>
    <n v="1660.31"/>
    <n v="6037"/>
    <n v="403"/>
    <n v="109"/>
    <n v="0"/>
    <n v="109"/>
    <n v="6037"/>
    <n v="403"/>
    <n v="109"/>
    <n v="4.7"/>
    <n v="109"/>
    <n v="6"/>
    <n v="2853"/>
    <n v="116"/>
  </r>
  <r>
    <d v="2020-06-22T00:00:00"/>
    <n v="4636"/>
    <s v="蛙小辣火锅杯（总账号）"/>
    <s v="2001104355"/>
    <x v="0"/>
    <s v="上海"/>
    <s v="eleme"/>
    <x v="0"/>
    <s v="蛙小辣·美蛙火锅杯麻辣烫(宝山店)"/>
    <x v="358"/>
    <n v="265.52999999999997"/>
    <n v="880"/>
    <n v="56"/>
    <n v="12"/>
    <n v="0"/>
    <n v="12"/>
    <n v="880"/>
    <n v="56"/>
    <n v="12"/>
    <n v="11.92"/>
    <n v="232"/>
    <n v="9"/>
    <n v="391"/>
    <n v="13"/>
  </r>
  <r>
    <d v="2020-06-22T00:00:00"/>
    <n v="4636"/>
    <s v="蛙小辣火锅杯（总账号）"/>
    <s v="8491999"/>
    <x v="0"/>
    <s v="上海"/>
    <s v="meituan"/>
    <x v="1"/>
    <s v="蛙小辣火锅杯（宝山店）"/>
    <x v="359"/>
    <n v="274.97000000000003"/>
    <n v="646"/>
    <n v="60"/>
    <n v="15"/>
    <n v="0"/>
    <n v="15"/>
    <n v="646"/>
    <n v="60"/>
    <n v="15"/>
    <n v="23.62"/>
    <n v="349"/>
    <n v="17"/>
    <n v="381"/>
    <n v="30"/>
  </r>
  <r>
    <d v="2020-06-23T00:00:00"/>
    <n v="6108"/>
    <s v="拌客（武宁路店）"/>
    <s v="337460136"/>
    <x v="4"/>
    <s v="上海"/>
    <s v="eleme"/>
    <x v="0"/>
    <s v="拌客·干拌麻辣烫(武宁路店)"/>
    <x v="360"/>
    <n v="2063.2399999999998"/>
    <n v="6168"/>
    <n v="405"/>
    <n v="120"/>
    <n v="0"/>
    <n v="120"/>
    <n v="6168"/>
    <n v="405"/>
    <n v="118"/>
    <n v="60.32"/>
    <n v="822"/>
    <n v="46"/>
    <n v="3211"/>
    <n v="129"/>
  </r>
  <r>
    <d v="2020-06-23T00:00:00"/>
    <n v="4636"/>
    <s v="蛙小辣火锅杯（总账号）"/>
    <s v="2001104355"/>
    <x v="0"/>
    <s v="上海"/>
    <s v="eleme"/>
    <x v="0"/>
    <s v="蛙小辣·美蛙火锅杯麻辣烫(宝山店)"/>
    <x v="361"/>
    <n v="167.6"/>
    <n v="899"/>
    <n v="62"/>
    <n v="11"/>
    <n v="0"/>
    <n v="11"/>
    <n v="899"/>
    <n v="62"/>
    <n v="11"/>
    <n v="21.86"/>
    <n v="395"/>
    <n v="17"/>
    <n v="328"/>
    <n v="11"/>
  </r>
  <r>
    <d v="2020-06-23T00:00:00"/>
    <n v="4636"/>
    <s v="蛙小辣火锅杯（总账号）"/>
    <s v="8491999"/>
    <x v="0"/>
    <s v="上海"/>
    <s v="meituan"/>
    <x v="1"/>
    <s v="蛙小辣火锅杯（宝山店）"/>
    <x v="362"/>
    <n v="344.4"/>
    <n v="691"/>
    <n v="70"/>
    <n v="15"/>
    <n v="0"/>
    <n v="15"/>
    <n v="691"/>
    <n v="70"/>
    <n v="15"/>
    <n v="40.97"/>
    <n v="424"/>
    <n v="29"/>
    <n v="412"/>
    <n v="38"/>
  </r>
  <r>
    <d v="2020-06-24T00:00:00"/>
    <n v="6108"/>
    <s v="拌客（武宁路店）"/>
    <s v="337460136"/>
    <x v="4"/>
    <s v="上海"/>
    <s v="eleme"/>
    <x v="0"/>
    <s v="拌客·干拌麻辣烫(武宁路店)"/>
    <x v="363"/>
    <n v="2056.5"/>
    <n v="6226"/>
    <n v="416"/>
    <n v="124"/>
    <n v="2"/>
    <n v="122"/>
    <n v="6226"/>
    <n v="416"/>
    <n v="120"/>
    <n v="109.3"/>
    <n v="1098"/>
    <n v="66"/>
    <n v="3286"/>
    <n v="114"/>
  </r>
  <r>
    <d v="2020-06-24T00:00:00"/>
    <n v="4636"/>
    <s v="蛙小辣火锅杯（总账号）"/>
    <s v="2001104355"/>
    <x v="0"/>
    <s v="上海"/>
    <s v="eleme"/>
    <x v="0"/>
    <s v="蛙小辣·美蛙火锅杯麻辣烫(宝山店)"/>
    <x v="364"/>
    <n v="334.27"/>
    <n v="839"/>
    <n v="49"/>
    <n v="12"/>
    <n v="0"/>
    <n v="12"/>
    <n v="839"/>
    <n v="49"/>
    <n v="12"/>
    <n v="27.5"/>
    <n v="338"/>
    <n v="19"/>
    <n v="406"/>
    <n v="16"/>
  </r>
  <r>
    <d v="2020-06-24T00:00:00"/>
    <n v="4636"/>
    <s v="蛙小辣火锅杯（总账号）"/>
    <s v="8491999"/>
    <x v="0"/>
    <s v="上海"/>
    <s v="meituan"/>
    <x v="1"/>
    <s v="蛙小辣火锅杯（宝山店）"/>
    <x v="365"/>
    <n v="268.26"/>
    <n v="813"/>
    <n v="63"/>
    <n v="15"/>
    <n v="0"/>
    <n v="15"/>
    <n v="813"/>
    <n v="63"/>
    <n v="13"/>
    <n v="50"/>
    <n v="582"/>
    <n v="34"/>
    <n v="445"/>
    <n v="34"/>
  </r>
  <r>
    <d v="2020-06-25T00:00:00"/>
    <n v="6108"/>
    <s v="拌客（武宁路店）"/>
    <s v="337460136"/>
    <x v="4"/>
    <s v="上海"/>
    <s v="eleme"/>
    <x v="0"/>
    <s v="拌客·干拌麻辣烫(武宁路店)"/>
    <x v="366"/>
    <n v="1230.3599999999999"/>
    <n v="5976"/>
    <n v="314"/>
    <n v="80"/>
    <n v="3"/>
    <n v="77"/>
    <n v="5976"/>
    <n v="314"/>
    <n v="77"/>
    <n v="102.09"/>
    <n v="1157"/>
    <n v="60"/>
    <n v="2057"/>
    <n v="74"/>
  </r>
  <r>
    <d v="2020-06-25T00:00:00"/>
    <n v="4636"/>
    <s v="蛙小辣火锅杯（总账号）"/>
    <s v="2001104355"/>
    <x v="0"/>
    <s v="上海"/>
    <s v="eleme"/>
    <x v="0"/>
    <s v="蛙小辣·美蛙火锅杯麻辣烫(宝山店)"/>
    <x v="367"/>
    <n v="577.77"/>
    <n v="1617"/>
    <n v="95"/>
    <n v="21"/>
    <n v="0"/>
    <n v="21"/>
    <n v="1617"/>
    <n v="95"/>
    <n v="21"/>
    <n v="38.47"/>
    <n v="464"/>
    <n v="27"/>
    <n v="713"/>
    <n v="12"/>
  </r>
  <r>
    <d v="2020-06-25T00:00:00"/>
    <n v="4636"/>
    <s v="蛙小辣火锅杯（总账号）"/>
    <s v="8491999"/>
    <x v="0"/>
    <s v="上海"/>
    <s v="meituan"/>
    <x v="1"/>
    <s v="蛙小辣火锅杯（宝山店）"/>
    <x v="368"/>
    <n v="302.02999999999997"/>
    <n v="892"/>
    <n v="76"/>
    <n v="17"/>
    <n v="1"/>
    <n v="16"/>
    <n v="892"/>
    <n v="76"/>
    <n v="17"/>
    <n v="39.64"/>
    <n v="377"/>
    <n v="23"/>
    <n v="455"/>
    <n v="45"/>
  </r>
  <r>
    <d v="2020-06-26T00:00:00"/>
    <n v="6108"/>
    <s v="拌客（武宁路店）"/>
    <s v="337460136"/>
    <x v="4"/>
    <s v="上海"/>
    <s v="eleme"/>
    <x v="0"/>
    <s v="拌客·干拌麻辣烫(武宁路店)"/>
    <x v="369"/>
    <n v="1400.57"/>
    <n v="5672"/>
    <n v="316"/>
    <n v="76"/>
    <n v="0"/>
    <n v="76"/>
    <n v="5672"/>
    <n v="316"/>
    <n v="74"/>
    <n v="114.35"/>
    <n v="1588"/>
    <n v="67"/>
    <n v="2106"/>
    <n v="88"/>
  </r>
  <r>
    <d v="2020-06-26T00:00:00"/>
    <n v="4636"/>
    <s v="蛙小辣火锅杯（总账号）"/>
    <s v="2001104355"/>
    <x v="0"/>
    <s v="上海"/>
    <s v="eleme"/>
    <x v="0"/>
    <s v="蛙小辣·美蛙火锅杯麻辣烫(宝山店)"/>
    <x v="370"/>
    <n v="407.4"/>
    <n v="1350"/>
    <n v="98"/>
    <n v="23"/>
    <n v="1"/>
    <n v="22"/>
    <n v="1350"/>
    <n v="98"/>
    <n v="21"/>
    <n v="36.69"/>
    <n v="295"/>
    <n v="25"/>
    <n v="699"/>
    <n v="18"/>
  </r>
  <r>
    <d v="2020-06-26T00:00:00"/>
    <n v="4636"/>
    <s v="蛙小辣火锅杯（总账号）"/>
    <s v="8491999"/>
    <x v="0"/>
    <s v="上海"/>
    <s v="meituan"/>
    <x v="1"/>
    <s v="蛙小辣火锅杯（宝山店）"/>
    <x v="371"/>
    <n v="195.91"/>
    <n v="773"/>
    <n v="74"/>
    <n v="11"/>
    <n v="0"/>
    <n v="11"/>
    <n v="773"/>
    <n v="74"/>
    <n v="11"/>
    <n v="38.82"/>
    <n v="502"/>
    <n v="26"/>
    <n v="318"/>
    <n v="23"/>
  </r>
  <r>
    <d v="2020-06-27T00:00:00"/>
    <n v="6108"/>
    <s v="拌客（武宁路店）"/>
    <s v="337460136"/>
    <x v="4"/>
    <s v="上海"/>
    <s v="eleme"/>
    <x v="0"/>
    <s v="拌客·干拌麻辣烫(武宁路店)"/>
    <x v="372"/>
    <n v="1847.05"/>
    <n v="6895"/>
    <n v="405"/>
    <n v="102"/>
    <n v="1"/>
    <n v="101"/>
    <n v="6895"/>
    <n v="405"/>
    <n v="100"/>
    <n v="210.04"/>
    <n v="2415"/>
    <n v="120"/>
    <n v="2790"/>
    <n v="154"/>
  </r>
  <r>
    <d v="2020-06-27T00:00:00"/>
    <n v="4636"/>
    <s v="蛙小辣火锅杯（总账号）"/>
    <s v="2001104355"/>
    <x v="0"/>
    <s v="上海"/>
    <s v="eleme"/>
    <x v="0"/>
    <s v="蛙小辣·美蛙火锅杯麻辣烫(宝山店)"/>
    <x v="3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d v="2020-06-27T00:00:00"/>
    <n v="4636"/>
    <s v="蛙小辣火锅杯（总账号）"/>
    <s v="8491999"/>
    <x v="0"/>
    <s v="上海"/>
    <s v="meituan"/>
    <x v="1"/>
    <s v="蛙小辣火锅杯（宝山店）"/>
    <x v="374"/>
    <n v="399.85"/>
    <n v="953"/>
    <n v="77"/>
    <n v="18"/>
    <n v="1"/>
    <n v="17"/>
    <n v="953"/>
    <n v="77"/>
    <n v="18"/>
    <n v="50"/>
    <n v="687"/>
    <n v="31"/>
    <n v="564"/>
    <n v="53"/>
  </r>
  <r>
    <d v="2020-06-28T00:00:00"/>
    <n v="6108"/>
    <s v="拌客（武宁路店）"/>
    <s v="337460136"/>
    <x v="4"/>
    <s v="上海"/>
    <s v="eleme"/>
    <x v="0"/>
    <s v="拌客·干拌麻辣烫(武宁路店)"/>
    <x v="375"/>
    <n v="1659.38"/>
    <n v="6521"/>
    <n v="392"/>
    <n v="99"/>
    <n v="0"/>
    <n v="99"/>
    <n v="6521"/>
    <n v="392"/>
    <n v="97"/>
    <n v="171.96"/>
    <n v="2032"/>
    <n v="104"/>
    <n v="2666"/>
    <n v="108"/>
  </r>
  <r>
    <d v="2020-06-28T00:00:00"/>
    <n v="4636"/>
    <s v="蛙小辣火锅杯（总账号）"/>
    <s v="2001104355"/>
    <x v="0"/>
    <s v="上海"/>
    <s v="eleme"/>
    <x v="0"/>
    <s v="蛙小辣·美蛙火锅杯麻辣烫(宝山店)"/>
    <x v="376"/>
    <n v="603.20000000000005"/>
    <n v="987"/>
    <n v="67"/>
    <n v="20"/>
    <n v="0"/>
    <n v="20"/>
    <n v="987"/>
    <n v="67"/>
    <n v="20"/>
    <n v="37.08"/>
    <n v="506"/>
    <n v="26"/>
    <n v="743"/>
    <n v="28"/>
  </r>
  <r>
    <d v="2020-06-28T00:00:00"/>
    <n v="4636"/>
    <s v="蛙小辣火锅杯（总账号）"/>
    <s v="8491999"/>
    <x v="0"/>
    <s v="上海"/>
    <s v="meituan"/>
    <x v="1"/>
    <s v="蛙小辣火锅杯（宝山店）"/>
    <x v="377"/>
    <n v="280.13"/>
    <n v="847"/>
    <n v="78"/>
    <n v="16"/>
    <n v="0"/>
    <n v="16"/>
    <n v="847"/>
    <n v="78"/>
    <n v="13"/>
    <n v="41.37"/>
    <n v="499"/>
    <n v="24"/>
    <n v="491"/>
    <n v="42"/>
  </r>
  <r>
    <d v="2020-06-29T00:00:00"/>
    <n v="6108"/>
    <s v="拌客（武宁路店）"/>
    <s v="337460136"/>
    <x v="4"/>
    <s v="上海"/>
    <s v="eleme"/>
    <x v="0"/>
    <s v="拌客·干拌麻辣烫(武宁路店)"/>
    <x v="378"/>
    <n v="1363.52"/>
    <n v="7079"/>
    <n v="367"/>
    <n v="96"/>
    <n v="4"/>
    <n v="92"/>
    <n v="7079"/>
    <n v="367"/>
    <n v="86"/>
    <n v="3.8"/>
    <n v="76"/>
    <n v="3"/>
    <n v="2411"/>
    <n v="106"/>
  </r>
  <r>
    <d v="2020-06-29T00:00:00"/>
    <n v="4636"/>
    <s v="蛙小辣火锅杯（总账号）"/>
    <s v="2001104355"/>
    <x v="0"/>
    <s v="上海"/>
    <s v="eleme"/>
    <x v="0"/>
    <s v="蛙小辣·美蛙火锅杯麻辣烫(宝山店)"/>
    <x v="379"/>
    <n v="204.06"/>
    <n v="924"/>
    <n v="63"/>
    <n v="11"/>
    <n v="0"/>
    <n v="11"/>
    <n v="924"/>
    <n v="63"/>
    <n v="11"/>
    <n v="35.659999999999997"/>
    <n v="417"/>
    <n v="24"/>
    <n v="345"/>
    <n v="12"/>
  </r>
  <r>
    <d v="2020-06-29T00:00:00"/>
    <n v="4636"/>
    <s v="蛙小辣火锅杯（总账号）"/>
    <s v="8491999"/>
    <x v="0"/>
    <s v="上海"/>
    <s v="meituan"/>
    <x v="1"/>
    <s v="蛙小辣火锅杯（宝山店）"/>
    <x v="380"/>
    <n v="312.87"/>
    <n v="815"/>
    <n v="62"/>
    <n v="15"/>
    <n v="0"/>
    <n v="15"/>
    <n v="815"/>
    <n v="62"/>
    <n v="15"/>
    <n v="43.64"/>
    <n v="531"/>
    <n v="26"/>
    <n v="491"/>
    <n v="33"/>
  </r>
  <r>
    <d v="2020-06-30T00:00:00"/>
    <n v="6108"/>
    <s v="拌客（武宁路店）"/>
    <s v="337460136"/>
    <x v="4"/>
    <s v="上海"/>
    <s v="eleme"/>
    <x v="0"/>
    <s v="拌客·干拌麻辣烫(武宁路店)"/>
    <x v="381"/>
    <n v="1431.61"/>
    <n v="6666"/>
    <n v="344"/>
    <n v="96"/>
    <n v="1"/>
    <n v="95"/>
    <n v="6666"/>
    <n v="344"/>
    <n v="91"/>
    <n v="154.08000000000001"/>
    <n v="1927"/>
    <n v="95"/>
    <n v="2456"/>
    <n v="128"/>
  </r>
  <r>
    <d v="2020-06-30T00:00:00"/>
    <n v="4636"/>
    <s v="蛙小辣火锅杯（总账号）"/>
    <s v="2001104355"/>
    <x v="0"/>
    <s v="上海"/>
    <s v="eleme"/>
    <x v="0"/>
    <s v="蛙小辣·美蛙火锅杯麻辣烫(宝山店)"/>
    <x v="382"/>
    <n v="390.49"/>
    <n v="855"/>
    <n v="67"/>
    <n v="15"/>
    <n v="0"/>
    <n v="15"/>
    <n v="855"/>
    <n v="67"/>
    <n v="15"/>
    <n v="22.39"/>
    <n v="317"/>
    <n v="17"/>
    <n v="543"/>
    <n v="8"/>
  </r>
  <r>
    <d v="2020-06-30T00:00:00"/>
    <n v="4636"/>
    <s v="蛙小辣火锅杯（总账号）"/>
    <s v="8491999"/>
    <x v="0"/>
    <s v="上海"/>
    <s v="meituan"/>
    <x v="1"/>
    <s v="蛙小辣火锅杯（宝山店）"/>
    <x v="383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d v="2020-07-01T00:00:00"/>
    <n v="6108"/>
    <s v="拌客（武宁路店）"/>
    <s v="337460136"/>
    <x v="4"/>
    <s v="上海"/>
    <s v="eleme"/>
    <x v="0"/>
    <s v="拌客·干拌麻辣烫(武宁路店)"/>
    <x v="384"/>
    <n v="1331.57"/>
    <n v="5373"/>
    <n v="267"/>
    <n v="77"/>
    <n v="2"/>
    <n v="75"/>
    <n v="5373"/>
    <n v="267"/>
    <n v="72"/>
    <n v="157.66"/>
    <n v="2008"/>
    <n v="87"/>
    <n v="2050"/>
    <n v="64"/>
  </r>
  <r>
    <d v="2020-07-01T00:00:00"/>
    <n v="4636"/>
    <s v="蛙小辣火锅杯（总账号）"/>
    <s v="2001104355"/>
    <x v="0"/>
    <s v="上海"/>
    <s v="eleme"/>
    <x v="0"/>
    <s v="蛙小辣·美蛙火锅杯麻辣烫(宝山店)"/>
    <x v="385"/>
    <n v="395.07"/>
    <n v="902"/>
    <n v="64"/>
    <n v="19"/>
    <n v="0"/>
    <n v="19"/>
    <n v="902"/>
    <n v="64"/>
    <n v="18"/>
    <n v="25.5"/>
    <n v="232"/>
    <n v="17"/>
    <n v="660"/>
    <n v="22"/>
  </r>
  <r>
    <d v="2020-07-01T00:00:00"/>
    <n v="4636"/>
    <s v="蛙小辣火锅杯（总账号）"/>
    <s v="8491999"/>
    <x v="0"/>
    <s v="上海"/>
    <s v="meituan"/>
    <x v="1"/>
    <s v="蛙小辣火锅杯（宝山店）"/>
    <x v="386"/>
    <n v="351.48"/>
    <n v="794"/>
    <n v="73"/>
    <n v="19"/>
    <n v="0"/>
    <n v="19"/>
    <n v="794"/>
    <n v="73"/>
    <n v="19"/>
    <n v="37.57"/>
    <n v="631"/>
    <n v="26"/>
    <n v="553"/>
    <n v="38"/>
  </r>
  <r>
    <d v="2020-07-02T00:00:00"/>
    <n v="6108"/>
    <s v="拌客（武宁路店）"/>
    <s v="337460136"/>
    <x v="4"/>
    <s v="上海"/>
    <s v="eleme"/>
    <x v="0"/>
    <s v="拌客·干拌麻辣烫(武宁路店)"/>
    <x v="387"/>
    <n v="1685.33"/>
    <n v="6096"/>
    <n v="335"/>
    <n v="96"/>
    <n v="0"/>
    <n v="96"/>
    <n v="6096"/>
    <n v="335"/>
    <n v="92"/>
    <n v="180.44"/>
    <n v="1905"/>
    <n v="89"/>
    <n v="2682"/>
    <n v="95"/>
  </r>
  <r>
    <d v="2020-07-02T00:00:00"/>
    <n v="4636"/>
    <s v="蛙小辣火锅杯（总账号）"/>
    <s v="2001104355"/>
    <x v="0"/>
    <s v="上海"/>
    <s v="eleme"/>
    <x v="0"/>
    <s v="蛙小辣·美蛙火锅杯麻辣烫(宝山店)"/>
    <x v="388"/>
    <n v="416.37"/>
    <n v="1025"/>
    <n v="76"/>
    <n v="24"/>
    <n v="2"/>
    <n v="22"/>
    <n v="1025"/>
    <n v="76"/>
    <n v="21"/>
    <n v="15.98"/>
    <n v="249"/>
    <n v="11"/>
    <n v="717"/>
    <n v="23"/>
  </r>
  <r>
    <d v="2020-07-02T00:00:00"/>
    <n v="4636"/>
    <s v="蛙小辣火锅杯（总账号）"/>
    <s v="8491999"/>
    <x v="0"/>
    <s v="上海"/>
    <s v="meituan"/>
    <x v="1"/>
    <s v="蛙小辣火锅杯（宝山店）"/>
    <x v="389"/>
    <n v="363.71"/>
    <n v="792"/>
    <n v="75"/>
    <n v="19"/>
    <n v="0"/>
    <n v="19"/>
    <n v="792"/>
    <n v="75"/>
    <n v="19"/>
    <n v="41.11"/>
    <n v="575"/>
    <n v="29"/>
    <n v="559"/>
    <n v="43"/>
  </r>
  <r>
    <d v="2020-07-03T00:00:00"/>
    <n v="6108"/>
    <s v="拌客（武宁路店）"/>
    <s v="337460136"/>
    <x v="4"/>
    <s v="上海"/>
    <s v="eleme"/>
    <x v="0"/>
    <s v="拌客·干拌麻辣烫(武宁路店)"/>
    <x v="390"/>
    <n v="984.87"/>
    <n v="5638"/>
    <n v="299"/>
    <n v="70"/>
    <n v="0"/>
    <n v="70"/>
    <n v="5638"/>
    <n v="299"/>
    <n v="68"/>
    <n v="164.96"/>
    <n v="2243"/>
    <n v="84"/>
    <n v="1843"/>
    <n v="73"/>
  </r>
  <r>
    <d v="2020-07-03T00:00:00"/>
    <n v="4636"/>
    <s v="蛙小辣火锅杯（总账号）"/>
    <s v="2001104355"/>
    <x v="0"/>
    <s v="上海"/>
    <s v="eleme"/>
    <x v="0"/>
    <s v="蛙小辣·美蛙火锅杯麻辣烫(宝山店)"/>
    <x v="391"/>
    <n v="394.1"/>
    <n v="1049"/>
    <n v="69"/>
    <n v="17"/>
    <n v="0"/>
    <n v="17"/>
    <n v="1049"/>
    <n v="69"/>
    <n v="17"/>
    <n v="31.42"/>
    <n v="356"/>
    <n v="21"/>
    <n v="566"/>
    <n v="14"/>
  </r>
  <r>
    <d v="2020-07-03T00:00:00"/>
    <n v="4636"/>
    <s v="蛙小辣火锅杯（总账号）"/>
    <s v="8491999"/>
    <x v="0"/>
    <s v="上海"/>
    <s v="meituan"/>
    <x v="1"/>
    <s v="蛙小辣火锅杯（宝山店）"/>
    <x v="392"/>
    <n v="323.98"/>
    <n v="772"/>
    <n v="70"/>
    <n v="20"/>
    <n v="0"/>
    <n v="20"/>
    <n v="772"/>
    <n v="70"/>
    <n v="18"/>
    <n v="36.840000000000003"/>
    <n v="409"/>
    <n v="25"/>
    <n v="573"/>
    <n v="47"/>
  </r>
  <r>
    <d v="2020-07-04T00:00:00"/>
    <n v="6108"/>
    <s v="拌客（武宁路店）"/>
    <s v="337460136"/>
    <x v="4"/>
    <s v="上海"/>
    <s v="eleme"/>
    <x v="0"/>
    <s v="拌客·干拌麻辣烫(武宁路店)"/>
    <x v="393"/>
    <n v="1022.37"/>
    <n v="5296"/>
    <n v="243"/>
    <n v="57"/>
    <n v="0"/>
    <n v="57"/>
    <n v="5296"/>
    <n v="243"/>
    <n v="53"/>
    <n v="223.76"/>
    <n v="2796"/>
    <n v="113"/>
    <n v="1577"/>
    <n v="54"/>
  </r>
  <r>
    <d v="2020-07-04T00:00:00"/>
    <n v="4636"/>
    <s v="蛙小辣火锅杯（总账号）"/>
    <s v="2001104355"/>
    <x v="0"/>
    <s v="上海"/>
    <s v="eleme"/>
    <x v="0"/>
    <s v="蛙小辣·美蛙火锅杯麻辣烫(宝山店)"/>
    <x v="394"/>
    <n v="356.81"/>
    <n v="1199"/>
    <n v="69"/>
    <n v="16"/>
    <n v="0"/>
    <n v="16"/>
    <n v="1199"/>
    <n v="69"/>
    <n v="14"/>
    <n v="37.090000000000003"/>
    <n v="413"/>
    <n v="27"/>
    <n v="573"/>
    <n v="24"/>
  </r>
  <r>
    <d v="2020-07-04T00:00:00"/>
    <n v="4636"/>
    <s v="蛙小辣火锅杯（总账号）"/>
    <s v="8491999"/>
    <x v="0"/>
    <s v="上海"/>
    <s v="meituan"/>
    <x v="1"/>
    <s v="蛙小辣火锅杯（宝山店）"/>
    <x v="395"/>
    <n v="440.92"/>
    <n v="876"/>
    <n v="76"/>
    <n v="18"/>
    <n v="0"/>
    <n v="18"/>
    <n v="876"/>
    <n v="76"/>
    <n v="18"/>
    <n v="48.35"/>
    <n v="541"/>
    <n v="30"/>
    <n v="590"/>
    <n v="34"/>
  </r>
  <r>
    <d v="2020-07-05T00:00:00"/>
    <n v="6108"/>
    <s v="拌客（武宁路店）"/>
    <s v="337460136"/>
    <x v="4"/>
    <s v="上海"/>
    <s v="eleme"/>
    <x v="0"/>
    <s v="拌客·干拌麻辣烫(武宁路店)"/>
    <x v="396"/>
    <n v="902.21"/>
    <n v="4701"/>
    <n v="224"/>
    <n v="55"/>
    <n v="3"/>
    <n v="52"/>
    <n v="4701"/>
    <n v="224"/>
    <n v="51"/>
    <n v="118.18"/>
    <n v="1573"/>
    <n v="66"/>
    <n v="1487"/>
    <n v="46"/>
  </r>
  <r>
    <d v="2020-07-05T00:00:00"/>
    <n v="4636"/>
    <s v="蛙小辣火锅杯（总账号）"/>
    <s v="2001104355"/>
    <x v="0"/>
    <s v="上海"/>
    <s v="eleme"/>
    <x v="0"/>
    <s v="蛙小辣·美蛙火锅杯麻辣烫(宝山店)"/>
    <x v="397"/>
    <n v="333.06"/>
    <n v="1596"/>
    <n v="100"/>
    <n v="13"/>
    <n v="0"/>
    <n v="13"/>
    <n v="1596"/>
    <n v="100"/>
    <n v="13"/>
    <n v="37.36"/>
    <n v="507"/>
    <n v="26"/>
    <n v="505"/>
    <n v="14"/>
  </r>
  <r>
    <d v="2020-07-05T00:00:00"/>
    <n v="4636"/>
    <s v="蛙小辣火锅杯（总账号）"/>
    <s v="8491999"/>
    <x v="0"/>
    <s v="上海"/>
    <s v="meituan"/>
    <x v="1"/>
    <s v="蛙小辣火锅杯（宝山店）"/>
    <x v="398"/>
    <n v="256.64999999999998"/>
    <n v="992"/>
    <n v="105"/>
    <n v="16"/>
    <n v="1"/>
    <n v="15"/>
    <n v="992"/>
    <n v="105"/>
    <n v="15"/>
    <n v="50"/>
    <n v="448"/>
    <n v="33"/>
    <n v="421"/>
    <n v="48"/>
  </r>
  <r>
    <d v="2020-07-06T00:00:00"/>
    <n v="4636"/>
    <s v="蛙小辣火锅杯（总账号）"/>
    <s v="2001104355"/>
    <x v="0"/>
    <s v="上海"/>
    <s v="eleme"/>
    <x v="0"/>
    <s v="蛙小辣·美蛙火锅杯麻辣烫(宝山店)"/>
    <x v="399"/>
    <n v="377.65"/>
    <n v="1364"/>
    <n v="86"/>
    <n v="15"/>
    <n v="0"/>
    <n v="15"/>
    <n v="1364"/>
    <n v="86"/>
    <n v="14"/>
    <n v="41.26"/>
    <n v="680"/>
    <n v="28"/>
    <n v="507"/>
    <n v="22"/>
  </r>
  <r>
    <d v="2020-07-06T00:00:00"/>
    <n v="4636"/>
    <s v="蛙小辣火锅杯（总账号）"/>
    <s v="8491999"/>
    <x v="0"/>
    <s v="上海"/>
    <s v="meituan"/>
    <x v="1"/>
    <s v="蛙小辣火锅杯（宝山店）"/>
    <x v="400"/>
    <n v="434.62"/>
    <n v="899"/>
    <n v="74"/>
    <n v="20"/>
    <n v="0"/>
    <n v="20"/>
    <n v="899"/>
    <n v="74"/>
    <n v="20"/>
    <n v="31.05"/>
    <n v="408"/>
    <n v="20"/>
    <n v="625"/>
    <n v="49"/>
  </r>
  <r>
    <d v="2020-07-07T00:00:00"/>
    <n v="6108"/>
    <s v="拌客（武宁路店）"/>
    <s v="337460136"/>
    <x v="4"/>
    <s v="上海"/>
    <s v="eleme"/>
    <x v="0"/>
    <s v="拌客·干拌麻辣烫(武宁路店)"/>
    <x v="401"/>
    <n v="1100.6099999999999"/>
    <n v="4423"/>
    <n v="235"/>
    <n v="62"/>
    <n v="0"/>
    <n v="62"/>
    <n v="4423"/>
    <n v="235"/>
    <n v="61"/>
    <n v="170.09"/>
    <n v="2395"/>
    <n v="89"/>
    <n v="1771"/>
    <n v="63"/>
  </r>
  <r>
    <d v="2020-07-07T00:00:00"/>
    <n v="4636"/>
    <s v="蛙小辣火锅杯（总账号）"/>
    <s v="2001104355"/>
    <x v="0"/>
    <s v="上海"/>
    <s v="eleme"/>
    <x v="0"/>
    <s v="蛙小辣·美蛙火锅杯麻辣烫(宝山店)"/>
    <x v="402"/>
    <n v="281.64"/>
    <n v="759"/>
    <n v="54"/>
    <n v="12"/>
    <n v="0"/>
    <n v="12"/>
    <n v="759"/>
    <n v="54"/>
    <n v="12"/>
    <n v="18.88"/>
    <n v="217"/>
    <n v="13"/>
    <n v="427"/>
    <n v="12"/>
  </r>
  <r>
    <d v="2020-07-07T00:00:00"/>
    <n v="4636"/>
    <s v="蛙小辣火锅杯（总账号）"/>
    <s v="8491999"/>
    <x v="0"/>
    <s v="上海"/>
    <s v="meituan"/>
    <x v="1"/>
    <s v="蛙小辣火锅杯（宝山店）"/>
    <x v="403"/>
    <n v="269.20999999999998"/>
    <n v="788"/>
    <n v="67"/>
    <n v="13"/>
    <n v="0"/>
    <n v="13"/>
    <n v="788"/>
    <n v="67"/>
    <n v="13"/>
    <n v="50"/>
    <n v="560"/>
    <n v="32"/>
    <n v="401"/>
    <n v="18"/>
  </r>
  <r>
    <d v="2020-07-08T00:00:00"/>
    <n v="6108"/>
    <s v="拌客（武宁路店）"/>
    <s v="337460136"/>
    <x v="4"/>
    <s v="上海"/>
    <s v="eleme"/>
    <x v="0"/>
    <s v="拌客·干拌麻辣烫(武宁路店)"/>
    <x v="404"/>
    <n v="1218.06"/>
    <n v="4920"/>
    <n v="281"/>
    <n v="64"/>
    <n v="0"/>
    <n v="64"/>
    <n v="4920"/>
    <n v="281"/>
    <n v="63"/>
    <n v="226.8"/>
    <n v="2221"/>
    <n v="92"/>
    <n v="1776"/>
    <n v="57"/>
  </r>
  <r>
    <d v="2020-07-08T00:00:00"/>
    <n v="6108"/>
    <s v="拌客（武宁路店）"/>
    <s v="9428110"/>
    <x v="4"/>
    <s v="上海"/>
    <s v="meituan"/>
    <x v="1"/>
    <s v="拌客干拌麻辣烫（武宁路店）"/>
    <x v="405"/>
    <n v="1617.52"/>
    <n v="4422"/>
    <n v="339"/>
    <n v="103"/>
    <n v="2"/>
    <n v="101"/>
    <n v="4445"/>
    <n v="323"/>
    <n v="98"/>
    <n v="330"/>
    <n v="2598"/>
    <n v="156"/>
    <n v="2824"/>
    <n v="193"/>
  </r>
  <r>
    <d v="2020-07-08T00:00:00"/>
    <n v="4636"/>
    <s v="蛙小辣火锅杯（总账号）"/>
    <s v="2001104355"/>
    <x v="0"/>
    <s v="上海"/>
    <s v="eleme"/>
    <x v="0"/>
    <s v="蛙小辣·美蛙火锅杯麻辣烫(宝山店)"/>
    <x v="406"/>
    <n v="421.82"/>
    <n v="1000"/>
    <n v="80"/>
    <n v="21"/>
    <n v="0"/>
    <n v="21"/>
    <n v="1000"/>
    <n v="80"/>
    <n v="21"/>
    <n v="33.950000000000003"/>
    <n v="326"/>
    <n v="24"/>
    <n v="686"/>
    <n v="16"/>
  </r>
  <r>
    <d v="2020-07-08T00:00:00"/>
    <n v="4636"/>
    <s v="蛙小辣火锅杯（总账号）"/>
    <s v="8491999"/>
    <x v="0"/>
    <s v="上海"/>
    <s v="meituan"/>
    <x v="1"/>
    <s v="蛙小辣火锅杯（宝山店）"/>
    <x v="407"/>
    <n v="208.67"/>
    <n v="736"/>
    <n v="60"/>
    <n v="12"/>
    <n v="0"/>
    <n v="12"/>
    <n v="746"/>
    <n v="47"/>
    <n v="12"/>
    <n v="39.35"/>
    <n v="465"/>
    <n v="27"/>
    <n v="332"/>
    <n v="20"/>
  </r>
  <r>
    <d v="2020-07-09T00:00:00"/>
    <n v="6108"/>
    <s v="拌客（武宁路店）"/>
    <s v="337460136"/>
    <x v="4"/>
    <s v="上海"/>
    <s v="eleme"/>
    <x v="0"/>
    <s v="拌客·干拌麻辣烫(武宁路店)"/>
    <x v="408"/>
    <n v="1113.7"/>
    <n v="6061"/>
    <n v="290"/>
    <n v="73"/>
    <n v="2"/>
    <n v="71"/>
    <n v="6061"/>
    <n v="290"/>
    <n v="70"/>
    <n v="153.19"/>
    <n v="1801"/>
    <n v="68"/>
    <n v="1918"/>
    <n v="76"/>
  </r>
  <r>
    <d v="2020-07-09T00:00:00"/>
    <n v="6108"/>
    <s v="拌客（武宁路店）"/>
    <s v="9428110"/>
    <x v="4"/>
    <s v="上海"/>
    <s v="meituan"/>
    <x v="1"/>
    <s v="拌客干拌麻辣烫（武宁路店）"/>
    <x v="409"/>
    <n v="1548.8"/>
    <n v="5449"/>
    <n v="433"/>
    <n v="102"/>
    <n v="3"/>
    <n v="99"/>
    <n v="5488"/>
    <n v="399"/>
    <n v="99"/>
    <n v="496.02"/>
    <n v="4118"/>
    <n v="255"/>
    <n v="2703"/>
    <n v="337"/>
  </r>
  <r>
    <d v="2020-07-09T00:00:00"/>
    <n v="4636"/>
    <s v="蛙小辣火锅杯（总账号）"/>
    <s v="2001104355"/>
    <x v="0"/>
    <s v="上海"/>
    <s v="eleme"/>
    <x v="0"/>
    <s v="蛙小辣·美蛙火锅杯麻辣烫(宝山店)"/>
    <x v="410"/>
    <n v="392.26"/>
    <n v="928"/>
    <n v="63"/>
    <n v="13"/>
    <n v="0"/>
    <n v="13"/>
    <n v="928"/>
    <n v="63"/>
    <n v="13"/>
    <n v="19.440000000000001"/>
    <n v="274"/>
    <n v="14"/>
    <n v="472"/>
    <n v="21"/>
  </r>
  <r>
    <d v="2020-07-09T00:00:00"/>
    <n v="4636"/>
    <s v="蛙小辣火锅杯（总账号）"/>
    <s v="8491999"/>
    <x v="0"/>
    <s v="上海"/>
    <s v="meituan"/>
    <x v="1"/>
    <s v="蛙小辣火锅杯（宝山店）"/>
    <x v="411"/>
    <n v="249.09"/>
    <n v="787"/>
    <n v="73"/>
    <n v="15"/>
    <n v="0"/>
    <n v="15"/>
    <n v="793"/>
    <n v="64"/>
    <n v="15"/>
    <n v="41.18"/>
    <n v="523"/>
    <n v="27"/>
    <n v="442"/>
    <n v="33"/>
  </r>
  <r>
    <d v="2020-07-10T00:00:00"/>
    <n v="6108"/>
    <s v="拌客（武宁路店）"/>
    <s v="337460136"/>
    <x v="4"/>
    <s v="上海"/>
    <s v="eleme"/>
    <x v="0"/>
    <s v="拌客·干拌麻辣烫(武宁路店)"/>
    <x v="412"/>
    <n v="937.66"/>
    <n v="6684"/>
    <n v="309"/>
    <n v="55"/>
    <n v="0"/>
    <n v="55"/>
    <n v="6684"/>
    <n v="309"/>
    <n v="53"/>
    <n v="158.81"/>
    <n v="1771"/>
    <n v="72"/>
    <n v="1539"/>
    <n v="58"/>
  </r>
  <r>
    <d v="2020-07-10T00:00:00"/>
    <n v="6108"/>
    <s v="拌客（武宁路店）"/>
    <s v="9428110"/>
    <x v="4"/>
    <s v="上海"/>
    <s v="meituan"/>
    <x v="1"/>
    <s v="拌客干拌麻辣烫（武宁路店）"/>
    <x v="413"/>
    <n v="1513.8"/>
    <n v="4560"/>
    <n v="358"/>
    <n v="97"/>
    <n v="2"/>
    <n v="95"/>
    <n v="4603"/>
    <n v="324"/>
    <n v="91"/>
    <n v="309.55"/>
    <n v="2779"/>
    <n v="162"/>
    <n v="2617"/>
    <n v="338"/>
  </r>
  <r>
    <d v="2020-07-10T00:00:00"/>
    <n v="4636"/>
    <s v="蛙小辣火锅杯（总账号）"/>
    <s v="2001104355"/>
    <x v="0"/>
    <s v="上海"/>
    <s v="eleme"/>
    <x v="0"/>
    <s v="蛙小辣·美蛙火锅杯麻辣烫(宝山店)"/>
    <x v="414"/>
    <n v="612.74"/>
    <n v="1035"/>
    <n v="85"/>
    <n v="25"/>
    <n v="0"/>
    <n v="25"/>
    <n v="1035"/>
    <n v="85"/>
    <n v="25"/>
    <n v="35.83"/>
    <n v="271"/>
    <n v="25"/>
    <n v="884"/>
    <n v="78"/>
  </r>
  <r>
    <d v="2020-07-10T00:00:00"/>
    <n v="4636"/>
    <s v="蛙小辣火锅杯（总账号）"/>
    <s v="8491999"/>
    <x v="0"/>
    <s v="上海"/>
    <s v="meituan"/>
    <x v="1"/>
    <s v="蛙小辣火锅杯（宝山店）"/>
    <x v="415"/>
    <n v="289.41000000000003"/>
    <n v="822"/>
    <n v="76"/>
    <n v="16"/>
    <n v="1"/>
    <n v="15"/>
    <n v="829"/>
    <n v="64"/>
    <n v="15"/>
    <n v="50"/>
    <n v="571"/>
    <n v="35"/>
    <n v="442"/>
    <n v="21"/>
  </r>
  <r>
    <d v="2020-07-11T00:00:00"/>
    <n v="6108"/>
    <s v="拌客（武宁路店）"/>
    <s v="337460136"/>
    <x v="4"/>
    <s v="上海"/>
    <s v="eleme"/>
    <x v="0"/>
    <s v="拌客·干拌麻辣烫(武宁路店)"/>
    <x v="416"/>
    <n v="918.96"/>
    <n v="6665"/>
    <n v="254"/>
    <n v="50"/>
    <n v="0"/>
    <n v="50"/>
    <n v="6665"/>
    <n v="254"/>
    <n v="46"/>
    <n v="112.71"/>
    <n v="1378"/>
    <n v="49"/>
    <n v="1366"/>
    <n v="42"/>
  </r>
  <r>
    <d v="2020-07-11T00:00:00"/>
    <n v="6108"/>
    <s v="拌客（武宁路店）"/>
    <s v="9428110"/>
    <x v="4"/>
    <s v="上海"/>
    <s v="meituan"/>
    <x v="1"/>
    <s v="拌客干拌麻辣烫（武宁路店）"/>
    <x v="417"/>
    <n v="1118.1500000000001"/>
    <n v="4360"/>
    <n v="308"/>
    <n v="67"/>
    <n v="0"/>
    <n v="67"/>
    <n v="4406"/>
    <n v="282"/>
    <n v="64"/>
    <n v="194.35"/>
    <n v="1872"/>
    <n v="97"/>
    <n v="1886"/>
    <n v="230"/>
  </r>
  <r>
    <d v="2020-07-11T00:00:00"/>
    <n v="4636"/>
    <s v="蛙小辣火锅杯（总账号）"/>
    <s v="2001104355"/>
    <x v="0"/>
    <s v="上海"/>
    <s v="eleme"/>
    <x v="0"/>
    <s v="蛙小辣·美蛙火锅杯麻辣烫(宝山店)"/>
    <x v="418"/>
    <n v="315.14999999999998"/>
    <n v="1030"/>
    <n v="81"/>
    <n v="12"/>
    <n v="1"/>
    <n v="11"/>
    <n v="1030"/>
    <n v="81"/>
    <n v="11"/>
    <n v="29.07"/>
    <n v="442"/>
    <n v="19"/>
    <n v="407"/>
    <n v="21"/>
  </r>
  <r>
    <d v="2020-07-11T00:00:00"/>
    <n v="4636"/>
    <s v="蛙小辣火锅杯（总账号）"/>
    <s v="8491999"/>
    <x v="0"/>
    <s v="上海"/>
    <s v="meituan"/>
    <x v="1"/>
    <s v="蛙小辣火锅杯（宝山店）"/>
    <x v="419"/>
    <n v="288.83"/>
    <n v="778"/>
    <n v="89"/>
    <n v="14"/>
    <n v="0"/>
    <n v="14"/>
    <n v="793"/>
    <n v="78"/>
    <n v="14"/>
    <n v="50"/>
    <n v="413"/>
    <n v="37"/>
    <n v="441"/>
    <n v="36"/>
  </r>
  <r>
    <d v="2020-07-12T00:00:00"/>
    <n v="6108"/>
    <s v="拌客（武宁路店）"/>
    <s v="337460136"/>
    <x v="4"/>
    <s v="上海"/>
    <s v="eleme"/>
    <x v="0"/>
    <s v="拌客·干拌麻辣烫(武宁路店)"/>
    <x v="420"/>
    <n v="627.14"/>
    <n v="4003"/>
    <n v="165"/>
    <n v="41"/>
    <n v="4"/>
    <n v="37"/>
    <n v="4003"/>
    <n v="165"/>
    <n v="36"/>
    <n v="31.19"/>
    <n v="447"/>
    <n v="15"/>
    <n v="992"/>
    <n v="33"/>
  </r>
  <r>
    <d v="2020-07-12T00:00:00"/>
    <n v="6108"/>
    <s v="拌客（武宁路店）"/>
    <s v="9428110"/>
    <x v="4"/>
    <s v="上海"/>
    <s v="meituan"/>
    <x v="1"/>
    <s v="拌客干拌麻辣烫（武宁路店）"/>
    <x v="421"/>
    <n v="978.06"/>
    <n v="4018"/>
    <n v="268"/>
    <n v="60"/>
    <n v="0"/>
    <n v="60"/>
    <n v="4064"/>
    <n v="245"/>
    <n v="57"/>
    <n v="105.43"/>
    <n v="1176"/>
    <n v="55"/>
    <n v="1661"/>
    <n v="211"/>
  </r>
  <r>
    <d v="2020-07-12T00:00:00"/>
    <n v="4636"/>
    <s v="蛙小辣火锅杯（总账号）"/>
    <s v="2001104355"/>
    <x v="0"/>
    <s v="上海"/>
    <s v="eleme"/>
    <x v="0"/>
    <s v="蛙小辣·美蛙火锅杯麻辣烫(宝山店)"/>
    <x v="422"/>
    <n v="331.16"/>
    <n v="1167"/>
    <n v="85"/>
    <n v="16"/>
    <n v="0"/>
    <n v="16"/>
    <n v="1167"/>
    <n v="85"/>
    <n v="16"/>
    <n v="45.1"/>
    <n v="346"/>
    <n v="29"/>
    <n v="553"/>
    <n v="18"/>
  </r>
  <r>
    <d v="2020-07-12T00:00:00"/>
    <n v="4636"/>
    <s v="蛙小辣火锅杯（总账号）"/>
    <s v="8491999"/>
    <x v="0"/>
    <s v="上海"/>
    <s v="meituan"/>
    <x v="1"/>
    <s v="蛙小辣火锅杯（宝山店）"/>
    <x v="423"/>
    <n v="465.62"/>
    <n v="855"/>
    <n v="79"/>
    <n v="18"/>
    <n v="0"/>
    <n v="18"/>
    <n v="867"/>
    <n v="72"/>
    <n v="17"/>
    <n v="50"/>
    <n v="588"/>
    <n v="33"/>
    <n v="581"/>
    <n v="22"/>
  </r>
  <r>
    <d v="2020-07-13T00:00:00"/>
    <n v="6108"/>
    <s v="拌客（武宁路店）"/>
    <s v="337460136"/>
    <x v="4"/>
    <s v="上海"/>
    <s v="eleme"/>
    <x v="0"/>
    <s v="拌客·干拌麻辣烫(武宁路店)"/>
    <x v="424"/>
    <n v="983.31"/>
    <n v="3173"/>
    <n v="224"/>
    <n v="56"/>
    <n v="0"/>
    <n v="56"/>
    <n v="3173"/>
    <n v="224"/>
    <n v="54"/>
    <n v="128.83000000000001"/>
    <n v="1120"/>
    <n v="63"/>
    <n v="1566"/>
    <n v="66"/>
  </r>
  <r>
    <d v="2020-07-13T00:00:00"/>
    <n v="6108"/>
    <s v="拌客（武宁路店）"/>
    <s v="9428110"/>
    <x v="4"/>
    <s v="上海"/>
    <s v="meituan"/>
    <x v="1"/>
    <s v="拌客干拌麻辣烫（武宁路店）"/>
    <x v="425"/>
    <n v="1234.1400000000001"/>
    <n v="3865"/>
    <n v="322"/>
    <n v="87"/>
    <n v="0"/>
    <n v="87"/>
    <n v="3892"/>
    <n v="295"/>
    <n v="83"/>
    <n v="328.18"/>
    <n v="2588"/>
    <n v="163"/>
    <n v="2342"/>
    <n v="299"/>
  </r>
  <r>
    <d v="2020-07-13T00:00:00"/>
    <n v="4636"/>
    <s v="蛙小辣火锅杯（总账号）"/>
    <s v="2001104355"/>
    <x v="0"/>
    <s v="上海"/>
    <s v="eleme"/>
    <x v="0"/>
    <s v="蛙小辣·美蛙火锅杯麻辣烫(宝山店)"/>
    <x v="426"/>
    <n v="302.60000000000002"/>
    <n v="885"/>
    <n v="53"/>
    <n v="16"/>
    <n v="2"/>
    <n v="14"/>
    <n v="885"/>
    <n v="53"/>
    <n v="14"/>
    <n v="22.86"/>
    <n v="275"/>
    <n v="15"/>
    <n v="477"/>
    <n v="25"/>
  </r>
  <r>
    <d v="2020-07-13T00:00:00"/>
    <n v="4636"/>
    <s v="蛙小辣火锅杯（总账号）"/>
    <s v="8491999"/>
    <x v="0"/>
    <s v="上海"/>
    <s v="meituan"/>
    <x v="1"/>
    <s v="蛙小辣火锅杯（宝山店）"/>
    <x v="427"/>
    <n v="334.4"/>
    <n v="697"/>
    <n v="67"/>
    <n v="16"/>
    <n v="0"/>
    <n v="16"/>
    <n v="706"/>
    <n v="62"/>
    <n v="16"/>
    <n v="44.87"/>
    <n v="373"/>
    <n v="28"/>
    <n v="494"/>
    <n v="35"/>
  </r>
  <r>
    <d v="2020-07-14T00:00:00"/>
    <n v="6108"/>
    <s v="拌客（武宁路店）"/>
    <s v="337460136"/>
    <x v="4"/>
    <s v="上海"/>
    <s v="eleme"/>
    <x v="0"/>
    <s v="拌客·干拌麻辣烫(武宁路店)"/>
    <x v="428"/>
    <n v="1036.77"/>
    <n v="3912"/>
    <n v="271"/>
    <n v="66"/>
    <n v="1"/>
    <n v="65"/>
    <n v="3912"/>
    <n v="271"/>
    <n v="62"/>
    <n v="184.18"/>
    <n v="1351"/>
    <n v="82"/>
    <n v="1803"/>
    <n v="58"/>
  </r>
  <r>
    <d v="2020-07-14T00:00:00"/>
    <n v="6108"/>
    <s v="拌客（武宁路店）"/>
    <s v="9428110"/>
    <x v="4"/>
    <s v="上海"/>
    <s v="meituan"/>
    <x v="1"/>
    <s v="拌客干拌麻辣烫（武宁路店）"/>
    <x v="429"/>
    <n v="1697.87"/>
    <n v="4603"/>
    <n v="386"/>
    <n v="113"/>
    <n v="0"/>
    <n v="113"/>
    <n v="4636"/>
    <n v="339"/>
    <n v="108"/>
    <n v="445"/>
    <n v="3775"/>
    <n v="207"/>
    <n v="3145"/>
    <n v="461"/>
  </r>
  <r>
    <d v="2020-07-14T00:00:00"/>
    <n v="4636"/>
    <s v="蛙小辣火锅杯（总账号）"/>
    <s v="2001104355"/>
    <x v="0"/>
    <s v="上海"/>
    <s v="eleme"/>
    <x v="0"/>
    <s v="蛙小辣·美蛙火锅杯麻辣烫(宝山店)"/>
    <x v="430"/>
    <n v="247.8"/>
    <n v="949"/>
    <n v="49"/>
    <n v="12"/>
    <n v="0"/>
    <n v="12"/>
    <n v="949"/>
    <n v="49"/>
    <n v="11"/>
    <n v="19.829999999999998"/>
    <n v="230"/>
    <n v="13"/>
    <n v="388"/>
    <n v="25"/>
  </r>
  <r>
    <d v="2020-07-14T00:00:00"/>
    <n v="4636"/>
    <s v="蛙小辣火锅杯（总账号）"/>
    <s v="8491999"/>
    <x v="0"/>
    <s v="上海"/>
    <s v="meituan"/>
    <x v="1"/>
    <s v="蛙小辣火锅杯（宝山店）"/>
    <x v="431"/>
    <n v="379.63"/>
    <n v="823"/>
    <n v="82"/>
    <n v="18"/>
    <n v="0"/>
    <n v="18"/>
    <n v="826"/>
    <n v="72"/>
    <n v="18"/>
    <n v="50"/>
    <n v="328"/>
    <n v="32"/>
    <n v="594"/>
    <n v="39"/>
  </r>
  <r>
    <d v="2020-07-15T00:00:00"/>
    <n v="6108"/>
    <s v="拌客（武宁路店）"/>
    <s v="337460136"/>
    <x v="4"/>
    <s v="上海"/>
    <s v="eleme"/>
    <x v="0"/>
    <s v="拌客·干拌麻辣烫(武宁路店)"/>
    <x v="432"/>
    <n v="1222.6099999999999"/>
    <n v="4531"/>
    <n v="342"/>
    <n v="69"/>
    <n v="1"/>
    <n v="68"/>
    <n v="4531"/>
    <n v="342"/>
    <n v="67"/>
    <n v="343.96"/>
    <n v="2960"/>
    <n v="177"/>
    <n v="1916"/>
    <n v="57"/>
  </r>
  <r>
    <d v="2020-07-15T00:00:00"/>
    <n v="6108"/>
    <s v="拌客（武宁路店）"/>
    <s v="9428110"/>
    <x v="4"/>
    <s v="上海"/>
    <s v="meituan"/>
    <x v="1"/>
    <s v="拌客干拌麻辣烫（武宁路店）"/>
    <x v="433"/>
    <n v="2525.06"/>
    <n v="6887"/>
    <n v="616"/>
    <n v="161"/>
    <n v="1"/>
    <n v="160"/>
    <n v="6937"/>
    <n v="552"/>
    <n v="155"/>
    <n v="600"/>
    <n v="5659"/>
    <n v="347"/>
    <n v="4258"/>
    <n v="700"/>
  </r>
  <r>
    <d v="2020-07-15T00:00:00"/>
    <n v="4636"/>
    <s v="蛙小辣火锅杯（总账号）"/>
    <s v="2001104355"/>
    <x v="0"/>
    <s v="上海"/>
    <s v="eleme"/>
    <x v="0"/>
    <s v="蛙小辣·美蛙火锅杯麻辣烫(宝山店)"/>
    <x v="434"/>
    <n v="406.14"/>
    <n v="1527"/>
    <n v="113"/>
    <n v="20"/>
    <n v="0"/>
    <n v="20"/>
    <n v="1527"/>
    <n v="113"/>
    <n v="20"/>
    <n v="50"/>
    <n v="511"/>
    <n v="33"/>
    <n v="674"/>
    <n v="34"/>
  </r>
  <r>
    <d v="2020-07-15T00:00:00"/>
    <n v="4636"/>
    <s v="蛙小辣火锅杯（总账号）"/>
    <s v="8491999"/>
    <x v="0"/>
    <s v="上海"/>
    <s v="meituan"/>
    <x v="1"/>
    <s v="蛙小辣火锅杯（宝山店）"/>
    <x v="435"/>
    <n v="324.73"/>
    <n v="1028"/>
    <n v="102"/>
    <n v="17"/>
    <n v="1"/>
    <n v="16"/>
    <n v="1038"/>
    <n v="89"/>
    <n v="15"/>
    <n v="70"/>
    <n v="617"/>
    <n v="47"/>
    <n v="495"/>
    <n v="25"/>
  </r>
  <r>
    <d v="2020-07-16T00:00:00"/>
    <n v="6108"/>
    <s v="拌客（武宁路店）"/>
    <s v="337460136"/>
    <x v="4"/>
    <s v="上海"/>
    <s v="eleme"/>
    <x v="0"/>
    <s v="拌客·干拌麻辣烫(武宁路店)"/>
    <x v="436"/>
    <n v="1115.75"/>
    <n v="2825"/>
    <n v="236"/>
    <n v="69"/>
    <n v="0"/>
    <n v="69"/>
    <n v="2825"/>
    <n v="236"/>
    <n v="67"/>
    <n v="146.18"/>
    <n v="1388"/>
    <n v="64"/>
    <n v="1880"/>
    <n v="84"/>
  </r>
  <r>
    <d v="2020-07-16T00:00:00"/>
    <n v="6108"/>
    <s v="拌客（武宁路店）"/>
    <s v="9428110"/>
    <x v="4"/>
    <s v="上海"/>
    <s v="meituan"/>
    <x v="1"/>
    <s v="拌客干拌麻辣烫（武宁路店）"/>
    <x v="437"/>
    <n v="2272.89"/>
    <n v="6293"/>
    <n v="525"/>
    <n v="137"/>
    <n v="2"/>
    <n v="135"/>
    <n v="6321"/>
    <n v="469"/>
    <n v="135"/>
    <n v="600"/>
    <n v="4365"/>
    <n v="269"/>
    <n v="3514"/>
    <n v="615"/>
  </r>
  <r>
    <d v="2020-07-16T00:00:00"/>
    <n v="4636"/>
    <s v="蛙小辣火锅杯（总账号）"/>
    <s v="2001104355"/>
    <x v="0"/>
    <s v="上海"/>
    <s v="eleme"/>
    <x v="0"/>
    <s v="蛙小辣·美蛙火锅杯麻辣烫(宝山店)"/>
    <x v="438"/>
    <n v="455.03"/>
    <n v="907"/>
    <n v="83"/>
    <n v="20"/>
    <n v="1"/>
    <n v="19"/>
    <n v="907"/>
    <n v="83"/>
    <n v="20"/>
    <n v="33.17"/>
    <n v="322"/>
    <n v="23"/>
    <n v="679"/>
    <n v="50"/>
  </r>
  <r>
    <d v="2020-07-17T00:00:00"/>
    <n v="6108"/>
    <s v="拌客（武宁路店）"/>
    <s v="337460136"/>
    <x v="4"/>
    <s v="上海"/>
    <s v="eleme"/>
    <x v="0"/>
    <s v="拌客·干拌麻辣烫(武宁路店)"/>
    <x v="439"/>
    <n v="1047.0899999999999"/>
    <n v="3343"/>
    <n v="250"/>
    <n v="64"/>
    <n v="2"/>
    <n v="62"/>
    <n v="3343"/>
    <n v="250"/>
    <n v="60"/>
    <n v="185.1"/>
    <n v="1548"/>
    <n v="83"/>
    <n v="1684"/>
    <n v="63"/>
  </r>
  <r>
    <d v="2020-07-17T00:00:00"/>
    <n v="6108"/>
    <s v="拌客（武宁路店）"/>
    <s v="9428110"/>
    <x v="4"/>
    <s v="上海"/>
    <s v="meituan"/>
    <x v="1"/>
    <s v="拌客干拌麻辣烫（武宁路店）"/>
    <x v="440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d v="2020-07-17T00:00:00"/>
    <n v="4636"/>
    <s v="蛙小辣火锅杯（总账号）"/>
    <s v="2001104355"/>
    <x v="0"/>
    <s v="上海"/>
    <s v="eleme"/>
    <x v="0"/>
    <s v="蛙小辣·美蛙火锅杯麻辣烫(宝山店)"/>
    <x v="441"/>
    <n v="385.2"/>
    <n v="1310"/>
    <n v="81"/>
    <n v="19"/>
    <n v="0"/>
    <n v="19"/>
    <n v="1310"/>
    <n v="81"/>
    <n v="17"/>
    <n v="47.54"/>
    <n v="566"/>
    <n v="30"/>
    <n v="656"/>
    <n v="47"/>
  </r>
  <r>
    <d v="2020-07-18T00:00:00"/>
    <n v="6108"/>
    <s v="拌客（武宁路店）"/>
    <s v="337460136"/>
    <x v="4"/>
    <s v="上海"/>
    <s v="eleme"/>
    <x v="0"/>
    <s v="拌客·干拌麻辣烫(武宁路店)"/>
    <x v="442"/>
    <n v="683.23"/>
    <n v="2459"/>
    <n v="152"/>
    <n v="45"/>
    <n v="0"/>
    <n v="45"/>
    <n v="2459"/>
    <n v="152"/>
    <n v="45"/>
    <n v="27.64"/>
    <n v="390"/>
    <n v="15"/>
    <n v="1226"/>
    <n v="50"/>
  </r>
  <r>
    <d v="2020-07-18T00:00:00"/>
    <n v="6108"/>
    <s v="拌客（武宁路店）"/>
    <s v="9428110"/>
    <x v="4"/>
    <s v="上海"/>
    <s v="meituan"/>
    <x v="1"/>
    <s v="拌客干拌麻辣烫（武宁路店）"/>
    <x v="443"/>
    <n v="1292.96"/>
    <n v="3920"/>
    <n v="307"/>
    <n v="83"/>
    <n v="1"/>
    <n v="82"/>
    <n v="3971"/>
    <n v="275"/>
    <n v="79"/>
    <n v="158.71"/>
    <n v="1438"/>
    <n v="93"/>
    <n v="2221"/>
    <n v="358"/>
  </r>
  <r>
    <d v="2020-07-18T00:00:00"/>
    <n v="4636"/>
    <s v="蛙小辣火锅杯（总账号）"/>
    <s v="2001104355"/>
    <x v="0"/>
    <s v="上海"/>
    <s v="eleme"/>
    <x v="0"/>
    <s v="蛙小辣·美蛙火锅杯麻辣烫(宝山店)"/>
    <x v="444"/>
    <n v="387.47"/>
    <n v="1081"/>
    <n v="77"/>
    <n v="17"/>
    <n v="0"/>
    <n v="17"/>
    <n v="1081"/>
    <n v="77"/>
    <n v="16"/>
    <n v="45.64"/>
    <n v="426"/>
    <n v="30"/>
    <n v="582"/>
    <n v="28"/>
  </r>
  <r>
    <d v="2020-07-19T00:00:00"/>
    <n v="6108"/>
    <s v="拌客（武宁路店）"/>
    <s v="337460136"/>
    <x v="4"/>
    <s v="上海"/>
    <s v="eleme"/>
    <x v="0"/>
    <s v="拌客·干拌麻辣烫(武宁路店)"/>
    <x v="445"/>
    <n v="643.94000000000005"/>
    <n v="3538"/>
    <n v="234"/>
    <n v="40"/>
    <n v="0"/>
    <n v="40"/>
    <n v="3538"/>
    <n v="234"/>
    <n v="39"/>
    <n v="230.06"/>
    <n v="1832"/>
    <n v="107"/>
    <n v="1112"/>
    <n v="32"/>
  </r>
  <r>
    <d v="2020-07-19T00:00:00"/>
    <n v="6108"/>
    <s v="拌客（武宁路店）"/>
    <s v="9428110"/>
    <x v="4"/>
    <s v="上海"/>
    <s v="meituan"/>
    <x v="1"/>
    <s v="拌客干拌麻辣烫（武宁路店）"/>
    <x v="446"/>
    <n v="1269.06"/>
    <n v="3646"/>
    <n v="319"/>
    <n v="79"/>
    <n v="1"/>
    <n v="78"/>
    <n v="3686"/>
    <n v="272"/>
    <n v="77"/>
    <n v="227.64"/>
    <n v="2047"/>
    <n v="120"/>
    <n v="2086"/>
    <n v="338"/>
  </r>
  <r>
    <d v="2020-07-19T00:00:00"/>
    <n v="4636"/>
    <s v="蛙小辣火锅杯（总账号）"/>
    <s v="2001104355"/>
    <x v="0"/>
    <s v="上海"/>
    <s v="eleme"/>
    <x v="0"/>
    <s v="蛙小辣·美蛙火锅杯麻辣烫(宝山店)"/>
    <x v="447"/>
    <n v="106.6"/>
    <n v="1000"/>
    <n v="60"/>
    <n v="5"/>
    <n v="0"/>
    <n v="5"/>
    <n v="1000"/>
    <n v="60"/>
    <n v="5"/>
    <n v="6.4"/>
    <n v="58"/>
    <n v="4"/>
    <n v="177"/>
    <n v="17"/>
  </r>
  <r>
    <d v="2020-07-20T00:00:00"/>
    <n v="6108"/>
    <s v="拌客（武宁路店）"/>
    <s v="337460136"/>
    <x v="4"/>
    <s v="上海"/>
    <s v="eleme"/>
    <x v="0"/>
    <s v="拌客·干拌麻辣烫(武宁路店)"/>
    <x v="448"/>
    <n v="1289.92"/>
    <n v="3886"/>
    <n v="252"/>
    <n v="74"/>
    <n v="1"/>
    <n v="73"/>
    <n v="3886"/>
    <n v="252"/>
    <n v="72"/>
    <n v="236.97"/>
    <n v="2059"/>
    <n v="106"/>
    <n v="2054"/>
    <n v="82"/>
  </r>
  <r>
    <d v="2020-07-20T00:00:00"/>
    <n v="6108"/>
    <s v="拌客（武宁路店）"/>
    <s v="9428110"/>
    <x v="4"/>
    <s v="上海"/>
    <s v="meituan"/>
    <x v="1"/>
    <s v="拌客干拌麻辣烫（武宁路店）"/>
    <x v="449"/>
    <n v="1742.86"/>
    <n v="4363"/>
    <n v="391"/>
    <n v="113"/>
    <n v="2"/>
    <n v="111"/>
    <n v="4394"/>
    <n v="333"/>
    <n v="108"/>
    <n v="388.64"/>
    <n v="2869"/>
    <n v="188"/>
    <n v="3118"/>
    <n v="469"/>
  </r>
  <r>
    <d v="2020-07-21T00:00:00"/>
    <n v="6108"/>
    <s v="拌客（武宁路店）"/>
    <s v="337460136"/>
    <x v="4"/>
    <s v="上海"/>
    <s v="eleme"/>
    <x v="0"/>
    <s v="拌客·干拌麻辣烫(武宁路店)"/>
    <x v="450"/>
    <n v="1035.1400000000001"/>
    <n v="3319"/>
    <n v="230"/>
    <n v="67"/>
    <n v="2"/>
    <n v="65"/>
    <n v="3319"/>
    <n v="230"/>
    <n v="63"/>
    <n v="134.19"/>
    <n v="1131"/>
    <n v="65"/>
    <n v="1776"/>
    <n v="71"/>
  </r>
  <r>
    <d v="2020-07-21T00:00:00"/>
    <n v="6108"/>
    <s v="拌客（武宁路店）"/>
    <s v="9428110"/>
    <x v="4"/>
    <s v="上海"/>
    <s v="meituan"/>
    <x v="1"/>
    <s v="拌客干拌麻辣烫（武宁路店）"/>
    <x v="451"/>
    <n v="1487.77"/>
    <n v="4293"/>
    <n v="387"/>
    <n v="101"/>
    <n v="3"/>
    <n v="98"/>
    <n v="4329"/>
    <n v="345"/>
    <n v="97"/>
    <n v="263.72000000000003"/>
    <n v="2538"/>
    <n v="147"/>
    <n v="2538"/>
    <n v="430"/>
  </r>
  <r>
    <d v="2020-07-21T00:00:00"/>
    <n v="4636"/>
    <s v="蛙小辣火锅杯（总账号）"/>
    <s v="2001104355"/>
    <x v="0"/>
    <s v="上海"/>
    <s v="eleme"/>
    <x v="0"/>
    <s v="蛙小辣·美蛙火锅杯麻辣烫(宝山店)"/>
    <x v="452"/>
    <n v="312.36"/>
    <n v="935"/>
    <n v="73"/>
    <n v="15"/>
    <n v="0"/>
    <n v="15"/>
    <n v="935"/>
    <n v="73"/>
    <n v="15"/>
    <n v="36.97"/>
    <n v="251"/>
    <n v="25"/>
    <n v="506"/>
    <n v="38"/>
  </r>
  <r>
    <d v="2020-07-22T00:00:00"/>
    <n v="6108"/>
    <s v="拌客（武宁路店）"/>
    <s v="337460136"/>
    <x v="4"/>
    <s v="上海"/>
    <s v="eleme"/>
    <x v="0"/>
    <s v="拌客·干拌麻辣烫(武宁路店)"/>
    <x v="453"/>
    <n v="1159.68"/>
    <n v="3465"/>
    <n v="282"/>
    <n v="72"/>
    <n v="0"/>
    <n v="72"/>
    <n v="3465"/>
    <n v="282"/>
    <n v="72"/>
    <n v="198.14"/>
    <n v="1374"/>
    <n v="93"/>
    <n v="1984"/>
    <n v="76"/>
  </r>
  <r>
    <d v="2020-07-22T00:00:00"/>
    <n v="6108"/>
    <s v="拌客（武宁路店）"/>
    <s v="9428110"/>
    <x v="4"/>
    <s v="上海"/>
    <s v="meituan"/>
    <x v="1"/>
    <s v="拌客干拌麻辣烫（武宁路店）"/>
    <x v="454"/>
    <n v="1713.92"/>
    <n v="4611"/>
    <n v="433"/>
    <n v="108"/>
    <n v="0"/>
    <n v="108"/>
    <n v="4658"/>
    <n v="360"/>
    <n v="105"/>
    <n v="442"/>
    <n v="3282"/>
    <n v="197"/>
    <n v="2864"/>
    <n v="478"/>
  </r>
  <r>
    <d v="2020-07-22T00:00:00"/>
    <n v="4636"/>
    <s v="蛙小辣火锅杯（总账号）"/>
    <s v="2001104355"/>
    <x v="0"/>
    <s v="上海"/>
    <s v="eleme"/>
    <x v="0"/>
    <s v="蛙小辣·美蛙火锅杯麻辣烫(宝山店)"/>
    <x v="455"/>
    <n v="406.53"/>
    <n v="1375"/>
    <n v="70"/>
    <n v="19"/>
    <n v="0"/>
    <n v="19"/>
    <n v="1375"/>
    <n v="70"/>
    <n v="18"/>
    <n v="14.4"/>
    <n v="253"/>
    <n v="9"/>
    <n v="665"/>
    <n v="34"/>
  </r>
  <r>
    <d v="2020-07-22T00:00:00"/>
    <n v="4636"/>
    <s v="蛙小辣火锅杯（总账号）"/>
    <s v="8491999"/>
    <x v="0"/>
    <s v="上海"/>
    <s v="meituan"/>
    <x v="1"/>
    <s v="蛙小辣火锅杯（宝山店）"/>
    <x v="456"/>
    <n v="330.71"/>
    <n v="0"/>
    <n v="0"/>
    <n v="17"/>
    <n v="0"/>
    <n v="17"/>
    <n v="1202"/>
    <n v="89"/>
    <n v="16"/>
    <n v="72.25"/>
    <n v="981"/>
    <n v="49"/>
    <n v="441"/>
    <n v="121"/>
  </r>
  <r>
    <d v="2020-07-23T00:00:00"/>
    <n v="6108"/>
    <s v="拌客（武宁路店）"/>
    <s v="337460136"/>
    <x v="4"/>
    <s v="上海"/>
    <s v="eleme"/>
    <x v="0"/>
    <s v="拌客·干拌麻辣烫(武宁路店)"/>
    <x v="457"/>
    <n v="937.23"/>
    <n v="3335"/>
    <n v="247"/>
    <n v="55"/>
    <n v="1"/>
    <n v="54"/>
    <n v="3335"/>
    <n v="247"/>
    <n v="54"/>
    <n v="147.6"/>
    <n v="1230"/>
    <n v="63"/>
    <n v="1518"/>
    <n v="44"/>
  </r>
  <r>
    <d v="2020-07-23T00:00:00"/>
    <n v="6108"/>
    <s v="拌客（武宁路店）"/>
    <s v="9428110"/>
    <x v="4"/>
    <s v="上海"/>
    <s v="meituan"/>
    <x v="1"/>
    <s v="拌客干拌麻辣烫（武宁路店）"/>
    <x v="458"/>
    <n v="1728.65"/>
    <n v="4139"/>
    <n v="392"/>
    <n v="110"/>
    <n v="2"/>
    <n v="108"/>
    <n v="4180"/>
    <n v="323"/>
    <n v="107"/>
    <n v="280.38"/>
    <n v="2501"/>
    <n v="128"/>
    <n v="2985"/>
    <n v="460"/>
  </r>
  <r>
    <d v="2020-07-23T00:00:00"/>
    <n v="4636"/>
    <s v="蛙小辣火锅杯（总账号）"/>
    <s v="2001104355"/>
    <x v="0"/>
    <s v="上海"/>
    <s v="eleme"/>
    <x v="0"/>
    <s v="蛙小辣·美蛙火锅杯麻辣烫(宝山店)"/>
    <x v="459"/>
    <n v="444.53"/>
    <n v="1331"/>
    <n v="73"/>
    <n v="19"/>
    <n v="0"/>
    <n v="19"/>
    <n v="1331"/>
    <n v="73"/>
    <n v="19"/>
    <n v="39.04"/>
    <n v="432"/>
    <n v="25"/>
    <n v="675"/>
    <n v="50"/>
  </r>
  <r>
    <d v="2020-07-23T00:00:00"/>
    <n v="4636"/>
    <s v="蛙小辣火锅杯（总账号）"/>
    <s v="8491999"/>
    <x v="0"/>
    <s v="上海"/>
    <s v="meituan"/>
    <x v="1"/>
    <s v="蛙小辣火锅杯（宝山店）"/>
    <x v="460"/>
    <n v="568.77"/>
    <n v="0"/>
    <n v="0"/>
    <n v="21"/>
    <n v="0"/>
    <n v="21"/>
    <n v="926"/>
    <n v="85"/>
    <n v="20"/>
    <n v="59.68"/>
    <n v="574"/>
    <n v="38"/>
    <n v="632"/>
    <n v="172"/>
  </r>
  <r>
    <d v="2020-07-24T00:00:00"/>
    <n v="6108"/>
    <s v="拌客（武宁路店）"/>
    <s v="337460136"/>
    <x v="4"/>
    <s v="上海"/>
    <s v="eleme"/>
    <x v="0"/>
    <s v="拌客·干拌麻辣烫(武宁路店)"/>
    <x v="461"/>
    <n v="855.86"/>
    <n v="2934"/>
    <n v="229"/>
    <n v="59"/>
    <n v="2"/>
    <n v="57"/>
    <n v="2934"/>
    <n v="229"/>
    <n v="56"/>
    <n v="175.47"/>
    <n v="1126"/>
    <n v="82"/>
    <n v="1629"/>
    <n v="43"/>
  </r>
  <r>
    <d v="2020-07-24T00:00:00"/>
    <n v="6108"/>
    <s v="拌客（武宁路店）"/>
    <s v="9428110"/>
    <x v="4"/>
    <s v="上海"/>
    <s v="meituan"/>
    <x v="1"/>
    <s v="拌客干拌麻辣烫（武宁路店）"/>
    <x v="462"/>
    <n v="1735.86"/>
    <n v="3579"/>
    <n v="289"/>
    <n v="111"/>
    <n v="0"/>
    <n v="111"/>
    <n v="3579"/>
    <n v="289"/>
    <n v="109"/>
    <n v="228.2"/>
    <n v="1863"/>
    <n v="105"/>
    <n v="3138"/>
    <n v="508"/>
  </r>
  <r>
    <d v="2020-07-24T00:00:00"/>
    <n v="4636"/>
    <s v="蛙小辣火锅杯（总账号）"/>
    <s v="2001104355"/>
    <x v="0"/>
    <s v="上海"/>
    <s v="eleme"/>
    <x v="0"/>
    <s v="蛙小辣·美蛙火锅杯麻辣烫(宝山店)"/>
    <x v="463"/>
    <n v="563.89"/>
    <n v="1164"/>
    <n v="74"/>
    <n v="24"/>
    <n v="0"/>
    <n v="24"/>
    <n v="1164"/>
    <n v="74"/>
    <n v="24"/>
    <n v="17.95"/>
    <n v="216"/>
    <n v="12"/>
    <n v="805"/>
    <n v="28"/>
  </r>
  <r>
    <d v="2020-07-24T00:00:00"/>
    <n v="4636"/>
    <s v="蛙小辣火锅杯（总账号）"/>
    <s v="8491999"/>
    <x v="0"/>
    <s v="上海"/>
    <s v="meituan"/>
    <x v="1"/>
    <s v="蛙小辣火锅杯（宝山店）"/>
    <x v="464"/>
    <n v="460.04"/>
    <n v="983"/>
    <n v="74"/>
    <n v="19"/>
    <n v="0"/>
    <n v="19"/>
    <n v="983"/>
    <n v="74"/>
    <n v="19"/>
    <n v="62.83"/>
    <n v="675"/>
    <n v="40"/>
    <n v="559"/>
    <n v="170"/>
  </r>
  <r>
    <d v="2020-07-25T00:00:00"/>
    <n v="6108"/>
    <s v="拌客（武宁路店）"/>
    <s v="337460136"/>
    <x v="4"/>
    <s v="上海"/>
    <s v="eleme"/>
    <x v="0"/>
    <s v="拌客·干拌麻辣烫(武宁路店)"/>
    <x v="465"/>
    <n v="756.29"/>
    <n v="3001"/>
    <n v="213"/>
    <n v="50"/>
    <n v="0"/>
    <n v="50"/>
    <n v="3001"/>
    <n v="213"/>
    <n v="50"/>
    <n v="91.4"/>
    <n v="1174"/>
    <n v="44"/>
    <n v="1410"/>
    <n v="53"/>
  </r>
  <r>
    <d v="2020-07-25T00:00:00"/>
    <n v="4636"/>
    <s v="蛙小辣火锅杯（总账号）"/>
    <s v="8491999"/>
    <x v="0"/>
    <s v="上海"/>
    <s v="meituan"/>
    <x v="1"/>
    <s v="蛙小辣火锅杯（宝山店）"/>
    <x v="466"/>
    <n v="542.23"/>
    <n v="1148"/>
    <n v="103"/>
    <n v="28"/>
    <n v="0"/>
    <n v="28"/>
    <n v="1148"/>
    <n v="103"/>
    <n v="28"/>
    <n v="80"/>
    <n v="686"/>
    <n v="52"/>
    <n v="795"/>
    <n v="262"/>
  </r>
  <r>
    <d v="2020-07-26T00:00:00"/>
    <n v="6108"/>
    <s v="拌客（武宁路店）"/>
    <s v="337460136"/>
    <x v="4"/>
    <s v="上海"/>
    <s v="eleme"/>
    <x v="0"/>
    <s v="拌客·干拌麻辣烫(武宁路店)"/>
    <x v="467"/>
    <n v="1066.23"/>
    <n v="3126"/>
    <n v="196"/>
    <n v="53"/>
    <n v="0"/>
    <n v="53"/>
    <n v="3126"/>
    <n v="196"/>
    <n v="52"/>
    <n v="103.67"/>
    <n v="1141"/>
    <n v="54"/>
    <n v="1645"/>
    <n v="57"/>
  </r>
  <r>
    <d v="2020-07-26T00:00:00"/>
    <n v="6108"/>
    <s v="拌客（武宁路店）"/>
    <s v="9428110"/>
    <x v="4"/>
    <s v="上海"/>
    <s v="meituan"/>
    <x v="1"/>
    <s v="拌客干拌麻辣烫（武宁路店）"/>
    <x v="468"/>
    <n v="1163.2"/>
    <n v="3171"/>
    <n v="246"/>
    <n v="77"/>
    <n v="1"/>
    <n v="76"/>
    <n v="3171"/>
    <n v="246"/>
    <n v="73"/>
    <n v="188.25"/>
    <n v="1509"/>
    <n v="94"/>
    <n v="2139"/>
    <n v="305"/>
  </r>
  <r>
    <d v="2020-07-26T00:00:00"/>
    <n v="4636"/>
    <s v="蛙小辣火锅杯（总账号）"/>
    <s v="8491999"/>
    <x v="0"/>
    <s v="上海"/>
    <s v="meituan"/>
    <x v="1"/>
    <s v="蛙小辣火锅杯（宝山店）"/>
    <x v="469"/>
    <n v="449.36"/>
    <n v="1140"/>
    <n v="109"/>
    <n v="22"/>
    <n v="0"/>
    <n v="22"/>
    <n v="1140"/>
    <n v="109"/>
    <n v="22"/>
    <n v="80"/>
    <n v="653"/>
    <n v="51"/>
    <n v="632"/>
    <n v="185"/>
  </r>
  <r>
    <d v="2020-07-27T00:00:00"/>
    <n v="6108"/>
    <s v="拌客（武宁路店）"/>
    <s v="337460136"/>
    <x v="4"/>
    <s v="上海"/>
    <s v="eleme"/>
    <x v="0"/>
    <s v="拌客·干拌麻辣烫(武宁路店)"/>
    <x v="470"/>
    <n v="853.16"/>
    <n v="3126"/>
    <n v="223"/>
    <n v="64"/>
    <n v="2"/>
    <n v="62"/>
    <n v="3126"/>
    <n v="223"/>
    <n v="60"/>
    <n v="141.25"/>
    <n v="1221"/>
    <n v="71"/>
    <n v="1660"/>
    <n v="58"/>
  </r>
  <r>
    <d v="2020-07-27T00:00:00"/>
    <n v="6108"/>
    <s v="拌客（武宁路店）"/>
    <s v="9428110"/>
    <x v="4"/>
    <s v="上海"/>
    <s v="meituan"/>
    <x v="1"/>
    <s v="拌客干拌麻辣烫（武宁路店）"/>
    <x v="471"/>
    <n v="1282.8800000000001"/>
    <n v="4226"/>
    <n v="318"/>
    <n v="90"/>
    <n v="1"/>
    <n v="89"/>
    <n v="4226"/>
    <n v="318"/>
    <n v="86"/>
    <n v="350.54"/>
    <n v="3324"/>
    <n v="176"/>
    <n v="2534"/>
    <n v="204"/>
  </r>
  <r>
    <d v="2020-07-27T00:00:00"/>
    <n v="4636"/>
    <s v="蛙小辣火锅杯（总账号）"/>
    <s v="8491999"/>
    <x v="0"/>
    <s v="上海"/>
    <s v="meituan"/>
    <x v="1"/>
    <s v="蛙小辣火锅杯（宝山店）"/>
    <x v="472"/>
    <n v="576.4"/>
    <n v="1055"/>
    <n v="98"/>
    <n v="25"/>
    <n v="0"/>
    <n v="25"/>
    <n v="1055"/>
    <n v="98"/>
    <n v="25"/>
    <n v="80"/>
    <n v="633"/>
    <n v="56"/>
    <n v="696"/>
    <n v="179"/>
  </r>
  <r>
    <d v="2020-07-28T00:00:00"/>
    <n v="6108"/>
    <s v="拌客（武宁路店）"/>
    <s v="337460136"/>
    <x v="4"/>
    <s v="上海"/>
    <s v="eleme"/>
    <x v="0"/>
    <s v="拌客·干拌麻辣烫(武宁路店)"/>
    <x v="473"/>
    <n v="1411.88"/>
    <n v="3959"/>
    <n v="296"/>
    <n v="79"/>
    <n v="1"/>
    <n v="78"/>
    <n v="3959"/>
    <n v="296"/>
    <n v="77"/>
    <n v="211.27"/>
    <n v="1899"/>
    <n v="103"/>
    <n v="2234"/>
    <n v="92"/>
  </r>
  <r>
    <d v="2020-07-28T00:00:00"/>
    <n v="6108"/>
    <s v="拌客（武宁路店）"/>
    <s v="9428110"/>
    <x v="4"/>
    <s v="上海"/>
    <s v="meituan"/>
    <x v="1"/>
    <s v="拌客干拌麻辣烫（武宁路店）"/>
    <x v="474"/>
    <n v="988.58"/>
    <n v="3575"/>
    <n v="258"/>
    <n v="79"/>
    <n v="1"/>
    <n v="78"/>
    <n v="3575"/>
    <n v="258"/>
    <n v="74"/>
    <n v="150"/>
    <n v="1614"/>
    <n v="76"/>
    <n v="1955"/>
    <n v="99"/>
  </r>
  <r>
    <d v="2020-07-28T00:00:00"/>
    <n v="4636"/>
    <s v="蛙小辣火锅杯（总账号）"/>
    <s v="2001104355"/>
    <x v="0"/>
    <s v="上海"/>
    <s v="eleme"/>
    <x v="0"/>
    <s v="蛙小辣·美蛙火锅杯麻辣烫(宝山店)"/>
    <x v="475"/>
    <n v="315.77"/>
    <n v="1338"/>
    <n v="78"/>
    <n v="18"/>
    <n v="1"/>
    <n v="17"/>
    <n v="1338"/>
    <n v="78"/>
    <n v="17"/>
    <n v="32.450000000000003"/>
    <n v="411"/>
    <n v="21"/>
    <n v="499"/>
    <n v="20"/>
  </r>
  <r>
    <d v="2020-07-28T00:00:00"/>
    <n v="4636"/>
    <s v="蛙小辣火锅杯（总账号）"/>
    <s v="8491999"/>
    <x v="0"/>
    <s v="上海"/>
    <s v="meituan"/>
    <x v="1"/>
    <s v="蛙小辣火锅杯（宝山店）"/>
    <x v="476"/>
    <n v="553.38"/>
    <n v="1029"/>
    <n v="115"/>
    <n v="29"/>
    <n v="0"/>
    <n v="29"/>
    <n v="1029"/>
    <n v="115"/>
    <n v="27"/>
    <n v="80"/>
    <n v="731"/>
    <n v="60"/>
    <n v="767"/>
    <n v="251"/>
  </r>
  <r>
    <d v="2020-07-29T00:00:00"/>
    <n v="6108"/>
    <s v="拌客（武宁路店）"/>
    <s v="337460136"/>
    <x v="4"/>
    <s v="上海"/>
    <s v="eleme"/>
    <x v="0"/>
    <s v="拌客·干拌麻辣烫(武宁路店)"/>
    <x v="477"/>
    <n v="885.15"/>
    <n v="3291"/>
    <n v="235"/>
    <n v="65"/>
    <n v="0"/>
    <n v="65"/>
    <n v="3291"/>
    <n v="235"/>
    <n v="63"/>
    <n v="122.26"/>
    <n v="1038"/>
    <n v="58"/>
    <n v="1871"/>
    <n v="61"/>
  </r>
  <r>
    <d v="2020-07-29T00:00:00"/>
    <n v="6108"/>
    <s v="拌客（武宁路店）"/>
    <s v="9428110"/>
    <x v="4"/>
    <s v="上海"/>
    <s v="meituan"/>
    <x v="1"/>
    <s v="拌客干拌麻辣烫（武宁路店）"/>
    <x v="478"/>
    <n v="1031.19"/>
    <n v="2757"/>
    <n v="217"/>
    <n v="71"/>
    <n v="0"/>
    <n v="71"/>
    <n v="2757"/>
    <n v="217"/>
    <n v="68"/>
    <n v="100"/>
    <n v="660"/>
    <n v="51"/>
    <n v="1907"/>
    <n v="114"/>
  </r>
  <r>
    <d v="2020-07-29T00:00:00"/>
    <n v="4636"/>
    <s v="蛙小辣火锅杯（总账号）"/>
    <s v="2001104355"/>
    <x v="0"/>
    <s v="上海"/>
    <s v="eleme"/>
    <x v="0"/>
    <s v="蛙小辣·美蛙火锅杯麻辣烫(宝山店)"/>
    <x v="479"/>
    <n v="357.91"/>
    <n v="1194"/>
    <n v="71"/>
    <n v="16"/>
    <n v="0"/>
    <n v="16"/>
    <n v="1194"/>
    <n v="71"/>
    <n v="16"/>
    <n v="19.2"/>
    <n v="264"/>
    <n v="12"/>
    <n v="565"/>
    <n v="39"/>
  </r>
  <r>
    <d v="2020-07-29T00:00:00"/>
    <n v="4636"/>
    <s v="蛙小辣火锅杯（总账号）"/>
    <s v="8491999"/>
    <x v="0"/>
    <s v="上海"/>
    <s v="meituan"/>
    <x v="1"/>
    <s v="蛙小辣火锅杯（宝山店）"/>
    <x v="480"/>
    <n v="273.93"/>
    <n v="1130"/>
    <n v="102"/>
    <n v="15"/>
    <n v="0"/>
    <n v="15"/>
    <n v="1130"/>
    <n v="102"/>
    <n v="15"/>
    <n v="80"/>
    <n v="791"/>
    <n v="60"/>
    <n v="438"/>
    <n v="39"/>
  </r>
  <r>
    <d v="2020-07-30T00:00:00"/>
    <n v="6108"/>
    <s v="拌客（武宁路店）"/>
    <s v="337460136"/>
    <x v="4"/>
    <s v="上海"/>
    <s v="eleme"/>
    <x v="0"/>
    <s v="拌客·干拌麻辣烫(武宁路店)"/>
    <x v="481"/>
    <n v="1030.83"/>
    <n v="3436"/>
    <n v="280"/>
    <n v="76"/>
    <n v="0"/>
    <n v="76"/>
    <n v="3436"/>
    <n v="280"/>
    <n v="75"/>
    <n v="98.75"/>
    <n v="852"/>
    <n v="45"/>
    <n v="2202"/>
    <n v="109"/>
  </r>
  <r>
    <d v="2020-07-30T00:00:00"/>
    <n v="6108"/>
    <s v="拌客（武宁路店）"/>
    <s v="9428110"/>
    <x v="4"/>
    <s v="上海"/>
    <s v="meituan"/>
    <x v="1"/>
    <s v="拌客干拌麻辣烫（武宁路店）"/>
    <x v="482"/>
    <n v="1060.07"/>
    <n v="2811"/>
    <n v="192"/>
    <n v="74"/>
    <n v="1"/>
    <n v="73"/>
    <n v="2811"/>
    <n v="192"/>
    <n v="69"/>
    <n v="91.42"/>
    <n v="850"/>
    <n v="45"/>
    <n v="1956"/>
    <n v="109"/>
  </r>
  <r>
    <d v="2020-07-30T00:00:00"/>
    <n v="4636"/>
    <s v="蛙小辣火锅杯（总账号）"/>
    <s v="2001104355"/>
    <x v="0"/>
    <s v="上海"/>
    <s v="eleme"/>
    <x v="0"/>
    <s v="蛙小辣·美蛙火锅杯麻辣烫(宝山店)"/>
    <x v="483"/>
    <n v="407.65"/>
    <n v="1136"/>
    <n v="80"/>
    <n v="22"/>
    <n v="0"/>
    <n v="22"/>
    <n v="1136"/>
    <n v="80"/>
    <n v="22"/>
    <n v="25.25"/>
    <n v="287"/>
    <n v="16"/>
    <n v="703"/>
    <n v="63"/>
  </r>
  <r>
    <d v="2020-07-30T00:00:00"/>
    <n v="4636"/>
    <s v="蛙小辣火锅杯（总账号）"/>
    <s v="8491999"/>
    <x v="0"/>
    <s v="上海"/>
    <s v="meituan"/>
    <x v="1"/>
    <s v="蛙小辣火锅杯（宝山店）"/>
    <x v="484"/>
    <n v="403.13"/>
    <n v="1122"/>
    <n v="93"/>
    <n v="22"/>
    <n v="0"/>
    <n v="22"/>
    <n v="1122"/>
    <n v="93"/>
    <n v="21"/>
    <n v="53.05"/>
    <n v="713"/>
    <n v="38"/>
    <n v="646"/>
    <n v="46"/>
  </r>
  <r>
    <d v="2020-07-31T00:00:00"/>
    <n v="6108"/>
    <s v="拌客（武宁路店）"/>
    <s v="337460136"/>
    <x v="4"/>
    <s v="上海"/>
    <s v="eleme"/>
    <x v="0"/>
    <s v="拌客·干拌麻辣烫(武宁路店)"/>
    <x v="485"/>
    <n v="995.88"/>
    <n v="3325"/>
    <n v="239"/>
    <n v="80"/>
    <n v="0"/>
    <n v="80"/>
    <n v="3325"/>
    <n v="239"/>
    <n v="78"/>
    <n v="100"/>
    <n v="904"/>
    <n v="50"/>
    <n v="2329"/>
    <n v="70"/>
  </r>
  <r>
    <d v="2020-07-31T00:00:00"/>
    <n v="6108"/>
    <s v="拌客（武宁路店）"/>
    <s v="9428110"/>
    <x v="4"/>
    <s v="上海"/>
    <s v="meituan"/>
    <x v="1"/>
    <s v="拌客干拌麻辣烫（武宁路店）"/>
    <x v="486"/>
    <n v="1079.26"/>
    <n v="2653"/>
    <n v="209"/>
    <n v="89"/>
    <n v="2"/>
    <n v="87"/>
    <n v="2653"/>
    <n v="209"/>
    <n v="87"/>
    <n v="100"/>
    <n v="965"/>
    <n v="51"/>
    <n v="2398"/>
    <n v="123"/>
  </r>
  <r>
    <d v="2020-07-31T00:00:00"/>
    <n v="4636"/>
    <s v="蛙小辣火锅杯（总账号）"/>
    <s v="2001104355"/>
    <x v="0"/>
    <s v="上海"/>
    <s v="eleme"/>
    <x v="0"/>
    <s v="蛙小辣·美蛙火锅杯麻辣烫(宝山店)"/>
    <x v="487"/>
    <n v="438.69"/>
    <n v="1219"/>
    <n v="89"/>
    <n v="18"/>
    <n v="0"/>
    <n v="18"/>
    <n v="1219"/>
    <n v="89"/>
    <n v="18"/>
    <n v="20.260000000000002"/>
    <n v="249"/>
    <n v="13"/>
    <n v="617"/>
    <n v="46"/>
  </r>
  <r>
    <d v="2020-07-31T00:00:00"/>
    <n v="4636"/>
    <s v="蛙小辣火锅杯（总账号）"/>
    <s v="8491999"/>
    <x v="0"/>
    <s v="上海"/>
    <s v="meituan"/>
    <x v="1"/>
    <s v="蛙小辣火锅杯（宝山店）"/>
    <x v="488"/>
    <n v="731.42"/>
    <n v="1074"/>
    <n v="98"/>
    <n v="30"/>
    <n v="1"/>
    <n v="29"/>
    <n v="1074"/>
    <n v="98"/>
    <n v="29"/>
    <n v="51.78"/>
    <n v="637"/>
    <n v="38"/>
    <n v="935"/>
    <n v="69"/>
  </r>
  <r>
    <d v="2020-08-01T00:00:00"/>
    <n v="6108"/>
    <s v="拌客（武宁路店）"/>
    <s v="337460136"/>
    <x v="4"/>
    <s v="上海"/>
    <s v="eleme"/>
    <x v="0"/>
    <s v="拌客·干拌麻辣烫(武宁路店)"/>
    <x v="489"/>
    <n v="988.54"/>
    <n v="3265"/>
    <n v="247"/>
    <n v="60"/>
    <n v="1"/>
    <n v="59"/>
    <n v="3265"/>
    <n v="247"/>
    <n v="57"/>
    <n v="98.9"/>
    <n v="837"/>
    <n v="44"/>
    <n v="1757"/>
    <n v="43"/>
  </r>
  <r>
    <d v="2020-08-01T00:00:00"/>
    <n v="6108"/>
    <s v="拌客（武宁路店）"/>
    <s v="9428110"/>
    <x v="4"/>
    <s v="上海"/>
    <s v="meituan"/>
    <x v="1"/>
    <s v="拌客干拌麻辣烫（武宁路店）"/>
    <x v="490"/>
    <n v="706.6"/>
    <n v="1952"/>
    <n v="166"/>
    <n v="51"/>
    <n v="1"/>
    <n v="50"/>
    <n v="1952"/>
    <n v="166"/>
    <n v="50"/>
    <n v="19.79"/>
    <n v="130"/>
    <n v="10"/>
    <n v="1377"/>
    <n v="63"/>
  </r>
  <r>
    <d v="2020-08-01T00:00:00"/>
    <n v="4636"/>
    <s v="蛙小辣火锅杯（总账号）"/>
    <s v="2001104355"/>
    <x v="0"/>
    <s v="上海"/>
    <s v="eleme"/>
    <x v="0"/>
    <s v="蛙小辣·美蛙火锅杯麻辣烫(宝山店)"/>
    <x v="491"/>
    <n v="455.06"/>
    <n v="1524"/>
    <n v="114"/>
    <n v="18"/>
    <n v="0"/>
    <n v="18"/>
    <n v="1524"/>
    <n v="114"/>
    <n v="18"/>
    <n v="32.36"/>
    <n v="382"/>
    <n v="20"/>
    <n v="661"/>
    <n v="10"/>
  </r>
  <r>
    <d v="2020-08-01T00:00:00"/>
    <n v="4636"/>
    <s v="蛙小辣火锅杯（总账号）"/>
    <s v="8491999"/>
    <x v="0"/>
    <s v="上海"/>
    <s v="meituan"/>
    <x v="1"/>
    <s v="蛙小辣火锅杯（宝山店）"/>
    <x v="492"/>
    <n v="390.55"/>
    <n v="1269"/>
    <n v="104"/>
    <n v="19"/>
    <n v="0"/>
    <n v="19"/>
    <n v="1269"/>
    <n v="104"/>
    <n v="18"/>
    <n v="80"/>
    <n v="823"/>
    <n v="60"/>
    <n v="547"/>
    <n v="49"/>
  </r>
  <r>
    <d v="2020-08-02T00:00:00"/>
    <n v="6108"/>
    <s v="拌客（武宁路店）"/>
    <s v="337460136"/>
    <x v="4"/>
    <s v="上海"/>
    <s v="eleme"/>
    <x v="0"/>
    <s v="拌客·干拌麻辣烫(武宁路店)"/>
    <x v="493"/>
    <n v="853.39"/>
    <n v="3327"/>
    <n v="241"/>
    <n v="61"/>
    <n v="1"/>
    <n v="60"/>
    <n v="3327"/>
    <n v="241"/>
    <n v="58"/>
    <n v="98.5"/>
    <n v="882"/>
    <n v="45"/>
    <n v="1802"/>
    <n v="62"/>
  </r>
  <r>
    <d v="2020-08-02T00:00:00"/>
    <n v="6108"/>
    <s v="拌客（武宁路店）"/>
    <s v="9428110"/>
    <x v="4"/>
    <s v="上海"/>
    <s v="meituan"/>
    <x v="1"/>
    <s v="拌客干拌麻辣烫（武宁路店）"/>
    <x v="494"/>
    <n v="916.57"/>
    <n v="2292"/>
    <n v="175"/>
    <n v="63"/>
    <n v="0"/>
    <n v="63"/>
    <n v="2292"/>
    <n v="175"/>
    <n v="60"/>
    <n v="100"/>
    <n v="890"/>
    <n v="51"/>
    <n v="1696"/>
    <n v="87"/>
  </r>
  <r>
    <d v="2020-08-02T00:00:00"/>
    <n v="4636"/>
    <s v="蛙小辣火锅杯（总账号）"/>
    <s v="2001104355"/>
    <x v="0"/>
    <s v="上海"/>
    <s v="eleme"/>
    <x v="0"/>
    <s v="蛙小辣·美蛙火锅杯麻辣烫(宝山店)"/>
    <x v="495"/>
    <n v="345.36"/>
    <n v="1620"/>
    <n v="93"/>
    <n v="16"/>
    <n v="1"/>
    <n v="15"/>
    <n v="1620"/>
    <n v="93"/>
    <n v="15"/>
    <n v="35.78"/>
    <n v="445"/>
    <n v="22"/>
    <n v="508"/>
    <n v="10"/>
  </r>
  <r>
    <d v="2020-08-02T00:00:00"/>
    <n v="4636"/>
    <s v="蛙小辣火锅杯（总账号）"/>
    <s v="8491999"/>
    <x v="0"/>
    <s v="上海"/>
    <s v="meituan"/>
    <x v="1"/>
    <s v="蛙小辣火锅杯（宝山店）"/>
    <x v="496"/>
    <n v="407.2"/>
    <n v="1250"/>
    <n v="118"/>
    <n v="21"/>
    <n v="0"/>
    <n v="21"/>
    <n v="1250"/>
    <n v="118"/>
    <n v="21"/>
    <n v="80"/>
    <n v="753"/>
    <n v="59"/>
    <n v="619"/>
    <n v="37"/>
  </r>
  <r>
    <d v="2020-08-03T00:00:00"/>
    <n v="6108"/>
    <s v="拌客（武宁路店）"/>
    <s v="337460136"/>
    <x v="4"/>
    <s v="上海"/>
    <s v="eleme"/>
    <x v="0"/>
    <s v="拌客·干拌麻辣烫(武宁路店)"/>
    <x v="497"/>
    <n v="837.78"/>
    <n v="2716"/>
    <n v="193"/>
    <n v="62"/>
    <n v="0"/>
    <n v="62"/>
    <n v="2716"/>
    <n v="193"/>
    <n v="60"/>
    <n v="99.8"/>
    <n v="979"/>
    <n v="48"/>
    <n v="1908"/>
    <n v="71"/>
  </r>
  <r>
    <d v="2020-08-03T00:00:00"/>
    <n v="6108"/>
    <s v="拌客（武宁路店）"/>
    <s v="9428110"/>
    <x v="4"/>
    <s v="上海"/>
    <s v="meituan"/>
    <x v="1"/>
    <s v="拌客干拌麻辣烫（武宁路店）"/>
    <x v="498"/>
    <n v="682.04"/>
    <n v="4225"/>
    <n v="183"/>
    <n v="54"/>
    <n v="1"/>
    <n v="53"/>
    <n v="4225"/>
    <n v="183"/>
    <n v="53"/>
    <n v="100"/>
    <n v="904"/>
    <n v="51"/>
    <n v="1370"/>
    <n v="90"/>
  </r>
  <r>
    <d v="2020-08-03T00:00:00"/>
    <n v="4636"/>
    <s v="蛙小辣火锅杯（总账号）"/>
    <s v="2001104355"/>
    <x v="0"/>
    <s v="上海"/>
    <s v="eleme"/>
    <x v="0"/>
    <s v="蛙小辣·美蛙火锅杯麻辣烫(宝山店)"/>
    <x v="499"/>
    <n v="362.04"/>
    <n v="981"/>
    <n v="63"/>
    <n v="18"/>
    <n v="0"/>
    <n v="18"/>
    <n v="981"/>
    <n v="63"/>
    <n v="17"/>
    <n v="33.700000000000003"/>
    <n v="327"/>
    <n v="20"/>
    <n v="561"/>
    <n v="16"/>
  </r>
  <r>
    <d v="2020-08-03T00:00:00"/>
    <n v="4636"/>
    <s v="蛙小辣火锅杯（总账号）"/>
    <s v="8491999"/>
    <x v="0"/>
    <s v="上海"/>
    <s v="meituan"/>
    <x v="1"/>
    <s v="蛙小辣火锅杯（宝山店）"/>
    <x v="500"/>
    <n v="395.83"/>
    <n v="1134"/>
    <n v="96"/>
    <n v="21"/>
    <n v="0"/>
    <n v="21"/>
    <n v="1134"/>
    <n v="96"/>
    <n v="20"/>
    <n v="66.3"/>
    <n v="900"/>
    <n v="50"/>
    <n v="581"/>
    <n v="55"/>
  </r>
  <r>
    <d v="2020-08-04T00:00:00"/>
    <n v="4636"/>
    <s v="蛙小辣火锅杯（总账号）"/>
    <s v="2001104355"/>
    <x v="0"/>
    <s v="上海"/>
    <s v="eleme"/>
    <x v="0"/>
    <s v="蛙小辣·美蛙火锅杯麻辣烫(宝山店)"/>
    <x v="501"/>
    <n v="383"/>
    <n v="999"/>
    <n v="82"/>
    <n v="21"/>
    <n v="0"/>
    <n v="21"/>
    <n v="999"/>
    <n v="82"/>
    <n v="20"/>
    <n v="22.77"/>
    <n v="163"/>
    <n v="14"/>
    <n v="667"/>
    <n v="24"/>
  </r>
  <r>
    <d v="2020-08-04T00:00:00"/>
    <n v="4636"/>
    <s v="蛙小辣火锅杯（总账号）"/>
    <s v="8491999"/>
    <x v="0"/>
    <s v="上海"/>
    <s v="meituan"/>
    <x v="1"/>
    <s v="蛙小辣火锅杯（宝山店）"/>
    <x v="502"/>
    <n v="624.42999999999995"/>
    <n v="1328"/>
    <n v="123"/>
    <n v="28"/>
    <n v="2"/>
    <n v="26"/>
    <n v="1328"/>
    <n v="123"/>
    <n v="28"/>
    <n v="80"/>
    <n v="813"/>
    <n v="60"/>
    <n v="828"/>
    <n v="76"/>
  </r>
  <r>
    <d v="2020-08-05T00:00:00"/>
    <n v="4636"/>
    <s v="蛙小辣火锅杯（总账号）"/>
    <s v="2001104355"/>
    <x v="0"/>
    <s v="上海"/>
    <s v="eleme"/>
    <x v="0"/>
    <s v="蛙小辣·美蛙火锅杯麻辣烫(宝山店)"/>
    <x v="503"/>
    <n v="339.59"/>
    <n v="1000"/>
    <n v="75"/>
    <n v="13"/>
    <n v="0"/>
    <n v="13"/>
    <n v="1000"/>
    <n v="75"/>
    <n v="13"/>
    <n v="33.57"/>
    <n v="403"/>
    <n v="22"/>
    <n v="445"/>
    <n v="10"/>
  </r>
  <r>
    <d v="2020-08-05T00:00:00"/>
    <n v="4636"/>
    <s v="蛙小辣火锅杯（总账号）"/>
    <s v="8491999"/>
    <x v="0"/>
    <s v="上海"/>
    <s v="meituan"/>
    <x v="1"/>
    <s v="蛙小辣火锅杯（宝山店）"/>
    <x v="504"/>
    <n v="720.17"/>
    <n v="1342"/>
    <n v="109"/>
    <n v="29"/>
    <n v="0"/>
    <n v="29"/>
    <n v="1342"/>
    <n v="109"/>
    <n v="29"/>
    <n v="80"/>
    <n v="1018"/>
    <n v="60"/>
    <n v="918"/>
    <n v="87"/>
  </r>
  <r>
    <d v="2020-08-06T00:00:00"/>
    <n v="4636"/>
    <s v="蛙小辣火锅杯（总账号）"/>
    <s v="2001104355"/>
    <x v="0"/>
    <s v="上海"/>
    <s v="eleme"/>
    <x v="0"/>
    <s v="蛙小辣·美蛙火锅杯麻辣烫(宝山店)"/>
    <x v="505"/>
    <n v="337.53"/>
    <n v="799"/>
    <n v="63"/>
    <n v="15"/>
    <n v="0"/>
    <n v="15"/>
    <n v="799"/>
    <n v="63"/>
    <n v="15"/>
    <n v="23.56"/>
    <n v="296"/>
    <n v="14"/>
    <n v="534"/>
    <n v="18"/>
  </r>
  <r>
    <d v="2020-08-06T00:00:00"/>
    <n v="4636"/>
    <s v="蛙小辣火锅杯（总账号）"/>
    <s v="8491999"/>
    <x v="0"/>
    <s v="上海"/>
    <s v="meituan"/>
    <x v="1"/>
    <s v="蛙小辣火锅杯（宝山店）"/>
    <x v="506"/>
    <n v="402.85"/>
    <n v="1345"/>
    <n v="99"/>
    <n v="21"/>
    <n v="2"/>
    <n v="19"/>
    <n v="1345"/>
    <n v="99"/>
    <n v="19"/>
    <n v="79.88"/>
    <n v="885"/>
    <n v="56"/>
    <n v="594"/>
    <n v="56"/>
  </r>
  <r>
    <d v="2020-08-07T00:00:00"/>
    <n v="4636"/>
    <s v="蛙小辣火锅杯（总账号）"/>
    <s v="2001104355"/>
    <x v="0"/>
    <s v="上海"/>
    <s v="eleme"/>
    <x v="0"/>
    <s v="蛙小辣·美蛙火锅杯麻辣烫(宝山店)"/>
    <x v="507"/>
    <n v="486.51"/>
    <n v="898"/>
    <n v="79"/>
    <n v="25"/>
    <n v="0"/>
    <n v="25"/>
    <n v="898"/>
    <n v="79"/>
    <n v="25"/>
    <n v="32.700000000000003"/>
    <n v="303"/>
    <n v="20"/>
    <n v="824"/>
    <n v="32"/>
  </r>
  <r>
    <d v="2020-08-07T00:00:00"/>
    <n v="4636"/>
    <s v="蛙小辣火锅杯（总账号）"/>
    <s v="8491999"/>
    <x v="0"/>
    <s v="上海"/>
    <s v="meituan"/>
    <x v="1"/>
    <s v="蛙小辣火锅杯（宝山店）"/>
    <x v="508"/>
    <n v="410.37"/>
    <n v="1421"/>
    <n v="109"/>
    <n v="21"/>
    <n v="0"/>
    <n v="21"/>
    <n v="1421"/>
    <n v="109"/>
    <n v="21"/>
    <n v="63.48"/>
    <n v="823"/>
    <n v="42"/>
    <n v="622"/>
    <n v="50"/>
  </r>
  <r>
    <d v="2020-08-08T00:00:00"/>
    <n v="4636"/>
    <s v="蛙小辣火锅杯（总账号）"/>
    <s v="2001104355"/>
    <x v="0"/>
    <s v="上海"/>
    <s v="eleme"/>
    <x v="0"/>
    <s v="蛙小辣·美蛙火锅杯麻辣烫(宝山店)"/>
    <x v="509"/>
    <n v="193.5"/>
    <n v="844"/>
    <n v="43"/>
    <n v="9"/>
    <n v="0"/>
    <n v="9"/>
    <n v="844"/>
    <n v="43"/>
    <n v="9"/>
    <n v="26.63"/>
    <n v="356"/>
    <n v="17"/>
    <n v="286"/>
    <n v="4"/>
  </r>
  <r>
    <d v="2020-08-08T00:00:00"/>
    <n v="4636"/>
    <s v="蛙小辣火锅杯（总账号）"/>
    <s v="8491999"/>
    <x v="0"/>
    <s v="上海"/>
    <s v="meituan"/>
    <x v="1"/>
    <s v="蛙小辣火锅杯（宝山店）"/>
    <x v="510"/>
    <n v="254.05"/>
    <n v="1597"/>
    <n v="104"/>
    <n v="17"/>
    <n v="0"/>
    <n v="17"/>
    <n v="1597"/>
    <n v="104"/>
    <n v="17"/>
    <n v="65.540000000000006"/>
    <n v="842"/>
    <n v="44"/>
    <n v="500"/>
    <n v="78"/>
  </r>
  <r>
    <d v="2020-08-09T00:00:00"/>
    <n v="4636"/>
    <s v="蛙小辣火锅杯（总账号）"/>
    <s v="2001104355"/>
    <x v="0"/>
    <s v="上海"/>
    <s v="eleme"/>
    <x v="0"/>
    <s v="蛙小辣·美蛙火锅杯麻辣烫(宝山店)"/>
    <x v="511"/>
    <n v="271.97000000000003"/>
    <n v="1121"/>
    <n v="79"/>
    <n v="13"/>
    <n v="1"/>
    <n v="12"/>
    <n v="1121"/>
    <n v="79"/>
    <n v="12"/>
    <n v="51.03"/>
    <n v="467"/>
    <n v="31"/>
    <n v="422"/>
    <n v="12"/>
  </r>
  <r>
    <d v="2020-08-09T00:00:00"/>
    <n v="4636"/>
    <s v="蛙小辣火锅杯（总账号）"/>
    <s v="8491999"/>
    <x v="0"/>
    <s v="上海"/>
    <s v="meituan"/>
    <x v="1"/>
    <s v="蛙小辣火锅杯（宝山店）"/>
    <x v="512"/>
    <n v="506.93"/>
    <n v="1435"/>
    <n v="125"/>
    <n v="27"/>
    <n v="0"/>
    <n v="27"/>
    <n v="1435"/>
    <n v="125"/>
    <n v="26"/>
    <n v="80"/>
    <n v="732"/>
    <n v="57"/>
    <n v="807"/>
    <n v="78"/>
  </r>
  <r>
    <d v="2020-08-10T00:00:00"/>
    <n v="4636"/>
    <s v="蛙小辣火锅杯（总账号）"/>
    <s v="2001104355"/>
    <x v="0"/>
    <s v="上海"/>
    <s v="eleme"/>
    <x v="0"/>
    <s v="蛙小辣·美蛙火锅杯麻辣烫(宝山店)"/>
    <x v="513"/>
    <n v="268.69"/>
    <n v="1003"/>
    <n v="64"/>
    <n v="10"/>
    <n v="0"/>
    <n v="10"/>
    <n v="1003"/>
    <n v="64"/>
    <n v="10"/>
    <n v="18.11"/>
    <n v="172"/>
    <n v="11"/>
    <n v="360"/>
    <n v="7"/>
  </r>
  <r>
    <d v="2020-08-10T00:00:00"/>
    <n v="4636"/>
    <s v="蛙小辣火锅杯（总账号）"/>
    <s v="8491999"/>
    <x v="0"/>
    <s v="上海"/>
    <s v="meituan"/>
    <x v="1"/>
    <s v="蛙小辣火锅杯（宝山店）"/>
    <x v="514"/>
    <n v="499.98"/>
    <n v="1372"/>
    <n v="111"/>
    <n v="30"/>
    <n v="0"/>
    <n v="30"/>
    <n v="1372"/>
    <n v="111"/>
    <n v="26"/>
    <n v="80"/>
    <n v="782"/>
    <n v="53"/>
    <n v="880"/>
    <n v="59"/>
  </r>
  <r>
    <d v="2020-08-11T00:00:00"/>
    <n v="4636"/>
    <s v="蛙小辣火锅杯（总账号）"/>
    <s v="2001104355"/>
    <x v="0"/>
    <s v="上海"/>
    <s v="eleme"/>
    <x v="0"/>
    <s v="蛙小辣·美蛙火锅杯麻辣烫(宝山店)"/>
    <x v="515"/>
    <n v="503.36"/>
    <n v="866"/>
    <n v="58"/>
    <n v="14"/>
    <n v="1"/>
    <n v="13"/>
    <n v="866"/>
    <n v="58"/>
    <n v="12"/>
    <n v="39.33"/>
    <n v="371"/>
    <n v="24"/>
    <n v="486"/>
    <n v="10"/>
  </r>
  <r>
    <d v="2020-08-11T00:00:00"/>
    <n v="4636"/>
    <s v="蛙小辣火锅杯（总账号）"/>
    <s v="8491999"/>
    <x v="0"/>
    <s v="上海"/>
    <s v="meituan"/>
    <x v="1"/>
    <s v="蛙小辣火锅杯（宝山店）"/>
    <x v="516"/>
    <n v="419.83"/>
    <n v="1123"/>
    <n v="97"/>
    <n v="26"/>
    <n v="0"/>
    <n v="26"/>
    <n v="1123"/>
    <n v="97"/>
    <n v="25"/>
    <n v="80"/>
    <n v="716"/>
    <n v="55"/>
    <n v="700"/>
    <n v="60"/>
  </r>
  <r>
    <d v="2020-08-12T00:00:00"/>
    <n v="4636"/>
    <s v="蛙小辣火锅杯（总账号）"/>
    <s v="2001104355"/>
    <x v="0"/>
    <s v="上海"/>
    <s v="eleme"/>
    <x v="0"/>
    <s v="蛙小辣·美蛙火锅杯麻辣烫(宝山店)"/>
    <x v="517"/>
    <n v="314.57"/>
    <n v="894"/>
    <n v="57"/>
    <n v="16"/>
    <n v="0"/>
    <n v="16"/>
    <n v="894"/>
    <n v="57"/>
    <n v="15"/>
    <n v="44.26"/>
    <n v="434"/>
    <n v="25"/>
    <n v="471"/>
    <n v="15"/>
  </r>
  <r>
    <d v="2020-08-12T00:00:00"/>
    <n v="4636"/>
    <s v="蛙小辣火锅杯（总账号）"/>
    <s v="8491999"/>
    <x v="0"/>
    <s v="上海"/>
    <s v="meituan"/>
    <x v="1"/>
    <s v="蛙小辣火锅杯（宝山店）"/>
    <x v="518"/>
    <n v="346.44"/>
    <n v="1019"/>
    <n v="92"/>
    <n v="16"/>
    <n v="1"/>
    <n v="15"/>
    <n v="1019"/>
    <n v="92"/>
    <n v="16"/>
    <n v="66.400000000000006"/>
    <n v="580"/>
    <n v="44"/>
    <n v="471"/>
    <n v="32"/>
  </r>
  <r>
    <d v="2020-08-13T00:00:00"/>
    <n v="4636"/>
    <s v="蛙小辣火锅杯（总账号）"/>
    <s v="2001104355"/>
    <x v="0"/>
    <s v="上海"/>
    <s v="eleme"/>
    <x v="0"/>
    <s v="蛙小辣·美蛙火锅杯麻辣烫(宝山店)"/>
    <x v="519"/>
    <n v="286.12"/>
    <n v="922"/>
    <n v="56"/>
    <n v="13"/>
    <n v="1"/>
    <n v="12"/>
    <n v="922"/>
    <n v="56"/>
    <n v="13"/>
    <n v="41.9"/>
    <n v="483"/>
    <n v="24"/>
    <n v="400"/>
    <n v="7"/>
  </r>
  <r>
    <d v="2020-08-13T00:00:00"/>
    <n v="4636"/>
    <s v="蛙小辣火锅杯（总账号）"/>
    <s v="8491999"/>
    <x v="0"/>
    <s v="上海"/>
    <s v="meituan"/>
    <x v="1"/>
    <s v="蛙小辣火锅杯（宝山店）"/>
    <x v="520"/>
    <n v="347.98"/>
    <n v="1122"/>
    <n v="87"/>
    <n v="21"/>
    <n v="0"/>
    <n v="21"/>
    <n v="1122"/>
    <n v="87"/>
    <n v="21"/>
    <n v="58.76"/>
    <n v="659"/>
    <n v="41"/>
    <n v="598"/>
    <n v="37"/>
  </r>
  <r>
    <d v="2020-08-14T00:00:00"/>
    <n v="4636"/>
    <s v="蛙小辣火锅杯（总账号）"/>
    <s v="2001104355"/>
    <x v="0"/>
    <s v="上海"/>
    <s v="eleme"/>
    <x v="0"/>
    <s v="蛙小辣·美蛙火锅杯麻辣烫(宝山店)"/>
    <x v="521"/>
    <n v="442.92"/>
    <n v="1020"/>
    <n v="74"/>
    <n v="19"/>
    <n v="0"/>
    <n v="19"/>
    <n v="1020"/>
    <n v="74"/>
    <n v="19"/>
    <n v="47.28"/>
    <n v="552"/>
    <n v="27"/>
    <n v="646"/>
    <n v="7"/>
  </r>
  <r>
    <d v="2020-08-14T00:00:00"/>
    <n v="4636"/>
    <s v="蛙小辣火锅杯（总账号）"/>
    <s v="8491999"/>
    <x v="0"/>
    <s v="上海"/>
    <s v="meituan"/>
    <x v="1"/>
    <s v="蛙小辣火锅杯（宝山店）"/>
    <x v="522"/>
    <n v="356.41"/>
    <n v="1281"/>
    <n v="94"/>
    <n v="19"/>
    <n v="1"/>
    <n v="18"/>
    <n v="1281"/>
    <n v="94"/>
    <n v="18"/>
    <n v="66.88"/>
    <n v="833"/>
    <n v="48"/>
    <n v="554"/>
    <n v="22"/>
  </r>
  <r>
    <d v="2020-08-15T00:00:00"/>
    <n v="4636"/>
    <s v="蛙小辣火锅杯（总账号）"/>
    <s v="2001104355"/>
    <x v="0"/>
    <s v="上海"/>
    <s v="eleme"/>
    <x v="0"/>
    <s v="蛙小辣·美蛙火锅杯麻辣烫(宝山店)"/>
    <x v="523"/>
    <n v="461.15"/>
    <n v="1258"/>
    <n v="92"/>
    <n v="21"/>
    <n v="0"/>
    <n v="21"/>
    <n v="1258"/>
    <n v="92"/>
    <n v="21"/>
    <n v="33.57"/>
    <n v="297"/>
    <n v="19"/>
    <n v="785"/>
    <n v="76"/>
  </r>
  <r>
    <d v="2020-08-15T00:00:00"/>
    <n v="4636"/>
    <s v="蛙小辣火锅杯（总账号）"/>
    <s v="8491999"/>
    <x v="0"/>
    <s v="上海"/>
    <s v="meituan"/>
    <x v="1"/>
    <s v="蛙小辣火锅杯（宝山店）"/>
    <x v="524"/>
    <n v="414.91"/>
    <n v="1467"/>
    <n v="109"/>
    <n v="22"/>
    <n v="0"/>
    <n v="22"/>
    <n v="1467"/>
    <n v="109"/>
    <n v="22"/>
    <n v="76.33"/>
    <n v="904"/>
    <n v="53"/>
    <n v="602"/>
    <n v="32"/>
  </r>
  <r>
    <d v="2020-08-16T00:00:00"/>
    <n v="4636"/>
    <s v="蛙小辣火锅杯（总账号）"/>
    <s v="2001104355"/>
    <x v="0"/>
    <s v="上海"/>
    <s v="eleme"/>
    <x v="0"/>
    <s v="蛙小辣·美蛙火锅杯麻辣烫(宝山店)"/>
    <x v="525"/>
    <n v="318.77999999999997"/>
    <n v="1257"/>
    <n v="89"/>
    <n v="14"/>
    <n v="0"/>
    <n v="14"/>
    <n v="1257"/>
    <n v="89"/>
    <n v="13"/>
    <n v="67.58"/>
    <n v="650"/>
    <n v="39"/>
    <n v="474"/>
    <n v="35"/>
  </r>
  <r>
    <d v="2020-08-16T00:00:00"/>
    <n v="4636"/>
    <s v="蛙小辣火锅杯（总账号）"/>
    <s v="8491999"/>
    <x v="0"/>
    <s v="上海"/>
    <s v="meituan"/>
    <x v="1"/>
    <s v="蛙小辣火锅杯（宝山店）"/>
    <x v="526"/>
    <n v="436.37"/>
    <n v="1432"/>
    <n v="100"/>
    <n v="22"/>
    <n v="1"/>
    <n v="21"/>
    <n v="1432"/>
    <n v="100"/>
    <n v="20"/>
    <n v="47.14"/>
    <n v="577"/>
    <n v="34"/>
    <n v="611"/>
    <n v="26"/>
  </r>
  <r>
    <d v="2020-08-17T00:00:00"/>
    <n v="4636"/>
    <s v="蛙小辣火锅杯（总账号）"/>
    <s v="2001104355"/>
    <x v="0"/>
    <s v="上海"/>
    <s v="eleme"/>
    <x v="0"/>
    <s v="蛙小辣·美蛙火锅杯麻辣烫(宝山店)"/>
    <x v="527"/>
    <n v="422.43"/>
    <n v="978"/>
    <n v="56"/>
    <n v="17"/>
    <n v="0"/>
    <n v="17"/>
    <n v="978"/>
    <n v="56"/>
    <n v="17"/>
    <n v="35.35"/>
    <n v="423"/>
    <n v="21"/>
    <n v="585"/>
    <n v="54"/>
  </r>
  <r>
    <d v="2020-08-17T00:00:00"/>
    <n v="4636"/>
    <s v="蛙小辣火锅杯（总账号）"/>
    <s v="8491999"/>
    <x v="0"/>
    <s v="上海"/>
    <s v="meituan"/>
    <x v="1"/>
    <s v="蛙小辣火锅杯（宝山店）"/>
    <x v="528"/>
    <n v="357.04"/>
    <n v="1079"/>
    <n v="90"/>
    <n v="19"/>
    <n v="0"/>
    <n v="19"/>
    <n v="1079"/>
    <n v="90"/>
    <n v="19"/>
    <n v="77.05"/>
    <n v="696"/>
    <n v="53"/>
    <n v="517"/>
    <n v="25"/>
  </r>
  <r>
    <d v="2020-08-18T00:00:00"/>
    <n v="4636"/>
    <s v="蛙小辣火锅杯（总账号）"/>
    <s v="2001104355"/>
    <x v="0"/>
    <s v="上海"/>
    <s v="eleme"/>
    <x v="0"/>
    <s v="蛙小辣·美蛙火锅杯麻辣烫(宝山店)"/>
    <x v="529"/>
    <n v="318.58999999999997"/>
    <n v="883"/>
    <n v="58"/>
    <n v="15"/>
    <n v="0"/>
    <n v="15"/>
    <n v="883"/>
    <n v="58"/>
    <n v="15"/>
    <n v="31.14"/>
    <n v="362"/>
    <n v="18"/>
    <n v="538"/>
    <n v="45"/>
  </r>
  <r>
    <d v="2020-08-18T00:00:00"/>
    <n v="4636"/>
    <s v="蛙小辣火锅杯（总账号）"/>
    <s v="8491999"/>
    <x v="0"/>
    <s v="上海"/>
    <s v="meituan"/>
    <x v="1"/>
    <s v="蛙小辣火锅杯（宝山店）"/>
    <x v="530"/>
    <n v="332.63"/>
    <n v="967"/>
    <n v="87"/>
    <n v="17"/>
    <n v="0"/>
    <n v="17"/>
    <n v="967"/>
    <n v="87"/>
    <n v="17"/>
    <n v="60"/>
    <n v="550"/>
    <n v="42"/>
    <n v="494"/>
    <n v="35"/>
  </r>
  <r>
    <d v="2020-08-19T00:00:00"/>
    <n v="4636"/>
    <s v="蛙小辣火锅杯（总账号）"/>
    <s v="2001104355"/>
    <x v="0"/>
    <s v="上海"/>
    <s v="eleme"/>
    <x v="0"/>
    <s v="蛙小辣·美蛙火锅杯麻辣烫(宝山店)"/>
    <x v="531"/>
    <n v="515.28"/>
    <n v="960"/>
    <n v="85"/>
    <n v="25"/>
    <n v="0"/>
    <n v="25"/>
    <n v="960"/>
    <n v="85"/>
    <n v="25"/>
    <n v="44.25"/>
    <n v="286"/>
    <n v="25"/>
    <n v="856"/>
    <n v="68"/>
  </r>
  <r>
    <d v="2020-08-19T00:00:00"/>
    <n v="4636"/>
    <s v="蛙小辣火锅杯（总账号）"/>
    <s v="8491999"/>
    <x v="0"/>
    <s v="上海"/>
    <s v="meituan"/>
    <x v="1"/>
    <s v="蛙小辣火锅杯（宝山店）"/>
    <x v="532"/>
    <n v="396"/>
    <n v="1112"/>
    <n v="108"/>
    <n v="19"/>
    <n v="0"/>
    <n v="19"/>
    <n v="1112"/>
    <n v="108"/>
    <n v="19"/>
    <n v="80"/>
    <n v="724"/>
    <n v="58"/>
    <n v="566"/>
    <n v="38"/>
  </r>
  <r>
    <d v="2020-08-20T00:00:00"/>
    <n v="4636"/>
    <s v="蛙小辣火锅杯（总账号）"/>
    <s v="2001104355"/>
    <x v="0"/>
    <s v="上海"/>
    <s v="eleme"/>
    <x v="0"/>
    <s v="蛙小辣·美蛙火锅杯麻辣烫(宝山店)"/>
    <x v="533"/>
    <n v="301.77"/>
    <n v="941"/>
    <n v="75"/>
    <n v="14"/>
    <n v="0"/>
    <n v="14"/>
    <n v="941"/>
    <n v="75"/>
    <n v="14"/>
    <n v="45.47"/>
    <n v="306"/>
    <n v="26"/>
    <n v="488"/>
    <n v="49"/>
  </r>
  <r>
    <d v="2020-08-20T00:00:00"/>
    <n v="4636"/>
    <s v="蛙小辣火锅杯（总账号）"/>
    <s v="8491999"/>
    <x v="0"/>
    <s v="上海"/>
    <s v="meituan"/>
    <x v="1"/>
    <s v="蛙小辣火锅杯（宝山店）"/>
    <x v="534"/>
    <n v="366.67"/>
    <n v="1188"/>
    <n v="86"/>
    <n v="18"/>
    <n v="0"/>
    <n v="18"/>
    <n v="1188"/>
    <n v="86"/>
    <n v="18"/>
    <n v="62.64"/>
    <n v="617"/>
    <n v="47"/>
    <n v="512"/>
    <n v="31"/>
  </r>
  <r>
    <d v="2020-08-21T00:00:00"/>
    <n v="4636"/>
    <s v="蛙小辣火锅杯（总账号）"/>
    <s v="2001104355"/>
    <x v="0"/>
    <s v="上海"/>
    <s v="eleme"/>
    <x v="0"/>
    <s v="蛙小辣·美蛙火锅杯麻辣烫(宝山店)"/>
    <x v="535"/>
    <n v="213.17"/>
    <n v="1064"/>
    <n v="74"/>
    <n v="13"/>
    <n v="0"/>
    <n v="13"/>
    <n v="1064"/>
    <n v="74"/>
    <n v="13"/>
    <n v="44.7"/>
    <n v="325"/>
    <n v="25"/>
    <n v="422"/>
    <n v="43"/>
  </r>
  <r>
    <d v="2020-08-21T00:00:00"/>
    <n v="4636"/>
    <s v="蛙小辣火锅杯（总账号）"/>
    <s v="8491999"/>
    <x v="0"/>
    <s v="上海"/>
    <s v="meituan"/>
    <x v="1"/>
    <s v="蛙小辣火锅杯（宝山店）"/>
    <x v="536"/>
    <n v="535.53"/>
    <n v="1056"/>
    <n v="85"/>
    <n v="26"/>
    <n v="1"/>
    <n v="25"/>
    <n v="1056"/>
    <n v="85"/>
    <n v="26"/>
    <n v="30.98"/>
    <n v="324"/>
    <n v="24"/>
    <n v="731"/>
    <n v="52"/>
  </r>
  <r>
    <d v="2020-08-22T00:00:00"/>
    <n v="4636"/>
    <s v="蛙小辣火锅杯（总账号）"/>
    <s v="2001104355"/>
    <x v="0"/>
    <s v="上海"/>
    <s v="eleme"/>
    <x v="0"/>
    <s v="蛙小辣·美蛙火锅杯麻辣烫(宝山店)"/>
    <x v="537"/>
    <n v="252.92"/>
    <n v="1117"/>
    <n v="70"/>
    <n v="11"/>
    <n v="0"/>
    <n v="11"/>
    <n v="1117"/>
    <n v="70"/>
    <n v="11"/>
    <n v="36.799999999999997"/>
    <n v="394"/>
    <n v="21"/>
    <n v="400"/>
    <n v="34"/>
  </r>
  <r>
    <d v="2020-08-22T00:00:00"/>
    <n v="4636"/>
    <s v="蛙小辣火锅杯（总账号）"/>
    <s v="8491999"/>
    <x v="0"/>
    <s v="上海"/>
    <s v="meituan"/>
    <x v="1"/>
    <s v="蛙小辣火锅杯（宝山店）"/>
    <x v="538"/>
    <n v="440.2"/>
    <n v="1440"/>
    <n v="125"/>
    <n v="24"/>
    <n v="0"/>
    <n v="24"/>
    <n v="1440"/>
    <n v="125"/>
    <n v="23"/>
    <n v="66.13"/>
    <n v="719"/>
    <n v="45"/>
    <n v="651"/>
    <n v="45"/>
  </r>
  <r>
    <d v="2020-08-23T00:00:00"/>
    <n v="4636"/>
    <s v="蛙小辣火锅杯（总账号）"/>
    <s v="2001104355"/>
    <x v="0"/>
    <s v="上海"/>
    <s v="eleme"/>
    <x v="0"/>
    <s v="蛙小辣·美蛙火锅杯麻辣烫(宝山店)"/>
    <x v="539"/>
    <n v="232.3"/>
    <n v="1102"/>
    <n v="79"/>
    <n v="10"/>
    <n v="0"/>
    <n v="10"/>
    <n v="1102"/>
    <n v="79"/>
    <n v="10"/>
    <n v="45.4"/>
    <n v="375"/>
    <n v="26"/>
    <n v="368"/>
    <n v="20"/>
  </r>
  <r>
    <d v="2020-08-23T00:00:00"/>
    <n v="4636"/>
    <s v="蛙小辣火锅杯（总账号）"/>
    <s v="8491999"/>
    <x v="0"/>
    <s v="上海"/>
    <s v="meituan"/>
    <x v="1"/>
    <s v="蛙小辣火锅杯（宝山店）"/>
    <x v="540"/>
    <n v="429.62"/>
    <n v="1722"/>
    <n v="134"/>
    <n v="20"/>
    <n v="1"/>
    <n v="19"/>
    <n v="1722"/>
    <n v="134"/>
    <n v="19"/>
    <n v="80"/>
    <n v="809"/>
    <n v="55"/>
    <n v="549"/>
    <n v="44"/>
  </r>
  <r>
    <d v="2020-08-24T00:00:00"/>
    <n v="4636"/>
    <s v="蛙小辣火锅杯（总账号）"/>
    <s v="2001104355"/>
    <x v="0"/>
    <s v="上海"/>
    <s v="eleme"/>
    <x v="0"/>
    <s v="蛙小辣·美蛙火锅杯麻辣烫(宝山店)"/>
    <x v="541"/>
    <n v="198.89"/>
    <n v="924"/>
    <n v="58"/>
    <n v="11"/>
    <n v="0"/>
    <n v="11"/>
    <n v="924"/>
    <n v="58"/>
    <n v="11"/>
    <n v="29.69"/>
    <n v="328"/>
    <n v="17"/>
    <n v="362"/>
    <n v="41"/>
  </r>
  <r>
    <d v="2020-08-24T00:00:00"/>
    <n v="4636"/>
    <s v="蛙小辣火锅杯（总账号）"/>
    <s v="8491999"/>
    <x v="0"/>
    <s v="上海"/>
    <s v="meituan"/>
    <x v="1"/>
    <s v="蛙小辣火锅杯（宝山店）"/>
    <x v="542"/>
    <n v="396.77"/>
    <n v="1199"/>
    <n v="86"/>
    <n v="20"/>
    <n v="0"/>
    <n v="20"/>
    <n v="1199"/>
    <n v="86"/>
    <n v="19"/>
    <n v="55.02"/>
    <n v="687"/>
    <n v="38"/>
    <n v="577"/>
    <n v="47"/>
  </r>
  <r>
    <d v="2020-08-25T00:00:00"/>
    <n v="4636"/>
    <s v="蛙小辣火锅杯（总账号）"/>
    <s v="2001104355"/>
    <x v="0"/>
    <s v="上海"/>
    <s v="eleme"/>
    <x v="0"/>
    <s v="蛙小辣·美蛙火锅杯麻辣烫(宝山店)"/>
    <x v="543"/>
    <n v="249.2"/>
    <n v="826"/>
    <n v="64"/>
    <n v="11"/>
    <n v="0"/>
    <n v="11"/>
    <n v="826"/>
    <n v="64"/>
    <n v="11"/>
    <n v="28.1"/>
    <n v="202"/>
    <n v="16"/>
    <n v="392"/>
    <n v="19"/>
  </r>
  <r>
    <d v="2020-08-25T00:00:00"/>
    <n v="4636"/>
    <s v="蛙小辣火锅杯（总账号）"/>
    <s v="8491999"/>
    <x v="0"/>
    <s v="上海"/>
    <s v="meituan"/>
    <x v="1"/>
    <s v="蛙小辣火锅杯（宝山店）"/>
    <x v="544"/>
    <n v="361.58"/>
    <n v="1138"/>
    <n v="88"/>
    <n v="19"/>
    <n v="0"/>
    <n v="19"/>
    <n v="1138"/>
    <n v="88"/>
    <n v="19"/>
    <n v="45.74"/>
    <n v="571"/>
    <n v="33"/>
    <n v="540"/>
    <n v="49"/>
  </r>
  <r>
    <d v="2020-08-26T00:00:00"/>
    <n v="4636"/>
    <s v="蛙小辣火锅杯（总账号）"/>
    <s v="8491999"/>
    <x v="0"/>
    <s v="上海"/>
    <s v="meituan"/>
    <x v="1"/>
    <s v="蛙小辣火锅杯（宝山店）"/>
    <x v="545"/>
    <n v="268.02999999999997"/>
    <n v="1054"/>
    <n v="78"/>
    <n v="15"/>
    <n v="0"/>
    <n v="15"/>
    <n v="1054"/>
    <n v="78"/>
    <n v="14"/>
    <n v="42.84"/>
    <n v="519"/>
    <n v="31"/>
    <n v="428"/>
    <n v="43"/>
  </r>
  <r>
    <d v="2020-08-27T00:00:00"/>
    <n v="4636"/>
    <s v="蛙小辣火锅杯（总账号）"/>
    <s v="2001104355"/>
    <x v="0"/>
    <s v="上海"/>
    <s v="eleme"/>
    <x v="0"/>
    <s v="蛙小辣·美蛙火锅杯麻辣烫(宝山店)"/>
    <x v="546"/>
    <n v="418.82"/>
    <n v="1325"/>
    <n v="119"/>
    <n v="19"/>
    <n v="0"/>
    <n v="19"/>
    <n v="1325"/>
    <n v="119"/>
    <n v="19"/>
    <n v="49.39"/>
    <n v="317"/>
    <n v="29"/>
    <n v="665"/>
    <n v="45"/>
  </r>
  <r>
    <d v="2020-08-27T00:00:00"/>
    <n v="4636"/>
    <s v="蛙小辣火锅杯（总账号）"/>
    <s v="8491999"/>
    <x v="0"/>
    <s v="上海"/>
    <s v="meituan"/>
    <x v="1"/>
    <s v="蛙小辣火锅杯（宝山店）"/>
    <x v="547"/>
    <n v="397.33"/>
    <n v="1025"/>
    <n v="84"/>
    <n v="19"/>
    <n v="0"/>
    <n v="19"/>
    <n v="1025"/>
    <n v="84"/>
    <n v="18"/>
    <n v="47.74"/>
    <n v="472"/>
    <n v="35"/>
    <n v="534"/>
    <n v="58"/>
  </r>
  <r>
    <d v="2020-08-28T00:00:00"/>
    <n v="4636"/>
    <s v="蛙小辣火锅杯（总账号）"/>
    <s v="2001104355"/>
    <x v="0"/>
    <s v="上海"/>
    <s v="eleme"/>
    <x v="0"/>
    <s v="蛙小辣·美蛙火锅杯麻辣烫(宝山店)"/>
    <x v="548"/>
    <n v="770.01"/>
    <n v="2018"/>
    <n v="151"/>
    <n v="30"/>
    <n v="0"/>
    <n v="30"/>
    <n v="2018"/>
    <n v="151"/>
    <n v="30"/>
    <n v="49.1"/>
    <n v="471"/>
    <n v="28"/>
    <n v="1088"/>
    <n v="84"/>
  </r>
  <r>
    <d v="2020-08-28T00:00:00"/>
    <n v="4636"/>
    <s v="蛙小辣火锅杯（总账号）"/>
    <s v="8491999"/>
    <x v="0"/>
    <s v="上海"/>
    <s v="meituan"/>
    <x v="1"/>
    <s v="蛙小辣火锅杯（宝山店）"/>
    <x v="549"/>
    <n v="523.91999999999996"/>
    <n v="1108"/>
    <n v="100"/>
    <n v="23"/>
    <n v="1"/>
    <n v="22"/>
    <n v="1108"/>
    <n v="100"/>
    <n v="22"/>
    <n v="46.12"/>
    <n v="522"/>
    <n v="35"/>
    <n v="688"/>
    <n v="70"/>
  </r>
  <r>
    <d v="2020-08-29T00:00:00"/>
    <n v="4636"/>
    <s v="蛙小辣火锅杯（总账号）"/>
    <s v="2001104355"/>
    <x v="0"/>
    <s v="上海"/>
    <s v="eleme"/>
    <x v="0"/>
    <s v="蛙小辣·美蛙火锅杯麻辣烫(宝山店)"/>
    <x v="550"/>
    <n v="324.19"/>
    <n v="1175"/>
    <n v="85"/>
    <n v="15"/>
    <n v="0"/>
    <n v="15"/>
    <n v="1175"/>
    <n v="85"/>
    <n v="15"/>
    <n v="38.18"/>
    <n v="525"/>
    <n v="22"/>
    <n v="532"/>
    <n v="26"/>
  </r>
  <r>
    <d v="2020-08-29T00:00:00"/>
    <n v="4636"/>
    <s v="蛙小辣火锅杯（总账号）"/>
    <s v="8491999"/>
    <x v="0"/>
    <s v="上海"/>
    <s v="meituan"/>
    <x v="1"/>
    <s v="蛙小辣火锅杯（宝山店）"/>
    <x v="551"/>
    <n v="499.79"/>
    <n v="1164"/>
    <n v="106"/>
    <n v="24"/>
    <n v="1"/>
    <n v="23"/>
    <n v="1164"/>
    <n v="106"/>
    <n v="23"/>
    <n v="52.55"/>
    <n v="418"/>
    <n v="40"/>
    <n v="663"/>
    <n v="79"/>
  </r>
  <r>
    <d v="2020-08-30T00:00:00"/>
    <n v="4636"/>
    <s v="蛙小辣火锅杯（总账号）"/>
    <s v="2001104355"/>
    <x v="0"/>
    <s v="上海"/>
    <s v="eleme"/>
    <x v="0"/>
    <s v="蛙小辣·美蛙火锅杯麻辣烫(宝山店)"/>
    <x v="552"/>
    <n v="267.45999999999998"/>
    <n v="1004"/>
    <n v="80"/>
    <n v="12"/>
    <n v="0"/>
    <n v="12"/>
    <n v="1004"/>
    <n v="80"/>
    <n v="12"/>
    <n v="46.49"/>
    <n v="504"/>
    <n v="27"/>
    <n v="425"/>
    <n v="27"/>
  </r>
  <r>
    <d v="2020-08-30T00:00:00"/>
    <n v="4636"/>
    <s v="蛙小辣火锅杯（总账号）"/>
    <s v="8491999"/>
    <x v="0"/>
    <s v="上海"/>
    <s v="meituan"/>
    <x v="1"/>
    <s v="蛙小辣火锅杯（宝山店）"/>
    <x v="553"/>
    <n v="277.14999999999998"/>
    <n v="1302"/>
    <n v="102"/>
    <n v="10"/>
    <n v="0"/>
    <n v="10"/>
    <n v="1302"/>
    <n v="102"/>
    <n v="9"/>
    <n v="76.2"/>
    <n v="840"/>
    <n v="54"/>
    <n v="308"/>
    <n v="20"/>
  </r>
  <r>
    <d v="2020-08-31T00:00:00"/>
    <n v="4636"/>
    <s v="蛙小辣火锅杯（总账号）"/>
    <s v="2001104355"/>
    <x v="0"/>
    <s v="上海"/>
    <s v="eleme"/>
    <x v="0"/>
    <s v="蛙小辣·美蛙火锅杯麻辣烫(宝山店)"/>
    <x v="554"/>
    <n v="290.8"/>
    <n v="834"/>
    <n v="67"/>
    <n v="12"/>
    <n v="0"/>
    <n v="12"/>
    <n v="834"/>
    <n v="67"/>
    <n v="12"/>
    <n v="42.4"/>
    <n v="396"/>
    <n v="25"/>
    <n v="444"/>
    <n v="20"/>
  </r>
  <r>
    <d v="2020-08-31T00:00:00"/>
    <n v="4636"/>
    <s v="蛙小辣火锅杯（总账号）"/>
    <s v="8491999"/>
    <x v="0"/>
    <s v="上海"/>
    <s v="meituan"/>
    <x v="1"/>
    <s v="蛙小辣火锅杯（宝山店）"/>
    <x v="555"/>
    <n v="356.39"/>
    <n v="908"/>
    <n v="72"/>
    <n v="12"/>
    <n v="0"/>
    <n v="12"/>
    <n v="908"/>
    <n v="72"/>
    <n v="11"/>
    <n v="39.01"/>
    <n v="391"/>
    <n v="28"/>
    <n v="417"/>
    <n v="22"/>
  </r>
  <r>
    <m/>
    <m/>
    <m/>
    <m/>
    <x v="5"/>
    <m/>
    <m/>
    <x v="2"/>
    <m/>
    <x v="556"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A8A0F-4AD9-D44F-8181-FC641483B980}" name="数据透视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1:D6" firstHeaderRow="0" firstDataRow="1" firstDataCol="1"/>
  <pivotFields count="25">
    <pivotField showAll="0"/>
    <pivotField showAll="0"/>
    <pivotField showAll="0"/>
    <pivotField showAll="0"/>
    <pivotField axis="axisRow" showAll="0">
      <items count="7">
        <item x="4"/>
        <item x="0"/>
        <item x="2"/>
        <item x="3"/>
        <item x="1"/>
        <item x="5"/>
        <item t="default"/>
      </items>
    </pivotField>
    <pivotField showAll="0"/>
    <pivotField showAll="0"/>
    <pivotField showAll="0">
      <items count="4">
        <item x="0"/>
        <item h="1" x="1"/>
        <item h="1" x="2"/>
        <item t="default"/>
      </items>
    </pivotField>
    <pivotField showAll="0"/>
    <pivotField dataField="1" showAll="0">
      <items count="558">
        <item x="230"/>
        <item x="94"/>
        <item x="447"/>
        <item x="356"/>
        <item x="65"/>
        <item x="69"/>
        <item x="85"/>
        <item x="316"/>
        <item x="99"/>
        <item x="222"/>
        <item x="159"/>
        <item x="61"/>
        <item x="188"/>
        <item x="107"/>
        <item x="218"/>
        <item x="123"/>
        <item x="83"/>
        <item x="78"/>
        <item x="509"/>
        <item x="103"/>
        <item x="57"/>
        <item x="361"/>
        <item x="96"/>
        <item x="192"/>
        <item x="371"/>
        <item x="147"/>
        <item x="75"/>
        <item x="108"/>
        <item x="82"/>
        <item x="87"/>
        <item x="282"/>
        <item x="63"/>
        <item x="407"/>
        <item x="138"/>
        <item x="289"/>
        <item x="130"/>
        <item x="379"/>
        <item x="344"/>
        <item x="541"/>
        <item x="355"/>
        <item x="125"/>
        <item x="157"/>
        <item x="59"/>
        <item x="73"/>
        <item x="109"/>
        <item x="137"/>
        <item x="209"/>
        <item x="553"/>
        <item x="539"/>
        <item x="319"/>
        <item x="270"/>
        <item x="194"/>
        <item x="331"/>
        <item x="184"/>
        <item x="513"/>
        <item x="131"/>
        <item x="50"/>
        <item x="91"/>
        <item x="535"/>
        <item x="430"/>
        <item x="543"/>
        <item x="537"/>
        <item x="111"/>
        <item x="129"/>
        <item x="55"/>
        <item x="276"/>
        <item x="347"/>
        <item x="358"/>
        <item x="161"/>
        <item x="359"/>
        <item x="403"/>
        <item x="79"/>
        <item x="283"/>
        <item x="217"/>
        <item x="215"/>
        <item x="398"/>
        <item x="38"/>
        <item x="519"/>
        <item x="411"/>
        <item x="552"/>
        <item x="511"/>
        <item x="545"/>
        <item x="204"/>
        <item x="114"/>
        <item x="349"/>
        <item x="402"/>
        <item x="285"/>
        <item x="201"/>
        <item x="118"/>
        <item x="480"/>
        <item x="365"/>
        <item x="280"/>
        <item x="418"/>
        <item x="419"/>
        <item x="554"/>
        <item x="220"/>
        <item x="415"/>
        <item x="77"/>
        <item x="142"/>
        <item x="364"/>
        <item x="100"/>
        <item x="90"/>
        <item x="301"/>
        <item x="362"/>
        <item x="510"/>
        <item x="104"/>
        <item x="368"/>
        <item x="353"/>
        <item x="89"/>
        <item x="377"/>
        <item x="555"/>
        <item x="456"/>
        <item x="122"/>
        <item x="426"/>
        <item x="134"/>
        <item x="81"/>
        <item x="517"/>
        <item x="503"/>
        <item x="533"/>
        <item x="62"/>
        <item x="352"/>
        <item x="525"/>
        <item x="380"/>
        <item x="277"/>
        <item x="322"/>
        <item x="68"/>
        <item x="267"/>
        <item x="144"/>
        <item x="452"/>
        <item x="435"/>
        <item x="518"/>
        <item x="135"/>
        <item x="145"/>
        <item x="169"/>
        <item x="427"/>
        <item x="475"/>
        <item x="334"/>
        <item x="530"/>
        <item x="152"/>
        <item x="335"/>
        <item x="397"/>
        <item x="48"/>
        <item x="383"/>
        <item x="206"/>
        <item x="97"/>
        <item x="124"/>
        <item x="127"/>
        <item x="550"/>
        <item x="529"/>
        <item x="495"/>
        <item x="98"/>
        <item x="410"/>
        <item x="505"/>
        <item x="71"/>
        <item x="160"/>
        <item x="227"/>
        <item x="534"/>
        <item x="399"/>
        <item x="528"/>
        <item x="422"/>
        <item x="37"/>
        <item x="139"/>
        <item x="182"/>
        <item x="392"/>
        <item x="544"/>
        <item x="32"/>
        <item x="386"/>
        <item x="321"/>
        <item x="256"/>
        <item x="522"/>
        <item x="58"/>
        <item x="178"/>
        <item x="64"/>
        <item x="499"/>
        <item x="264"/>
        <item x="341"/>
        <item x="389"/>
        <item x="479"/>
        <item x="162"/>
        <item x="337"/>
        <item x="394"/>
        <item x="382"/>
        <item x="198"/>
        <item x="547"/>
        <item x="168"/>
        <item x="492"/>
        <item x="172"/>
        <item x="101"/>
        <item x="328"/>
        <item x="520"/>
        <item x="190"/>
        <item x="391"/>
        <item x="374"/>
        <item x="532"/>
        <item x="326"/>
        <item x="431"/>
        <item x="444"/>
        <item x="259"/>
        <item x="140"/>
        <item x="252"/>
        <item x="250"/>
        <item x="500"/>
        <item x="53"/>
        <item x="229"/>
        <item x="205"/>
        <item x="297"/>
        <item x="542"/>
        <item x="136"/>
        <item x="540"/>
        <item x="133"/>
        <item x="105"/>
        <item x="191"/>
        <item x="176"/>
        <item x="506"/>
        <item x="515"/>
        <item x="318"/>
        <item x="34"/>
        <item x="66"/>
        <item x="183"/>
        <item x="346"/>
        <item x="324"/>
        <item x="527"/>
        <item x="110"/>
        <item x="313"/>
        <item x="119"/>
        <item x="150"/>
        <item x="193"/>
        <item x="212"/>
        <item x="171"/>
        <item x="298"/>
        <item x="39"/>
        <item x="496"/>
        <item x="464"/>
        <item x="128"/>
        <item x="524"/>
        <item x="132"/>
        <item x="310"/>
        <item x="395"/>
        <item x="173"/>
        <item x="288"/>
        <item x="508"/>
        <item x="196"/>
        <item x="441"/>
        <item x="141"/>
        <item x="149"/>
        <item x="213"/>
        <item x="423"/>
        <item x="484"/>
        <item x="526"/>
        <item x="315"/>
        <item x="501"/>
        <item x="26"/>
        <item x="385"/>
        <item x="300"/>
        <item x="400"/>
        <item x="487"/>
        <item x="312"/>
        <item x="455"/>
        <item x="338"/>
        <item x="180"/>
        <item x="106"/>
        <item x="546"/>
        <item x="279"/>
        <item x="469"/>
        <item x="236"/>
        <item x="434"/>
        <item x="521"/>
        <item x="295"/>
        <item x="186"/>
        <item x="45"/>
        <item x="216"/>
        <item x="224"/>
        <item x="265"/>
        <item x="538"/>
        <item x="304"/>
        <item x="113"/>
        <item x="56"/>
        <item x="340"/>
        <item x="60"/>
        <item x="241"/>
        <item x="370"/>
        <item x="406"/>
        <item x="491"/>
        <item x="151"/>
        <item x="294"/>
        <item x="459"/>
        <item x="274"/>
        <item x="483"/>
        <item x="163"/>
        <item x="46"/>
        <item x="332"/>
        <item x="343"/>
        <item x="438"/>
        <item x="516"/>
        <item x="165"/>
        <item x="271"/>
        <item x="179"/>
        <item x="195"/>
        <item x="226"/>
        <item x="388"/>
        <item x="177"/>
        <item x="225"/>
        <item x="228"/>
        <item x="28"/>
        <item x="286"/>
        <item x="253"/>
        <item x="261"/>
        <item x="92"/>
        <item x="551"/>
        <item x="208"/>
        <item x="262"/>
        <item x="175"/>
        <item x="329"/>
        <item x="185"/>
        <item x="197"/>
        <item x="30"/>
        <item x="24"/>
        <item x="102"/>
        <item x="117"/>
        <item x="148"/>
        <item x="549"/>
        <item x="350"/>
        <item x="460"/>
        <item x="255"/>
        <item x="93"/>
        <item x="67"/>
        <item x="40"/>
        <item x="306"/>
        <item x="303"/>
        <item x="170"/>
        <item x="70"/>
        <item x="181"/>
        <item x="189"/>
        <item x="33"/>
        <item x="112"/>
        <item x="121"/>
        <item x="523"/>
        <item x="158"/>
        <item x="221"/>
        <item x="52"/>
        <item x="536"/>
        <item x="472"/>
        <item x="247"/>
        <item x="246"/>
        <item x="44"/>
        <item x="249"/>
        <item x="143"/>
        <item x="166"/>
        <item x="367"/>
        <item x="232"/>
        <item x="76"/>
        <item x="88"/>
        <item x="507"/>
        <item x="120"/>
        <item x="512"/>
        <item x="95"/>
        <item x="476"/>
        <item x="43"/>
        <item x="307"/>
        <item x="115"/>
        <item x="233"/>
        <item x="466"/>
        <item x="2"/>
        <item x="376"/>
        <item x="231"/>
        <item x="35"/>
        <item x="531"/>
        <item x="463"/>
        <item x="13"/>
        <item x="514"/>
        <item x="167"/>
        <item x="214"/>
        <item x="164"/>
        <item x="156"/>
        <item x="146"/>
        <item x="153"/>
        <item x="74"/>
        <item x="273"/>
        <item x="80"/>
        <item x="292"/>
        <item x="200"/>
        <item x="243"/>
        <item x="502"/>
        <item x="154"/>
        <item x="6"/>
        <item x="373"/>
        <item x="202"/>
        <item x="207"/>
        <item x="258"/>
        <item x="25"/>
        <item x="414"/>
        <item x="238"/>
        <item x="268"/>
        <item x="49"/>
        <item x="244"/>
        <item x="84"/>
        <item x="42"/>
        <item x="291"/>
        <item x="29"/>
        <item x="126"/>
        <item x="54"/>
        <item x="86"/>
        <item x="234"/>
        <item x="199"/>
        <item x="116"/>
        <item x="9"/>
        <item x="47"/>
        <item x="504"/>
        <item x="36"/>
        <item x="219"/>
        <item x="420"/>
        <item x="488"/>
        <item x="27"/>
        <item x="31"/>
        <item x="211"/>
        <item x="187"/>
        <item x="240"/>
        <item x="309"/>
        <item x="445"/>
        <item x="174"/>
        <item x="548"/>
        <item x="23"/>
        <item x="1"/>
        <item x="51"/>
        <item x="210"/>
        <item x="12"/>
        <item x="442"/>
        <item x="3"/>
        <item x="7"/>
        <item x="155"/>
        <item x="17"/>
        <item x="223"/>
        <item x="41"/>
        <item x="498"/>
        <item x="490"/>
        <item x="203"/>
        <item x="18"/>
        <item x="235"/>
        <item x="465"/>
        <item x="14"/>
        <item x="72"/>
        <item x="416"/>
        <item x="5"/>
        <item x="16"/>
        <item x="396"/>
        <item x="21"/>
        <item x="457"/>
        <item x="461"/>
        <item x="412"/>
        <item x="470"/>
        <item x="424"/>
        <item x="4"/>
        <item x="494"/>
        <item x="393"/>
        <item x="421"/>
        <item x="239"/>
        <item x="493"/>
        <item x="467"/>
        <item x="497"/>
        <item x="489"/>
        <item x="477"/>
        <item x="439"/>
        <item x="450"/>
        <item x="428"/>
        <item x="390"/>
        <item x="401"/>
        <item x="20"/>
        <item x="478"/>
        <item x="22"/>
        <item x="474"/>
        <item x="417"/>
        <item x="404"/>
        <item x="237"/>
        <item x="482"/>
        <item x="436"/>
        <item x="408"/>
        <item x="10"/>
        <item x="432"/>
        <item x="0"/>
        <item x="453"/>
        <item x="15"/>
        <item x="481"/>
        <item x="468"/>
        <item x="366"/>
        <item x="19"/>
        <item x="485"/>
        <item x="448"/>
        <item x="446"/>
        <item x="384"/>
        <item x="248"/>
        <item x="486"/>
        <item x="443"/>
        <item x="369"/>
        <item x="425"/>
        <item x="242"/>
        <item x="11"/>
        <item x="8"/>
        <item x="473"/>
        <item x="471"/>
        <item x="378"/>
        <item x="354"/>
        <item x="269"/>
        <item x="381"/>
        <item x="251"/>
        <item x="451"/>
        <item x="254"/>
        <item x="413"/>
        <item x="409"/>
        <item x="245"/>
        <item x="375"/>
        <item x="387"/>
        <item x="405"/>
        <item x="351"/>
        <item x="357"/>
        <item x="454"/>
        <item x="372"/>
        <item x="458"/>
        <item x="330"/>
        <item x="429"/>
        <item x="449"/>
        <item x="462"/>
        <item x="333"/>
        <item x="260"/>
        <item x="263"/>
        <item x="272"/>
        <item x="360"/>
        <item x="363"/>
        <item x="336"/>
        <item x="257"/>
        <item x="339"/>
        <item x="437"/>
        <item x="440"/>
        <item x="317"/>
        <item x="325"/>
        <item x="345"/>
        <item x="266"/>
        <item x="348"/>
        <item x="342"/>
        <item x="323"/>
        <item x="308"/>
        <item x="327"/>
        <item x="275"/>
        <item x="320"/>
        <item x="284"/>
        <item x="433"/>
        <item x="293"/>
        <item x="281"/>
        <item x="314"/>
        <item x="311"/>
        <item x="287"/>
        <item x="296"/>
        <item x="290"/>
        <item x="278"/>
        <item x="302"/>
        <item x="299"/>
        <item x="305"/>
        <item x="55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4"/>
  </rowFields>
  <rowItems count="5">
    <i>
      <x/>
    </i>
    <i>
      <x v="1"/>
    </i>
    <i>
      <x v="2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GMV总和" fld="9" baseField="0" baseItem="0"/>
    <dataField name="商家实收总和" fld="10" baseField="0" baseItem="0"/>
    <dataField name="求和项:单词cpc费用" fld="24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DB482-D9BB-4BEE-BD84-EB06BAD503B4}" name="数据透视表4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A3:C8" firstHeaderRow="0" firstDataRow="1" firstDataCol="1" rowPageCount="1" colPageCount="1"/>
  <pivotFields count="30"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722BD-6E1B-4400-ADF8-D6CE78BAF546}" name="数据透视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O109:P118" firstHeaderRow="1" firstDataRow="1" firstDataCol="1"/>
  <pivotFields count="30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2E8CC-4E00-4C96-80BC-7C1EF50B1679}" name="数据透视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W95:X105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1"/>
    <field x="0"/>
  </rowFields>
  <rowItems count="10">
    <i>
      <x/>
    </i>
    <i r="1">
      <x/>
    </i>
    <i r="1">
      <x v="1"/>
    </i>
    <i r="1">
      <x v="2"/>
    </i>
    <i>
      <x v="1"/>
    </i>
    <i r="1">
      <x/>
    </i>
    <i r="1">
      <x v="3"/>
    </i>
    <i>
      <x v="2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E1B01-6B14-1447-86F8-1276D86B633D}" name="数据透视表2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S109:S110" firstHeaderRow="1" firstDataRow="1" firstDataCol="0"/>
  <pivotFields count="3">
    <pivotField dataField="1" showAll="0"/>
    <pivotField showAll="0">
      <items count="4">
        <item x="0"/>
        <item x="1"/>
        <item x="2"/>
        <item t="default"/>
      </items>
    </pivotField>
    <pivotField showAll="0"/>
  </pivotFields>
  <rowItems count="1">
    <i/>
  </rowItems>
  <colItems count="1">
    <i/>
  </colItems>
  <dataFields count="1">
    <dataField name="计数项:类别一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3AA66-A17D-0B4D-BA7F-CA2991C0AE71}" name="数据透视表4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P120:Q129" firstHeaderRow="1" firstDataRow="1" firstDataCol="1"/>
  <pivotFields count="30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64C01-C11E-B14E-9BAE-222D586ABD37}" name="数据透视表3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X96:Y107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1"/>
  </rowFields>
  <rowItems count="11">
    <i>
      <x/>
    </i>
    <i r="1">
      <x/>
    </i>
    <i r="1">
      <x v="1"/>
    </i>
    <i>
      <x v="1"/>
    </i>
    <i r="1">
      <x/>
    </i>
    <i r="1">
      <x v="2"/>
    </i>
    <i>
      <x v="2"/>
    </i>
    <i r="1">
      <x/>
    </i>
    <i>
      <x v="3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1" xr10:uid="{8AE37B48-7984-4349-A40C-762316465CEF}" sourceName="平台i">
  <pivotTables>
    <pivotTable tabId="28" name="数据透视表4"/>
  </pivotTables>
  <data>
    <tabular pivotCacheId="1807577818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" xr10:uid="{52D2AFA6-6CA6-1347-A2B6-FCFCF0E66F96}" sourceName="平台i">
  <pivotTables>
    <pivotTable tabId="30" name="数据透视表1"/>
  </pivotTables>
  <data>
    <tabular pivotCacheId="361751227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" xr10:uid="{109443F8-6F64-FD49-AC3D-255D93171B3B}" cache="切片器_平台i" caption="平台i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 1" xr10:uid="{A1B746F4-38E7-4AA1-9212-AC550AB1AE79}" cache="切片器_平台i1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9F44-585A-F647-BEF7-C9C368989598}">
  <dimension ref="A1:D6"/>
  <sheetViews>
    <sheetView workbookViewId="0">
      <selection activeCell="D1" sqref="D1"/>
    </sheetView>
    <sheetView workbookViewId="1"/>
  </sheetViews>
  <sheetFormatPr baseColWidth="10" defaultRowHeight="15"/>
  <cols>
    <col min="1" max="1" width="24.33203125" bestFit="1" customWidth="1"/>
    <col min="2" max="2" width="11" bestFit="1" customWidth="1"/>
    <col min="3" max="3" width="13" bestFit="1" customWidth="1"/>
    <col min="4" max="4" width="18.83203125" bestFit="1" customWidth="1"/>
  </cols>
  <sheetData>
    <row r="1" spans="1:4">
      <c r="A1" s="59" t="s">
        <v>135</v>
      </c>
      <c r="B1" t="s">
        <v>165</v>
      </c>
      <c r="C1" t="s">
        <v>166</v>
      </c>
      <c r="D1" t="s">
        <v>167</v>
      </c>
    </row>
    <row r="2" spans="1:4">
      <c r="A2" s="60" t="s">
        <v>41</v>
      </c>
      <c r="B2" s="61">
        <v>425745.46000000008</v>
      </c>
      <c r="C2" s="61">
        <v>142226.6</v>
      </c>
      <c r="D2" s="61">
        <v>0.10251099684349864</v>
      </c>
    </row>
    <row r="3" spans="1:4">
      <c r="A3" s="60" t="s">
        <v>28</v>
      </c>
      <c r="B3" s="61">
        <v>273854.5799999999</v>
      </c>
      <c r="C3" s="61">
        <v>102452.97000000004</v>
      </c>
      <c r="D3" s="61">
        <v>7.8221967735510808E-2</v>
      </c>
    </row>
    <row r="4" spans="1:4">
      <c r="A4" s="60" t="s">
        <v>31</v>
      </c>
      <c r="B4" s="61">
        <v>6452.04</v>
      </c>
      <c r="C4" s="61">
        <v>2445.6</v>
      </c>
      <c r="D4" s="61">
        <v>9.4337802869912959E-2</v>
      </c>
    </row>
    <row r="5" spans="1:4">
      <c r="A5" s="60" t="s">
        <v>21</v>
      </c>
      <c r="B5" s="61">
        <v>60286.000000000022</v>
      </c>
      <c r="C5" s="61">
        <v>22958.25</v>
      </c>
      <c r="D5" s="61">
        <v>8.9926042247099963E-2</v>
      </c>
    </row>
    <row r="6" spans="1:4">
      <c r="A6" s="60" t="s">
        <v>136</v>
      </c>
      <c r="B6" s="61">
        <v>766338.08000000007</v>
      </c>
      <c r="C6" s="61">
        <v>270083.42000000004</v>
      </c>
      <c r="D6" s="61">
        <v>9.3094867944009674E-2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workbookViewId="0">
      <selection activeCell="T1" sqref="T1"/>
    </sheetView>
    <sheetView tabSelected="1" workbookViewId="1"/>
  </sheetViews>
  <sheetFormatPr baseColWidth="10" defaultColWidth="8.83203125" defaultRowHeight="15"/>
  <cols>
    <col min="1" max="1" width="10.5" style="1" bestFit="1" customWidth="1"/>
    <col min="3" max="3" width="23.5" bestFit="1" customWidth="1"/>
    <col min="4" max="4" width="11.6640625" bestFit="1" customWidth="1"/>
    <col min="5" max="5" width="24.5" bestFit="1" customWidth="1"/>
    <col min="9" max="9" width="30.1640625" customWidth="1"/>
    <col min="10" max="10" width="8.83203125" customWidth="1"/>
    <col min="11" max="11" width="10.1640625" customWidth="1"/>
    <col min="12" max="14" width="12.1640625" customWidth="1"/>
    <col min="15" max="16" width="11" bestFit="1" customWidth="1"/>
    <col min="17" max="19" width="10.1640625" customWidth="1"/>
    <col min="20" max="22" width="11.1640625" customWidth="1"/>
    <col min="23" max="24" width="10.1640625" customWidth="1"/>
  </cols>
  <sheetData>
    <row r="1" spans="1:24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60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60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60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60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60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60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60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161</v>
      </c>
      <c r="D9" t="s">
        <v>45</v>
      </c>
      <c r="E9" t="s">
        <v>21</v>
      </c>
      <c r="F9" s="60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ref="A1:X562" xr:uid="{E0942033-AF8A-492B-A35C-ABA2A3AA8982}"/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C739-38EB-43B6-B2E7-958193B1F73D}">
  <sheetPr>
    <tabColor rgb="FFFFC000"/>
  </sheetPr>
  <dimension ref="A1:C8"/>
  <sheetViews>
    <sheetView topLeftCell="A7" workbookViewId="0"/>
    <sheetView workbookViewId="1"/>
  </sheetViews>
  <sheetFormatPr baseColWidth="10" defaultColWidth="8.83203125" defaultRowHeight="15"/>
  <cols>
    <col min="1" max="1" width="24.5" bestFit="1" customWidth="1"/>
    <col min="2" max="2" width="12.1640625" bestFit="1" customWidth="1"/>
    <col min="3" max="3" width="15.6640625" bestFit="1" customWidth="1"/>
    <col min="4" max="4" width="23" bestFit="1" customWidth="1"/>
  </cols>
  <sheetData>
    <row r="1" spans="1:3">
      <c r="A1" s="59" t="s">
        <v>10</v>
      </c>
      <c r="B1" t="s">
        <v>22</v>
      </c>
    </row>
    <row r="3" spans="1:3">
      <c r="A3" s="59" t="s">
        <v>135</v>
      </c>
      <c r="B3" t="s">
        <v>137</v>
      </c>
      <c r="C3" t="s">
        <v>148</v>
      </c>
    </row>
    <row r="4" spans="1:3">
      <c r="A4" s="60" t="s">
        <v>41</v>
      </c>
      <c r="B4" s="61">
        <v>114007.74</v>
      </c>
      <c r="C4" s="61">
        <v>36582.480000000003</v>
      </c>
    </row>
    <row r="5" spans="1:3">
      <c r="A5" s="60" t="s">
        <v>28</v>
      </c>
      <c r="B5" s="61">
        <v>169975.03999999992</v>
      </c>
      <c r="C5" s="61">
        <v>63680.929999999986</v>
      </c>
    </row>
    <row r="6" spans="1:3">
      <c r="A6" s="60" t="s">
        <v>24</v>
      </c>
      <c r="B6" s="61">
        <v>4313.57</v>
      </c>
      <c r="C6" s="61">
        <v>1897.6299999999999</v>
      </c>
    </row>
    <row r="7" spans="1:3">
      <c r="A7" s="60" t="s">
        <v>21</v>
      </c>
      <c r="B7" s="61">
        <v>16838.82</v>
      </c>
      <c r="C7" s="61">
        <v>5992.61</v>
      </c>
    </row>
    <row r="8" spans="1:3">
      <c r="A8" s="60" t="s">
        <v>136</v>
      </c>
      <c r="B8" s="61">
        <v>305135.16999999993</v>
      </c>
      <c r="C8" s="61">
        <v>108153.65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E52F-C4E7-43C6-91AE-DAA0575C4C20}">
  <sheetPr>
    <tabColor theme="9" tint="0.39997558519241921"/>
  </sheetPr>
  <dimension ref="B1:Y145"/>
  <sheetViews>
    <sheetView topLeftCell="A106" workbookViewId="0">
      <selection activeCell="D5" sqref="D5"/>
    </sheetView>
    <sheetView workbookViewId="1"/>
  </sheetViews>
  <sheetFormatPr baseColWidth="10" defaultColWidth="9" defaultRowHeight="15"/>
  <cols>
    <col min="1" max="1" width="9" style="37"/>
    <col min="2" max="2" width="13.33203125" style="37" customWidth="1"/>
    <col min="3" max="3" width="45.1640625" style="37" customWidth="1"/>
    <col min="4" max="4" width="31.33203125" style="37" customWidth="1"/>
    <col min="5" max="5" width="34.1640625" style="37" customWidth="1"/>
    <col min="6" max="6" width="21.33203125" style="37" bestFit="1" customWidth="1"/>
    <col min="7" max="7" width="24.5" style="37" bestFit="1" customWidth="1"/>
    <col min="8" max="8" width="14.1640625" style="37" customWidth="1"/>
    <col min="9" max="9" width="12.1640625" style="37" customWidth="1"/>
    <col min="10" max="10" width="19.5" style="37" bestFit="1" customWidth="1"/>
    <col min="11" max="11" width="28.1640625" style="37" customWidth="1"/>
    <col min="12" max="12" width="21.6640625" style="37" customWidth="1"/>
    <col min="13" max="13" width="11.6640625" style="37" bestFit="1" customWidth="1"/>
    <col min="14" max="14" width="9" style="37"/>
    <col min="15" max="15" width="11.6640625" style="37" bestFit="1" customWidth="1"/>
    <col min="16" max="16" width="12.1640625" style="37" bestFit="1" customWidth="1"/>
    <col min="17" max="18" width="9" style="37"/>
    <col min="19" max="19" width="9.1640625" style="37" bestFit="1" customWidth="1"/>
    <col min="20" max="20" width="10.5" style="37" bestFit="1" customWidth="1"/>
    <col min="21" max="22" width="9" style="37"/>
    <col min="23" max="23" width="9.1640625" style="37" bestFit="1" customWidth="1"/>
    <col min="24" max="24" width="10.5" style="37" bestFit="1" customWidth="1"/>
    <col min="25" max="16384" width="9" style="37"/>
  </cols>
  <sheetData>
    <row r="1" spans="2:13">
      <c r="M1" s="38"/>
    </row>
    <row r="2" spans="2:13">
      <c r="B2" s="37" t="s">
        <v>78</v>
      </c>
      <c r="M2" s="38"/>
    </row>
    <row r="3" spans="2:13">
      <c r="M3" s="38"/>
    </row>
    <row r="4" spans="2:13">
      <c r="B4" s="39"/>
      <c r="C4" s="40" t="s">
        <v>83</v>
      </c>
      <c r="D4" s="40" t="s">
        <v>84</v>
      </c>
      <c r="E4" s="67"/>
      <c r="M4" s="38"/>
    </row>
    <row r="5" spans="2:13">
      <c r="B5" s="40" t="s">
        <v>72</v>
      </c>
      <c r="C5" s="40">
        <f>SUM('拌客源数据1-8月'!J:J)</f>
        <v>1071473.2499999998</v>
      </c>
      <c r="D5" s="40">
        <f>SUM('拌客源数据1-8月'!J2:J25,'拌客源数据1-8月'!J496:J562)</f>
        <v>145618.28999999995</v>
      </c>
      <c r="M5" s="38"/>
    </row>
    <row r="6" spans="2:13">
      <c r="B6" s="41"/>
      <c r="C6" s="41"/>
      <c r="D6" s="42"/>
      <c r="M6" s="38"/>
    </row>
    <row r="7" spans="2:13">
      <c r="B7" s="41"/>
      <c r="C7" s="41"/>
      <c r="D7" s="42"/>
      <c r="M7" s="38"/>
    </row>
    <row r="8" spans="2:13">
      <c r="B8" s="41"/>
      <c r="C8" s="41"/>
      <c r="D8" s="42"/>
      <c r="M8" s="38"/>
    </row>
    <row r="9" spans="2:13">
      <c r="B9" s="41"/>
      <c r="C9" s="41"/>
      <c r="D9" s="42"/>
      <c r="M9" s="38"/>
    </row>
    <row r="10" spans="2:13">
      <c r="C10" s="43"/>
      <c r="M10" s="38"/>
    </row>
    <row r="11" spans="2:13">
      <c r="M11" s="38"/>
    </row>
    <row r="12" spans="2:13">
      <c r="B12" s="37" t="s">
        <v>79</v>
      </c>
      <c r="D12" s="53">
        <f>B16</f>
        <v>44019</v>
      </c>
      <c r="M12" s="38"/>
    </row>
    <row r="13" spans="2:13">
      <c r="M13" s="38"/>
    </row>
    <row r="14" spans="2:13">
      <c r="B14" s="39"/>
      <c r="C14" s="40" t="s">
        <v>55</v>
      </c>
      <c r="F14" s="53"/>
      <c r="G14" s="53"/>
    </row>
    <row r="15" spans="2:13">
      <c r="B15" s="44">
        <v>44013</v>
      </c>
      <c r="C15" s="40">
        <f>SUMIF('拌客源数据1-8月'!A:A,'常用函数-完成版'!B15,'拌客源数据1-8月'!J:J)</f>
        <v>6001.38</v>
      </c>
      <c r="D15" s="45" t="s">
        <v>149</v>
      </c>
      <c r="E15" s="37">
        <v>1</v>
      </c>
      <c r="F15" s="53"/>
      <c r="G15" s="53"/>
    </row>
    <row r="16" spans="2:13">
      <c r="B16" s="44">
        <v>44019</v>
      </c>
      <c r="C16" s="40">
        <f>SUMIF('拌客源数据1-8月'!A:A,'常用函数-完成版'!B16,'拌客源数据1-8月'!J:J)</f>
        <v>4764.71</v>
      </c>
      <c r="D16" s="45" t="s">
        <v>149</v>
      </c>
      <c r="E16" s="37">
        <v>2</v>
      </c>
      <c r="F16" s="53"/>
      <c r="G16" s="53"/>
    </row>
    <row r="17" spans="2:12">
      <c r="B17" s="44">
        <v>44028</v>
      </c>
      <c r="C17" s="40">
        <f>SUMIF('拌客源数据1-8月'!A:A,'常用函数-完成版'!B17,'拌客源数据1-8月'!J:J)</f>
        <v>11158.91</v>
      </c>
      <c r="D17" s="45" t="s">
        <v>149</v>
      </c>
      <c r="E17" s="37">
        <v>1</v>
      </c>
      <c r="F17" s="53"/>
      <c r="G17" s="53"/>
    </row>
    <row r="18" spans="2:12">
      <c r="B18" s="44">
        <v>44029</v>
      </c>
      <c r="C18" s="40">
        <f>SUMIF('拌客源数据1-8月'!A:A,'常用函数-完成版'!B18,'拌客源数据1-8月'!J:J)</f>
        <v>10788.41</v>
      </c>
      <c r="D18" s="45" t="s">
        <v>149</v>
      </c>
      <c r="E18" s="37">
        <v>2</v>
      </c>
      <c r="F18" s="53"/>
    </row>
    <row r="19" spans="2:12">
      <c r="B19" s="44">
        <v>44051</v>
      </c>
      <c r="C19" s="40">
        <f>SUMIF('拌客源数据1-8月'!A:A,'常用函数-完成版'!B19,'拌客源数据1-8月'!J:J)</f>
        <v>1374.4099999999999</v>
      </c>
      <c r="D19" s="45" t="s">
        <v>149</v>
      </c>
      <c r="E19" s="37">
        <v>1</v>
      </c>
      <c r="F19" s="53"/>
    </row>
    <row r="20" spans="2:12">
      <c r="B20" s="44">
        <v>44062</v>
      </c>
      <c r="C20" s="40">
        <f>SUMIF('拌客源数据1-8月'!A:A,'常用函数-完成版'!B20,'拌客源数据1-8月'!J:J)</f>
        <v>2588.69</v>
      </c>
      <c r="D20" s="45" t="s">
        <v>149</v>
      </c>
      <c r="E20" s="37">
        <v>2</v>
      </c>
      <c r="F20" s="53"/>
    </row>
    <row r="21" spans="2:12">
      <c r="B21" s="44">
        <v>44064</v>
      </c>
      <c r="C21" s="40">
        <f>SUMIF('拌客源数据1-8月'!A:A,'常用函数-完成版'!B21,'拌客源数据1-8月'!J:J)</f>
        <v>2118.79</v>
      </c>
      <c r="D21" s="45" t="s">
        <v>149</v>
      </c>
      <c r="E21" s="37">
        <v>1</v>
      </c>
      <c r="F21" s="53"/>
    </row>
    <row r="22" spans="2:12">
      <c r="B22" s="46"/>
      <c r="C22" s="41"/>
    </row>
    <row r="23" spans="2:12">
      <c r="B23" s="46"/>
      <c r="C23" s="41"/>
    </row>
    <row r="24" spans="2:12">
      <c r="B24" s="46"/>
      <c r="C24" s="41"/>
    </row>
    <row r="27" spans="2:12">
      <c r="B27" s="37" t="s">
        <v>80</v>
      </c>
    </row>
    <row r="29" spans="2:12">
      <c r="B29" s="39"/>
      <c r="C29" s="40" t="s">
        <v>134</v>
      </c>
      <c r="D29" s="40" t="s">
        <v>86</v>
      </c>
      <c r="E29" s="40" t="s">
        <v>85</v>
      </c>
      <c r="F29" s="41" t="s">
        <v>151</v>
      </c>
      <c r="G29" s="41" t="s">
        <v>152</v>
      </c>
      <c r="H29" s="41" t="s">
        <v>153</v>
      </c>
      <c r="I29" s="41" t="s">
        <v>154</v>
      </c>
      <c r="J29" s="41" t="s">
        <v>155</v>
      </c>
    </row>
    <row r="30" spans="2:12">
      <c r="B30" s="44">
        <v>44013</v>
      </c>
      <c r="C30" s="40">
        <f>SUMIFS('拌客源数据1-8月'!J:J,'拌客源数据1-8月'!A:A,'常用函数-完成版'!B30,'拌客源数据1-8月'!H:H,"美团")</f>
        <v>1008.28</v>
      </c>
      <c r="D30" s="54">
        <f>SUMIFS('拌客源数据1-8月'!J:J,'拌客源数据1-8月'!A:A,'常用函数-完成版'!B30,'拌客源数据1-8月'!H:H,"美团")/SUMIFS('拌客源数据1-8月'!J:J,'拌客源数据1-8月'!A:A,'常用函数-完成版'!B30-1,'拌客源数据1-8月'!H:H,"美团")-1</f>
        <v>8.2182224082600674E-2</v>
      </c>
      <c r="E30" s="54">
        <f>SUMIFS('拌客源数据1-8月'!J:J,'拌客源数据1-8月'!A:A,'常用函数-完成版'!B30,'拌客源数据1-8月'!H:H,"美团")/SUMIFS('拌客源数据1-8月'!J:J,'拌客源数据1-8月'!A:A,DATE(YEAR(B30),MONTH(B30)-1,DAY(B30)),'拌客源数据1-8月'!H:H,"美团")-1</f>
        <v>-0.10886031198904067</v>
      </c>
      <c r="F30" s="45">
        <f>YEAR(B30)</f>
        <v>2020</v>
      </c>
      <c r="G30" s="45">
        <f>MONTH(B30)</f>
        <v>7</v>
      </c>
      <c r="H30" s="45">
        <f>DAY(B30)</f>
        <v>1</v>
      </c>
      <c r="I30" s="55">
        <f>DATE(YEAR(B30),MONTH(B30)-1,DAY(B30))</f>
        <v>43983</v>
      </c>
      <c r="J30" s="37">
        <f>SUMIFS('拌客源数据1-8月'!J:J,'拌客源数据1-8月'!A:A,DATE(YEAR(B30),MONTH(B30)-1,DAY(B30)),'拌客源数据1-8月'!H:H,"美团")</f>
        <v>1131.45</v>
      </c>
      <c r="K30" s="55"/>
      <c r="L30" s="53"/>
    </row>
    <row r="31" spans="2:12">
      <c r="B31" s="44">
        <v>44014</v>
      </c>
      <c r="C31" s="40">
        <f>SUMIFS('拌客源数据1-8月'!J:J,'拌客源数据1-8月'!A:A,'常用函数-完成版'!B31,'拌客源数据1-8月'!H:H,"美团")</f>
        <v>1023.39</v>
      </c>
      <c r="D31" s="54">
        <f>SUMIFS('拌客源数据1-8月'!J:J,'拌客源数据1-8月'!A:A,'常用函数-完成版'!B31,'拌客源数据1-8月'!H:H,"美团")/SUMIFS('拌客源数据1-8月'!J:J,'拌客源数据1-8月'!A:A,'常用函数-完成版'!B31-1,'拌客源数据1-8月'!H:H,"美团")-1</f>
        <v>1.4985916610465333E-2</v>
      </c>
      <c r="E31" s="54">
        <f>SUMIFS('拌客源数据1-8月'!J:J,'拌客源数据1-8月'!A:A,'常用函数-完成版'!B31,'拌客源数据1-8月'!H:H,"美团")/SUMIFS('拌客源数据1-8月'!J:J,'拌客源数据1-8月'!A:A,DATE(YEAR(B31),MONTH(B31)-1,DAY(B31)),'拌客源数据1-8月'!H:H,"美团")-1</f>
        <v>0.21923585546302582</v>
      </c>
      <c r="F31" s="45">
        <f t="shared" ref="F31:F36" si="0">YEAR(B31)</f>
        <v>2020</v>
      </c>
      <c r="G31" s="45">
        <f t="shared" ref="G31:G36" si="1">MONTH(B31)</f>
        <v>7</v>
      </c>
      <c r="H31" s="45">
        <f t="shared" ref="H31:H36" si="2">DAY(B31)</f>
        <v>2</v>
      </c>
      <c r="I31" s="55">
        <f t="shared" ref="I31:I36" si="3">DATE(YEAR(B31),MONTH(B31)-1,DAY(B31))</f>
        <v>43984</v>
      </c>
      <c r="J31" s="37">
        <f>SUMIFS('拌客源数据1-8月'!J:J,'拌客源数据1-8月'!A:A,DATE(YEAR(B31),MONTH(B31)-1,DAY(B31)),'拌客源数据1-8月'!H:H,"美团")</f>
        <v>839.37</v>
      </c>
    </row>
    <row r="32" spans="2:12">
      <c r="B32" s="44">
        <v>44015</v>
      </c>
      <c r="C32" s="40">
        <f>SUMIFS('拌客源数据1-8月'!J:J,'拌客源数据1-8月'!A:A,'常用函数-完成版'!B32,'拌客源数据1-8月'!H:H,"美团")</f>
        <v>999.86</v>
      </c>
      <c r="D32" s="54">
        <f>SUMIFS('拌客源数据1-8月'!J:J,'拌客源数据1-8月'!A:A,'常用函数-完成版'!B32,'拌客源数据1-8月'!H:H,"美团")/SUMIFS('拌客源数据1-8月'!J:J,'拌客源数据1-8月'!A:A,'常用函数-完成版'!B32-1,'拌客源数据1-8月'!H:H,"美团")-1</f>
        <v>-2.2992212157632919E-2</v>
      </c>
      <c r="E32" s="54">
        <f>SUMIFS('拌客源数据1-8月'!J:J,'拌客源数据1-8月'!A:A,'常用函数-完成版'!B32,'拌客源数据1-8月'!H:H,"美团")/SUMIFS('拌客源数据1-8月'!J:J,'拌客源数据1-8月'!A:A,DATE(YEAR(B32),MONTH(B32)-1,DAY(B32)),'拌客源数据1-8月'!H:H,"美团")-1</f>
        <v>-0.18069110187893822</v>
      </c>
      <c r="F32" s="45">
        <f t="shared" si="0"/>
        <v>2020</v>
      </c>
      <c r="G32" s="45">
        <f t="shared" si="1"/>
        <v>7</v>
      </c>
      <c r="H32" s="45">
        <f t="shared" si="2"/>
        <v>3</v>
      </c>
      <c r="I32" s="55">
        <f t="shared" si="3"/>
        <v>43985</v>
      </c>
      <c r="J32" s="37">
        <f>SUMIFS('拌客源数据1-8月'!J:J,'拌客源数据1-8月'!A:A,DATE(YEAR(B32),MONTH(B32)-1,DAY(B32)),'拌客源数据1-8月'!H:H,"美团")</f>
        <v>1220.3699999999999</v>
      </c>
    </row>
    <row r="33" spans="2:10">
      <c r="B33" s="44">
        <v>44016</v>
      </c>
      <c r="C33" s="40">
        <f>SUMIFS('拌客源数据1-8月'!J:J,'拌客源数据1-8月'!A:A,'常用函数-完成版'!B33,'拌客源数据1-8月'!H:H,"美团")</f>
        <v>1144.82</v>
      </c>
      <c r="D33" s="54">
        <f>SUMIFS('拌客源数据1-8月'!J:J,'拌客源数据1-8月'!A:A,'常用函数-完成版'!B33,'拌客源数据1-8月'!H:H,"美团")/SUMIFS('拌客源数据1-8月'!J:J,'拌客源数据1-8月'!A:A,'常用函数-完成版'!B33-1,'拌客源数据1-8月'!H:H,"美团")-1</f>
        <v>0.14498029724161365</v>
      </c>
      <c r="E33" s="54">
        <f>SUMIFS('拌客源数据1-8月'!J:J,'拌客源数据1-8月'!A:A,'常用函数-完成版'!B33,'拌客源数据1-8月'!H:H,"美团")/SUMIFS('拌客源数据1-8月'!J:J,'拌客源数据1-8月'!A:A,DATE(YEAR(B33),MONTH(B33)-1,DAY(B33)),'拌客源数据1-8月'!H:H,"美团")-1</f>
        <v>-0.22352973093957507</v>
      </c>
      <c r="F33" s="45">
        <f t="shared" si="0"/>
        <v>2020</v>
      </c>
      <c r="G33" s="45">
        <f t="shared" si="1"/>
        <v>7</v>
      </c>
      <c r="H33" s="45">
        <f t="shared" si="2"/>
        <v>4</v>
      </c>
      <c r="I33" s="55">
        <f t="shared" si="3"/>
        <v>43986</v>
      </c>
      <c r="J33" s="37">
        <f>SUMIFS('拌客源数据1-8月'!J:J,'拌客源数据1-8月'!A:A,DATE(YEAR(B33),MONTH(B33)-1,DAY(B33)),'拌客源数据1-8月'!H:H,"美团")</f>
        <v>1474.39</v>
      </c>
    </row>
    <row r="34" spans="2:10">
      <c r="B34" s="44">
        <v>44017</v>
      </c>
      <c r="C34" s="40">
        <f>SUMIFS('拌客源数据1-8月'!J:J,'拌客源数据1-8月'!A:A,'常用函数-完成版'!B34,'拌客源数据1-8月'!H:H,"美团")</f>
        <v>755.47</v>
      </c>
      <c r="D34" s="54">
        <f>SUMIFS('拌客源数据1-8月'!J:J,'拌客源数据1-8月'!A:A,'常用函数-完成版'!B34,'拌客源数据1-8月'!H:H,"美团")/SUMIFS('拌客源数据1-8月'!J:J,'拌客源数据1-8月'!A:A,'常用函数-完成版'!B34-1,'拌客源数据1-8月'!H:H,"美团")-1</f>
        <v>-0.34009713317377399</v>
      </c>
      <c r="E34" s="54">
        <f>SUMIFS('拌客源数据1-8月'!J:J,'拌客源数据1-8月'!A:A,'常用函数-完成版'!B34,'拌客源数据1-8月'!H:H,"美团")/SUMIFS('拌客源数据1-8月'!J:J,'拌客源数据1-8月'!A:A,DATE(YEAR(B34),MONTH(B34)-1,DAY(B34)),'拌客源数据1-8月'!H:H,"美团")-1</f>
        <v>-0.33924291986635635</v>
      </c>
      <c r="F34" s="45">
        <f t="shared" si="0"/>
        <v>2020</v>
      </c>
      <c r="G34" s="45">
        <f t="shared" si="1"/>
        <v>7</v>
      </c>
      <c r="H34" s="45">
        <f t="shared" si="2"/>
        <v>5</v>
      </c>
      <c r="I34" s="55">
        <f t="shared" si="3"/>
        <v>43987</v>
      </c>
      <c r="J34" s="37">
        <f>SUMIFS('拌客源数据1-8月'!J:J,'拌客源数据1-8月'!A:A,DATE(YEAR(B34),MONTH(B34)-1,DAY(B34)),'拌客源数据1-8月'!H:H,"美团")</f>
        <v>1143.3399999999999</v>
      </c>
    </row>
    <row r="35" spans="2:10">
      <c r="B35" s="44">
        <v>44044</v>
      </c>
      <c r="C35" s="40">
        <f>SUMIFS('拌客源数据1-8月'!J:J,'拌客源数据1-8月'!A:A,'常用函数-完成版'!B35,'拌客源数据1-8月'!H:H,"美团")</f>
        <v>3387.1000000000004</v>
      </c>
      <c r="D35" s="54">
        <f>SUMIFS('拌客源数据1-8月'!J:J,'拌客源数据1-8月'!A:A,'常用函数-完成版'!B35,'拌客源数据1-8月'!H:H,"美团")/SUMIFS('拌客源数据1-8月'!J:J,'拌客源数据1-8月'!A:A,'常用函数-完成版'!B35-1,'拌客源数据1-8月'!H:H,"美团")-1</f>
        <v>-0.41335610328923089</v>
      </c>
      <c r="E35" s="54">
        <f>SUMIFS('拌客源数据1-8月'!J:J,'拌客源数据1-8月'!A:A,'常用函数-完成版'!B35,'拌客源数据1-8月'!H:H,"美团")/SUMIFS('拌客源数据1-8月'!J:J,'拌客源数据1-8月'!A:A,DATE(YEAR(B35),MONTH(B35)-1,DAY(B35)),'拌客源数据1-8月'!H:H,"美团")-1</f>
        <v>2.3592851192129176</v>
      </c>
      <c r="F35" s="45">
        <f t="shared" si="0"/>
        <v>2020</v>
      </c>
      <c r="G35" s="45">
        <f t="shared" si="1"/>
        <v>8</v>
      </c>
      <c r="H35" s="45">
        <f t="shared" si="2"/>
        <v>1</v>
      </c>
      <c r="I35" s="55">
        <f t="shared" si="3"/>
        <v>44013</v>
      </c>
      <c r="J35" s="37">
        <f>SUMIFS('拌客源数据1-8月'!J:J,'拌客源数据1-8月'!A:A,DATE(YEAR(B35),MONTH(B35)-1,DAY(B35)),'拌客源数据1-8月'!H:H,"美团")</f>
        <v>1008.28</v>
      </c>
    </row>
    <row r="36" spans="2:10">
      <c r="B36" s="44">
        <v>44048</v>
      </c>
      <c r="C36" s="40">
        <f>SUMIFS('拌客源数据1-8月'!J:J,'拌客源数据1-8月'!A:A,'常用函数-完成版'!B36,'拌客源数据1-8月'!H:H,"美团")</f>
        <v>1817.37</v>
      </c>
      <c r="D36" s="54">
        <f>SUMIFS('拌客源数据1-8月'!J:J,'拌客源数据1-8月'!A:A,'常用函数-完成版'!B36,'拌客源数据1-8月'!H:H,"美团")/SUMIFS('拌客源数据1-8月'!J:J,'拌客源数据1-8月'!A:A,'常用函数-完成版'!B36-1,'拌客源数据1-8月'!H:H,"美团")-1</f>
        <v>0.12391465677179947</v>
      </c>
      <c r="E36" s="54">
        <f>SUMIFS('拌客源数据1-8月'!J:J,'拌客源数据1-8月'!A:A,'常用函数-完成版'!B36,'拌客源数据1-8月'!H:H,"美团")/SUMIFS('拌客源数据1-8月'!J:J,'拌客源数据1-8月'!A:A,DATE(YEAR(B36),MONTH(B36)-1,DAY(B36)),'拌客源数据1-8月'!H:H,"美团")-1</f>
        <v>1.4056150475862705</v>
      </c>
      <c r="F36" s="45">
        <f t="shared" si="0"/>
        <v>2020</v>
      </c>
      <c r="G36" s="45">
        <f t="shared" si="1"/>
        <v>8</v>
      </c>
      <c r="H36" s="45">
        <f t="shared" si="2"/>
        <v>5</v>
      </c>
      <c r="I36" s="55">
        <f t="shared" si="3"/>
        <v>44017</v>
      </c>
      <c r="J36" s="37">
        <f>SUMIFS('拌客源数据1-8月'!J:J,'拌客源数据1-8月'!A:A,DATE(YEAR(B36),MONTH(B36)-1,DAY(B36)),'拌客源数据1-8月'!H:H,"美团")</f>
        <v>755.47</v>
      </c>
    </row>
    <row r="37" spans="2:10">
      <c r="F37" s="56"/>
    </row>
    <row r="38" spans="2:10">
      <c r="B38" s="39"/>
      <c r="C38" s="40" t="s">
        <v>134</v>
      </c>
      <c r="D38" s="40" t="s">
        <v>87</v>
      </c>
      <c r="E38" s="41" t="s">
        <v>156</v>
      </c>
      <c r="F38" s="41" t="s">
        <v>157</v>
      </c>
      <c r="G38" s="41" t="s">
        <v>158</v>
      </c>
    </row>
    <row r="39" spans="2:10">
      <c r="B39" s="47">
        <v>43831</v>
      </c>
      <c r="C39" s="40">
        <f>SUMIFS('拌客源数据1-8月'!J:J,'拌客源数据1-8月'!H:H,"美团",'拌客源数据1-8月'!A:A,"&gt;="&amp;DATE(YEAR(B39),MONTH(B39),1),'拌客源数据1-8月'!A:A,"&lt;="&amp;(DATE(YEAR(B39),MONTH(B39)+1,1)-1))</f>
        <v>6787.9800000000005</v>
      </c>
      <c r="D39" s="57" t="e">
        <f>SUMIFS('拌客源数据1-8月'!J:J,'拌客源数据1-8月'!H:H,"美团",'拌客源数据1-8月'!A:A,"&gt;="&amp;DATE(YEAR(B39),MONTH(B39),1),'拌客源数据1-8月'!A:A,"&lt;="&amp;(DATE(YEAR(B39),MONTH(B39)+1,1)-1))/SUMIFS('拌客源数据1-8月'!J:J,'拌客源数据1-8月'!H:H,"美团",'拌客源数据1-8月'!A:A,"&gt;="&amp;DATE(YEAR(B39),MONTH(B39)-1,1),'拌客源数据1-8月'!A:A,"&lt;="&amp;(DATE(YEAR(B39),MONTH(B39),1)-1))-1</f>
        <v>#DIV/0!</v>
      </c>
      <c r="E39" s="58">
        <f>DATE(YEAR(B39),MONTH(B39),1)</f>
        <v>43831</v>
      </c>
      <c r="F39" s="55">
        <f>DATE(YEAR(B39),MONTH(B39),31)</f>
        <v>43861</v>
      </c>
      <c r="G39" s="55">
        <f>DATE(YEAR(B39),MONTH(B39)+1,1)-1</f>
        <v>43861</v>
      </c>
    </row>
    <row r="40" spans="2:10">
      <c r="B40" s="47">
        <v>43862</v>
      </c>
      <c r="C40" s="40">
        <f>SUMIFS('拌客源数据1-8月'!J:J,'拌客源数据1-8月'!H:H,"美团",'拌客源数据1-8月'!A:A,"&gt;="&amp;DATE(YEAR(B40),MONTH(B40),1),'拌客源数据1-8月'!A:A,"&lt;="&amp;(DATE(YEAR(B40),MONTH(B40)+1,1)-1))</f>
        <v>2678.62</v>
      </c>
      <c r="D40" s="57">
        <f>SUMIFS('拌客源数据1-8月'!J:J,'拌客源数据1-8月'!H:H,"美团",'拌客源数据1-8月'!A:A,"&gt;="&amp;DATE(YEAR(B40),MONTH(B40),1),'拌客源数据1-8月'!A:A,"&lt;="&amp;(DATE(YEAR(B40),MONTH(B40)+1,1)-1))/SUMIFS('拌客源数据1-8月'!J:J,'拌客源数据1-8月'!H:H,"美团",'拌客源数据1-8月'!A:A,"&gt;="&amp;DATE(YEAR(B40),MONTH(B40)-1,1),'拌客源数据1-8月'!A:A,"&lt;="&amp;(DATE(YEAR(B40),MONTH(B40),1)-1))-1</f>
        <v>-0.60538775895037999</v>
      </c>
      <c r="E40" s="58">
        <f t="shared" ref="E40:E46" si="4">DATE(YEAR(B40),MONTH(B40),1)</f>
        <v>43862</v>
      </c>
      <c r="F40" s="55">
        <f>DATE(YEAR(B40),MONTH(B40),31)</f>
        <v>43892</v>
      </c>
      <c r="G40" s="55">
        <f t="shared" ref="G40:G46" si="5">DATE(YEAR(B40),MONTH(B40)+1,1)-1</f>
        <v>43890</v>
      </c>
    </row>
    <row r="41" spans="2:10">
      <c r="B41" s="47">
        <v>43891</v>
      </c>
      <c r="C41" s="40">
        <f>SUMIFS('拌客源数据1-8月'!J:J,'拌客源数据1-8月'!H:H,"美团",'拌客源数据1-8月'!A:A,"&gt;="&amp;DATE(YEAR(B41),MONTH(B41),1),'拌客源数据1-8月'!A:A,"&lt;="&amp;(DATE(YEAR(B41),MONTH(B41)+1,1)-1))</f>
        <v>24829.310000000009</v>
      </c>
      <c r="D41" s="57">
        <f>SUMIFS('拌客源数据1-8月'!J:J,'拌客源数据1-8月'!H:H,"美团",'拌客源数据1-8月'!A:A,"&gt;="&amp;DATE(YEAR(B41),MONTH(B41),1),'拌客源数据1-8月'!A:A,"&lt;="&amp;(DATE(YEAR(B41),MONTH(B41)+1,1)-1))/SUMIFS('拌客源数据1-8月'!J:J,'拌客源数据1-8月'!H:H,"美团",'拌客源数据1-8月'!A:A,"&gt;="&amp;DATE(YEAR(B41),MONTH(B41)-1,1),'拌客源数据1-8月'!A:A,"&lt;="&amp;(DATE(YEAR(B41),MONTH(B41),1)-1))-1</f>
        <v>8.2694409808035516</v>
      </c>
      <c r="E41" s="58">
        <f t="shared" si="4"/>
        <v>43891</v>
      </c>
      <c r="F41" s="55">
        <f t="shared" ref="F41:F46" si="6">DATE(YEAR(B41),MONTH(B41),31)</f>
        <v>43921</v>
      </c>
      <c r="G41" s="55">
        <f t="shared" si="5"/>
        <v>43921</v>
      </c>
    </row>
    <row r="42" spans="2:10">
      <c r="B42" s="47">
        <v>43922</v>
      </c>
      <c r="C42" s="40">
        <f>SUMIFS('拌客源数据1-8月'!J:J,'拌客源数据1-8月'!H:H,"美团",'拌客源数据1-8月'!A:A,"&gt;="&amp;DATE(YEAR(B42),MONTH(B42),1),'拌客源数据1-8月'!A:A,"&lt;="&amp;(DATE(YEAR(B42),MONTH(B42)+1,1)-1))</f>
        <v>38698.99</v>
      </c>
      <c r="D42" s="57">
        <f>SUMIFS('拌客源数据1-8月'!J:J,'拌客源数据1-8月'!H:H,"美团",'拌客源数据1-8月'!A:A,"&gt;="&amp;DATE(YEAR(B42),MONTH(B42),1),'拌客源数据1-8月'!A:A,"&lt;="&amp;(DATE(YEAR(B42),MONTH(B42)+1,1)-1))/SUMIFS('拌客源数据1-8月'!J:J,'拌客源数据1-8月'!H:H,"美团",'拌客源数据1-8月'!A:A,"&gt;="&amp;DATE(YEAR(B42),MONTH(B42)-1,1),'拌客源数据1-8月'!A:A,"&lt;="&amp;(DATE(YEAR(B42),MONTH(B42),1)-1))-1</f>
        <v>0.55860110490384085</v>
      </c>
      <c r="E42" s="58">
        <f t="shared" si="4"/>
        <v>43922</v>
      </c>
      <c r="F42" s="55">
        <f t="shared" si="6"/>
        <v>43952</v>
      </c>
      <c r="G42" s="55">
        <f t="shared" si="5"/>
        <v>43951</v>
      </c>
    </row>
    <row r="43" spans="2:10">
      <c r="B43" s="47">
        <v>43952</v>
      </c>
      <c r="C43" s="40">
        <f>SUMIFS('拌客源数据1-8月'!J:J,'拌客源数据1-8月'!H:H,"美团",'拌客源数据1-8月'!A:A,"&gt;="&amp;DATE(YEAR(B43),MONTH(B43),1),'拌客源数据1-8月'!A:A,"&lt;="&amp;(DATE(YEAR(B43),MONTH(B43)+1,1)-1))</f>
        <v>30397.779999999995</v>
      </c>
      <c r="D43" s="57">
        <f>SUMIFS('拌客源数据1-8月'!J:J,'拌客源数据1-8月'!H:H,"美团",'拌客源数据1-8月'!A:A,"&gt;="&amp;DATE(YEAR(B43),MONTH(B43),1),'拌客源数据1-8月'!A:A,"&lt;="&amp;(DATE(YEAR(B43),MONTH(B43)+1,1)-1))/SUMIFS('拌客源数据1-8月'!J:J,'拌客源数据1-8月'!H:H,"美团",'拌客源数据1-8月'!A:A,"&gt;="&amp;DATE(YEAR(B43),MONTH(B43)-1,1),'拌客源数据1-8月'!A:A,"&lt;="&amp;(DATE(YEAR(B43),MONTH(B43),1)-1))-1</f>
        <v>-0.21450714863617892</v>
      </c>
      <c r="E43" s="58">
        <f t="shared" si="4"/>
        <v>43952</v>
      </c>
      <c r="F43" s="55">
        <f t="shared" si="6"/>
        <v>43982</v>
      </c>
      <c r="G43" s="55">
        <f t="shared" si="5"/>
        <v>43982</v>
      </c>
    </row>
    <row r="44" spans="2:10">
      <c r="B44" s="47">
        <v>43983</v>
      </c>
      <c r="C44" s="40">
        <f>SUMIFS('拌客源数据1-8月'!J:J,'拌客源数据1-8月'!H:H,"美团",'拌客源数据1-8月'!A:A,"&gt;="&amp;DATE(YEAR(B44),MONTH(B44),1),'拌客源数据1-8月'!A:A,"&lt;="&amp;(DATE(YEAR(B44),MONTH(B44)+1,1)-1))</f>
        <v>26037.540000000005</v>
      </c>
      <c r="D44" s="57">
        <f>SUMIFS('拌客源数据1-8月'!J:J,'拌客源数据1-8月'!H:H,"美团",'拌客源数据1-8月'!A:A,"&gt;="&amp;DATE(YEAR(B44),MONTH(B44),1),'拌客源数据1-8月'!A:A,"&lt;="&amp;(DATE(YEAR(B44),MONTH(B44)+1,1)-1))/SUMIFS('拌客源数据1-8月'!J:J,'拌客源数据1-8月'!H:H,"美团",'拌客源数据1-8月'!A:A,"&gt;="&amp;DATE(YEAR(B44),MONTH(B44)-1,1),'拌客源数据1-8月'!A:A,"&lt;="&amp;(DATE(YEAR(B44),MONTH(B44),1)-1))-1</f>
        <v>-0.14343942222096451</v>
      </c>
      <c r="E44" s="58">
        <f t="shared" si="4"/>
        <v>43983</v>
      </c>
      <c r="F44" s="55">
        <f t="shared" si="6"/>
        <v>44013</v>
      </c>
      <c r="G44" s="55">
        <f t="shared" si="5"/>
        <v>44012</v>
      </c>
    </row>
    <row r="45" spans="2:10">
      <c r="B45" s="47">
        <v>44013</v>
      </c>
      <c r="C45" s="40">
        <f>SUMIFS('拌客源数据1-8月'!J:J,'拌客源数据1-8月'!H:H,"美团",'拌客源数据1-8月'!A:A,"&gt;="&amp;DATE(YEAR(B45),MONTH(B45),1),'拌客源数据1-8月'!A:A,"&lt;="&amp;(DATE(YEAR(B45),MONTH(B45)+1,1)-1))</f>
        <v>133045.43</v>
      </c>
      <c r="D45" s="57">
        <f>SUMIFS('拌客源数据1-8月'!J:J,'拌客源数据1-8月'!H:H,"美团",'拌客源数据1-8月'!A:A,"&gt;="&amp;DATE(YEAR(B45),MONTH(B45),1),'拌客源数据1-8月'!A:A,"&lt;="&amp;(DATE(YEAR(B45),MONTH(B45)+1,1)-1))/SUMIFS('拌客源数据1-8月'!J:J,'拌客源数据1-8月'!H:H,"美团",'拌客源数据1-8月'!A:A,"&gt;="&amp;DATE(YEAR(B45),MONTH(B45)-1,1),'拌客源数据1-8月'!A:A,"&lt;="&amp;(DATE(YEAR(B45),MONTH(B45),1)-1))-1</f>
        <v>4.1097542240933658</v>
      </c>
      <c r="E45" s="58">
        <f t="shared" si="4"/>
        <v>44013</v>
      </c>
      <c r="F45" s="55">
        <f t="shared" si="6"/>
        <v>44043</v>
      </c>
      <c r="G45" s="55">
        <f t="shared" si="5"/>
        <v>44043</v>
      </c>
    </row>
    <row r="46" spans="2:10">
      <c r="B46" s="47">
        <v>44044</v>
      </c>
      <c r="C46" s="40">
        <f>SUMIFS('拌客源数据1-8月'!J:J,'拌客源数据1-8月'!H:H,"美团",'拌客源数据1-8月'!A:A,"&gt;="&amp;DATE(YEAR(B46),MONTH(B46),1),'拌客源数据1-8月'!A:A,"&lt;="&amp;(DATE(YEAR(B46),MONTH(B46)+1,1)-1))</f>
        <v>42659.520000000004</v>
      </c>
      <c r="D46" s="57">
        <f>SUMIFS('拌客源数据1-8月'!J:J,'拌客源数据1-8月'!H:H,"美团",'拌客源数据1-8月'!A:A,"&gt;="&amp;DATE(YEAR(B46),MONTH(B46),1),'拌客源数据1-8月'!A:A,"&lt;="&amp;(DATE(YEAR(B46),MONTH(B46)+1,1)-1))/SUMIFS('拌客源数据1-8月'!J:J,'拌客源数据1-8月'!H:H,"美团",'拌客源数据1-8月'!A:A,"&gt;="&amp;DATE(YEAR(B46),MONTH(B46)-1,1),'拌客源数据1-8月'!A:A,"&lt;="&amp;(DATE(YEAR(B46),MONTH(B46),1)-1))-1</f>
        <v>-0.67936125276907289</v>
      </c>
      <c r="E46" s="58">
        <f t="shared" si="4"/>
        <v>44044</v>
      </c>
      <c r="F46" s="55">
        <f t="shared" si="6"/>
        <v>44074</v>
      </c>
      <c r="G46" s="55">
        <f t="shared" si="5"/>
        <v>44074</v>
      </c>
    </row>
    <row r="47" spans="2:10">
      <c r="B47" s="48"/>
      <c r="C47" s="42"/>
      <c r="D47" s="42"/>
      <c r="E47" s="42"/>
    </row>
    <row r="48" spans="2:10">
      <c r="B48" s="48"/>
      <c r="C48" s="42"/>
      <c r="D48" s="42"/>
      <c r="E48" s="42"/>
    </row>
    <row r="49" spans="2:5">
      <c r="B49" s="48"/>
      <c r="C49" s="42"/>
      <c r="D49" s="42"/>
      <c r="E49" s="42"/>
    </row>
    <row r="52" spans="2:5">
      <c r="B52" s="37" t="s">
        <v>81</v>
      </c>
    </row>
    <row r="54" spans="2:5">
      <c r="B54" s="39"/>
      <c r="C54" s="40" t="s">
        <v>88</v>
      </c>
      <c r="D54" s="40" t="s">
        <v>89</v>
      </c>
    </row>
    <row r="55" spans="2:5">
      <c r="B55" s="40" t="s">
        <v>55</v>
      </c>
      <c r="C55" s="39">
        <f>SUM('拌客源数据1-8月'!J:J)</f>
        <v>1071473.2499999998</v>
      </c>
      <c r="D55" s="39">
        <f>SUBTOTAL(9,'拌客源数据1-8月'!J:J)</f>
        <v>1071473.2499999998</v>
      </c>
    </row>
    <row r="56" spans="2:5">
      <c r="B56" s="41"/>
      <c r="C56" s="42"/>
      <c r="D56" s="42"/>
    </row>
    <row r="57" spans="2:5">
      <c r="B57" s="41"/>
      <c r="C57" s="42"/>
      <c r="D57" s="42"/>
    </row>
    <row r="58" spans="2:5">
      <c r="B58" s="41"/>
      <c r="C58" s="42"/>
      <c r="D58" s="42"/>
    </row>
    <row r="61" spans="2:5">
      <c r="B61" s="37" t="s">
        <v>82</v>
      </c>
    </row>
    <row r="63" spans="2:5">
      <c r="B63" s="40" t="s">
        <v>98</v>
      </c>
      <c r="C63" s="40" t="s">
        <v>55</v>
      </c>
      <c r="D63" s="40" t="s">
        <v>100</v>
      </c>
      <c r="E63" s="49"/>
    </row>
    <row r="64" spans="2:5">
      <c r="B64" s="40" t="s">
        <v>90</v>
      </c>
      <c r="C64" s="40">
        <v>64233.369999999995</v>
      </c>
      <c r="D64" s="40" t="str">
        <f>IF(C64&gt;100000,"达标","不达标")</f>
        <v>不达标</v>
      </c>
      <c r="E64" s="49"/>
    </row>
    <row r="65" spans="2:11">
      <c r="B65" s="40" t="s">
        <v>91</v>
      </c>
      <c r="C65" s="40">
        <v>32755.710000000006</v>
      </c>
      <c r="D65" s="40" t="str">
        <f t="shared" ref="D65:D71" si="7">IF(C65&gt;100000,"达标","不达标")</f>
        <v>不达标</v>
      </c>
      <c r="E65" s="49"/>
    </row>
    <row r="66" spans="2:11">
      <c r="B66" s="40" t="s">
        <v>92</v>
      </c>
      <c r="C66" s="40">
        <v>78895.689999999988</v>
      </c>
      <c r="D66" s="40" t="str">
        <f t="shared" si="7"/>
        <v>不达标</v>
      </c>
      <c r="E66" s="49"/>
    </row>
    <row r="67" spans="2:11">
      <c r="B67" s="40" t="s">
        <v>93</v>
      </c>
      <c r="C67" s="40">
        <v>108307.06999999999</v>
      </c>
      <c r="D67" s="40" t="str">
        <f t="shared" si="7"/>
        <v>达标</v>
      </c>
      <c r="E67" s="49"/>
    </row>
    <row r="68" spans="2:11">
      <c r="B68" s="40" t="s">
        <v>94</v>
      </c>
      <c r="C68" s="40">
        <v>194276.97</v>
      </c>
      <c r="D68" s="40" t="str">
        <f t="shared" si="7"/>
        <v>达标</v>
      </c>
      <c r="E68" s="49"/>
    </row>
    <row r="69" spans="2:11">
      <c r="B69" s="40" t="s">
        <v>95</v>
      </c>
      <c r="C69" s="40">
        <v>255727.79000000007</v>
      </c>
      <c r="D69" s="40" t="str">
        <f t="shared" si="7"/>
        <v>达标</v>
      </c>
      <c r="E69" s="49"/>
    </row>
    <row r="70" spans="2:11">
      <c r="B70" s="40" t="s">
        <v>96</v>
      </c>
      <c r="C70" s="40">
        <v>255891.73</v>
      </c>
      <c r="D70" s="40" t="str">
        <f t="shared" si="7"/>
        <v>达标</v>
      </c>
      <c r="E70" s="49"/>
    </row>
    <row r="71" spans="2:11">
      <c r="B71" s="40" t="s">
        <v>97</v>
      </c>
      <c r="C71" s="40">
        <v>81384.920000000013</v>
      </c>
      <c r="D71" s="40" t="str">
        <f t="shared" si="7"/>
        <v>不达标</v>
      </c>
      <c r="E71" s="49"/>
    </row>
    <row r="72" spans="2:11">
      <c r="B72" s="41"/>
      <c r="C72" s="41"/>
      <c r="D72" s="41"/>
      <c r="E72" s="49"/>
    </row>
    <row r="73" spans="2:11">
      <c r="B73" s="41"/>
      <c r="C73" s="41"/>
      <c r="D73" s="41"/>
      <c r="E73" s="49"/>
    </row>
    <row r="74" spans="2:11">
      <c r="B74" s="41"/>
      <c r="C74" s="41"/>
      <c r="D74" s="41"/>
      <c r="E74" s="49"/>
    </row>
    <row r="77" spans="2:11">
      <c r="B77" s="37" t="s">
        <v>101</v>
      </c>
    </row>
    <row r="78" spans="2:11">
      <c r="I78" s="37" t="s">
        <v>109</v>
      </c>
    </row>
    <row r="79" spans="2:11">
      <c r="B79" s="40" t="s">
        <v>98</v>
      </c>
      <c r="C79" s="40" t="s">
        <v>55</v>
      </c>
      <c r="D79" s="40" t="s">
        <v>99</v>
      </c>
      <c r="E79" s="39" t="s">
        <v>102</v>
      </c>
      <c r="I79" s="40" t="s">
        <v>106</v>
      </c>
      <c r="J79" s="40" t="s">
        <v>107</v>
      </c>
      <c r="K79" s="40" t="s">
        <v>108</v>
      </c>
    </row>
    <row r="80" spans="2:11">
      <c r="B80" s="40" t="s">
        <v>90</v>
      </c>
      <c r="C80" s="40">
        <v>64233.369999999995</v>
      </c>
      <c r="D80" s="40">
        <v>3344.24</v>
      </c>
      <c r="E80" s="40" t="str">
        <f>IF(C80&gt;100000,IF(D80&lt;5000,"达标","不达标"),"不达标")</f>
        <v>不达标</v>
      </c>
      <c r="I80" s="40">
        <v>0</v>
      </c>
      <c r="J80" s="40">
        <v>0</v>
      </c>
      <c r="K80" s="40" t="str">
        <f>IF(I80=0,IF(J80=0,"AB都等于","A等于B不等于"),IF(J80=0,"A不等于B等于","AB都不等于"))</f>
        <v>AB都等于</v>
      </c>
    </row>
    <row r="81" spans="2:25">
      <c r="B81" s="40" t="s">
        <v>91</v>
      </c>
      <c r="C81" s="40">
        <v>32755.710000000006</v>
      </c>
      <c r="D81" s="40">
        <v>902.87</v>
      </c>
      <c r="E81" s="40" t="str">
        <f t="shared" ref="E81:E87" si="8">IF(C81&gt;100000,IF(D81&lt;5000,"达标","不达标"),"不达标")</f>
        <v>不达标</v>
      </c>
      <c r="I81" s="40">
        <v>1</v>
      </c>
      <c r="J81" s="40">
        <v>0</v>
      </c>
      <c r="K81" s="40" t="str">
        <f>IF(I81=0,IF(J81=0,"AB都等于","A等于B不等于"),IF(J81=0,"A不等于B等于","AB都不等于"))</f>
        <v>A不等于B等于</v>
      </c>
    </row>
    <row r="82" spans="2:25">
      <c r="B82" s="40" t="s">
        <v>92</v>
      </c>
      <c r="C82" s="40">
        <v>78895.689999999988</v>
      </c>
      <c r="D82" s="40">
        <v>2645.3200000000006</v>
      </c>
      <c r="E82" s="40" t="str">
        <f t="shared" si="8"/>
        <v>不达标</v>
      </c>
      <c r="I82" s="40">
        <v>1</v>
      </c>
      <c r="J82" s="40">
        <v>1</v>
      </c>
      <c r="K82" s="40" t="str">
        <f>IF(I82=0,IF(J82=0,"AB都等于","A等于B不等于"),IF(J82=0,"A不等于B等于","AB都不等于"))</f>
        <v>AB都不等于</v>
      </c>
    </row>
    <row r="83" spans="2:25">
      <c r="B83" s="40" t="s">
        <v>93</v>
      </c>
      <c r="C83" s="40">
        <v>108307.06999999999</v>
      </c>
      <c r="D83" s="40">
        <v>4513.12</v>
      </c>
      <c r="E83" s="40" t="str">
        <f t="shared" si="8"/>
        <v>达标</v>
      </c>
      <c r="I83" s="40">
        <v>0</v>
      </c>
      <c r="J83" s="40">
        <v>1</v>
      </c>
      <c r="K83" s="40" t="str">
        <f>IF(I83=0,IF(J83=0,"AB都等于","A等于B不等于"),IF(J83=0,"A不等于B等于","AB都不等于"))</f>
        <v>A等于B不等于</v>
      </c>
    </row>
    <row r="84" spans="2:25">
      <c r="B84" s="40" t="s">
        <v>94</v>
      </c>
      <c r="C84" s="40">
        <v>194276.97</v>
      </c>
      <c r="D84" s="40">
        <v>11804.4</v>
      </c>
      <c r="E84" s="40" t="str">
        <f t="shared" si="8"/>
        <v>不达标</v>
      </c>
    </row>
    <row r="85" spans="2:25">
      <c r="B85" s="40" t="s">
        <v>95</v>
      </c>
      <c r="C85" s="40">
        <v>255727.79000000007</v>
      </c>
      <c r="D85" s="40">
        <v>8302.5300000000007</v>
      </c>
      <c r="E85" s="40" t="str">
        <f t="shared" si="8"/>
        <v>不达标</v>
      </c>
    </row>
    <row r="86" spans="2:25">
      <c r="B86" s="40" t="s">
        <v>96</v>
      </c>
      <c r="C86" s="40">
        <v>255891.73</v>
      </c>
      <c r="D86" s="40">
        <v>13616.330000000004</v>
      </c>
      <c r="E86" s="40" t="str">
        <f t="shared" si="8"/>
        <v>不达标</v>
      </c>
    </row>
    <row r="87" spans="2:25">
      <c r="B87" s="40" t="s">
        <v>97</v>
      </c>
      <c r="C87" s="40">
        <v>81384.920000000013</v>
      </c>
      <c r="D87" s="40">
        <v>3680.309999999999</v>
      </c>
      <c r="E87" s="40" t="str">
        <f t="shared" si="8"/>
        <v>不达标</v>
      </c>
    </row>
    <row r="88" spans="2:25">
      <c r="B88" s="41"/>
      <c r="C88" s="41"/>
      <c r="D88" s="41"/>
      <c r="E88" s="42"/>
    </row>
    <row r="89" spans="2:25">
      <c r="B89" s="41"/>
      <c r="C89" s="41"/>
      <c r="D89" s="41"/>
      <c r="E89" s="42"/>
    </row>
    <row r="90" spans="2:25">
      <c r="B90" s="41"/>
      <c r="C90" s="41"/>
      <c r="D90" s="41"/>
      <c r="E90" s="42"/>
    </row>
    <row r="93" spans="2:25">
      <c r="B93" s="37" t="s">
        <v>105</v>
      </c>
      <c r="P93" s="37">
        <f>VLOOKUP(O96,O110:P117,2,FALSE)</f>
        <v>273854.58</v>
      </c>
    </row>
    <row r="94" spans="2:25">
      <c r="F94" s="37" t="s">
        <v>121</v>
      </c>
      <c r="I94" s="37" t="s">
        <v>130</v>
      </c>
      <c r="S94" s="37" t="s">
        <v>118</v>
      </c>
    </row>
    <row r="95" spans="2:25">
      <c r="B95" s="40" t="s">
        <v>103</v>
      </c>
      <c r="C95" s="40" t="s">
        <v>104</v>
      </c>
      <c r="D95" s="41"/>
      <c r="E95" s="41"/>
      <c r="F95" s="40" t="s">
        <v>122</v>
      </c>
      <c r="G95" s="40" t="s">
        <v>117</v>
      </c>
      <c r="I95" s="40" t="s">
        <v>124</v>
      </c>
      <c r="J95" s="40" t="s">
        <v>125</v>
      </c>
      <c r="L95"/>
      <c r="M95"/>
      <c r="N95"/>
      <c r="O95" s="40" t="s">
        <v>103</v>
      </c>
      <c r="P95" s="40" t="s">
        <v>55</v>
      </c>
      <c r="Q95" s="41"/>
      <c r="R95" s="41"/>
      <c r="S95" s="40" t="s">
        <v>110</v>
      </c>
      <c r="T95" s="40" t="s">
        <v>113</v>
      </c>
      <c r="U95" s="40" t="s">
        <v>117</v>
      </c>
      <c r="W95" s="59" t="s">
        <v>135</v>
      </c>
      <c r="X95" t="s">
        <v>144</v>
      </c>
      <c r="Y95"/>
    </row>
    <row r="96" spans="2:25">
      <c r="B96" s="50" t="s">
        <v>46</v>
      </c>
      <c r="C96" s="40" t="str">
        <f>VLOOKUP(B96,'拌客源数据1-8月'!D:E,2,FALSE)</f>
        <v>宝山店</v>
      </c>
      <c r="D96" s="41"/>
      <c r="E96" s="41"/>
      <c r="F96" s="40" t="s">
        <v>129</v>
      </c>
      <c r="G96" s="40">
        <v>1</v>
      </c>
      <c r="I96" s="40" t="s">
        <v>114</v>
      </c>
      <c r="J96" s="40">
        <f>VLOOKUP(I96&amp;"*",F96:G103,2,TRUE)</f>
        <v>1</v>
      </c>
      <c r="L96"/>
      <c r="M96"/>
      <c r="N96"/>
      <c r="O96" s="50" t="s">
        <v>46</v>
      </c>
      <c r="P96" s="39">
        <f>VLOOKUP(O96,$O$109:$P$118,2,FALSE)</f>
        <v>273854.58</v>
      </c>
      <c r="Q96" s="42"/>
      <c r="R96" s="42"/>
      <c r="S96" s="40" t="s">
        <v>106</v>
      </c>
      <c r="T96" s="40" t="s">
        <v>114</v>
      </c>
      <c r="U96" s="40">
        <v>1</v>
      </c>
      <c r="W96" s="60" t="s">
        <v>145</v>
      </c>
      <c r="X96" s="61">
        <v>19</v>
      </c>
      <c r="Y96"/>
    </row>
    <row r="97" spans="2:25">
      <c r="B97" s="50" t="s">
        <v>47</v>
      </c>
      <c r="C97" s="40" t="str">
        <f>VLOOKUP(B97,'拌客源数据1-8月'!D:E,2,FALSE)</f>
        <v>五角场店</v>
      </c>
      <c r="D97" s="41"/>
      <c r="E97" s="41"/>
      <c r="F97" s="40" t="s">
        <v>127</v>
      </c>
      <c r="G97" s="40">
        <v>2</v>
      </c>
      <c r="L97"/>
      <c r="M97"/>
      <c r="N97"/>
      <c r="O97" s="50" t="s">
        <v>47</v>
      </c>
      <c r="P97" s="39">
        <f t="shared" ref="P97:P103" si="9">VLOOKUP(O97,$O$109:$P$118,2,FALSE)</f>
        <v>16838.82</v>
      </c>
      <c r="Q97" s="42"/>
      <c r="R97" s="42"/>
      <c r="S97" s="40" t="s">
        <v>106</v>
      </c>
      <c r="T97" s="40" t="s">
        <v>115</v>
      </c>
      <c r="U97" s="40">
        <v>2</v>
      </c>
      <c r="W97" s="62" t="s">
        <v>140</v>
      </c>
      <c r="X97" s="61">
        <v>1</v>
      </c>
      <c r="Y97"/>
    </row>
    <row r="98" spans="2:25">
      <c r="B98" s="50" t="s">
        <v>44</v>
      </c>
      <c r="C98" s="40" t="str">
        <f>VLOOKUP(B98,'拌客源数据1-8月'!D:E,2,FALSE)</f>
        <v>龙阳广场店</v>
      </c>
      <c r="D98" s="41"/>
      <c r="E98" s="41"/>
      <c r="F98" s="40" t="s">
        <v>126</v>
      </c>
      <c r="G98" s="40">
        <v>3</v>
      </c>
      <c r="I98" s="37" t="s">
        <v>128</v>
      </c>
      <c r="L98"/>
      <c r="M98"/>
      <c r="N98"/>
      <c r="O98" s="50" t="s">
        <v>44</v>
      </c>
      <c r="P98" s="39">
        <f t="shared" si="9"/>
        <v>6452.04</v>
      </c>
      <c r="Q98" s="42"/>
      <c r="R98" s="42"/>
      <c r="S98" s="40" t="s">
        <v>107</v>
      </c>
      <c r="T98" s="40" t="s">
        <v>116</v>
      </c>
      <c r="U98" s="40">
        <v>3</v>
      </c>
      <c r="W98" s="62" t="s">
        <v>141</v>
      </c>
      <c r="X98" s="61">
        <v>5</v>
      </c>
      <c r="Y98"/>
    </row>
    <row r="99" spans="2:25">
      <c r="B99" s="50" t="s">
        <v>45</v>
      </c>
      <c r="C99" s="40" t="str">
        <f>VLOOKUP(B99,'拌客源数据1-8月'!D:E,2,FALSE)</f>
        <v>五角场店</v>
      </c>
      <c r="D99" s="41"/>
      <c r="E99" s="41"/>
      <c r="F99" s="40" t="s">
        <v>138</v>
      </c>
      <c r="G99" s="40">
        <v>4</v>
      </c>
      <c r="I99" s="40" t="s">
        <v>115</v>
      </c>
      <c r="J99" s="40">
        <f>VLOOKUP(I99&amp;"??",F95:G103,2,FALSE)</f>
        <v>7</v>
      </c>
      <c r="L99"/>
      <c r="M99"/>
      <c r="N99"/>
      <c r="O99" s="50" t="s">
        <v>45</v>
      </c>
      <c r="P99" s="39">
        <f t="shared" si="9"/>
        <v>60286.000000000022</v>
      </c>
      <c r="Q99" s="42"/>
      <c r="R99" s="42"/>
      <c r="S99" s="40" t="s">
        <v>107</v>
      </c>
      <c r="T99" s="40" t="s">
        <v>116</v>
      </c>
      <c r="U99" s="40">
        <v>4</v>
      </c>
      <c r="W99" s="62" t="s">
        <v>142</v>
      </c>
      <c r="X99" s="61">
        <v>13</v>
      </c>
      <c r="Y99"/>
    </row>
    <row r="100" spans="2:25">
      <c r="B100" s="50" t="s">
        <v>48</v>
      </c>
      <c r="C100" s="40" t="str">
        <f>VLOOKUP(B100,'拌客源数据1-8月'!D:E,2,FALSE)</f>
        <v>怒江路店</v>
      </c>
      <c r="D100" s="41"/>
      <c r="E100" s="41"/>
      <c r="F100" s="40" t="s">
        <v>139</v>
      </c>
      <c r="G100" s="40">
        <v>5</v>
      </c>
      <c r="L100"/>
      <c r="M100"/>
      <c r="N100"/>
      <c r="O100" s="50" t="s">
        <v>48</v>
      </c>
      <c r="P100" s="39">
        <f t="shared" si="9"/>
        <v>4313.57</v>
      </c>
      <c r="Q100" s="42"/>
      <c r="R100" s="42"/>
      <c r="S100" s="40" t="s">
        <v>107</v>
      </c>
      <c r="T100" s="40" t="s">
        <v>114</v>
      </c>
      <c r="U100" s="40">
        <v>5</v>
      </c>
      <c r="W100" s="60" t="s">
        <v>146</v>
      </c>
      <c r="X100" s="61">
        <v>10</v>
      </c>
      <c r="Y100"/>
    </row>
    <row r="101" spans="2:25">
      <c r="B101" s="50" t="s">
        <v>49</v>
      </c>
      <c r="C101" s="40" t="str">
        <f>VLOOKUP(B101,'拌客源数据1-8月'!D:E,2,FALSE)</f>
        <v>宝山店</v>
      </c>
      <c r="D101" s="41"/>
      <c r="E101" s="41"/>
      <c r="F101" s="40" t="s">
        <v>119</v>
      </c>
      <c r="G101" s="40">
        <v>6</v>
      </c>
      <c r="L101"/>
      <c r="M101"/>
      <c r="N101"/>
      <c r="O101" s="50" t="s">
        <v>49</v>
      </c>
      <c r="P101" s="39">
        <f t="shared" si="9"/>
        <v>169975.03999999998</v>
      </c>
      <c r="Q101" s="42"/>
      <c r="R101" s="42"/>
      <c r="S101" s="40" t="s">
        <v>111</v>
      </c>
      <c r="T101" s="40" t="s">
        <v>114</v>
      </c>
      <c r="U101" s="40">
        <v>6</v>
      </c>
      <c r="W101" s="62" t="s">
        <v>140</v>
      </c>
      <c r="X101" s="61">
        <v>2</v>
      </c>
      <c r="Y101"/>
    </row>
    <row r="102" spans="2:25">
      <c r="B102" s="50" t="s">
        <v>50</v>
      </c>
      <c r="C102" s="40" t="str">
        <f>VLOOKUP(B102,'拌客源数据1-8月'!D:E,2,FALSE)</f>
        <v>拌客干拌麻辣烫(武宁路店)</v>
      </c>
      <c r="D102" s="41"/>
      <c r="E102" s="41"/>
      <c r="F102" s="40" t="s">
        <v>120</v>
      </c>
      <c r="G102" s="40">
        <v>7</v>
      </c>
      <c r="L102"/>
      <c r="M102"/>
      <c r="N102"/>
      <c r="O102" s="50" t="s">
        <v>50</v>
      </c>
      <c r="P102" s="39">
        <f t="shared" si="9"/>
        <v>425745.45999999996</v>
      </c>
      <c r="Q102" s="42"/>
      <c r="R102" s="42"/>
      <c r="S102" s="40" t="s">
        <v>111</v>
      </c>
      <c r="T102" s="40" t="s">
        <v>114</v>
      </c>
      <c r="U102" s="40">
        <v>7</v>
      </c>
      <c r="W102" s="62" t="s">
        <v>143</v>
      </c>
      <c r="X102" s="61">
        <v>8</v>
      </c>
      <c r="Y102"/>
    </row>
    <row r="103" spans="2:25">
      <c r="B103" s="50" t="s">
        <v>51</v>
      </c>
      <c r="C103" s="40" t="str">
        <f>VLOOKUP(B103,'拌客源数据1-8月'!D:E,2,FALSE)</f>
        <v>拌客干拌麻辣烫(武宁路店)</v>
      </c>
      <c r="D103" s="41"/>
      <c r="E103" s="41"/>
      <c r="F103" s="40" t="s">
        <v>123</v>
      </c>
      <c r="G103" s="40">
        <v>8</v>
      </c>
      <c r="L103"/>
      <c r="M103"/>
      <c r="N103"/>
      <c r="O103" s="50" t="s">
        <v>51</v>
      </c>
      <c r="P103" s="39">
        <f t="shared" si="9"/>
        <v>114007.74</v>
      </c>
      <c r="Q103" s="42"/>
      <c r="R103" s="42"/>
      <c r="S103" s="40" t="s">
        <v>112</v>
      </c>
      <c r="T103" s="40" t="s">
        <v>115</v>
      </c>
      <c r="U103" s="40">
        <v>8</v>
      </c>
      <c r="W103" s="60" t="s">
        <v>147</v>
      </c>
      <c r="X103" s="61">
        <v>7</v>
      </c>
      <c r="Y103"/>
    </row>
    <row r="104" spans="2:25">
      <c r="B104" s="51"/>
      <c r="C104" s="41"/>
      <c r="D104" s="41"/>
      <c r="E104" s="41"/>
      <c r="F104" s="41"/>
      <c r="G104" s="41"/>
      <c r="L104"/>
      <c r="M104"/>
      <c r="N104"/>
      <c r="O104" s="51"/>
      <c r="P104" s="42"/>
      <c r="Q104" s="42"/>
      <c r="R104" s="42"/>
      <c r="S104" s="41"/>
      <c r="T104" s="41"/>
      <c r="U104" s="41"/>
      <c r="W104" s="62" t="s">
        <v>141</v>
      </c>
      <c r="X104" s="61">
        <v>7</v>
      </c>
      <c r="Y104"/>
    </row>
    <row r="105" spans="2:25">
      <c r="B105" s="51"/>
      <c r="C105" s="41"/>
      <c r="D105" s="41"/>
      <c r="E105" s="41"/>
      <c r="F105" s="41"/>
      <c r="G105" s="41"/>
      <c r="L105"/>
      <c r="M105"/>
      <c r="N105"/>
      <c r="O105" s="51"/>
      <c r="P105" s="42"/>
      <c r="Q105" s="42"/>
      <c r="R105" s="42"/>
      <c r="S105" s="41"/>
      <c r="T105" s="41"/>
      <c r="U105" s="41"/>
      <c r="W105" s="60" t="s">
        <v>136</v>
      </c>
      <c r="X105" s="61">
        <v>36</v>
      </c>
      <c r="Y105"/>
    </row>
    <row r="106" spans="2:25">
      <c r="B106" s="51"/>
      <c r="C106" s="41"/>
      <c r="D106" s="41"/>
      <c r="E106" s="41"/>
      <c r="F106" s="41"/>
      <c r="G106" s="41"/>
      <c r="L106"/>
      <c r="M106"/>
      <c r="N106"/>
      <c r="O106" s="51"/>
      <c r="P106" s="42"/>
      <c r="Q106" s="42"/>
      <c r="R106" s="42"/>
      <c r="S106"/>
      <c r="T106"/>
      <c r="U106"/>
      <c r="W106"/>
      <c r="X106"/>
      <c r="Y106"/>
    </row>
    <row r="107" spans="2:25">
      <c r="L107"/>
      <c r="M107"/>
      <c r="N107"/>
      <c r="S107"/>
      <c r="T107"/>
      <c r="U107"/>
      <c r="W107"/>
      <c r="X107"/>
      <c r="Y107"/>
    </row>
    <row r="108" spans="2:25">
      <c r="L108"/>
      <c r="M108"/>
      <c r="N108"/>
      <c r="S108"/>
      <c r="T108"/>
      <c r="U108"/>
      <c r="W108"/>
      <c r="X108"/>
      <c r="Y108"/>
    </row>
    <row r="109" spans="2:25">
      <c r="B109" s="37" t="s">
        <v>133</v>
      </c>
      <c r="L109"/>
      <c r="M109"/>
      <c r="N109"/>
      <c r="O109" s="59" t="s">
        <v>135</v>
      </c>
      <c r="P109" t="s">
        <v>137</v>
      </c>
      <c r="Q109"/>
      <c r="S109"/>
      <c r="T109"/>
      <c r="U109"/>
      <c r="W109"/>
      <c r="X109"/>
      <c r="Y109"/>
    </row>
    <row r="110" spans="2:25">
      <c r="L110"/>
      <c r="M110"/>
      <c r="N110"/>
      <c r="O110" s="60" t="s">
        <v>45</v>
      </c>
      <c r="P110" s="61">
        <v>60286.000000000022</v>
      </c>
      <c r="Q110"/>
      <c r="S110"/>
      <c r="T110"/>
      <c r="U110"/>
      <c r="W110"/>
      <c r="X110"/>
      <c r="Y110"/>
    </row>
    <row r="111" spans="2:25">
      <c r="B111" s="78" t="s">
        <v>11</v>
      </c>
      <c r="C111" s="79"/>
      <c r="D111" s="40" t="s">
        <v>103</v>
      </c>
      <c r="E111" s="40" t="s">
        <v>131</v>
      </c>
      <c r="F111" s="40" t="s">
        <v>132</v>
      </c>
      <c r="G111" s="40" t="s">
        <v>104</v>
      </c>
      <c r="H111" s="40" t="s">
        <v>55</v>
      </c>
      <c r="I111" s="40" t="s">
        <v>74</v>
      </c>
      <c r="J111" s="40" t="s">
        <v>75</v>
      </c>
      <c r="K111" s="41"/>
      <c r="L111"/>
      <c r="M111"/>
      <c r="N111"/>
      <c r="O111" s="60" t="s">
        <v>46</v>
      </c>
      <c r="P111" s="61">
        <v>273854.58</v>
      </c>
      <c r="Q111"/>
      <c r="S111"/>
      <c r="T111"/>
      <c r="U111"/>
      <c r="W111"/>
      <c r="X111"/>
      <c r="Y111"/>
    </row>
    <row r="112" spans="2:25">
      <c r="B112" s="68" t="s">
        <v>159</v>
      </c>
      <c r="C112" s="69"/>
      <c r="D112" s="40" t="str">
        <f>INDEX('拌客源数据1-8月'!$A:$I,MATCH($B112,'拌客源数据1-8月'!$I:$I,0),MATCH(D$111,'拌客源数据1-8月'!$A$1:$I$1,0))</f>
        <v>2001104355</v>
      </c>
      <c r="E112" s="40" t="str">
        <f>INDEX('拌客源数据1-8月'!$A:$I,MATCH('常用函数-完成版'!$B112,'拌客源数据1-8月'!$I:$I,0),MATCH('常用函数-完成版'!E$111,'拌客源数据1-8月'!$A$1:$I$1,0))</f>
        <v>蛙小辣火锅杯（总账号）</v>
      </c>
      <c r="F112" s="40">
        <f>INDEX('拌客源数据1-8月'!$A:$I,MATCH('常用函数-完成版'!$B112,'拌客源数据1-8月'!$I:$I,0),MATCH('常用函数-完成版'!F$111,'拌客源数据1-8月'!$A$1:$I$1,0))</f>
        <v>4636</v>
      </c>
      <c r="G112" s="40" t="str">
        <f>INDEX('拌客源数据1-8月'!$A:$I,MATCH('常用函数-完成版'!$B112,'拌客源数据1-8月'!$I:$I,0),MATCH('常用函数-完成版'!G$111,'拌客源数据1-8月'!$A$1:$I$1,0))</f>
        <v>宝山店</v>
      </c>
      <c r="H112" s="40">
        <f>SUMIFS(INDEX('拌客源数据1-8月'!$A:$X,0,MATCH('常用函数-完成版'!H$111,'拌客源数据1-8月'!$A$1:$X$1,0)),'拌客源数据1-8月'!$I:$I,'常用函数-完成版'!$B112)</f>
        <v>116343.26000000004</v>
      </c>
      <c r="I112" s="40">
        <f>SUMIFS(INDEX('拌客源数据1-8月'!$A:$X,0,MATCH('常用函数-完成版'!I$111,'拌客源数据1-8月'!$A$1:$X$1,0)),'拌客源数据1-8月'!$I:$I,'常用函数-完成版'!$B112)</f>
        <v>11204</v>
      </c>
      <c r="J112" s="40">
        <f>SUMIFS(INDEX('拌客源数据1-8月'!$A:$X,0,MATCH('常用函数-完成版'!J$111,'拌客源数据1-8月'!$A$1:$X$1,0)),'拌客源数据1-8月'!$I:$I,'常用函数-完成版'!$B112)</f>
        <v>1646</v>
      </c>
      <c r="L112"/>
      <c r="M112"/>
      <c r="N112"/>
      <c r="O112" s="60" t="s">
        <v>44</v>
      </c>
      <c r="P112" s="61">
        <v>6452.04</v>
      </c>
      <c r="Q112"/>
      <c r="S112"/>
      <c r="T112"/>
      <c r="U112"/>
      <c r="W112"/>
      <c r="X112"/>
      <c r="Y112"/>
    </row>
    <row r="113" spans="2:21">
      <c r="B113" s="68" t="s">
        <v>23</v>
      </c>
      <c r="C113" s="69"/>
      <c r="D113" s="40" t="str">
        <f>INDEX('拌客源数据1-8月'!$A:$I,MATCH($B113,'拌客源数据1-8月'!$I:$I,0),MATCH(D$111,'拌客源数据1-8月'!$A$1:$I$1,0))</f>
        <v>8184590</v>
      </c>
      <c r="E113" s="40" t="str">
        <f>INDEX('拌客源数据1-8月'!$A:$I,MATCH('常用函数-完成版'!$B113,'拌客源数据1-8月'!$I:$I,0),MATCH('常用函数-完成版'!E$111,'拌客源数据1-8月'!$A$1:$I$1,0))</f>
        <v>蛙小辣火锅杯（总账号）</v>
      </c>
      <c r="F113" s="40">
        <f>INDEX('拌客源数据1-8月'!$A:$I,MATCH('常用函数-完成版'!$B113,'拌客源数据1-8月'!$I:$I,0),MATCH('常用函数-完成版'!F$111,'拌客源数据1-8月'!$A$1:$I$1,0))</f>
        <v>4636</v>
      </c>
      <c r="G113" s="40" t="str">
        <f>INDEX('拌客源数据1-8月'!$A:$I,MATCH('常用函数-完成版'!$B113,'拌客源数据1-8月'!$I:$I,0),MATCH('常用函数-完成版'!G$111,'拌客源数据1-8月'!$A$1:$I$1,0))</f>
        <v>五角场店</v>
      </c>
      <c r="H113" s="40">
        <f>SUMIFS(INDEX('拌客源数据1-8月'!$A:$X,0,MATCH('常用函数-完成版'!H$111,'拌客源数据1-8月'!$A$1:$X$1,0)),'拌客源数据1-8月'!$I:$I,'常用函数-完成版'!$B113)</f>
        <v>6787.9800000000005</v>
      </c>
      <c r="I113" s="40">
        <f>SUMIFS(INDEX('拌客源数据1-8月'!$A:$X,0,MATCH('常用函数-完成版'!I$111,'拌客源数据1-8月'!$A$1:$X$1,0)),'拌客源数据1-8月'!$I:$I,'常用函数-完成版'!$B113)</f>
        <v>775</v>
      </c>
      <c r="J113" s="40">
        <f>SUMIFS(INDEX('拌客源数据1-8月'!$A:$X,0,MATCH('常用函数-完成版'!J$111,'拌客源数据1-8月'!$A$1:$X$1,0)),'拌客源数据1-8月'!$I:$I,'常用函数-完成版'!$B113)</f>
        <v>113</v>
      </c>
      <c r="O113" s="60" t="s">
        <v>50</v>
      </c>
      <c r="P113" s="61">
        <v>425745.45999999996</v>
      </c>
      <c r="Q113"/>
      <c r="S113"/>
      <c r="T113"/>
      <c r="U113"/>
    </row>
    <row r="114" spans="2:21">
      <c r="B114" s="68" t="s">
        <v>32</v>
      </c>
      <c r="C114" s="69"/>
      <c r="D114" s="40" t="str">
        <f>INDEX('拌客源数据1-8月'!$A:$I,MATCH($B114,'拌客源数据1-8月'!$I:$I,0),MATCH(D$111,'拌客源数据1-8月'!$A$1:$I$1,0))</f>
        <v>305225345</v>
      </c>
      <c r="E114" s="40" t="str">
        <f>INDEX('拌客源数据1-8月'!$A:$I,MATCH('常用函数-完成版'!$B114,'拌客源数据1-8月'!$I:$I,0),MATCH('常用函数-完成版'!E$111,'拌客源数据1-8月'!$A$1:$I$1,0))</f>
        <v>蛙小辣火锅杯（总账号）</v>
      </c>
      <c r="F114" s="40">
        <f>INDEX('拌客源数据1-8月'!$A:$I,MATCH('常用函数-完成版'!$B114,'拌客源数据1-8月'!$I:$I,0),MATCH('常用函数-完成版'!F$111,'拌客源数据1-8月'!$A$1:$I$1,0))</f>
        <v>4636</v>
      </c>
      <c r="G114" s="40" t="str">
        <f>INDEX('拌客源数据1-8月'!$A:$I,MATCH('常用函数-完成版'!$B114,'拌客源数据1-8月'!$I:$I,0),MATCH('常用函数-完成版'!G$111,'拌客源数据1-8月'!$A$1:$I$1,0))</f>
        <v>龙阳广场店</v>
      </c>
      <c r="H114" s="40">
        <f>SUMIFS(INDEX('拌客源数据1-8月'!$A:$X,0,MATCH('常用函数-完成版'!H$111,'拌客源数据1-8月'!$A$1:$X$1,0)),'拌客源数据1-8月'!$I:$I,'常用函数-完成版'!$B114)</f>
        <v>6452.04</v>
      </c>
      <c r="I114" s="40">
        <f>SUMIFS(INDEX('拌客源数据1-8月'!$A:$X,0,MATCH('常用函数-完成版'!I$111,'拌客源数据1-8月'!$A$1:$X$1,0)),'拌客源数据1-8月'!$I:$I,'常用函数-完成版'!$B114)</f>
        <v>590</v>
      </c>
      <c r="J114" s="40">
        <f>SUMIFS(INDEX('拌客源数据1-8月'!$A:$X,0,MATCH('常用函数-完成版'!J$111,'拌客源数据1-8月'!$A$1:$X$1,0)),'拌客源数据1-8月'!$I:$I,'常用函数-完成版'!$B114)</f>
        <v>108</v>
      </c>
      <c r="O114" s="60" t="s">
        <v>48</v>
      </c>
      <c r="P114" s="61">
        <v>4313.57</v>
      </c>
      <c r="Q114"/>
      <c r="S114"/>
      <c r="T114"/>
      <c r="U114"/>
    </row>
    <row r="115" spans="2:21">
      <c r="B115" s="68" t="s">
        <v>30</v>
      </c>
      <c r="C115" s="69"/>
      <c r="D115" s="40" t="str">
        <f>INDEX('拌客源数据1-8月'!$A:$I,MATCH($B115,'拌客源数据1-8月'!$I:$I,0),MATCH(D$111,'拌客源数据1-8月'!$A$1:$I$1,0))</f>
        <v>2000507076</v>
      </c>
      <c r="E115" s="40" t="str">
        <f>INDEX('拌客源数据1-8月'!$A:$I,MATCH('常用函数-完成版'!$B115,'拌客源数据1-8月'!$I:$I,0),MATCH('常用函数-完成版'!E$111,'拌客源数据1-8月'!$A$1:$I$1,0))</f>
        <v>蛙小辣火锅杯（总账号）</v>
      </c>
      <c r="F115" s="40">
        <f>INDEX('拌客源数据1-8月'!$A:$I,MATCH('常用函数-完成版'!$B115,'拌客源数据1-8月'!$I:$I,0),MATCH('常用函数-完成版'!F$111,'拌客源数据1-8月'!$A$1:$I$1,0))</f>
        <v>4636</v>
      </c>
      <c r="G115" s="40" t="str">
        <f>INDEX('拌客源数据1-8月'!$A:$I,MATCH('常用函数-完成版'!$B115,'拌客源数据1-8月'!$I:$I,0),MATCH('常用函数-完成版'!G$111,'拌客源数据1-8月'!$A$1:$I$1,0))</f>
        <v>五角场店</v>
      </c>
      <c r="H115" s="40">
        <f>SUMIFS(INDEX('拌客源数据1-8月'!$A:$X,0,MATCH('常用函数-完成版'!H$111,'拌客源数据1-8月'!$A$1:$X$1,0)),'拌客源数据1-8月'!$I:$I,'常用函数-完成版'!$B115)</f>
        <v>33744.82</v>
      </c>
      <c r="I115" s="40">
        <f>SUMIFS(INDEX('拌客源数据1-8月'!$A:$X,0,MATCH('常用函数-完成版'!I$111,'拌客源数据1-8月'!$A$1:$X$1,0)),'拌客源数据1-8月'!$I:$I,'常用函数-完成版'!$B115)</f>
        <v>2490</v>
      </c>
      <c r="J115" s="40">
        <f>SUMIFS(INDEX('拌客源数据1-8月'!$A:$X,0,MATCH('常用函数-完成版'!J$111,'拌客源数据1-8月'!$A$1:$X$1,0)),'拌客源数据1-8月'!$I:$I,'常用函数-完成版'!$B115)</f>
        <v>512</v>
      </c>
      <c r="O115" s="60" t="s">
        <v>47</v>
      </c>
      <c r="P115" s="61">
        <v>16838.82</v>
      </c>
      <c r="Q115"/>
      <c r="S115"/>
      <c r="T115"/>
      <c r="U115"/>
    </row>
    <row r="116" spans="2:21">
      <c r="B116" s="68" t="s">
        <v>25</v>
      </c>
      <c r="C116" s="69"/>
      <c r="D116" s="40" t="str">
        <f>INDEX('拌客源数据1-8月'!$A:$I,MATCH($B116,'拌客源数据1-8月'!$I:$I,0),MATCH(D$111,'拌客源数据1-8月'!$A$1:$I$1,0))</f>
        <v>8106681</v>
      </c>
      <c r="E116" s="40" t="str">
        <f>INDEX('拌客源数据1-8月'!$A:$I,MATCH('常用函数-完成版'!$B116,'拌客源数据1-8月'!$I:$I,0),MATCH('常用函数-完成版'!E$111,'拌客源数据1-8月'!$A$1:$I$1,0))</f>
        <v>蛙小辣火锅杯（总账号）</v>
      </c>
      <c r="F116" s="40">
        <f>INDEX('拌客源数据1-8月'!$A:$I,MATCH('常用函数-完成版'!$B116,'拌客源数据1-8月'!$I:$I,0),MATCH('常用函数-完成版'!F$111,'拌客源数据1-8月'!$A$1:$I$1,0))</f>
        <v>4636</v>
      </c>
      <c r="G116" s="40" t="str">
        <f>INDEX('拌客源数据1-8月'!$A:$I,MATCH('常用函数-完成版'!$B116,'拌客源数据1-8月'!$I:$I,0),MATCH('常用函数-完成版'!G$111,'拌客源数据1-8月'!$A$1:$I$1,0))</f>
        <v>怒江路店</v>
      </c>
      <c r="H116" s="40">
        <f>SUMIFS(INDEX('拌客源数据1-8月'!$A:$X,0,MATCH('常用函数-完成版'!H$111,'拌客源数据1-8月'!$A$1:$X$1,0)),'拌客源数据1-8月'!$I:$I,'常用函数-完成版'!$B116)</f>
        <v>4313.57</v>
      </c>
      <c r="I116" s="40">
        <f>SUMIFS(INDEX('拌客源数据1-8月'!$A:$X,0,MATCH('常用函数-完成版'!I$111,'拌客源数据1-8月'!$A$1:$X$1,0)),'拌客源数据1-8月'!$I:$I,'常用函数-完成版'!$B116)</f>
        <v>367</v>
      </c>
      <c r="J116" s="40">
        <f>SUMIFS(INDEX('拌客源数据1-8月'!$A:$X,0,MATCH('常用函数-完成版'!J$111,'拌客源数据1-8月'!$A$1:$X$1,0)),'拌客源数据1-8月'!$I:$I,'常用函数-完成版'!$B116)</f>
        <v>66</v>
      </c>
      <c r="O116" s="60" t="s">
        <v>49</v>
      </c>
      <c r="P116" s="61">
        <v>169975.03999999998</v>
      </c>
      <c r="Q116"/>
      <c r="S116"/>
      <c r="T116"/>
      <c r="U116"/>
    </row>
    <row r="117" spans="2:21">
      <c r="B117" s="68" t="s">
        <v>34</v>
      </c>
      <c r="C117" s="69"/>
      <c r="D117" s="40" t="str">
        <f>INDEX('拌客源数据1-8月'!$A:$I,MATCH($B117,'拌客源数据1-8月'!$I:$I,0),MATCH(D$111,'拌客源数据1-8月'!$A$1:$I$1,0))</f>
        <v>8491999</v>
      </c>
      <c r="E117" s="40" t="str">
        <f>INDEX('拌客源数据1-8月'!$A:$I,MATCH('常用函数-完成版'!$B117,'拌客源数据1-8月'!$I:$I,0),MATCH('常用函数-完成版'!E$111,'拌客源数据1-8月'!$A$1:$I$1,0))</f>
        <v>蛙小辣火锅杯（总账号）</v>
      </c>
      <c r="F117" s="40">
        <f>INDEX('拌客源数据1-8月'!$A:$I,MATCH('常用函数-完成版'!$B117,'拌客源数据1-8月'!$I:$I,0),MATCH('常用函数-完成版'!F$111,'拌客源数据1-8月'!$A$1:$I$1,0))</f>
        <v>4636</v>
      </c>
      <c r="G117" s="40" t="str">
        <f>INDEX('拌客源数据1-8月'!$A:$I,MATCH('常用函数-完成版'!$B117,'拌客源数据1-8月'!$I:$I,0),MATCH('常用函数-完成版'!G$111,'拌客源数据1-8月'!$A$1:$I$1,0))</f>
        <v>宝山店</v>
      </c>
      <c r="H117" s="40">
        <f>SUMIFS(INDEX('拌客源数据1-8月'!$A:$X,0,MATCH('常用函数-完成版'!H$111,'拌客源数据1-8月'!$A$1:$X$1,0)),'拌客源数据1-8月'!$I:$I,'常用函数-完成版'!$B117)</f>
        <v>169975.03999999998</v>
      </c>
      <c r="I117" s="40">
        <f>SUMIFS(INDEX('拌客源数据1-8月'!$A:$X,0,MATCH('常用函数-完成版'!I$111,'拌客源数据1-8月'!$A$1:$X$1,0)),'拌客源数据1-8月'!$I:$I,'常用函数-完成版'!$B117)</f>
        <v>15813</v>
      </c>
      <c r="J117" s="40">
        <f>SUMIFS(INDEX('拌客源数据1-8月'!$A:$X,0,MATCH('常用函数-完成版'!J$111,'拌客源数据1-8月'!$A$1:$X$1,0)),'拌客源数据1-8月'!$I:$I,'常用函数-完成版'!$B117)</f>
        <v>2969</v>
      </c>
      <c r="O117" s="60" t="s">
        <v>51</v>
      </c>
      <c r="P117" s="61">
        <v>114007.74</v>
      </c>
      <c r="Q117"/>
      <c r="S117"/>
      <c r="T117"/>
      <c r="U117"/>
    </row>
    <row r="118" spans="2:21">
      <c r="B118" s="68" t="s">
        <v>33</v>
      </c>
      <c r="C118" s="69"/>
      <c r="D118" s="40" t="str">
        <f>INDEX('拌客源数据1-8月'!$A:$I,MATCH($B118,'拌客源数据1-8月'!$I:$I,0),MATCH(D$111,'拌客源数据1-8月'!$A$1:$I$1,0))</f>
        <v>8184590</v>
      </c>
      <c r="E118" s="40" t="str">
        <f>INDEX('拌客源数据1-8月'!$A:$I,MATCH('常用函数-完成版'!$B118,'拌客源数据1-8月'!$I:$I,0),MATCH('常用函数-完成版'!E$111,'拌客源数据1-8月'!$A$1:$I$1,0))</f>
        <v>蛙小辣火锅杯（总账号）</v>
      </c>
      <c r="F118" s="40">
        <f>INDEX('拌客源数据1-8月'!$A:$I,MATCH('常用函数-完成版'!$B118,'拌客源数据1-8月'!$I:$I,0),MATCH('常用函数-完成版'!F$111,'拌客源数据1-8月'!$A$1:$I$1,0))</f>
        <v>4636</v>
      </c>
      <c r="G118" s="40" t="str">
        <f>INDEX('拌客源数据1-8月'!$A:$I,MATCH('常用函数-完成版'!$B118,'拌客源数据1-8月'!$I:$I,0),MATCH('常用函数-完成版'!G$111,'拌客源数据1-8月'!$A$1:$I$1,0))</f>
        <v>五角场店</v>
      </c>
      <c r="H118" s="40">
        <f>SUMIFS(INDEX('拌客源数据1-8月'!$A:$X,0,MATCH('常用函数-完成版'!H$111,'拌客源数据1-8月'!$A$1:$X$1,0)),'拌客源数据1-8月'!$I:$I,'常用函数-完成版'!$B118)</f>
        <v>9368.7099999999973</v>
      </c>
      <c r="I118" s="40">
        <f>SUMIFS(INDEX('拌客源数据1-8月'!$A:$X,0,MATCH('常用函数-完成版'!I$111,'拌客源数据1-8月'!$A$1:$X$1,0)),'拌客源数据1-8月'!$I:$I,'常用函数-完成版'!$B118)</f>
        <v>791</v>
      </c>
      <c r="J118" s="40">
        <f>SUMIFS(INDEX('拌客源数据1-8月'!$A:$X,0,MATCH('常用函数-完成版'!J$111,'拌客源数据1-8月'!$A$1:$X$1,0)),'拌客源数据1-8月'!$I:$I,'常用函数-完成版'!$B118)</f>
        <v>154</v>
      </c>
      <c r="O118" s="60" t="s">
        <v>136</v>
      </c>
      <c r="P118" s="61">
        <v>1071473.2499999998</v>
      </c>
      <c r="Q118"/>
      <c r="S118"/>
      <c r="T118"/>
      <c r="U118"/>
    </row>
    <row r="119" spans="2:21">
      <c r="B119" s="68" t="s">
        <v>35</v>
      </c>
      <c r="C119" s="69"/>
      <c r="D119" s="40" t="str">
        <f>INDEX('拌客源数据1-8月'!$A:$I,MATCH($B119,'拌客源数据1-8月'!$I:$I,0),MATCH(D$111,'拌客源数据1-8月'!$A$1:$I$1,0))</f>
        <v>2000507076</v>
      </c>
      <c r="E119" s="40" t="str">
        <f>INDEX('拌客源数据1-8月'!$A:$I,MATCH('常用函数-完成版'!$B119,'拌客源数据1-8月'!$I:$I,0),MATCH('常用函数-完成版'!E$111,'拌客源数据1-8月'!$A$1:$I$1,0))</f>
        <v>蛙小辣火锅杯（总账号）</v>
      </c>
      <c r="F119" s="40">
        <f>INDEX('拌客源数据1-8月'!$A:$I,MATCH('常用函数-完成版'!$B119,'拌客源数据1-8月'!$I:$I,0),MATCH('常用函数-完成版'!F$111,'拌客源数据1-8月'!$A$1:$I$1,0))</f>
        <v>4636</v>
      </c>
      <c r="G119" s="40" t="str">
        <f>INDEX('拌客源数据1-8月'!$A:$I,MATCH('常用函数-完成版'!$B119,'拌客源数据1-8月'!$I:$I,0),MATCH('常用函数-完成版'!G$111,'拌客源数据1-8月'!$A$1:$I$1,0))</f>
        <v>五角场店</v>
      </c>
      <c r="H119" s="40">
        <f>SUMIFS(INDEX('拌客源数据1-8月'!$A:$X,0,MATCH('常用函数-完成版'!H$111,'拌客源数据1-8月'!$A$1:$X$1,0)),'拌客源数据1-8月'!$I:$I,'常用函数-完成版'!$B119)</f>
        <v>784.71</v>
      </c>
      <c r="I119" s="40">
        <f>SUMIFS(INDEX('拌客源数据1-8月'!$A:$X,0,MATCH('常用函数-完成版'!I$111,'拌客源数据1-8月'!$A$1:$X$1,0)),'拌客源数据1-8月'!$I:$I,'常用函数-完成版'!$B119)</f>
        <v>48</v>
      </c>
      <c r="J119" s="40">
        <f>SUMIFS(INDEX('拌客源数据1-8月'!$A:$X,0,MATCH('常用函数-完成版'!J$111,'拌客源数据1-8月'!$A$1:$X$1,0)),'拌客源数据1-8月'!$I:$I,'常用函数-完成版'!$B119)</f>
        <v>11</v>
      </c>
      <c r="O119"/>
      <c r="P119"/>
      <c r="Q119"/>
      <c r="S119"/>
      <c r="T119"/>
      <c r="U119"/>
    </row>
    <row r="120" spans="2:21">
      <c r="B120" s="68" t="s">
        <v>36</v>
      </c>
      <c r="C120" s="69"/>
      <c r="D120" s="40" t="str">
        <f>INDEX('拌客源数据1-8月'!$A:$I,MATCH($B120,'拌客源数据1-8月'!$I:$I,0),MATCH(D$111,'拌客源数据1-8月'!$A$1:$I$1,0))</f>
        <v>2000507076</v>
      </c>
      <c r="E120" s="40" t="str">
        <f>INDEX('拌客源数据1-8月'!$A:$I,MATCH('常用函数-完成版'!$B120,'拌客源数据1-8月'!$I:$I,0),MATCH('常用函数-完成版'!E$111,'拌客源数据1-8月'!$A$1:$I$1,0))</f>
        <v>蛙小辣火锅杯（总账号）</v>
      </c>
      <c r="F120" s="40">
        <f>INDEX('拌客源数据1-8月'!$A:$I,MATCH('常用函数-完成版'!$B120,'拌客源数据1-8月'!$I:$I,0),MATCH('常用函数-完成版'!F$111,'拌客源数据1-8月'!$A$1:$I$1,0))</f>
        <v>4636</v>
      </c>
      <c r="G120" s="40" t="str">
        <f>INDEX('拌客源数据1-8月'!$A:$I,MATCH('常用函数-完成版'!$B120,'拌客源数据1-8月'!$I:$I,0),MATCH('常用函数-完成版'!G$111,'拌客源数据1-8月'!$A$1:$I$1,0))</f>
        <v>五角场店</v>
      </c>
      <c r="H120" s="40">
        <f>SUMIFS(INDEX('拌客源数据1-8月'!$A:$X,0,MATCH('常用函数-完成版'!H$111,'拌客源数据1-8月'!$A$1:$X$1,0)),'拌客源数据1-8月'!$I:$I,'常用函数-完成版'!$B120)</f>
        <v>11932.99</v>
      </c>
      <c r="I120" s="40">
        <f>SUMIFS(INDEX('拌客源数据1-8月'!$A:$X,0,MATCH('常用函数-完成版'!I$111,'拌客源数据1-8月'!$A$1:$X$1,0)),'拌客源数据1-8月'!$I:$I,'常用函数-完成版'!$B120)</f>
        <v>699</v>
      </c>
      <c r="J120" s="40">
        <f>SUMIFS(INDEX('拌客源数据1-8月'!$A:$X,0,MATCH('常用函数-完成版'!J$111,'拌客源数据1-8月'!$A$1:$X$1,0)),'拌客源数据1-8月'!$I:$I,'常用函数-完成版'!$B120)</f>
        <v>167</v>
      </c>
      <c r="O120"/>
      <c r="P120"/>
      <c r="Q120"/>
      <c r="S120"/>
      <c r="T120"/>
      <c r="U120"/>
    </row>
    <row r="121" spans="2:21">
      <c r="B121" s="68" t="s">
        <v>37</v>
      </c>
      <c r="C121" s="69"/>
      <c r="D121" s="40" t="str">
        <f>INDEX('拌客源数据1-8月'!$A:$I,MATCH($B121,'拌客源数据1-8月'!$I:$I,0),MATCH(D$111,'拌客源数据1-8月'!$A$1:$I$1,0))</f>
        <v>2001104355</v>
      </c>
      <c r="E121" s="40" t="str">
        <f>INDEX('拌客源数据1-8月'!$A:$I,MATCH('常用函数-完成版'!$B121,'拌客源数据1-8月'!$I:$I,0),MATCH('常用函数-完成版'!E$111,'拌客源数据1-8月'!$A$1:$I$1,0))</f>
        <v>蛙小辣火锅杯（总账号）</v>
      </c>
      <c r="F121" s="40">
        <f>INDEX('拌客源数据1-8月'!$A:$I,MATCH('常用函数-完成版'!$B121,'拌客源数据1-8月'!$I:$I,0),MATCH('常用函数-完成版'!F$111,'拌客源数据1-8月'!$A$1:$I$1,0))</f>
        <v>4636</v>
      </c>
      <c r="G121" s="40" t="str">
        <f>INDEX('拌客源数据1-8月'!$A:$I,MATCH('常用函数-完成版'!$B121,'拌客源数据1-8月'!$I:$I,0),MATCH('常用函数-完成版'!G$111,'拌客源数据1-8月'!$A$1:$I$1,0))</f>
        <v>宝山店</v>
      </c>
      <c r="H121" s="40">
        <f>SUMIFS(INDEX('拌客源数据1-8月'!$A:$X,0,MATCH('常用函数-完成版'!H$111,'拌客源数据1-8月'!$A$1:$X$1,0)),'拌客源数据1-8月'!$I:$I,'常用函数-完成版'!$B121)</f>
        <v>157511.31999999995</v>
      </c>
      <c r="I121" s="40">
        <f>SUMIFS(INDEX('拌客源数据1-8月'!$A:$X,0,MATCH('常用函数-完成版'!I$111,'拌客源数据1-8月'!$A$1:$X$1,0)),'拌客源数据1-8月'!$I:$I,'常用函数-完成版'!$B121)</f>
        <v>10924</v>
      </c>
      <c r="J121" s="40">
        <f>SUMIFS(INDEX('拌客源数据1-8月'!$A:$X,0,MATCH('常用函数-完成版'!J$111,'拌客源数据1-8月'!$A$1:$X$1,0)),'拌客源数据1-8月'!$I:$I,'常用函数-完成版'!$B121)</f>
        <v>2362</v>
      </c>
      <c r="O121"/>
      <c r="P121"/>
      <c r="Q121"/>
      <c r="S121"/>
      <c r="T121"/>
      <c r="U121"/>
    </row>
    <row r="122" spans="2:21">
      <c r="B122" s="68" t="s">
        <v>38</v>
      </c>
      <c r="C122" s="69"/>
      <c r="D122" s="40" t="str">
        <f>INDEX('拌客源数据1-8月'!$A:$I,MATCH($B122,'拌客源数据1-8月'!$I:$I,0),MATCH(D$111,'拌客源数据1-8月'!$A$1:$I$1,0))</f>
        <v>2000507076</v>
      </c>
      <c r="E122" s="40" t="str">
        <f>INDEX('拌客源数据1-8月'!$A:$I,MATCH('常用函数-完成版'!$B122,'拌客源数据1-8月'!$I:$I,0),MATCH('常用函数-完成版'!E$111,'拌客源数据1-8月'!$A$1:$I$1,0))</f>
        <v>蛙小辣火锅杯（总账号）</v>
      </c>
      <c r="F122" s="40">
        <f>INDEX('拌客源数据1-8月'!$A:$I,MATCH('常用函数-完成版'!$B122,'拌客源数据1-8月'!$I:$I,0),MATCH('常用函数-完成版'!F$111,'拌客源数据1-8月'!$A$1:$I$1,0))</f>
        <v>4636</v>
      </c>
      <c r="G122" s="40" t="str">
        <f>INDEX('拌客源数据1-8月'!$A:$I,MATCH('常用函数-完成版'!$B122,'拌客源数据1-8月'!$I:$I,0),MATCH('常用函数-完成版'!G$111,'拌客源数据1-8月'!$A$1:$I$1,0))</f>
        <v>五角场店</v>
      </c>
      <c r="H122" s="40">
        <f>SUMIFS(INDEX('拌客源数据1-8月'!$A:$X,0,MATCH('常用函数-完成版'!H$111,'拌客源数据1-8月'!$A$1:$X$1,0)),'拌客源数据1-8月'!$I:$I,'常用函数-完成版'!$B122)</f>
        <v>13823.480000000001</v>
      </c>
      <c r="I122" s="40">
        <f>SUMIFS(INDEX('拌客源数据1-8月'!$A:$X,0,MATCH('常用函数-完成版'!I$111,'拌客源数据1-8月'!$A$1:$X$1,0)),'拌客源数据1-8月'!$I:$I,'常用函数-完成版'!$B122)</f>
        <v>849</v>
      </c>
      <c r="J122" s="40">
        <f>SUMIFS(INDEX('拌客源数据1-8月'!$A:$X,0,MATCH('常用函数-完成版'!J$111,'拌客源数据1-8月'!$A$1:$X$1,0)),'拌客源数据1-8月'!$I:$I,'常用函数-完成版'!$B122)</f>
        <v>205</v>
      </c>
      <c r="O122"/>
      <c r="P122"/>
      <c r="Q122"/>
      <c r="S122"/>
      <c r="T122"/>
      <c r="U122"/>
    </row>
    <row r="123" spans="2:21">
      <c r="B123" s="68" t="s">
        <v>39</v>
      </c>
      <c r="C123" s="69"/>
      <c r="D123" s="40" t="str">
        <f>INDEX('拌客源数据1-8月'!$A:$I,MATCH($B123,'拌客源数据1-8月'!$I:$I,0),MATCH(D$111,'拌客源数据1-8月'!$A$1:$I$1,0))</f>
        <v>8184590</v>
      </c>
      <c r="E123" s="40" t="str">
        <f>INDEX('拌客源数据1-8月'!$A:$I,MATCH('常用函数-完成版'!$B123,'拌客源数据1-8月'!$I:$I,0),MATCH('常用函数-完成版'!E$111,'拌客源数据1-8月'!$A$1:$I$1,0))</f>
        <v>蛙小辣火锅杯（总账号）</v>
      </c>
      <c r="F123" s="40">
        <f>INDEX('拌客源数据1-8月'!$A:$I,MATCH('常用函数-完成版'!$B123,'拌客源数据1-8月'!$I:$I,0),MATCH('常用函数-完成版'!F$111,'拌客源数据1-8月'!$A$1:$I$1,0))</f>
        <v>4636</v>
      </c>
      <c r="G123" s="40" t="str">
        <f>INDEX('拌客源数据1-8月'!$A:$I,MATCH('常用函数-完成版'!$B123,'拌客源数据1-8月'!$I:$I,0),MATCH('常用函数-完成版'!G$111,'拌客源数据1-8月'!$A$1:$I$1,0))</f>
        <v>五角场店</v>
      </c>
      <c r="H123" s="40">
        <f>SUMIFS(INDEX('拌客源数据1-8月'!$A:$X,0,MATCH('常用函数-完成版'!H$111,'拌客源数据1-8月'!$A$1:$X$1,0)),'拌客源数据1-8月'!$I:$I,'常用函数-完成版'!$B123)</f>
        <v>682.13</v>
      </c>
      <c r="I123" s="40">
        <f>SUMIFS(INDEX('拌客源数据1-8月'!$A:$X,0,MATCH('常用函数-完成版'!I$111,'拌客源数据1-8月'!$A$1:$X$1,0)),'拌客源数据1-8月'!$I:$I,'常用函数-完成版'!$B123)</f>
        <v>45</v>
      </c>
      <c r="J123" s="40">
        <f>SUMIFS(INDEX('拌客源数据1-8月'!$A:$X,0,MATCH('常用函数-完成版'!J$111,'拌客源数据1-8月'!$A$1:$X$1,0)),'拌客源数据1-8月'!$I:$I,'常用函数-完成版'!$B123)</f>
        <v>8</v>
      </c>
      <c r="O123"/>
      <c r="P123"/>
      <c r="Q123"/>
      <c r="S123"/>
      <c r="T123"/>
      <c r="U123"/>
    </row>
    <row r="124" spans="2:21">
      <c r="B124" s="68" t="s">
        <v>41</v>
      </c>
      <c r="C124" s="69"/>
      <c r="D124" s="40" t="str">
        <f>INDEX('拌客源数据1-8月'!$A:$I,MATCH($B124,'拌客源数据1-8月'!$I:$I,0),MATCH(D$111,'拌客源数据1-8月'!$A$1:$I$1,0))</f>
        <v>337460136</v>
      </c>
      <c r="E124" s="40" t="str">
        <f>INDEX('拌客源数据1-8月'!$A:$I,MATCH('常用函数-完成版'!$B124,'拌客源数据1-8月'!$I:$I,0),MATCH('常用函数-完成版'!E$111,'拌客源数据1-8月'!$A$1:$I$1,0))</f>
        <v>拌客（武宁路店）</v>
      </c>
      <c r="F124" s="40">
        <f>INDEX('拌客源数据1-8月'!$A:$I,MATCH('常用函数-完成版'!$B124,'拌客源数据1-8月'!$I:$I,0),MATCH('常用函数-完成版'!F$111,'拌客源数据1-8月'!$A$1:$I$1,0))</f>
        <v>6108</v>
      </c>
      <c r="G124" s="40" t="str">
        <f>INDEX('拌客源数据1-8月'!$A:$I,MATCH('常用函数-完成版'!$B124,'拌客源数据1-8月'!$I:$I,0),MATCH('常用函数-完成版'!G$111,'拌客源数据1-8月'!$A$1:$I$1,0))</f>
        <v>拌客干拌麻辣烫(武宁路店)</v>
      </c>
      <c r="H124" s="40">
        <f>SUMIFS(INDEX('拌客源数据1-8月'!$A:$X,0,MATCH('常用函数-完成版'!H$111,'拌客源数据1-8月'!$A$1:$X$1,0)),'拌客源数据1-8月'!$I:$I,'常用函数-完成版'!$B124)</f>
        <v>3913.76</v>
      </c>
      <c r="I124" s="40">
        <f>SUMIFS(INDEX('拌客源数据1-8月'!$A:$X,0,MATCH('常用函数-完成版'!I$111,'拌客源数据1-8月'!$A$1:$X$1,0)),'拌客源数据1-8月'!$I:$I,'常用函数-完成版'!$B124)</f>
        <v>441</v>
      </c>
      <c r="J124" s="40">
        <f>SUMIFS(INDEX('拌客源数据1-8月'!$A:$X,0,MATCH('常用函数-完成版'!J$111,'拌客源数据1-8月'!$A$1:$X$1,0)),'拌客源数据1-8月'!$I:$I,'常用函数-完成版'!$B124)</f>
        <v>72</v>
      </c>
      <c r="O124"/>
      <c r="P124"/>
      <c r="Q124"/>
    </row>
    <row r="125" spans="2:21">
      <c r="B125" s="68" t="s">
        <v>42</v>
      </c>
      <c r="C125" s="69"/>
      <c r="D125" s="40" t="str">
        <f>INDEX('拌客源数据1-8月'!$A:$I,MATCH($B125,'拌客源数据1-8月'!$I:$I,0),MATCH(D$111,'拌客源数据1-8月'!$A$1:$I$1,0))</f>
        <v>337460136</v>
      </c>
      <c r="E125" s="40" t="str">
        <f>INDEX('拌客源数据1-8月'!$A:$I,MATCH('常用函数-完成版'!$B125,'拌客源数据1-8月'!$I:$I,0),MATCH('常用函数-完成版'!E$111,'拌客源数据1-8月'!$A$1:$I$1,0))</f>
        <v>拌客（武宁路店）</v>
      </c>
      <c r="F125" s="40">
        <f>INDEX('拌客源数据1-8月'!$A:$I,MATCH('常用函数-完成版'!$B125,'拌客源数据1-8月'!$I:$I,0),MATCH('常用函数-完成版'!F$111,'拌客源数据1-8月'!$A$1:$I$1,0))</f>
        <v>6108</v>
      </c>
      <c r="G125" s="40" t="str">
        <f>INDEX('拌客源数据1-8月'!$A:$I,MATCH('常用函数-完成版'!$B125,'拌客源数据1-8月'!$I:$I,0),MATCH('常用函数-完成版'!G$111,'拌客源数据1-8月'!$A$1:$I$1,0))</f>
        <v>拌客干拌麻辣烫(武宁路店)</v>
      </c>
      <c r="H125" s="40">
        <f>SUMIFS(INDEX('拌客源数据1-8月'!$A:$X,0,MATCH('常用函数-完成版'!H$111,'拌客源数据1-8月'!$A$1:$X$1,0)),'拌客源数据1-8月'!$I:$I,'常用函数-完成版'!$B125)</f>
        <v>421831.69999999995</v>
      </c>
      <c r="I125" s="40">
        <f>SUMIFS(INDEX('拌客源数据1-8月'!$A:$X,0,MATCH('常用函数-完成版'!I$111,'拌客源数据1-8月'!$A$1:$X$1,0)),'拌客源数据1-8月'!$I:$I,'常用函数-完成版'!$B125)</f>
        <v>31427</v>
      </c>
      <c r="J125" s="40">
        <f>SUMIFS(INDEX('拌客源数据1-8月'!$A:$X,0,MATCH('常用函数-完成版'!J$111,'拌客源数据1-8月'!$A$1:$X$1,0)),'拌客源数据1-8月'!$I:$I,'常用函数-完成版'!$B125)</f>
        <v>8314</v>
      </c>
      <c r="O125"/>
      <c r="P125"/>
      <c r="Q125"/>
    </row>
    <row r="126" spans="2:21">
      <c r="B126" s="68" t="s">
        <v>43</v>
      </c>
      <c r="C126" s="69"/>
      <c r="D126" s="40" t="str">
        <f>INDEX('拌客源数据1-8月'!$A:$I,MATCH($B126,'拌客源数据1-8月'!$I:$I,0),MATCH(D$111,'拌客源数据1-8月'!$A$1:$I$1,0))</f>
        <v>9428110</v>
      </c>
      <c r="E126" s="40" t="str">
        <f>INDEX('拌客源数据1-8月'!$A:$I,MATCH('常用函数-完成版'!$B126,'拌客源数据1-8月'!$I:$I,0),MATCH('常用函数-完成版'!E$111,'拌客源数据1-8月'!$A$1:$I$1,0))</f>
        <v>拌客（武宁路店）</v>
      </c>
      <c r="F126" s="40">
        <f>INDEX('拌客源数据1-8月'!$A:$I,MATCH('常用函数-完成版'!$B126,'拌客源数据1-8月'!$I:$I,0),MATCH('常用函数-完成版'!F$111,'拌客源数据1-8月'!$A$1:$I$1,0))</f>
        <v>6108</v>
      </c>
      <c r="G126" s="40" t="str">
        <f>INDEX('拌客源数据1-8月'!$A:$I,MATCH('常用函数-完成版'!$B126,'拌客源数据1-8月'!$I:$I,0),MATCH('常用函数-完成版'!G$111,'拌客源数据1-8月'!$A$1:$I$1,0))</f>
        <v>拌客干拌麻辣烫(武宁路店)</v>
      </c>
      <c r="H126" s="40">
        <f>SUMIFS(INDEX('拌客源数据1-8月'!$A:$X,0,MATCH('常用函数-完成版'!H$111,'拌客源数据1-8月'!$A$1:$X$1,0)),'拌客源数据1-8月'!$I:$I,'常用函数-完成版'!$B126)</f>
        <v>114007.74</v>
      </c>
      <c r="I126" s="40">
        <f>SUMIFS(INDEX('拌客源数据1-8月'!$A:$X,0,MATCH('常用函数-完成版'!I$111,'拌客源数据1-8月'!$A$1:$X$1,0)),'拌客源数据1-8月'!$I:$I,'常用函数-完成版'!$B126)</f>
        <v>7867</v>
      </c>
      <c r="J126" s="40">
        <f>SUMIFS(INDEX('拌客源数据1-8月'!$A:$X,0,MATCH('常用函数-完成版'!J$111,'拌客源数据1-8月'!$A$1:$X$1,0)),'拌客源数据1-8月'!$I:$I,'常用函数-完成版'!$B126)</f>
        <v>2329</v>
      </c>
      <c r="O126"/>
      <c r="P126"/>
      <c r="Q126"/>
    </row>
    <row r="127" spans="2:21">
      <c r="B127" s="52"/>
      <c r="C127" s="52"/>
      <c r="D127" s="41"/>
      <c r="E127" s="41"/>
      <c r="F127" s="41"/>
      <c r="G127" s="41"/>
    </row>
    <row r="128" spans="2:21">
      <c r="B128" s="52"/>
      <c r="C128" s="52"/>
      <c r="D128" s="41"/>
      <c r="E128" s="41"/>
      <c r="F128" s="41"/>
      <c r="G128" s="41"/>
      <c r="H128" s="41"/>
    </row>
    <row r="129" spans="2:10">
      <c r="B129" s="52"/>
      <c r="C129" s="52"/>
      <c r="D129" s="52"/>
      <c r="E129" s="41"/>
      <c r="F129" s="41"/>
      <c r="G129" s="41"/>
      <c r="H129" s="41"/>
      <c r="I129" s="41"/>
      <c r="J129" s="41"/>
    </row>
    <row r="130" spans="2:10">
      <c r="B130" s="52"/>
      <c r="C130" s="52"/>
      <c r="D130" s="41"/>
      <c r="E130" s="41"/>
      <c r="F130" s="41"/>
      <c r="G130" s="41"/>
      <c r="H130" s="41"/>
      <c r="I130" s="41"/>
      <c r="J130" s="41"/>
    </row>
    <row r="131" spans="2:10">
      <c r="B131" s="52"/>
      <c r="C131" s="52"/>
      <c r="D131" s="41"/>
      <c r="E131" s="41"/>
      <c r="F131" s="41"/>
      <c r="G131" s="41"/>
      <c r="H131" s="41"/>
      <c r="I131" s="41"/>
      <c r="J131" s="41"/>
    </row>
    <row r="132" spans="2:10">
      <c r="D132" s="41"/>
      <c r="E132" s="41"/>
      <c r="F132" s="41"/>
      <c r="G132" s="41"/>
      <c r="H132" s="41"/>
      <c r="I132" s="41"/>
      <c r="J132" s="41"/>
    </row>
    <row r="133" spans="2:10">
      <c r="D133" s="41"/>
      <c r="E133" s="41"/>
      <c r="F133" s="41"/>
      <c r="G133" s="41"/>
      <c r="H133" s="41"/>
      <c r="I133" s="41"/>
      <c r="J133" s="41"/>
    </row>
    <row r="134" spans="2:10">
      <c r="D134" s="41"/>
      <c r="E134" s="41"/>
      <c r="F134" s="41"/>
      <c r="G134" s="41"/>
      <c r="H134" s="41"/>
      <c r="I134" s="41"/>
      <c r="J134" s="41"/>
    </row>
    <row r="135" spans="2:10">
      <c r="D135" s="41"/>
      <c r="E135" s="41"/>
      <c r="F135" s="41"/>
      <c r="G135" s="41"/>
      <c r="H135" s="41"/>
      <c r="I135" s="41"/>
      <c r="J135" s="41"/>
    </row>
    <row r="136" spans="2:10">
      <c r="D136" s="41"/>
      <c r="E136" s="41"/>
      <c r="F136" s="41"/>
      <c r="G136" s="41"/>
      <c r="H136" s="41"/>
      <c r="I136" s="41"/>
      <c r="J136" s="41"/>
    </row>
    <row r="137" spans="2:10">
      <c r="D137" s="41"/>
      <c r="E137" s="41"/>
      <c r="F137" s="41"/>
      <c r="G137" s="41"/>
      <c r="H137" s="41"/>
      <c r="I137" s="41"/>
      <c r="J137" s="41"/>
    </row>
    <row r="138" spans="2:10">
      <c r="D138" s="41"/>
      <c r="E138" s="41"/>
      <c r="F138" s="41"/>
      <c r="G138" s="41"/>
      <c r="H138" s="41"/>
      <c r="I138" s="41"/>
      <c r="J138" s="41"/>
    </row>
    <row r="139" spans="2:10">
      <c r="D139" s="41"/>
      <c r="E139" s="41"/>
      <c r="F139" s="41"/>
      <c r="G139" s="41"/>
      <c r="H139" s="41"/>
      <c r="I139" s="41"/>
      <c r="J139" s="41"/>
    </row>
    <row r="140" spans="2:10">
      <c r="D140" s="41"/>
      <c r="E140" s="41"/>
      <c r="F140" s="41"/>
      <c r="G140" s="41"/>
      <c r="H140" s="41"/>
      <c r="I140" s="41"/>
      <c r="J140" s="41"/>
    </row>
    <row r="141" spans="2:10">
      <c r="D141" s="41"/>
      <c r="E141" s="41"/>
      <c r="F141" s="41"/>
      <c r="G141" s="41"/>
      <c r="H141" s="41"/>
      <c r="I141" s="41"/>
      <c r="J141" s="41"/>
    </row>
    <row r="142" spans="2:10">
      <c r="D142" s="41"/>
      <c r="E142" s="41"/>
      <c r="F142" s="41"/>
      <c r="G142" s="41"/>
      <c r="H142" s="41"/>
      <c r="I142" s="41"/>
      <c r="J142" s="41"/>
    </row>
    <row r="143" spans="2:10">
      <c r="D143" s="41"/>
      <c r="E143" s="41"/>
      <c r="F143" s="41"/>
      <c r="G143" s="41"/>
      <c r="H143" s="41"/>
      <c r="I143" s="41"/>
      <c r="J143" s="41"/>
    </row>
    <row r="144" spans="2:10">
      <c r="E144" s="41"/>
      <c r="F144" s="41"/>
      <c r="G144" s="41"/>
      <c r="H144" s="41"/>
      <c r="I144" s="41"/>
      <c r="J144" s="41"/>
    </row>
    <row r="145" spans="5:10">
      <c r="E145" s="41"/>
      <c r="F145" s="41"/>
      <c r="G145" s="41"/>
      <c r="H145" s="41"/>
      <c r="I145" s="41"/>
      <c r="J145" s="41"/>
    </row>
  </sheetData>
  <mergeCells count="1">
    <mergeCell ref="B111:C111"/>
  </mergeCells>
  <phoneticPr fontId="18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D98B-4F93-4580-87FD-028177DA27B4}">
  <sheetPr>
    <tabColor theme="9" tint="0.39997558519241921"/>
  </sheetPr>
  <dimension ref="B1:Z137"/>
  <sheetViews>
    <sheetView topLeftCell="A42" workbookViewId="0">
      <selection activeCell="I108" sqref="I108"/>
    </sheetView>
    <sheetView workbookViewId="1"/>
  </sheetViews>
  <sheetFormatPr baseColWidth="10" defaultColWidth="9" defaultRowHeight="15"/>
  <cols>
    <col min="1" max="1" width="9" style="37"/>
    <col min="2" max="2" width="13.33203125" style="37" customWidth="1"/>
    <col min="3" max="3" width="42" style="37" customWidth="1"/>
    <col min="4" max="4" width="33" style="37" customWidth="1"/>
    <col min="5" max="5" width="34.1640625" style="37" customWidth="1"/>
    <col min="6" max="7" width="21.33203125" style="37" bestFit="1" customWidth="1"/>
    <col min="8" max="8" width="14.1640625" style="37" customWidth="1"/>
    <col min="9" max="9" width="12.1640625" style="37" customWidth="1"/>
    <col min="10" max="10" width="19.5" style="37" bestFit="1" customWidth="1"/>
    <col min="11" max="11" width="16.6640625" style="37" customWidth="1"/>
    <col min="12" max="13" width="11.6640625" style="37" bestFit="1" customWidth="1"/>
    <col min="14" max="14" width="9" style="37"/>
    <col min="15" max="15" width="11.6640625" style="37" bestFit="1" customWidth="1"/>
    <col min="16" max="16" width="12" style="37" bestFit="1" customWidth="1"/>
    <col min="17" max="17" width="12.1640625" style="37" bestFit="1" customWidth="1"/>
    <col min="18" max="18" width="9" style="37"/>
    <col min="19" max="19" width="13.6640625" style="37" bestFit="1" customWidth="1"/>
    <col min="20" max="21" width="10.83203125" style="37" bestFit="1" customWidth="1"/>
    <col min="22" max="22" width="9" style="37"/>
    <col min="23" max="23" width="9.1640625" style="37" bestFit="1" customWidth="1"/>
    <col min="24" max="24" width="10" style="37" bestFit="1" customWidth="1"/>
    <col min="25" max="25" width="10.83203125" style="37" bestFit="1" customWidth="1"/>
    <col min="26" max="16384" width="9" style="37"/>
  </cols>
  <sheetData>
    <row r="1" spans="2:13">
      <c r="M1" s="38"/>
    </row>
    <row r="2" spans="2:13">
      <c r="B2" s="37" t="s">
        <v>78</v>
      </c>
      <c r="M2" s="38"/>
    </row>
    <row r="3" spans="2:13">
      <c r="M3" s="38"/>
    </row>
    <row r="4" spans="2:13">
      <c r="B4" s="39"/>
      <c r="C4" s="40" t="s">
        <v>83</v>
      </c>
      <c r="D4" s="40" t="s">
        <v>84</v>
      </c>
      <c r="M4" s="38"/>
    </row>
    <row r="5" spans="2:13">
      <c r="B5" s="40" t="s">
        <v>72</v>
      </c>
      <c r="C5" s="40">
        <f>SUM('拌客源数据1-8月'!J:J)</f>
        <v>1071473.2499999998</v>
      </c>
      <c r="D5" s="40">
        <f>SUMIF('拌客源数据1-8月'!A:A,,'拌客源数据1-8月'!J:J)</f>
        <v>0</v>
      </c>
      <c r="M5" s="38"/>
    </row>
    <row r="6" spans="2:13">
      <c r="B6" s="41"/>
      <c r="C6" s="41"/>
      <c r="D6" s="42"/>
      <c r="M6" s="38"/>
    </row>
    <row r="7" spans="2:13">
      <c r="B7" s="41"/>
      <c r="C7" s="41"/>
      <c r="D7" s="42"/>
      <c r="M7" s="38"/>
    </row>
    <row r="8" spans="2:13">
      <c r="B8" s="41"/>
      <c r="C8" s="41"/>
      <c r="D8" s="42"/>
      <c r="M8" s="38"/>
    </row>
    <row r="9" spans="2:13">
      <c r="B9" s="41"/>
      <c r="C9" s="41"/>
      <c r="D9" s="42"/>
      <c r="M9" s="38"/>
    </row>
    <row r="10" spans="2:13">
      <c r="C10" s="43"/>
      <c r="M10" s="38"/>
    </row>
    <row r="11" spans="2:13">
      <c r="C11" s="55"/>
      <c r="D11" s="55"/>
      <c r="M11" s="38"/>
    </row>
    <row r="12" spans="2:13">
      <c r="B12" s="37" t="s">
        <v>79</v>
      </c>
      <c r="D12" s="53"/>
      <c r="M12" s="38"/>
    </row>
    <row r="13" spans="2:13">
      <c r="M13" s="38"/>
    </row>
    <row r="14" spans="2:13">
      <c r="B14" s="39"/>
      <c r="C14" s="40" t="s">
        <v>55</v>
      </c>
      <c r="D14" s="37" t="s">
        <v>150</v>
      </c>
      <c r="E14" s="72">
        <v>1</v>
      </c>
      <c r="F14" s="53"/>
      <c r="G14" s="53"/>
    </row>
    <row r="15" spans="2:13">
      <c r="B15" s="44">
        <v>44013</v>
      </c>
      <c r="C15" s="70">
        <f>SUMIF('拌客源数据1-8月'!A:A,$B15,'拌客源数据1-8月'!J:J)</f>
        <v>6001.38</v>
      </c>
      <c r="D15" s="41"/>
      <c r="E15" s="73">
        <v>2</v>
      </c>
      <c r="F15" s="53"/>
      <c r="G15" s="53"/>
    </row>
    <row r="16" spans="2:13">
      <c r="B16" s="44">
        <v>44019</v>
      </c>
      <c r="C16" s="40">
        <f>SUMIF('拌客源数据1-8月'!A:A,$B16,'拌客源数据1-8月'!J:J)</f>
        <v>4764.71</v>
      </c>
      <c r="D16" s="41"/>
      <c r="E16" s="42"/>
      <c r="F16" s="53"/>
      <c r="G16" s="53"/>
    </row>
    <row r="17" spans="2:12">
      <c r="B17" s="44">
        <v>44028</v>
      </c>
      <c r="C17" s="40">
        <f>SUMIF('拌客源数据1-8月'!A:A,$B17,'拌客源数据1-8月'!J:J)</f>
        <v>11158.91</v>
      </c>
      <c r="D17" s="41"/>
      <c r="E17" s="42"/>
      <c r="F17" s="53"/>
      <c r="G17" s="53"/>
    </row>
    <row r="18" spans="2:12">
      <c r="B18" s="44">
        <v>44029</v>
      </c>
      <c r="C18" s="40">
        <f>SUMIF('拌客源数据1-8月'!A:A,$B18,'拌客源数据1-8月'!J:J)</f>
        <v>10788.41</v>
      </c>
      <c r="D18" s="41"/>
      <c r="E18" s="42"/>
      <c r="F18" s="53"/>
    </row>
    <row r="19" spans="2:12">
      <c r="B19" s="44">
        <v>44051</v>
      </c>
      <c r="C19" s="40">
        <f>SUMIF('拌客源数据1-8月'!A:A,$B19,'拌客源数据1-8月'!J:J)</f>
        <v>1374.4099999999999</v>
      </c>
      <c r="D19" s="41"/>
      <c r="E19" s="42"/>
      <c r="F19" s="53"/>
    </row>
    <row r="20" spans="2:12">
      <c r="B20" s="44">
        <v>44062</v>
      </c>
      <c r="C20" s="40">
        <f>SUMIF('拌客源数据1-8月'!A:A,$B20,'拌客源数据1-8月'!J:J)</f>
        <v>2588.69</v>
      </c>
      <c r="D20" s="41"/>
      <c r="E20" s="42"/>
      <c r="F20" s="53"/>
    </row>
    <row r="21" spans="2:12">
      <c r="B21" s="44">
        <v>44064</v>
      </c>
      <c r="C21" s="40">
        <f>SUMIF('拌客源数据1-8月'!A:A,$B21,'拌客源数据1-8月'!J:J)</f>
        <v>2118.79</v>
      </c>
      <c r="D21" s="41"/>
      <c r="E21" s="42"/>
      <c r="F21" s="53"/>
    </row>
    <row r="22" spans="2:12">
      <c r="B22" s="46"/>
      <c r="C22" s="41"/>
    </row>
    <row r="23" spans="2:12">
      <c r="B23" s="46"/>
      <c r="C23" s="41"/>
    </row>
    <row r="24" spans="2:12">
      <c r="B24" s="46"/>
      <c r="C24" s="41"/>
    </row>
    <row r="27" spans="2:12">
      <c r="B27" s="37" t="s">
        <v>80</v>
      </c>
      <c r="D27" s="37" t="s">
        <v>162</v>
      </c>
      <c r="E27" s="37" t="s">
        <v>163</v>
      </c>
    </row>
    <row r="29" spans="2:12">
      <c r="B29" s="39"/>
      <c r="C29" s="40" t="s">
        <v>134</v>
      </c>
      <c r="D29" s="40" t="s">
        <v>86</v>
      </c>
      <c r="E29" s="40" t="s">
        <v>85</v>
      </c>
      <c r="F29" s="41" t="s">
        <v>151</v>
      </c>
      <c r="G29" s="41" t="s">
        <v>152</v>
      </c>
      <c r="H29" s="41" t="s">
        <v>153</v>
      </c>
      <c r="I29" s="41" t="s">
        <v>154</v>
      </c>
      <c r="J29" s="41" t="s">
        <v>155</v>
      </c>
    </row>
    <row r="30" spans="2:12">
      <c r="B30" s="44">
        <v>44043</v>
      </c>
      <c r="C30" s="40">
        <f>SUMIFS('拌客源数据1-8月'!J:J,'拌客源数据1-8月'!A:A,$B30,'拌客源数据1-8月'!H:H,"=美团")</f>
        <v>5773.69</v>
      </c>
      <c r="D30" s="54">
        <f>SUMIFS('拌客源数据1-8月'!J:J,'拌客源数据1-8月'!A:A,$B30,'拌客源数据1-8月'!H:H,"=美团")/SUMIFS('拌客源数据1-8月'!J:J,'拌客源数据1-8月'!A:A,$B30-1,'拌客源数据1-8月'!H:H,"=美团")-1</f>
        <v>0.2645073544227281</v>
      </c>
      <c r="E30" s="54">
        <f>SUMIFS('拌客源数据1-8月'!J:J,'拌客源数据1-8月'!A:A,$B30,'拌客源数据1-8月'!H:H,"=美团")/SUMIFS('拌客源数据1-8月'!J:J,'拌客源数据1-8月'!A:A,DATE(YEAR($B30),MONTH($B30)-1,DAY($B30)),'拌客源数据1-8月'!H:H,"=美团")-1</f>
        <v>4.7262764311500769</v>
      </c>
      <c r="F30" s="74"/>
      <c r="G30" s="74"/>
      <c r="H30" s="74"/>
      <c r="I30" s="74"/>
      <c r="J30" s="74"/>
      <c r="K30" s="55"/>
      <c r="L30" s="53"/>
    </row>
    <row r="31" spans="2:12">
      <c r="B31" s="44">
        <v>44014</v>
      </c>
      <c r="C31" s="40">
        <f>SUMIFS('拌客源数据1-8月'!J:J,'拌客源数据1-8月'!A:A,$B31,'拌客源数据1-8月'!H:H,"=美团")</f>
        <v>1023.39</v>
      </c>
      <c r="D31" s="54">
        <f>SUMIFS('拌客源数据1-8月'!J:J,'拌客源数据1-8月'!A:A,$B31,'拌客源数据1-8月'!H:H,"=美团")/SUMIFS('拌客源数据1-8月'!J:J,'拌客源数据1-8月'!A:A,$B31-1,'拌客源数据1-8月'!H:H,"=美团")-1</f>
        <v>1.4985916610465333E-2</v>
      </c>
      <c r="E31" s="54">
        <f>SUMIFS('拌客源数据1-8月'!J:J,'拌客源数据1-8月'!A:A,$B31,'拌客源数据1-8月'!H:H,"=美团")/SUMIFS('拌客源数据1-8月'!J:J,'拌客源数据1-8月'!A:A,DATE(YEAR($B31),MONTH($B31)-1,DAY($B31)),'拌客源数据1-8月'!H:H,"=美团")-1</f>
        <v>0.21923585546302582</v>
      </c>
      <c r="F31" s="74"/>
      <c r="G31" s="74"/>
      <c r="H31" s="74"/>
      <c r="I31" s="74"/>
      <c r="J31" s="74"/>
    </row>
    <row r="32" spans="2:12">
      <c r="B32" s="44">
        <v>44015</v>
      </c>
      <c r="C32" s="40">
        <f>SUMIFS('拌客源数据1-8月'!J:J,'拌客源数据1-8月'!A:A,$B32,'拌客源数据1-8月'!H:H,"=美团")</f>
        <v>999.86</v>
      </c>
      <c r="D32" s="54">
        <f>SUMIFS('拌客源数据1-8月'!J:J,'拌客源数据1-8月'!A:A,$B32,'拌客源数据1-8月'!H:H,"=美团")/SUMIFS('拌客源数据1-8月'!J:J,'拌客源数据1-8月'!A:A,$B32-1,'拌客源数据1-8月'!H:H,"=美团")-1</f>
        <v>-2.2992212157632919E-2</v>
      </c>
      <c r="E32" s="54">
        <f>SUMIFS('拌客源数据1-8月'!J:J,'拌客源数据1-8月'!A:A,$B32,'拌客源数据1-8月'!H:H,"=美团")/SUMIFS('拌客源数据1-8月'!J:J,'拌客源数据1-8月'!A:A,DATE(YEAR($B32),MONTH($B32)-1,DAY($B32)),'拌客源数据1-8月'!H:H,"=美团")-1</f>
        <v>-0.18069110187893822</v>
      </c>
      <c r="F32" s="74"/>
      <c r="G32" s="74"/>
      <c r="H32" s="74"/>
      <c r="I32" s="74"/>
      <c r="J32" s="74"/>
    </row>
    <row r="33" spans="2:10">
      <c r="B33" s="44">
        <v>44016</v>
      </c>
      <c r="C33" s="40">
        <f>SUMIFS('拌客源数据1-8月'!J:J,'拌客源数据1-8月'!A:A,$B33,'拌客源数据1-8月'!H:H,"=美团")</f>
        <v>1144.82</v>
      </c>
      <c r="D33" s="54">
        <f>SUMIFS('拌客源数据1-8月'!J:J,'拌客源数据1-8月'!A:A,$B33,'拌客源数据1-8月'!H:H,"=美团")/SUMIFS('拌客源数据1-8月'!J:J,'拌客源数据1-8月'!A:A,$B33-1,'拌客源数据1-8月'!H:H,"=美团")-1</f>
        <v>0.14498029724161365</v>
      </c>
      <c r="E33" s="54">
        <f>SUMIFS('拌客源数据1-8月'!J:J,'拌客源数据1-8月'!A:A,$B33,'拌客源数据1-8月'!H:H,"=美团")/SUMIFS('拌客源数据1-8月'!J:J,'拌客源数据1-8月'!A:A,DATE(YEAR($B33),MONTH($B33)-1,DAY($B33)),'拌客源数据1-8月'!H:H,"=美团")-1</f>
        <v>-0.22352973093957507</v>
      </c>
      <c r="F33" s="74"/>
      <c r="G33" s="74"/>
      <c r="H33" s="74"/>
      <c r="I33" s="74"/>
      <c r="J33" s="74"/>
    </row>
    <row r="34" spans="2:10">
      <c r="B34" s="44">
        <v>44017</v>
      </c>
      <c r="C34" s="40">
        <f>SUMIFS('拌客源数据1-8月'!J:J,'拌客源数据1-8月'!A:A,$B34,'拌客源数据1-8月'!H:H,"=美团")</f>
        <v>755.47</v>
      </c>
      <c r="D34" s="54">
        <f>SUMIFS('拌客源数据1-8月'!J:J,'拌客源数据1-8月'!A:A,$B34,'拌客源数据1-8月'!H:H,"=美团")/SUMIFS('拌客源数据1-8月'!J:J,'拌客源数据1-8月'!A:A,$B34-1,'拌客源数据1-8月'!H:H,"=美团")-1</f>
        <v>-0.34009713317377399</v>
      </c>
      <c r="E34" s="54">
        <f>SUMIFS('拌客源数据1-8月'!J:J,'拌客源数据1-8月'!A:A,$B34,'拌客源数据1-8月'!H:H,"=美团")/SUMIFS('拌客源数据1-8月'!J:J,'拌客源数据1-8月'!A:A,DATE(YEAR($B34),MONTH($B34)-1,DAY($B34)),'拌客源数据1-8月'!H:H,"=美团")-1</f>
        <v>-0.33924291986635635</v>
      </c>
      <c r="F34" s="74"/>
      <c r="G34" s="74"/>
      <c r="H34" s="74"/>
      <c r="I34" s="74"/>
      <c r="J34" s="74"/>
    </row>
    <row r="35" spans="2:10">
      <c r="B35" s="44">
        <v>44044</v>
      </c>
      <c r="C35" s="40">
        <f>SUMIFS('拌客源数据1-8月'!J:J,'拌客源数据1-8月'!A:A,$B35,'拌客源数据1-8月'!H:H,"=美团")</f>
        <v>3387.1000000000004</v>
      </c>
      <c r="D35" s="54">
        <f>SUMIFS('拌客源数据1-8月'!J:J,'拌客源数据1-8月'!A:A,$B35,'拌客源数据1-8月'!H:H,"=美团")/SUMIFS('拌客源数据1-8月'!J:J,'拌客源数据1-8月'!A:A,$B35-1,'拌客源数据1-8月'!H:H,"=美团")-1</f>
        <v>-0.41335610328923089</v>
      </c>
      <c r="E35" s="54">
        <f>SUMIFS('拌客源数据1-8月'!J:J,'拌客源数据1-8月'!A:A,$B35,'拌客源数据1-8月'!H:H,"=美团")/SUMIFS('拌客源数据1-8月'!J:J,'拌客源数据1-8月'!A:A,DATE(YEAR($B35),MONTH($B35)-1,DAY($B35)),'拌客源数据1-8月'!H:H,"=美团")-1</f>
        <v>2.3592851192129176</v>
      </c>
      <c r="F35" s="74"/>
      <c r="G35" s="74"/>
      <c r="H35" s="74"/>
      <c r="I35" s="74"/>
      <c r="J35" s="74"/>
    </row>
    <row r="36" spans="2:10">
      <c r="B36" s="44">
        <v>44048</v>
      </c>
      <c r="C36" s="40">
        <f>SUMIFS('拌客源数据1-8月'!J:J,'拌客源数据1-8月'!A:A,$B36,'拌客源数据1-8月'!H:H,"=美团")</f>
        <v>1817.37</v>
      </c>
      <c r="D36" s="54">
        <f>SUMIFS('拌客源数据1-8月'!J:J,'拌客源数据1-8月'!A:A,$B36,'拌客源数据1-8月'!H:H,"=美团")/SUMIFS('拌客源数据1-8月'!J:J,'拌客源数据1-8月'!A:A,$B36-1,'拌客源数据1-8月'!H:H,"=美团")-1</f>
        <v>0.12391465677179947</v>
      </c>
      <c r="E36" s="54">
        <f>SUMIFS('拌客源数据1-8月'!J:J,'拌客源数据1-8月'!A:A,$B36,'拌客源数据1-8月'!H:H,"=美团")/SUMIFS('拌客源数据1-8月'!J:J,'拌客源数据1-8月'!A:A,DATE(YEAR($B36),MONTH($B36)-1,DAY($B36)),'拌客源数据1-8月'!H:H,"=美团")-1</f>
        <v>1.4056150475862705</v>
      </c>
      <c r="F36" s="74"/>
      <c r="G36" s="74"/>
      <c r="H36" s="74"/>
      <c r="I36" s="74"/>
      <c r="J36" s="74"/>
    </row>
    <row r="37" spans="2:10">
      <c r="D37" s="37" t="s">
        <v>164</v>
      </c>
      <c r="F37" s="56"/>
    </row>
    <row r="38" spans="2:10">
      <c r="B38" s="39"/>
      <c r="C38" s="40" t="s">
        <v>134</v>
      </c>
      <c r="D38" s="40" t="s">
        <v>87</v>
      </c>
      <c r="E38" s="41" t="s">
        <v>156</v>
      </c>
      <c r="F38" s="41" t="s">
        <v>157</v>
      </c>
      <c r="G38" s="41" t="s">
        <v>158</v>
      </c>
    </row>
    <row r="39" spans="2:10">
      <c r="B39" s="47">
        <v>43831</v>
      </c>
      <c r="C39" s="70">
        <f>SUMIFS('拌客源数据1-8月'!$J:$J,'拌客源数据1-8月'!$A:$A,"&gt;="&amp;DATE(YEAR($B39),MONTH($B39),1),'拌客源数据1-8月'!$A:$A,"&lt;="&amp;DATE(YEAR($B39),MONTH($B39)+1,1)-1,'拌客源数据1-8月'!$H:$H,"=美团")</f>
        <v>6787.9800000000005</v>
      </c>
      <c r="D39" s="76" t="e">
        <f>SUMIFS('拌客源数据1-8月'!$J:$J,'拌客源数据1-8月'!$A:$A,"&gt;="&amp;DATE(YEAR($B39),MONTH($B39),1),'拌客源数据1-8月'!$A:$A,"&lt;="&amp;DATE(YEAR($B39),MONTH($B39)+1,1)-1,'拌客源数据1-8月'!$H:$H,"=美团")/SUMIFS('拌客源数据1-8月'!$J:$J,'拌客源数据1-8月'!$A:$A,"&gt;="&amp;DATE(YEAR($B39),MONTH($B39)-1,1),'拌客源数据1-8月'!$A:$A,"&lt;="&amp;DATE(YEAR($B39),MONTH($B39),1)-1,'拌客源数据1-8月'!$H:$H,"=美团")-1</f>
        <v>#DIV/0!</v>
      </c>
      <c r="E39" s="75"/>
      <c r="F39" s="74"/>
      <c r="G39" s="74"/>
    </row>
    <row r="40" spans="2:10">
      <c r="B40" s="47">
        <v>43862</v>
      </c>
      <c r="C40" s="70">
        <f>SUMIFS('拌客源数据1-8月'!$J:$J,'拌客源数据1-8月'!$A:$A,"&gt;="&amp;DATE(YEAR($B40),MONTH($B40),1),'拌客源数据1-8月'!$A:$A,"&lt;="&amp;DATE(YEAR($B40),MONTH($B40)+1,1)-1,'拌客源数据1-8月'!$H:$H,"=美团")</f>
        <v>2678.62</v>
      </c>
      <c r="D40" s="76">
        <f>SUMIFS('拌客源数据1-8月'!$J:$J,'拌客源数据1-8月'!$A:$A,"&gt;="&amp;DATE(YEAR($B40),MONTH($B40),1),'拌客源数据1-8月'!$A:$A,"&lt;="&amp;DATE(YEAR($B40),MONTH($B40)+1,1)-1,'拌客源数据1-8月'!$H:$H,"=美团")/SUMIFS('拌客源数据1-8月'!$J:$J,'拌客源数据1-8月'!$A:$A,"&gt;="&amp;DATE(YEAR($B40),MONTH($B40)-1,1),'拌客源数据1-8月'!$A:$A,"&lt;="&amp;DATE(YEAR($B40),MONTH($B40),1)-1,'拌客源数据1-8月'!$H:$H,"=美团")-1</f>
        <v>-0.60538775895037999</v>
      </c>
      <c r="E40" s="75"/>
      <c r="F40" s="74"/>
      <c r="G40" s="74"/>
    </row>
    <row r="41" spans="2:10">
      <c r="B41" s="47">
        <v>43891</v>
      </c>
      <c r="C41" s="70">
        <f>SUMIFS('拌客源数据1-8月'!$J:$J,'拌客源数据1-8月'!$A:$A,"&gt;="&amp;DATE(YEAR($B41),MONTH($B41),1),'拌客源数据1-8月'!$A:$A,"&lt;="&amp;DATE(YEAR($B41),MONTH($B41)+1,1)-1,'拌客源数据1-8月'!$H:$H,"=美团")</f>
        <v>24829.310000000009</v>
      </c>
      <c r="D41" s="76">
        <f>SUMIFS('拌客源数据1-8月'!$J:$J,'拌客源数据1-8月'!$A:$A,"&gt;="&amp;DATE(YEAR($B41),MONTH($B41),1),'拌客源数据1-8月'!$A:$A,"&lt;="&amp;DATE(YEAR($B41),MONTH($B41)+1,1)-1,'拌客源数据1-8月'!$H:$H,"=美团")/SUMIFS('拌客源数据1-8月'!$J:$J,'拌客源数据1-8月'!$A:$A,"&gt;="&amp;DATE(YEAR($B41),MONTH($B41)-1,1),'拌客源数据1-8月'!$A:$A,"&lt;="&amp;DATE(YEAR($B41),MONTH($B41),1)-1,'拌客源数据1-8月'!$H:$H,"=美团")-1</f>
        <v>8.2694409808035516</v>
      </c>
      <c r="E41" s="75"/>
      <c r="F41" s="74"/>
      <c r="G41" s="74"/>
    </row>
    <row r="42" spans="2:10">
      <c r="B42" s="47">
        <v>43922</v>
      </c>
      <c r="C42" s="70">
        <f>SUMIFS('拌客源数据1-8月'!$J:$J,'拌客源数据1-8月'!$A:$A,"&gt;="&amp;DATE(YEAR($B42),MONTH($B42),1),'拌客源数据1-8月'!$A:$A,"&lt;="&amp;DATE(YEAR($B42),MONTH($B42)+1,1)-1,'拌客源数据1-8月'!$H:$H,"=美团")</f>
        <v>38698.99</v>
      </c>
      <c r="D42" s="76">
        <f>SUMIFS('拌客源数据1-8月'!$J:$J,'拌客源数据1-8月'!$A:$A,"&gt;="&amp;DATE(YEAR($B42),MONTH($B42),1),'拌客源数据1-8月'!$A:$A,"&lt;="&amp;DATE(YEAR($B42),MONTH($B42)+1,1)-1,'拌客源数据1-8月'!$H:$H,"=美团")/SUMIFS('拌客源数据1-8月'!$J:$J,'拌客源数据1-8月'!$A:$A,"&gt;="&amp;DATE(YEAR($B42),MONTH($B42)-1,1),'拌客源数据1-8月'!$A:$A,"&lt;="&amp;DATE(YEAR($B42),MONTH($B42),1)-1,'拌客源数据1-8月'!$H:$H,"=美团")-1</f>
        <v>0.55860110490384085</v>
      </c>
      <c r="E42" s="75"/>
      <c r="F42" s="74"/>
      <c r="G42" s="74"/>
    </row>
    <row r="43" spans="2:10">
      <c r="B43" s="47">
        <v>43952</v>
      </c>
      <c r="C43" s="70">
        <f>SUMIFS('拌客源数据1-8月'!$J:$J,'拌客源数据1-8月'!$A:$A,"&gt;="&amp;DATE(YEAR($B43),MONTH($B43),1),'拌客源数据1-8月'!$A:$A,"&lt;="&amp;DATE(YEAR($B43),MONTH($B43)+1,1)-1,'拌客源数据1-8月'!$H:$H,"=美团")</f>
        <v>30397.779999999995</v>
      </c>
      <c r="D43" s="76">
        <f>SUMIFS('拌客源数据1-8月'!$J:$J,'拌客源数据1-8月'!$A:$A,"&gt;="&amp;DATE(YEAR($B43),MONTH($B43),1),'拌客源数据1-8月'!$A:$A,"&lt;="&amp;DATE(YEAR($B43),MONTH($B43)+1,1)-1,'拌客源数据1-8月'!$H:$H,"=美团")/SUMIFS('拌客源数据1-8月'!$J:$J,'拌客源数据1-8月'!$A:$A,"&gt;="&amp;DATE(YEAR($B43),MONTH($B43)-1,1),'拌客源数据1-8月'!$A:$A,"&lt;="&amp;DATE(YEAR($B43),MONTH($B43),1)-1,'拌客源数据1-8月'!$H:$H,"=美团")-1</f>
        <v>-0.21450714863617892</v>
      </c>
      <c r="E43" s="75"/>
      <c r="F43" s="74"/>
      <c r="G43" s="74"/>
    </row>
    <row r="44" spans="2:10">
      <c r="B44" s="47">
        <v>43983</v>
      </c>
      <c r="C44" s="70">
        <f>SUMIFS('拌客源数据1-8月'!$J:$J,'拌客源数据1-8月'!$A:$A,"&gt;="&amp;DATE(YEAR($B44),MONTH($B44),1),'拌客源数据1-8月'!$A:$A,"&lt;="&amp;DATE(YEAR($B44),MONTH($B44)+1,1)-1,'拌客源数据1-8月'!$H:$H,"=美团")</f>
        <v>26037.540000000005</v>
      </c>
      <c r="D44" s="76">
        <f>SUMIFS('拌客源数据1-8月'!$J:$J,'拌客源数据1-8月'!$A:$A,"&gt;="&amp;DATE(YEAR($B44),MONTH($B44),1),'拌客源数据1-8月'!$A:$A,"&lt;="&amp;DATE(YEAR($B44),MONTH($B44)+1,1)-1,'拌客源数据1-8月'!$H:$H,"=美团")/SUMIFS('拌客源数据1-8月'!$J:$J,'拌客源数据1-8月'!$A:$A,"&gt;="&amp;DATE(YEAR($B44),MONTH($B44)-1,1),'拌客源数据1-8月'!$A:$A,"&lt;="&amp;DATE(YEAR($B44),MONTH($B44),1)-1,'拌客源数据1-8月'!$H:$H,"=美团")-1</f>
        <v>-0.14343942222096451</v>
      </c>
      <c r="E44" s="75"/>
      <c r="F44" s="74"/>
      <c r="G44" s="74"/>
    </row>
    <row r="45" spans="2:10">
      <c r="B45" s="47">
        <v>44013</v>
      </c>
      <c r="C45" s="70">
        <f>SUMIFS('拌客源数据1-8月'!$J:$J,'拌客源数据1-8月'!$A:$A,"&gt;="&amp;DATE(YEAR($B45),MONTH($B45),1),'拌客源数据1-8月'!$A:$A,"&lt;="&amp;DATE(YEAR($B45),MONTH($B45)+1,1)-1,'拌客源数据1-8月'!$H:$H,"=美团")</f>
        <v>133045.43</v>
      </c>
      <c r="D45" s="76">
        <f>SUMIFS('拌客源数据1-8月'!$J:$J,'拌客源数据1-8月'!$A:$A,"&gt;="&amp;DATE(YEAR($B45),MONTH($B45),1),'拌客源数据1-8月'!$A:$A,"&lt;="&amp;DATE(YEAR($B45),MONTH($B45)+1,1)-1,'拌客源数据1-8月'!$H:$H,"=美团")/SUMIFS('拌客源数据1-8月'!$J:$J,'拌客源数据1-8月'!$A:$A,"&gt;="&amp;DATE(YEAR($B45),MONTH($B45)-1,1),'拌客源数据1-8月'!$A:$A,"&lt;="&amp;DATE(YEAR($B45),MONTH($B45),1)-1,'拌客源数据1-8月'!$H:$H,"=美团")-1</f>
        <v>4.1097542240933658</v>
      </c>
      <c r="E45" s="75"/>
      <c r="F45" s="74"/>
      <c r="G45" s="74"/>
    </row>
    <row r="46" spans="2:10">
      <c r="B46" s="47">
        <v>44044</v>
      </c>
      <c r="C46" s="70">
        <f>SUMIFS('拌客源数据1-8月'!$J:$J,'拌客源数据1-8月'!$A:$A,"&gt;="&amp;DATE(YEAR($B46),MONTH($B46),1),'拌客源数据1-8月'!$A:$A,"&lt;="&amp;DATE(YEAR($B46),MONTH($B46)+1,1)-1,'拌客源数据1-8月'!$H:$H,"=美团")</f>
        <v>42659.520000000004</v>
      </c>
      <c r="D46" s="76">
        <f>SUMIFS('拌客源数据1-8月'!$J:$J,'拌客源数据1-8月'!$A:$A,"&gt;="&amp;DATE(YEAR($B46),MONTH($B46),1),'拌客源数据1-8月'!$A:$A,"&lt;="&amp;DATE(YEAR($B46),MONTH($B46)+1,1)-1,'拌客源数据1-8月'!$H:$H,"=美团")/SUMIFS('拌客源数据1-8月'!$J:$J,'拌客源数据1-8月'!$A:$A,"&gt;="&amp;DATE(YEAR($B46),MONTH($B46)-1,1),'拌客源数据1-8月'!$A:$A,"&lt;="&amp;DATE(YEAR($B46),MONTH($B46),1)-1,'拌客源数据1-8月'!$H:$H,"=美团")-1</f>
        <v>-0.67936125276907289</v>
      </c>
      <c r="E46" s="75"/>
      <c r="F46" s="74"/>
      <c r="G46" s="74"/>
    </row>
    <row r="47" spans="2:10">
      <c r="B47" s="48"/>
      <c r="C47" s="71"/>
      <c r="D47" s="42"/>
      <c r="E47" s="42"/>
    </row>
    <row r="48" spans="2:10">
      <c r="B48" s="48"/>
      <c r="C48" s="42"/>
      <c r="D48" s="42"/>
      <c r="E48" s="42"/>
    </row>
    <row r="49" spans="2:5">
      <c r="B49" s="48"/>
      <c r="C49" s="42"/>
      <c r="D49" s="42"/>
      <c r="E49" s="42"/>
    </row>
    <row r="52" spans="2:5">
      <c r="B52" s="37" t="s">
        <v>81</v>
      </c>
    </row>
    <row r="54" spans="2:5">
      <c r="B54" s="39"/>
      <c r="C54" s="40" t="s">
        <v>88</v>
      </c>
      <c r="D54" s="40" t="s">
        <v>89</v>
      </c>
    </row>
    <row r="55" spans="2:5">
      <c r="B55" s="40" t="s">
        <v>55</v>
      </c>
      <c r="C55" s="39">
        <f>SUM('拌客源数据1-8月'!J:J)</f>
        <v>1071473.2499999998</v>
      </c>
      <c r="D55" s="39">
        <f>SUBTOTAL(9,'拌客源数据1-8月'!J:J)</f>
        <v>1071473.2499999998</v>
      </c>
    </row>
    <row r="56" spans="2:5">
      <c r="B56" s="41"/>
      <c r="C56" s="42"/>
      <c r="D56" s="42"/>
    </row>
    <row r="57" spans="2:5">
      <c r="B57" s="41"/>
      <c r="C57" s="42"/>
      <c r="D57" s="42"/>
    </row>
    <row r="58" spans="2:5">
      <c r="B58" s="41"/>
      <c r="C58" s="42"/>
      <c r="D58" s="42"/>
    </row>
    <row r="61" spans="2:5">
      <c r="B61" s="37" t="s">
        <v>82</v>
      </c>
    </row>
    <row r="63" spans="2:5">
      <c r="B63" s="40" t="s">
        <v>98</v>
      </c>
      <c r="C63" s="40" t="s">
        <v>55</v>
      </c>
      <c r="D63" s="40" t="s">
        <v>100</v>
      </c>
      <c r="E63" s="49"/>
    </row>
    <row r="64" spans="2:5">
      <c r="B64" s="40" t="s">
        <v>90</v>
      </c>
      <c r="C64" s="40">
        <v>64233.369999999995</v>
      </c>
      <c r="D64" s="40" t="str">
        <f>IF($C64&gt;100000,"达标","不达标")</f>
        <v>不达标</v>
      </c>
      <c r="E64" s="49"/>
    </row>
    <row r="65" spans="2:11">
      <c r="B65" s="40" t="s">
        <v>91</v>
      </c>
      <c r="C65" s="40">
        <v>32755.710000000006</v>
      </c>
      <c r="D65" s="40" t="str">
        <f t="shared" ref="D65:D71" si="0">IF($C65&gt;100000,"达标","不达标")</f>
        <v>不达标</v>
      </c>
      <c r="E65" s="49"/>
    </row>
    <row r="66" spans="2:11">
      <c r="B66" s="40" t="s">
        <v>92</v>
      </c>
      <c r="C66" s="40">
        <v>78895.689999999988</v>
      </c>
      <c r="D66" s="40" t="str">
        <f t="shared" si="0"/>
        <v>不达标</v>
      </c>
      <c r="E66" s="49"/>
    </row>
    <row r="67" spans="2:11">
      <c r="B67" s="40" t="s">
        <v>93</v>
      </c>
      <c r="C67" s="40">
        <v>108307.06999999999</v>
      </c>
      <c r="D67" s="40" t="str">
        <f t="shared" si="0"/>
        <v>达标</v>
      </c>
      <c r="E67" s="49"/>
    </row>
    <row r="68" spans="2:11">
      <c r="B68" s="40" t="s">
        <v>94</v>
      </c>
      <c r="C68" s="40">
        <v>194276.97</v>
      </c>
      <c r="D68" s="40" t="str">
        <f t="shared" si="0"/>
        <v>达标</v>
      </c>
      <c r="E68" s="49"/>
    </row>
    <row r="69" spans="2:11">
      <c r="B69" s="40" t="s">
        <v>95</v>
      </c>
      <c r="C69" s="40">
        <v>255727.79000000007</v>
      </c>
      <c r="D69" s="40" t="str">
        <f t="shared" si="0"/>
        <v>达标</v>
      </c>
      <c r="E69" s="49"/>
    </row>
    <row r="70" spans="2:11">
      <c r="B70" s="40" t="s">
        <v>96</v>
      </c>
      <c r="C70" s="40">
        <v>255891.73</v>
      </c>
      <c r="D70" s="40" t="str">
        <f t="shared" si="0"/>
        <v>达标</v>
      </c>
      <c r="E70" s="49"/>
    </row>
    <row r="71" spans="2:11">
      <c r="B71" s="40" t="s">
        <v>97</v>
      </c>
      <c r="C71" s="40">
        <v>81384.920000000013</v>
      </c>
      <c r="D71" s="40" t="str">
        <f t="shared" si="0"/>
        <v>不达标</v>
      </c>
      <c r="E71" s="49"/>
    </row>
    <row r="72" spans="2:11">
      <c r="B72" s="41"/>
      <c r="C72" s="41"/>
      <c r="D72" s="41"/>
      <c r="E72" s="49"/>
    </row>
    <row r="73" spans="2:11">
      <c r="B73" s="41"/>
      <c r="C73" s="41"/>
      <c r="D73" s="41"/>
      <c r="E73" s="49"/>
    </row>
    <row r="74" spans="2:11">
      <c r="B74" s="41"/>
      <c r="C74" s="41"/>
      <c r="D74" s="41"/>
      <c r="E74" s="49"/>
    </row>
    <row r="77" spans="2:11">
      <c r="B77" s="37" t="s">
        <v>101</v>
      </c>
    </row>
    <row r="78" spans="2:11">
      <c r="I78" s="37" t="s">
        <v>109</v>
      </c>
    </row>
    <row r="79" spans="2:11">
      <c r="B79" s="40" t="s">
        <v>98</v>
      </c>
      <c r="C79" s="40" t="s">
        <v>55</v>
      </c>
      <c r="D79" s="40" t="s">
        <v>99</v>
      </c>
      <c r="E79" s="39" t="s">
        <v>102</v>
      </c>
      <c r="I79" s="40" t="s">
        <v>106</v>
      </c>
      <c r="J79" s="40" t="s">
        <v>107</v>
      </c>
      <c r="K79" s="40" t="s">
        <v>108</v>
      </c>
    </row>
    <row r="80" spans="2:11">
      <c r="B80" s="40" t="s">
        <v>90</v>
      </c>
      <c r="C80" s="40">
        <v>64233.369999999995</v>
      </c>
      <c r="D80" s="40">
        <v>3344.24</v>
      </c>
      <c r="E80" s="40" t="str">
        <f>IF($C80&gt;100000,IF($D80&lt;5000,"达标","不达标"),"不达标")</f>
        <v>不达标</v>
      </c>
      <c r="I80" s="40">
        <v>0</v>
      </c>
      <c r="J80" s="40">
        <v>0</v>
      </c>
      <c r="K80" s="40"/>
    </row>
    <row r="81" spans="2:26">
      <c r="B81" s="40" t="s">
        <v>91</v>
      </c>
      <c r="C81" s="40">
        <v>32755.710000000006</v>
      </c>
      <c r="D81" s="40">
        <v>902.87</v>
      </c>
      <c r="E81" s="40" t="str">
        <f t="shared" ref="E81:E87" si="1">IF($C81&gt;100000,IF($D81&lt;5000,"达标","不达标"),"不达标")</f>
        <v>不达标</v>
      </c>
      <c r="I81" s="40">
        <v>1</v>
      </c>
      <c r="J81" s="40">
        <v>0</v>
      </c>
      <c r="K81" s="40"/>
    </row>
    <row r="82" spans="2:26">
      <c r="B82" s="40" t="s">
        <v>92</v>
      </c>
      <c r="C82" s="40">
        <v>78895.689999999988</v>
      </c>
      <c r="D82" s="40">
        <v>2645.3200000000006</v>
      </c>
      <c r="E82" s="40" t="str">
        <f t="shared" si="1"/>
        <v>不达标</v>
      </c>
      <c r="I82" s="40">
        <v>1</v>
      </c>
      <c r="J82" s="40">
        <v>1</v>
      </c>
      <c r="K82" s="40"/>
    </row>
    <row r="83" spans="2:26">
      <c r="B83" s="40" t="s">
        <v>93</v>
      </c>
      <c r="C83" s="40">
        <v>108307.06999999999</v>
      </c>
      <c r="D83" s="40">
        <v>4513.12</v>
      </c>
      <c r="E83" s="40" t="str">
        <f t="shared" si="1"/>
        <v>达标</v>
      </c>
      <c r="I83" s="40">
        <v>0</v>
      </c>
      <c r="J83" s="40">
        <v>1</v>
      </c>
      <c r="K83" s="40"/>
    </row>
    <row r="84" spans="2:26">
      <c r="B84" s="40" t="s">
        <v>94</v>
      </c>
      <c r="C84" s="40">
        <v>194276.97</v>
      </c>
      <c r="D84" s="40">
        <v>11804.4</v>
      </c>
      <c r="E84" s="40" t="str">
        <f t="shared" si="1"/>
        <v>不达标</v>
      </c>
    </row>
    <row r="85" spans="2:26">
      <c r="B85" s="40" t="s">
        <v>95</v>
      </c>
      <c r="C85" s="40">
        <v>255727.79000000007</v>
      </c>
      <c r="D85" s="40">
        <v>8302.5300000000007</v>
      </c>
      <c r="E85" s="40" t="str">
        <f t="shared" si="1"/>
        <v>不达标</v>
      </c>
    </row>
    <row r="86" spans="2:26">
      <c r="B86" s="40" t="s">
        <v>96</v>
      </c>
      <c r="C86" s="40">
        <v>255891.73</v>
      </c>
      <c r="D86" s="40">
        <v>13616.330000000004</v>
      </c>
      <c r="E86" s="40" t="str">
        <f t="shared" si="1"/>
        <v>不达标</v>
      </c>
    </row>
    <row r="87" spans="2:26">
      <c r="B87" s="40" t="s">
        <v>97</v>
      </c>
      <c r="C87" s="40">
        <v>81384.920000000013</v>
      </c>
      <c r="D87" s="40">
        <v>3680.309999999999</v>
      </c>
      <c r="E87" s="40" t="str">
        <f t="shared" si="1"/>
        <v>不达标</v>
      </c>
    </row>
    <row r="88" spans="2:26">
      <c r="B88" s="41"/>
      <c r="C88" s="41"/>
      <c r="D88" s="41"/>
      <c r="E88" s="42"/>
    </row>
    <row r="89" spans="2:26">
      <c r="B89" s="41"/>
      <c r="C89" s="41"/>
      <c r="D89" s="41"/>
      <c r="E89" s="42"/>
    </row>
    <row r="90" spans="2:26">
      <c r="B90" s="41"/>
      <c r="C90" s="41"/>
      <c r="D90" s="41"/>
      <c r="E90" s="42"/>
    </row>
    <row r="93" spans="2:26">
      <c r="B93" s="37" t="s">
        <v>105</v>
      </c>
    </row>
    <row r="94" spans="2:26">
      <c r="F94" s="37" t="s">
        <v>121</v>
      </c>
      <c r="I94" s="37" t="s">
        <v>130</v>
      </c>
      <c r="S94" s="37" t="s">
        <v>118</v>
      </c>
    </row>
    <row r="95" spans="2:26">
      <c r="B95" s="40" t="s">
        <v>103</v>
      </c>
      <c r="C95" s="40" t="s">
        <v>104</v>
      </c>
      <c r="D95" s="41"/>
      <c r="E95" s="41"/>
      <c r="F95" s="40" t="s">
        <v>122</v>
      </c>
      <c r="G95" s="40" t="s">
        <v>117</v>
      </c>
      <c r="I95" s="40" t="s">
        <v>124</v>
      </c>
      <c r="J95" s="40" t="s">
        <v>125</v>
      </c>
      <c r="O95" s="40" t="s">
        <v>103</v>
      </c>
      <c r="P95" s="40" t="s">
        <v>55</v>
      </c>
      <c r="Q95" s="41"/>
      <c r="R95" s="41"/>
      <c r="S95" s="40" t="s">
        <v>110</v>
      </c>
      <c r="T95" s="40" t="s">
        <v>113</v>
      </c>
      <c r="U95" s="40" t="s">
        <v>117</v>
      </c>
    </row>
    <row r="96" spans="2:26">
      <c r="B96" s="50" t="s">
        <v>46</v>
      </c>
      <c r="C96" s="40" t="str">
        <f>VLOOKUP($B96,'拌客源数据1-8月'!$D:$E,2,FALSE)</f>
        <v>宝山店</v>
      </c>
      <c r="D96" s="41"/>
      <c r="E96" s="41"/>
      <c r="F96" s="40" t="s">
        <v>127</v>
      </c>
      <c r="G96" s="40">
        <v>1</v>
      </c>
      <c r="I96" s="40" t="s">
        <v>114</v>
      </c>
      <c r="J96" s="40">
        <f>VLOOKUP($I96,F95:G103,2,FALSE)</f>
        <v>2</v>
      </c>
      <c r="O96" s="50" t="s">
        <v>46</v>
      </c>
      <c r="P96" s="39">
        <f>VLOOKUP($O96,$P$120:$Q$129,2,)</f>
        <v>273854.58</v>
      </c>
      <c r="Q96" s="42"/>
      <c r="R96" s="42"/>
      <c r="S96" s="40" t="s">
        <v>106</v>
      </c>
      <c r="T96" s="40" t="s">
        <v>114</v>
      </c>
      <c r="U96" s="40">
        <v>1</v>
      </c>
      <c r="X96" s="59" t="s">
        <v>135</v>
      </c>
      <c r="Y96" t="s">
        <v>144</v>
      </c>
      <c r="Z96"/>
    </row>
    <row r="97" spans="2:26">
      <c r="B97" s="50" t="s">
        <v>47</v>
      </c>
      <c r="C97" s="40" t="str">
        <f>VLOOKUP($B97,'拌客源数据1-8月'!$D:$E,2,FALSE)</f>
        <v>五角场店</v>
      </c>
      <c r="D97" s="41"/>
      <c r="E97" s="41"/>
      <c r="F97" s="40" t="s">
        <v>114</v>
      </c>
      <c r="G97" s="40">
        <v>2</v>
      </c>
      <c r="O97" s="50" t="s">
        <v>47</v>
      </c>
      <c r="P97" s="39">
        <f t="shared" ref="P97:P103" si="2">VLOOKUP($O97,$P$120:$Q$129,2,)</f>
        <v>16838.82</v>
      </c>
      <c r="Q97" s="42"/>
      <c r="R97" s="42"/>
      <c r="S97" s="40" t="s">
        <v>106</v>
      </c>
      <c r="T97" s="40" t="s">
        <v>115</v>
      </c>
      <c r="U97" s="40">
        <v>2</v>
      </c>
      <c r="X97" s="60" t="s">
        <v>140</v>
      </c>
      <c r="Y97" s="61">
        <v>3</v>
      </c>
      <c r="Z97"/>
    </row>
    <row r="98" spans="2:26">
      <c r="B98" s="50" t="s">
        <v>44</v>
      </c>
      <c r="C98" s="40" t="str">
        <f>VLOOKUP($B98,'拌客源数据1-8月'!$D:$E,2,FALSE)</f>
        <v>龙阳广场店</v>
      </c>
      <c r="D98" s="41"/>
      <c r="E98" s="41"/>
      <c r="F98" s="40" t="s">
        <v>126</v>
      </c>
      <c r="G98" s="40">
        <v>3</v>
      </c>
      <c r="I98" s="37" t="s">
        <v>128</v>
      </c>
      <c r="O98" s="50" t="s">
        <v>44</v>
      </c>
      <c r="P98" s="39">
        <f t="shared" si="2"/>
        <v>6452.04</v>
      </c>
      <c r="Q98" s="42"/>
      <c r="R98" s="42"/>
      <c r="S98" s="40" t="s">
        <v>107</v>
      </c>
      <c r="T98" s="40" t="s">
        <v>116</v>
      </c>
      <c r="U98" s="40">
        <v>3</v>
      </c>
      <c r="X98" s="62" t="s">
        <v>145</v>
      </c>
      <c r="Y98" s="61">
        <v>1</v>
      </c>
      <c r="Z98"/>
    </row>
    <row r="99" spans="2:26">
      <c r="B99" s="50" t="s">
        <v>45</v>
      </c>
      <c r="C99" s="40" t="str">
        <f>VLOOKUP($B99,'拌客源数据1-8月'!$D:$E,2,FALSE)</f>
        <v>五角场店</v>
      </c>
      <c r="D99" s="41"/>
      <c r="E99" s="41"/>
      <c r="F99" s="40" t="s">
        <v>138</v>
      </c>
      <c r="G99" s="40">
        <v>4</v>
      </c>
      <c r="I99" s="40" t="s">
        <v>115</v>
      </c>
      <c r="J99" s="40">
        <f>VLOOKUP($I99&amp;"*",F95:G103,2,FALSE)</f>
        <v>6</v>
      </c>
      <c r="O99" s="50" t="s">
        <v>45</v>
      </c>
      <c r="P99" s="39">
        <f t="shared" si="2"/>
        <v>60286.000000000022</v>
      </c>
      <c r="Q99" s="42"/>
      <c r="R99" s="42"/>
      <c r="S99" s="40" t="s">
        <v>107</v>
      </c>
      <c r="T99" s="40" t="s">
        <v>116</v>
      </c>
      <c r="U99" s="40">
        <v>4</v>
      </c>
      <c r="X99" s="62" t="s">
        <v>146</v>
      </c>
      <c r="Y99" s="61">
        <v>2</v>
      </c>
      <c r="Z99"/>
    </row>
    <row r="100" spans="2:26">
      <c r="B100" s="50" t="s">
        <v>48</v>
      </c>
      <c r="C100" s="40" t="str">
        <f>VLOOKUP($B100,'拌客源数据1-8月'!$D:$E,2,FALSE)</f>
        <v>怒江路店</v>
      </c>
      <c r="D100" s="41"/>
      <c r="E100" s="41"/>
      <c r="F100" s="40" t="s">
        <v>139</v>
      </c>
      <c r="G100" s="40">
        <v>5</v>
      </c>
      <c r="O100" s="50" t="s">
        <v>48</v>
      </c>
      <c r="P100" s="39">
        <f t="shared" si="2"/>
        <v>4313.57</v>
      </c>
      <c r="Q100" s="42"/>
      <c r="R100" s="42"/>
      <c r="S100" s="40" t="s">
        <v>107</v>
      </c>
      <c r="T100" s="40" t="s">
        <v>114</v>
      </c>
      <c r="U100" s="40">
        <v>5</v>
      </c>
      <c r="X100" s="60" t="s">
        <v>141</v>
      </c>
      <c r="Y100" s="61">
        <v>12</v>
      </c>
      <c r="Z100"/>
    </row>
    <row r="101" spans="2:26">
      <c r="B101" s="50" t="s">
        <v>49</v>
      </c>
      <c r="C101" s="40" t="str">
        <f>VLOOKUP($B101,'拌客源数据1-8月'!$D:$E,2,FALSE)</f>
        <v>宝山店</v>
      </c>
      <c r="D101" s="41"/>
      <c r="E101" s="41"/>
      <c r="F101" s="40" t="s">
        <v>119</v>
      </c>
      <c r="G101" s="40">
        <v>6</v>
      </c>
      <c r="O101" s="50" t="s">
        <v>49</v>
      </c>
      <c r="P101" s="39">
        <f t="shared" si="2"/>
        <v>169975.03999999998</v>
      </c>
      <c r="Q101" s="42"/>
      <c r="R101" s="42"/>
      <c r="S101" s="40" t="s">
        <v>111</v>
      </c>
      <c r="T101" s="40" t="s">
        <v>114</v>
      </c>
      <c r="U101" s="40">
        <v>6</v>
      </c>
      <c r="X101" s="62" t="s">
        <v>145</v>
      </c>
      <c r="Y101" s="61">
        <v>5</v>
      </c>
      <c r="Z101"/>
    </row>
    <row r="102" spans="2:26">
      <c r="B102" s="50" t="s">
        <v>50</v>
      </c>
      <c r="C102" s="40" t="str">
        <f>VLOOKUP($B102,'拌客源数据1-8月'!$D:$E,2,FALSE)</f>
        <v>拌客干拌麻辣烫(武宁路店)</v>
      </c>
      <c r="D102" s="41"/>
      <c r="E102" s="41"/>
      <c r="F102" s="40" t="s">
        <v>120</v>
      </c>
      <c r="G102" s="40">
        <v>7</v>
      </c>
      <c r="O102" s="50" t="s">
        <v>50</v>
      </c>
      <c r="P102" s="39">
        <f t="shared" si="2"/>
        <v>425745.45999999996</v>
      </c>
      <c r="Q102" s="42"/>
      <c r="R102" s="42"/>
      <c r="S102" s="40" t="s">
        <v>111</v>
      </c>
      <c r="T102" s="40" t="s">
        <v>114</v>
      </c>
      <c r="U102" s="40">
        <v>7</v>
      </c>
      <c r="X102" s="62" t="s">
        <v>147</v>
      </c>
      <c r="Y102" s="61">
        <v>7</v>
      </c>
      <c r="Z102"/>
    </row>
    <row r="103" spans="2:26">
      <c r="B103" s="50" t="s">
        <v>51</v>
      </c>
      <c r="C103" s="40" t="str">
        <f>VLOOKUP($B103,'拌客源数据1-8月'!$D:$E,2,FALSE)</f>
        <v>拌客干拌麻辣烫(武宁路店)</v>
      </c>
      <c r="D103" s="41"/>
      <c r="E103" s="41"/>
      <c r="F103" s="40" t="s">
        <v>160</v>
      </c>
      <c r="G103" s="40">
        <v>8</v>
      </c>
      <c r="O103" s="50" t="s">
        <v>51</v>
      </c>
      <c r="P103" s="39">
        <f t="shared" si="2"/>
        <v>114007.74</v>
      </c>
      <c r="Q103" s="42"/>
      <c r="R103" s="42"/>
      <c r="S103" s="40" t="s">
        <v>112</v>
      </c>
      <c r="T103" s="40" t="s">
        <v>115</v>
      </c>
      <c r="U103" s="40">
        <v>8</v>
      </c>
      <c r="X103" s="60" t="s">
        <v>142</v>
      </c>
      <c r="Y103" s="61">
        <v>13</v>
      </c>
      <c r="Z103"/>
    </row>
    <row r="104" spans="2:26">
      <c r="B104" s="51"/>
      <c r="C104" s="41"/>
      <c r="D104" s="41"/>
      <c r="E104" s="41"/>
      <c r="F104" s="41"/>
      <c r="G104" s="41"/>
      <c r="O104" s="51"/>
      <c r="P104" s="42"/>
      <c r="Q104" s="42"/>
      <c r="R104" s="42"/>
      <c r="S104" s="41"/>
      <c r="T104" s="41"/>
      <c r="U104" s="41"/>
      <c r="X104" s="62" t="s">
        <v>145</v>
      </c>
      <c r="Y104" s="61">
        <v>13</v>
      </c>
      <c r="Z104"/>
    </row>
    <row r="105" spans="2:26">
      <c r="B105" s="51"/>
      <c r="C105" s="41"/>
      <c r="D105" s="41"/>
      <c r="E105" s="41"/>
      <c r="F105" s="41"/>
      <c r="G105" s="41"/>
      <c r="O105"/>
      <c r="P105"/>
      <c r="Q105"/>
      <c r="R105" s="42"/>
      <c r="S105"/>
      <c r="T105"/>
      <c r="U105"/>
      <c r="X105" s="60" t="s">
        <v>143</v>
      </c>
      <c r="Y105" s="61">
        <v>8</v>
      </c>
      <c r="Z105"/>
    </row>
    <row r="106" spans="2:26">
      <c r="B106" s="51"/>
      <c r="C106" s="41"/>
      <c r="D106" s="41"/>
      <c r="E106" s="41"/>
      <c r="F106" s="41"/>
      <c r="G106" s="41"/>
      <c r="O106"/>
      <c r="P106"/>
      <c r="Q106"/>
      <c r="R106" s="42"/>
      <c r="S106"/>
      <c r="T106"/>
      <c r="U106"/>
      <c r="X106" s="62" t="s">
        <v>146</v>
      </c>
      <c r="Y106" s="61">
        <v>8</v>
      </c>
      <c r="Z106"/>
    </row>
    <row r="107" spans="2:26">
      <c r="O107"/>
      <c r="P107"/>
      <c r="Q107"/>
      <c r="S107"/>
      <c r="T107"/>
      <c r="U107"/>
      <c r="X107" s="60" t="s">
        <v>136</v>
      </c>
      <c r="Y107" s="61">
        <v>36</v>
      </c>
      <c r="Z107"/>
    </row>
    <row r="108" spans="2:26">
      <c r="O108"/>
      <c r="P108"/>
      <c r="Q108"/>
      <c r="S108"/>
      <c r="T108"/>
      <c r="U108"/>
      <c r="X108"/>
      <c r="Y108"/>
      <c r="Z108"/>
    </row>
    <row r="109" spans="2:26">
      <c r="B109" s="37" t="s">
        <v>133</v>
      </c>
      <c r="O109"/>
      <c r="P109"/>
      <c r="Q109"/>
      <c r="S109" t="s">
        <v>168</v>
      </c>
      <c r="T109"/>
      <c r="U109"/>
      <c r="V109"/>
      <c r="X109"/>
      <c r="Y109"/>
      <c r="Z109"/>
    </row>
    <row r="110" spans="2:26">
      <c r="O110"/>
      <c r="P110"/>
      <c r="Q110"/>
      <c r="S110" s="61">
        <v>8</v>
      </c>
      <c r="T110"/>
      <c r="U110"/>
      <c r="V110"/>
      <c r="X110"/>
      <c r="Y110"/>
      <c r="Z110"/>
    </row>
    <row r="111" spans="2:26">
      <c r="B111" s="68" t="s">
        <v>11</v>
      </c>
      <c r="C111" s="69"/>
      <c r="D111" s="40" t="s">
        <v>103</v>
      </c>
      <c r="E111" s="40" t="s">
        <v>131</v>
      </c>
      <c r="F111" s="40" t="s">
        <v>132</v>
      </c>
      <c r="G111" s="40" t="s">
        <v>55</v>
      </c>
      <c r="H111" s="40" t="s">
        <v>169</v>
      </c>
      <c r="I111" s="40" t="s">
        <v>75</v>
      </c>
      <c r="J111" s="41"/>
      <c r="O111"/>
      <c r="P111"/>
      <c r="Q111"/>
      <c r="S111"/>
      <c r="T111"/>
      <c r="U111"/>
      <c r="V111"/>
      <c r="X111"/>
      <c r="Y111"/>
      <c r="Z111"/>
    </row>
    <row r="112" spans="2:26">
      <c r="B112" s="68" t="s">
        <v>29</v>
      </c>
      <c r="C112" s="69"/>
      <c r="D112" s="40" t="str">
        <f>INDEX('拌客源数据1-8月'!$1:$1048576,MATCH($B112,'拌客源数据1-8月'!$I:$I,0),MATCH(D$111,'拌客源数据1-8月'!$1:$1,0))</f>
        <v>2001104355</v>
      </c>
      <c r="E112" s="40" t="str">
        <f>INDEX('拌客源数据1-8月'!$1:$1048576,MATCH($B112,'拌客源数据1-8月'!$I:$I,0),MATCH(E$111,'拌客源数据1-8月'!$1:$1,0))</f>
        <v>蛙小辣火锅杯（总账号）</v>
      </c>
      <c r="F112" s="40">
        <f>INDEX('拌客源数据1-8月'!$1:$1048576,MATCH($B112,'拌客源数据1-8月'!$I:$I,0),MATCH(F$111,'拌客源数据1-8月'!$1:$1,0))</f>
        <v>4636</v>
      </c>
      <c r="G112" s="40">
        <f>SUMIFS(INDEX('拌客源数据1-8月'!$1:$1048576,0,MATCH(G$111,'拌客源数据1-8月'!$1:$1,0)),'拌客源数据1-8月'!$I:$I,$B112)</f>
        <v>116343.26000000004</v>
      </c>
      <c r="H112" s="40">
        <f>SUMIFS(INDEX('拌客源数据1-8月'!$1:$1048576,0,MATCH(H$111,'拌客源数据1-8月'!$1:$1,0)),'拌客源数据1-8月'!$I:$I,$B112)</f>
        <v>59098</v>
      </c>
      <c r="I112" s="40">
        <f>SUMIFS(INDEX('拌客源数据1-8月'!$1:$1048576,0,MATCH(I$111,'拌客源数据1-8月'!$1:$1,0)),'拌客源数据1-8月'!$I:$I,$B112)</f>
        <v>1646</v>
      </c>
      <c r="J112" s="41"/>
      <c r="O112"/>
      <c r="P112"/>
      <c r="Q112"/>
      <c r="S112"/>
      <c r="T112"/>
      <c r="U112"/>
      <c r="V112"/>
      <c r="X112"/>
      <c r="Y112"/>
      <c r="Z112"/>
    </row>
    <row r="113" spans="2:26">
      <c r="B113" s="68" t="s">
        <v>23</v>
      </c>
      <c r="C113" s="69"/>
      <c r="D113" s="40" t="str">
        <f>INDEX('拌客源数据1-8月'!$1:$1048576,MATCH($B113,'拌客源数据1-8月'!$I:$I,0),MATCH(D$111,'拌客源数据1-8月'!$1:$1,0))</f>
        <v>8184590</v>
      </c>
      <c r="E113" s="40" t="str">
        <f>INDEX('拌客源数据1-8月'!$1:$1048576,MATCH($B113,'拌客源数据1-8月'!$I:$I,0),MATCH(E$111,'拌客源数据1-8月'!$1:$1,0))</f>
        <v>蛙小辣火锅杯（总账号）</v>
      </c>
      <c r="F113" s="40">
        <f>INDEX('拌客源数据1-8月'!$1:$1048576,MATCH($B113,'拌客源数据1-8月'!$I:$I,0),MATCH(F$111,'拌客源数据1-8月'!$1:$1,0))</f>
        <v>4636</v>
      </c>
      <c r="G113" s="40">
        <f>SUMIFS(INDEX('拌客源数据1-8月'!$1:$1048576,0,MATCH(G$111,'拌客源数据1-8月'!$1:$1,0)),'拌客源数据1-8月'!$I:$I,$B113)</f>
        <v>6787.9800000000005</v>
      </c>
      <c r="H113" s="40">
        <f>SUMIFS(INDEX('拌客源数据1-8月'!$1:$1048576,0,MATCH(H$111,'拌客源数据1-8月'!$1:$1,0)),'拌客源数据1-8月'!$I:$I,$B113)</f>
        <v>3424</v>
      </c>
      <c r="I113" s="40">
        <f>SUMIFS(INDEX('拌客源数据1-8月'!$1:$1048576,0,MATCH(I$111,'拌客源数据1-8月'!$1:$1,0)),'拌客源数据1-8月'!$I:$I,$B113)</f>
        <v>113</v>
      </c>
      <c r="J113" s="41"/>
      <c r="O113"/>
      <c r="P113"/>
      <c r="Q113"/>
      <c r="S113"/>
      <c r="T113"/>
      <c r="U113"/>
      <c r="X113"/>
      <c r="Y113"/>
      <c r="Z113"/>
    </row>
    <row r="114" spans="2:26">
      <c r="B114" s="68" t="s">
        <v>32</v>
      </c>
      <c r="C114" s="69"/>
      <c r="D114" s="40" t="str">
        <f>INDEX('拌客源数据1-8月'!$1:$1048576,MATCH($B114,'拌客源数据1-8月'!$I:$I,0),MATCH(D$111,'拌客源数据1-8月'!$1:$1,0))</f>
        <v>305225345</v>
      </c>
      <c r="E114" s="40" t="str">
        <f>INDEX('拌客源数据1-8月'!$1:$1048576,MATCH($B114,'拌客源数据1-8月'!$I:$I,0),MATCH(E$111,'拌客源数据1-8月'!$1:$1,0))</f>
        <v>蛙小辣火锅杯（总账号）</v>
      </c>
      <c r="F114" s="40">
        <f>INDEX('拌客源数据1-8月'!$1:$1048576,MATCH($B114,'拌客源数据1-8月'!$I:$I,0),MATCH(F$111,'拌客源数据1-8月'!$1:$1,0))</f>
        <v>4636</v>
      </c>
      <c r="G114" s="40">
        <f>SUMIFS(INDEX('拌客源数据1-8月'!$1:$1048576,0,MATCH(G$111,'拌客源数据1-8月'!$1:$1,0)),'拌客源数据1-8月'!$I:$I,$B114)</f>
        <v>6452.04</v>
      </c>
      <c r="H114" s="40">
        <f>SUMIFS(INDEX('拌客源数据1-8月'!$1:$1048576,0,MATCH(H$111,'拌客源数据1-8月'!$1:$1,0)),'拌客源数据1-8月'!$I:$I,$B114)</f>
        <v>3322</v>
      </c>
      <c r="I114" s="40">
        <f>SUMIFS(INDEX('拌客源数据1-8月'!$1:$1048576,0,MATCH(I$111,'拌客源数据1-8月'!$1:$1,0)),'拌客源数据1-8月'!$I:$I,$B114)</f>
        <v>108</v>
      </c>
      <c r="J114" s="41"/>
      <c r="O114"/>
      <c r="P114"/>
      <c r="Q114"/>
      <c r="S114"/>
      <c r="T114"/>
      <c r="U114"/>
    </row>
    <row r="115" spans="2:26">
      <c r="B115" s="68" t="s">
        <v>30</v>
      </c>
      <c r="C115" s="69"/>
      <c r="D115" s="40" t="str">
        <f>INDEX('拌客源数据1-8月'!$1:$1048576,MATCH($B115,'拌客源数据1-8月'!$I:$I,0),MATCH(D$111,'拌客源数据1-8月'!$1:$1,0))</f>
        <v>2000507076</v>
      </c>
      <c r="E115" s="40" t="str">
        <f>INDEX('拌客源数据1-8月'!$1:$1048576,MATCH($B115,'拌客源数据1-8月'!$I:$I,0),MATCH(E$111,'拌客源数据1-8月'!$1:$1,0))</f>
        <v>蛙小辣火锅杯（总账号）</v>
      </c>
      <c r="F115" s="40">
        <f>INDEX('拌客源数据1-8月'!$1:$1048576,MATCH($B115,'拌客源数据1-8月'!$I:$I,0),MATCH(F$111,'拌客源数据1-8月'!$1:$1,0))</f>
        <v>4636</v>
      </c>
      <c r="G115" s="40">
        <f>SUMIFS(INDEX('拌客源数据1-8月'!$1:$1048576,0,MATCH(G$111,'拌客源数据1-8月'!$1:$1,0)),'拌客源数据1-8月'!$I:$I,$B115)</f>
        <v>33744.82</v>
      </c>
      <c r="H115" s="40">
        <f>SUMIFS(INDEX('拌客源数据1-8月'!$1:$1048576,0,MATCH(H$111,'拌客源数据1-8月'!$1:$1,0)),'拌客源数据1-8月'!$I:$I,$B115)</f>
        <v>16639</v>
      </c>
      <c r="I115" s="40">
        <f>SUMIFS(INDEX('拌客源数据1-8月'!$1:$1048576,0,MATCH(I$111,'拌客源数据1-8月'!$1:$1,0)),'拌客源数据1-8月'!$I:$I,$B115)</f>
        <v>512</v>
      </c>
      <c r="J115" s="41"/>
      <c r="O115"/>
      <c r="P115"/>
      <c r="Q115"/>
      <c r="S115"/>
      <c r="T115"/>
      <c r="U115"/>
    </row>
    <row r="116" spans="2:26">
      <c r="B116" s="68" t="s">
        <v>25</v>
      </c>
      <c r="C116" s="69"/>
      <c r="D116" s="40" t="str">
        <f>INDEX('拌客源数据1-8月'!$1:$1048576,MATCH($B116,'拌客源数据1-8月'!$I:$I,0),MATCH(D$111,'拌客源数据1-8月'!$1:$1,0))</f>
        <v>8106681</v>
      </c>
      <c r="E116" s="40" t="str">
        <f>INDEX('拌客源数据1-8月'!$1:$1048576,MATCH($B116,'拌客源数据1-8月'!$I:$I,0),MATCH(E$111,'拌客源数据1-8月'!$1:$1,0))</f>
        <v>蛙小辣火锅杯（总账号）</v>
      </c>
      <c r="F116" s="40">
        <f>INDEX('拌客源数据1-8月'!$1:$1048576,MATCH($B116,'拌客源数据1-8月'!$I:$I,0),MATCH(F$111,'拌客源数据1-8月'!$1:$1,0))</f>
        <v>4636</v>
      </c>
      <c r="G116" s="40">
        <f>SUMIFS(INDEX('拌客源数据1-8月'!$1:$1048576,0,MATCH(G$111,'拌客源数据1-8月'!$1:$1,0)),'拌客源数据1-8月'!$I:$I,$B116)</f>
        <v>4313.57</v>
      </c>
      <c r="H116" s="40">
        <f>SUMIFS(INDEX('拌客源数据1-8月'!$1:$1048576,0,MATCH(H$111,'拌客源数据1-8月'!$1:$1,0)),'拌客源数据1-8月'!$I:$I,$B116)</f>
        <v>1975</v>
      </c>
      <c r="I116" s="40">
        <f>SUMIFS(INDEX('拌客源数据1-8月'!$1:$1048576,0,MATCH(I$111,'拌客源数据1-8月'!$1:$1,0)),'拌客源数据1-8月'!$I:$I,$B116)</f>
        <v>66</v>
      </c>
      <c r="J116" s="41"/>
      <c r="O116"/>
      <c r="P116"/>
      <c r="Q116"/>
      <c r="S116"/>
      <c r="T116"/>
      <c r="U116"/>
    </row>
    <row r="117" spans="2:26">
      <c r="B117" s="68" t="s">
        <v>34</v>
      </c>
      <c r="C117" s="69"/>
      <c r="D117" s="40" t="str">
        <f>INDEX('拌客源数据1-8月'!$1:$1048576,MATCH($B117,'拌客源数据1-8月'!$I:$I,0),MATCH(D$111,'拌客源数据1-8月'!$1:$1,0))</f>
        <v>8491999</v>
      </c>
      <c r="E117" s="40" t="str">
        <f>INDEX('拌客源数据1-8月'!$1:$1048576,MATCH($B117,'拌客源数据1-8月'!$I:$I,0),MATCH(E$111,'拌客源数据1-8月'!$1:$1,0))</f>
        <v>蛙小辣火锅杯（总账号）</v>
      </c>
      <c r="F117" s="40">
        <f>INDEX('拌客源数据1-8月'!$1:$1048576,MATCH($B117,'拌客源数据1-8月'!$I:$I,0),MATCH(F$111,'拌客源数据1-8月'!$1:$1,0))</f>
        <v>4636</v>
      </c>
      <c r="G117" s="40">
        <f>SUMIFS(INDEX('拌客源数据1-8月'!$1:$1048576,0,MATCH(G$111,'拌客源数据1-8月'!$1:$1,0)),'拌客源数据1-8月'!$I:$I,$B117)</f>
        <v>169975.03999999998</v>
      </c>
      <c r="H117" s="40">
        <f>SUMIFS(INDEX('拌客源数据1-8月'!$1:$1048576,0,MATCH(H$111,'拌客源数据1-8月'!$1:$1,0)),'拌客源数据1-8月'!$I:$I,$B117)</f>
        <v>94641</v>
      </c>
      <c r="I117" s="40">
        <f>SUMIFS(INDEX('拌客源数据1-8月'!$1:$1048576,0,MATCH(I$111,'拌客源数据1-8月'!$1:$1,0)),'拌客源数据1-8月'!$I:$I,$B117)</f>
        <v>2969</v>
      </c>
      <c r="J117" s="41"/>
      <c r="O117"/>
      <c r="P117"/>
      <c r="Q117"/>
      <c r="S117"/>
      <c r="T117"/>
      <c r="U117"/>
    </row>
    <row r="118" spans="2:26">
      <c r="B118" s="68" t="s">
        <v>33</v>
      </c>
      <c r="C118" s="69"/>
      <c r="D118" s="40" t="str">
        <f>INDEX('拌客源数据1-8月'!$1:$1048576,MATCH($B118,'拌客源数据1-8月'!$I:$I,0),MATCH(D$111,'拌客源数据1-8月'!$1:$1,0))</f>
        <v>8184590</v>
      </c>
      <c r="E118" s="40" t="str">
        <f>INDEX('拌客源数据1-8月'!$1:$1048576,MATCH($B118,'拌客源数据1-8月'!$I:$I,0),MATCH(E$111,'拌客源数据1-8月'!$1:$1,0))</f>
        <v>蛙小辣火锅杯（总账号）</v>
      </c>
      <c r="F118" s="40">
        <f>INDEX('拌客源数据1-8月'!$1:$1048576,MATCH($B118,'拌客源数据1-8月'!$I:$I,0),MATCH(F$111,'拌客源数据1-8月'!$1:$1,0))</f>
        <v>4636</v>
      </c>
      <c r="G118" s="40">
        <f>SUMIFS(INDEX('拌客源数据1-8月'!$1:$1048576,0,MATCH(G$111,'拌客源数据1-8月'!$1:$1,0)),'拌客源数据1-8月'!$I:$I,$B118)</f>
        <v>9368.7099999999973</v>
      </c>
      <c r="H118" s="40">
        <f>SUMIFS(INDEX('拌客源数据1-8月'!$1:$1048576,0,MATCH(H$111,'拌客源数据1-8月'!$1:$1,0)),'拌客源数据1-8月'!$I:$I,$B118)</f>
        <v>5293</v>
      </c>
      <c r="I118" s="40">
        <f>SUMIFS(INDEX('拌客源数据1-8月'!$1:$1048576,0,MATCH(I$111,'拌客源数据1-8月'!$1:$1,0)),'拌客源数据1-8月'!$I:$I,$B118)</f>
        <v>154</v>
      </c>
      <c r="J118" s="41"/>
      <c r="O118"/>
      <c r="P118"/>
      <c r="Q118"/>
      <c r="S118"/>
      <c r="T118"/>
      <c r="U118"/>
    </row>
    <row r="119" spans="2:26">
      <c r="B119" s="68" t="s">
        <v>35</v>
      </c>
      <c r="C119" s="69"/>
      <c r="D119" s="40" t="str">
        <f>INDEX('拌客源数据1-8月'!$1:$1048576,MATCH($B119,'拌客源数据1-8月'!$I:$I,0),MATCH(D$111,'拌客源数据1-8月'!$1:$1,0))</f>
        <v>2000507076</v>
      </c>
      <c r="E119" s="40" t="str">
        <f>INDEX('拌客源数据1-8月'!$1:$1048576,MATCH($B119,'拌客源数据1-8月'!$I:$I,0),MATCH(E$111,'拌客源数据1-8月'!$1:$1,0))</f>
        <v>蛙小辣火锅杯（总账号）</v>
      </c>
      <c r="F119" s="40">
        <f>INDEX('拌客源数据1-8月'!$1:$1048576,MATCH($B119,'拌客源数据1-8月'!$I:$I,0),MATCH(F$111,'拌客源数据1-8月'!$1:$1,0))</f>
        <v>4636</v>
      </c>
      <c r="G119" s="40">
        <f>SUMIFS(INDEX('拌客源数据1-8月'!$1:$1048576,0,MATCH(G$111,'拌客源数据1-8月'!$1:$1,0)),'拌客源数据1-8月'!$I:$I,$B119)</f>
        <v>784.71</v>
      </c>
      <c r="H119" s="40">
        <f>SUMIFS(INDEX('拌客源数据1-8月'!$1:$1048576,0,MATCH(H$111,'拌客源数据1-8月'!$1:$1,0)),'拌客源数据1-8月'!$I:$I,$B119)</f>
        <v>451</v>
      </c>
      <c r="I119" s="40">
        <f>SUMIFS(INDEX('拌客源数据1-8月'!$1:$1048576,0,MATCH(I$111,'拌客源数据1-8月'!$1:$1,0)),'拌客源数据1-8月'!$I:$I,$B119)</f>
        <v>11</v>
      </c>
      <c r="J119" s="41"/>
      <c r="O119"/>
      <c r="P119"/>
      <c r="Q119"/>
      <c r="S119"/>
      <c r="T119"/>
      <c r="U119"/>
    </row>
    <row r="120" spans="2:26">
      <c r="B120" s="68" t="s">
        <v>36</v>
      </c>
      <c r="C120" s="69"/>
      <c r="D120" s="40" t="str">
        <f>INDEX('拌客源数据1-8月'!$1:$1048576,MATCH($B120,'拌客源数据1-8月'!$I:$I,0),MATCH(D$111,'拌客源数据1-8月'!$1:$1,0))</f>
        <v>2000507076</v>
      </c>
      <c r="E120" s="40" t="str">
        <f>INDEX('拌客源数据1-8月'!$1:$1048576,MATCH($B120,'拌客源数据1-8月'!$I:$I,0),MATCH(E$111,'拌客源数据1-8月'!$1:$1,0))</f>
        <v>蛙小辣火锅杯（总账号）</v>
      </c>
      <c r="F120" s="40">
        <f>INDEX('拌客源数据1-8月'!$1:$1048576,MATCH($B120,'拌客源数据1-8月'!$I:$I,0),MATCH(F$111,'拌客源数据1-8月'!$1:$1,0))</f>
        <v>4636</v>
      </c>
      <c r="G120" s="40">
        <f>SUMIFS(INDEX('拌客源数据1-8月'!$1:$1048576,0,MATCH(G$111,'拌客源数据1-8月'!$1:$1,0)),'拌客源数据1-8月'!$I:$I,$B120)</f>
        <v>11932.99</v>
      </c>
      <c r="H120" s="40">
        <f>SUMIFS(INDEX('拌客源数据1-8月'!$1:$1048576,0,MATCH(H$111,'拌客源数据1-8月'!$1:$1,0)),'拌客源数据1-8月'!$I:$I,$B120)</f>
        <v>6566</v>
      </c>
      <c r="I120" s="40">
        <f>SUMIFS(INDEX('拌客源数据1-8月'!$1:$1048576,0,MATCH(I$111,'拌客源数据1-8月'!$1:$1,0)),'拌客源数据1-8月'!$I:$I,$B120)</f>
        <v>167</v>
      </c>
      <c r="J120" s="41"/>
      <c r="O120"/>
      <c r="P120" s="59" t="s">
        <v>135</v>
      </c>
      <c r="Q120" t="s">
        <v>137</v>
      </c>
      <c r="R120"/>
      <c r="S120"/>
      <c r="T120"/>
      <c r="U120"/>
    </row>
    <row r="121" spans="2:26">
      <c r="B121" s="68" t="s">
        <v>37</v>
      </c>
      <c r="C121" s="69"/>
      <c r="D121" s="40" t="str">
        <f>INDEX('拌客源数据1-8月'!$1:$1048576,MATCH($B121,'拌客源数据1-8月'!$I:$I,0),MATCH(D$111,'拌客源数据1-8月'!$1:$1,0))</f>
        <v>2001104355</v>
      </c>
      <c r="E121" s="40" t="str">
        <f>INDEX('拌客源数据1-8月'!$1:$1048576,MATCH($B121,'拌客源数据1-8月'!$I:$I,0),MATCH(E$111,'拌客源数据1-8月'!$1:$1,0))</f>
        <v>蛙小辣火锅杯（总账号）</v>
      </c>
      <c r="F121" s="40">
        <f>INDEX('拌客源数据1-8月'!$1:$1048576,MATCH($B121,'拌客源数据1-8月'!$I:$I,0),MATCH(F$111,'拌客源数据1-8月'!$1:$1,0))</f>
        <v>4636</v>
      </c>
      <c r="G121" s="40">
        <f>SUMIFS(INDEX('拌客源数据1-8月'!$1:$1048576,0,MATCH(G$111,'拌客源数据1-8月'!$1:$1,0)),'拌客源数据1-8月'!$I:$I,$B121)</f>
        <v>157511.31999999995</v>
      </c>
      <c r="H121" s="40">
        <f>SUMIFS(INDEX('拌客源数据1-8月'!$1:$1048576,0,MATCH(H$111,'拌客源数据1-8月'!$1:$1,0)),'拌客源数据1-8月'!$I:$I,$B121)</f>
        <v>84391</v>
      </c>
      <c r="I121" s="40">
        <f>SUMIFS(INDEX('拌客源数据1-8月'!$1:$1048576,0,MATCH(I$111,'拌客源数据1-8月'!$1:$1,0)),'拌客源数据1-8月'!$I:$I,$B121)</f>
        <v>2362</v>
      </c>
      <c r="J121" s="41"/>
      <c r="O121"/>
      <c r="P121" s="60" t="s">
        <v>45</v>
      </c>
      <c r="Q121" s="61">
        <v>60286.000000000022</v>
      </c>
      <c r="R121"/>
      <c r="S121"/>
      <c r="T121"/>
      <c r="U121"/>
    </row>
    <row r="122" spans="2:26">
      <c r="B122" s="68" t="s">
        <v>38</v>
      </c>
      <c r="C122" s="69"/>
      <c r="D122" s="40" t="str">
        <f>INDEX('拌客源数据1-8月'!$1:$1048576,MATCH($B122,'拌客源数据1-8月'!$I:$I,0),MATCH(D$111,'拌客源数据1-8月'!$1:$1,0))</f>
        <v>2000507076</v>
      </c>
      <c r="E122" s="40" t="str">
        <f>INDEX('拌客源数据1-8月'!$1:$1048576,MATCH($B122,'拌客源数据1-8月'!$I:$I,0),MATCH(E$111,'拌客源数据1-8月'!$1:$1,0))</f>
        <v>蛙小辣火锅杯（总账号）</v>
      </c>
      <c r="F122" s="40">
        <f>INDEX('拌客源数据1-8月'!$1:$1048576,MATCH($B122,'拌客源数据1-8月'!$I:$I,0),MATCH(F$111,'拌客源数据1-8月'!$1:$1,0))</f>
        <v>4636</v>
      </c>
      <c r="G122" s="40">
        <f>SUMIFS(INDEX('拌客源数据1-8月'!$1:$1048576,0,MATCH(G$111,'拌客源数据1-8月'!$1:$1,0)),'拌客源数据1-8月'!$I:$I,$B122)</f>
        <v>13823.480000000001</v>
      </c>
      <c r="H122" s="40">
        <f>SUMIFS(INDEX('拌客源数据1-8月'!$1:$1048576,0,MATCH(H$111,'拌客源数据1-8月'!$1:$1,0)),'拌客源数据1-8月'!$I:$I,$B122)</f>
        <v>7577</v>
      </c>
      <c r="I122" s="40">
        <f>SUMIFS(INDEX('拌客源数据1-8月'!$1:$1048576,0,MATCH(I$111,'拌客源数据1-8月'!$1:$1,0)),'拌客源数据1-8月'!$I:$I,$B122)</f>
        <v>205</v>
      </c>
      <c r="J122" s="41"/>
      <c r="O122"/>
      <c r="P122" s="60" t="s">
        <v>46</v>
      </c>
      <c r="Q122" s="61">
        <v>273854.58</v>
      </c>
      <c r="R122"/>
      <c r="S122"/>
      <c r="T122"/>
      <c r="U122"/>
    </row>
    <row r="123" spans="2:26">
      <c r="B123" s="68" t="s">
        <v>39</v>
      </c>
      <c r="C123" s="69"/>
      <c r="D123" s="40" t="str">
        <f>INDEX('拌客源数据1-8月'!$1:$1048576,MATCH($B123,'拌客源数据1-8月'!$I:$I,0),MATCH(D$111,'拌客源数据1-8月'!$1:$1,0))</f>
        <v>8184590</v>
      </c>
      <c r="E123" s="40" t="str">
        <f>INDEX('拌客源数据1-8月'!$1:$1048576,MATCH($B123,'拌客源数据1-8月'!$I:$I,0),MATCH(E$111,'拌客源数据1-8月'!$1:$1,0))</f>
        <v>蛙小辣火锅杯（总账号）</v>
      </c>
      <c r="F123" s="40">
        <f>INDEX('拌客源数据1-8月'!$1:$1048576,MATCH($B123,'拌客源数据1-8月'!$I:$I,0),MATCH(F$111,'拌客源数据1-8月'!$1:$1,0))</f>
        <v>4636</v>
      </c>
      <c r="G123" s="40">
        <f>SUMIFS(INDEX('拌客源数据1-8月'!$1:$1048576,0,MATCH(G$111,'拌客源数据1-8月'!$1:$1,0)),'拌客源数据1-8月'!$I:$I,$B123)</f>
        <v>682.13</v>
      </c>
      <c r="H123" s="40">
        <f>SUMIFS(INDEX('拌客源数据1-8月'!$1:$1048576,0,MATCH(H$111,'拌客源数据1-8月'!$1:$1,0)),'拌客源数据1-8月'!$I:$I,$B123)</f>
        <v>300</v>
      </c>
      <c r="I123" s="40">
        <f>SUMIFS(INDEX('拌客源数据1-8月'!$1:$1048576,0,MATCH(I$111,'拌客源数据1-8月'!$1:$1,0)),'拌客源数据1-8月'!$I:$I,$B123)</f>
        <v>8</v>
      </c>
      <c r="J123" s="41"/>
      <c r="O123"/>
      <c r="P123" s="60" t="s">
        <v>44</v>
      </c>
      <c r="Q123" s="61">
        <v>6452.04</v>
      </c>
      <c r="R123"/>
      <c r="S123"/>
      <c r="T123"/>
      <c r="U123"/>
    </row>
    <row r="124" spans="2:26">
      <c r="B124" s="68" t="s">
        <v>41</v>
      </c>
      <c r="C124" s="69"/>
      <c r="D124" s="40" t="str">
        <f>INDEX('拌客源数据1-8月'!$1:$1048576,MATCH($B124,'拌客源数据1-8月'!$I:$I,0),MATCH(D$111,'拌客源数据1-8月'!$1:$1,0))</f>
        <v>337460136</v>
      </c>
      <c r="E124" s="40" t="str">
        <f>INDEX('拌客源数据1-8月'!$1:$1048576,MATCH($B124,'拌客源数据1-8月'!$I:$I,0),MATCH(E$111,'拌客源数据1-8月'!$1:$1,0))</f>
        <v>拌客（武宁路店）</v>
      </c>
      <c r="F124" s="40">
        <f>INDEX('拌客源数据1-8月'!$1:$1048576,MATCH($B124,'拌客源数据1-8月'!$I:$I,0),MATCH(F$111,'拌客源数据1-8月'!$1:$1,0))</f>
        <v>6108</v>
      </c>
      <c r="G124" s="40">
        <f>SUMIFS(INDEX('拌客源数据1-8月'!$1:$1048576,0,MATCH(G$111,'拌客源数据1-8月'!$1:$1,0)),'拌客源数据1-8月'!$I:$I,$B124)</f>
        <v>3913.76</v>
      </c>
      <c r="H124" s="40">
        <f>SUMIFS(INDEX('拌客源数据1-8月'!$1:$1048576,0,MATCH(H$111,'拌客源数据1-8月'!$1:$1,0)),'拌客源数据1-8月'!$I:$I,$B124)</f>
        <v>1863</v>
      </c>
      <c r="I124" s="40">
        <f>SUMIFS(INDEX('拌客源数据1-8月'!$1:$1048576,0,MATCH(I$111,'拌客源数据1-8月'!$1:$1,0)),'拌客源数据1-8月'!$I:$I,$B124)</f>
        <v>72</v>
      </c>
      <c r="J124" s="41"/>
      <c r="O124"/>
      <c r="P124" s="60" t="s">
        <v>50</v>
      </c>
      <c r="Q124" s="61">
        <v>425745.45999999996</v>
      </c>
      <c r="R124"/>
      <c r="S124"/>
      <c r="T124"/>
      <c r="U124"/>
    </row>
    <row r="125" spans="2:26">
      <c r="B125" s="68" t="s">
        <v>42</v>
      </c>
      <c r="C125" s="69"/>
      <c r="D125" s="40" t="str">
        <f>INDEX('拌客源数据1-8月'!$1:$1048576,MATCH($B125,'拌客源数据1-8月'!$I:$I,0),MATCH(D$111,'拌客源数据1-8月'!$1:$1,0))</f>
        <v>337460136</v>
      </c>
      <c r="E125" s="40" t="str">
        <f>INDEX('拌客源数据1-8月'!$1:$1048576,MATCH($B125,'拌客源数据1-8月'!$I:$I,0),MATCH(E$111,'拌客源数据1-8月'!$1:$1,0))</f>
        <v>拌客（武宁路店）</v>
      </c>
      <c r="F125" s="40">
        <f>INDEX('拌客源数据1-8月'!$1:$1048576,MATCH($B125,'拌客源数据1-8月'!$I:$I,0),MATCH(F$111,'拌客源数据1-8月'!$1:$1,0))</f>
        <v>6108</v>
      </c>
      <c r="G125" s="40">
        <f>SUMIFS(INDEX('拌客源数据1-8月'!$1:$1048576,0,MATCH(G$111,'拌客源数据1-8月'!$1:$1,0)),'拌客源数据1-8月'!$I:$I,$B125)</f>
        <v>421831.69999999995</v>
      </c>
      <c r="H125" s="40">
        <f>SUMIFS(INDEX('拌客源数据1-8月'!$1:$1048576,0,MATCH(H$111,'拌客源数据1-8月'!$1:$1,0)),'拌客源数据1-8月'!$I:$I,$B125)</f>
        <v>230311</v>
      </c>
      <c r="I125" s="40">
        <f>SUMIFS(INDEX('拌客源数据1-8月'!$1:$1048576,0,MATCH(I$111,'拌客源数据1-8月'!$1:$1,0)),'拌客源数据1-8月'!$I:$I,$B125)</f>
        <v>8314</v>
      </c>
      <c r="J125" s="41"/>
      <c r="O125"/>
      <c r="P125" s="60" t="s">
        <v>48</v>
      </c>
      <c r="Q125" s="61">
        <v>4313.57</v>
      </c>
      <c r="R125"/>
      <c r="S125"/>
      <c r="T125"/>
      <c r="U125"/>
    </row>
    <row r="126" spans="2:26">
      <c r="B126" s="68" t="s">
        <v>43</v>
      </c>
      <c r="C126" s="69"/>
      <c r="D126" s="40" t="str">
        <f>INDEX('拌客源数据1-8月'!$1:$1048576,MATCH($B126,'拌客源数据1-8月'!$I:$I,0),MATCH(D$111,'拌客源数据1-8月'!$1:$1,0))</f>
        <v>9428110</v>
      </c>
      <c r="E126" s="40" t="str">
        <f>INDEX('拌客源数据1-8月'!$1:$1048576,MATCH($B126,'拌客源数据1-8月'!$I:$I,0),MATCH(E$111,'拌客源数据1-8月'!$1:$1,0))</f>
        <v>拌客（武宁路店）</v>
      </c>
      <c r="F126" s="40">
        <f>INDEX('拌客源数据1-8月'!$1:$1048576,MATCH($B126,'拌客源数据1-8月'!$I:$I,0),MATCH(F$111,'拌客源数据1-8月'!$1:$1,0))</f>
        <v>6108</v>
      </c>
      <c r="G126" s="40">
        <f>SUMIFS(INDEX('拌客源数据1-8月'!$1:$1048576,0,MATCH(G$111,'拌客源数据1-8月'!$1:$1,0)),'拌客源数据1-8月'!$I:$I,$B126)</f>
        <v>114007.74</v>
      </c>
      <c r="H126" s="40">
        <f>SUMIFS(INDEX('拌客源数据1-8月'!$1:$1048576,0,MATCH(H$111,'拌客源数据1-8月'!$1:$1,0)),'拌客源数据1-8月'!$I:$I,$B126)</f>
        <v>64866</v>
      </c>
      <c r="I126" s="40">
        <f>SUMIFS(INDEX('拌客源数据1-8月'!$1:$1048576,0,MATCH(I$111,'拌客源数据1-8月'!$1:$1,0)),'拌客源数据1-8月'!$I:$I,$B126)</f>
        <v>2329</v>
      </c>
      <c r="J126" s="41"/>
      <c r="O126"/>
      <c r="P126" s="60" t="s">
        <v>47</v>
      </c>
      <c r="Q126" s="61">
        <v>16838.82</v>
      </c>
      <c r="R126"/>
      <c r="S126"/>
      <c r="T126"/>
      <c r="U126"/>
    </row>
    <row r="127" spans="2:26">
      <c r="B127" s="52"/>
      <c r="C127" s="52"/>
      <c r="D127" s="41"/>
      <c r="E127" s="41"/>
      <c r="F127" s="41"/>
      <c r="G127" s="41"/>
      <c r="P127" s="60" t="s">
        <v>49</v>
      </c>
      <c r="Q127" s="61">
        <v>169975.03999999998</v>
      </c>
      <c r="R127"/>
    </row>
    <row r="128" spans="2:26">
      <c r="B128" s="52"/>
      <c r="C128" s="52"/>
      <c r="D128" s="41"/>
      <c r="E128" s="41"/>
      <c r="F128" s="41"/>
      <c r="G128" s="41"/>
      <c r="P128" s="60" t="s">
        <v>51</v>
      </c>
      <c r="Q128" s="61">
        <v>114007.74</v>
      </c>
      <c r="R128"/>
    </row>
    <row r="129" spans="2:18">
      <c r="B129" s="52"/>
      <c r="C129" s="52"/>
      <c r="D129" s="41"/>
      <c r="E129" s="41"/>
      <c r="F129" s="41"/>
      <c r="G129" s="41"/>
      <c r="P129" s="60" t="s">
        <v>136</v>
      </c>
      <c r="Q129" s="61">
        <v>1071473.2499999998</v>
      </c>
      <c r="R129"/>
    </row>
    <row r="130" spans="2:18">
      <c r="B130" s="52"/>
      <c r="C130" s="52"/>
      <c r="D130" s="41"/>
      <c r="E130" s="41"/>
      <c r="F130" s="41"/>
      <c r="G130" s="41"/>
      <c r="P130"/>
      <c r="Q130"/>
      <c r="R130"/>
    </row>
    <row r="131" spans="2:18">
      <c r="B131" s="52"/>
      <c r="C131" s="52"/>
      <c r="D131" s="41"/>
      <c r="E131" s="41"/>
      <c r="F131" s="41"/>
      <c r="G131" s="41"/>
      <c r="P131"/>
      <c r="Q131"/>
      <c r="R131"/>
    </row>
    <row r="132" spans="2:18">
      <c r="P132"/>
      <c r="Q132"/>
      <c r="R132"/>
    </row>
    <row r="133" spans="2:18">
      <c r="P133"/>
      <c r="Q133"/>
      <c r="R133"/>
    </row>
    <row r="134" spans="2:18">
      <c r="P134"/>
      <c r="Q134"/>
      <c r="R134"/>
    </row>
    <row r="135" spans="2:18">
      <c r="P135"/>
      <c r="Q135"/>
      <c r="R135"/>
    </row>
    <row r="136" spans="2:18">
      <c r="P136"/>
      <c r="Q136"/>
      <c r="R136"/>
    </row>
    <row r="137" spans="2:18">
      <c r="P137"/>
      <c r="Q137"/>
      <c r="R137"/>
    </row>
  </sheetData>
  <phoneticPr fontId="18" type="noConversion"/>
  <pageMargins left="0.7" right="0.7" top="0.75" bottom="0.75" header="0.3" footer="0.3"/>
  <pageSetup paperSize="9"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E606-8748-4B25-868B-39312967869E}">
  <sheetPr>
    <tabColor rgb="FFFFC000"/>
  </sheetPr>
  <dimension ref="A1:K32"/>
  <sheetViews>
    <sheetView topLeftCell="A3" workbookViewId="0">
      <selection activeCell="G7" sqref="G7:H7"/>
    </sheetView>
    <sheetView workbookViewId="1"/>
  </sheetViews>
  <sheetFormatPr baseColWidth="10" defaultColWidth="9" defaultRowHeight="18"/>
  <cols>
    <col min="1" max="1" width="13.83203125" style="2" bestFit="1" customWidth="1"/>
    <col min="2" max="2" width="12.5" style="2" customWidth="1"/>
    <col min="3" max="3" width="12.5" style="2" bestFit="1" customWidth="1"/>
    <col min="4" max="4" width="13.1640625" style="2" customWidth="1"/>
    <col min="5" max="5" width="11.33203125" style="2" bestFit="1" customWidth="1"/>
    <col min="6" max="6" width="11.83203125" style="2" customWidth="1"/>
    <col min="7" max="7" width="11.1640625" style="2" bestFit="1" customWidth="1"/>
    <col min="8" max="8" width="11.5" style="2" bestFit="1" customWidth="1"/>
    <col min="9" max="9" width="11.6640625" style="2" bestFit="1" customWidth="1"/>
    <col min="10" max="16384" width="9" style="2"/>
  </cols>
  <sheetData>
    <row r="1" spans="1:11">
      <c r="A1" s="2" t="s">
        <v>56</v>
      </c>
      <c r="B1" s="36">
        <f>$A$13</f>
        <v>44053</v>
      </c>
      <c r="C1" s="24" t="s">
        <v>77</v>
      </c>
      <c r="D1" s="36">
        <f>$A$19</f>
        <v>44059</v>
      </c>
    </row>
    <row r="2" spans="1:11">
      <c r="A2" s="80" t="s">
        <v>57</v>
      </c>
      <c r="B2" s="81"/>
      <c r="C2" s="81"/>
      <c r="D2" s="81"/>
      <c r="E2" s="81"/>
      <c r="F2" s="81"/>
      <c r="G2" s="81"/>
      <c r="H2" s="81"/>
    </row>
    <row r="3" spans="1:11">
      <c r="A3" s="81"/>
      <c r="B3" s="81"/>
      <c r="C3" s="81"/>
      <c r="D3" s="81"/>
      <c r="E3" s="81"/>
      <c r="F3" s="81"/>
      <c r="G3" s="81"/>
      <c r="H3" s="81"/>
    </row>
    <row r="4" spans="1:11" ht="19" thickBot="1">
      <c r="A4" s="3" t="s">
        <v>58</v>
      </c>
    </row>
    <row r="5" spans="1:11">
      <c r="A5" s="4" t="s">
        <v>59</v>
      </c>
      <c r="B5" s="5"/>
      <c r="C5" s="4" t="s">
        <v>60</v>
      </c>
      <c r="D5" s="5"/>
      <c r="E5" s="4" t="s">
        <v>61</v>
      </c>
      <c r="F5" s="5"/>
      <c r="G5" s="6" t="s">
        <v>62</v>
      </c>
      <c r="H5" s="7" t="s">
        <v>22</v>
      </c>
    </row>
    <row r="6" spans="1:11">
      <c r="A6" s="8">
        <f>$C$32</f>
        <v>8816</v>
      </c>
      <c r="B6" s="4"/>
      <c r="C6" s="9">
        <f>SUM($D$25:$D$31)/$A$6</f>
        <v>7.8266787658802184E-2</v>
      </c>
      <c r="D6" s="4"/>
      <c r="E6" s="9">
        <f>G32</f>
        <v>0.2144927536231884</v>
      </c>
      <c r="F6" s="4"/>
      <c r="G6" s="82" t="s">
        <v>63</v>
      </c>
      <c r="H6" s="83"/>
    </row>
    <row r="7" spans="1:11">
      <c r="A7" s="3" t="s">
        <v>64</v>
      </c>
      <c r="G7" s="84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0.2691635</v>
      </c>
      <c r="H7" s="85"/>
      <c r="I7" s="10"/>
      <c r="K7" s="63"/>
    </row>
    <row r="8" spans="1:11" ht="19" thickBot="1">
      <c r="A8" s="4" t="s">
        <v>53</v>
      </c>
      <c r="B8" s="5"/>
      <c r="C8" s="4" t="s">
        <v>54</v>
      </c>
      <c r="D8" s="5"/>
      <c r="E8" s="4" t="s">
        <v>65</v>
      </c>
      <c r="F8" s="5"/>
      <c r="G8" s="11" t="s">
        <v>66</v>
      </c>
      <c r="H8" s="12">
        <f>IF($H$5="全部",200000,IF($H$5="美团",100000,50000))</f>
        <v>100000</v>
      </c>
    </row>
    <row r="9" spans="1:11">
      <c r="A9" s="8">
        <f>F20</f>
        <v>153</v>
      </c>
      <c r="B9" s="13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-0.28169014084507038</v>
      </c>
      <c r="C9" s="8">
        <f>D20</f>
        <v>2821.92</v>
      </c>
      <c r="D9" s="13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-0.29393219855529717</v>
      </c>
      <c r="E9" s="14">
        <f>'大厂周报-完成版'!E20</f>
        <v>0.34956420915978337</v>
      </c>
      <c r="F9" s="13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-4.1556642486674233E-3</v>
      </c>
      <c r="I9" s="15"/>
    </row>
    <row r="11" spans="1:11">
      <c r="A11" s="16" t="s">
        <v>67</v>
      </c>
      <c r="B11" s="17"/>
      <c r="C11" s="17" t="s">
        <v>68</v>
      </c>
      <c r="D11" s="17"/>
      <c r="E11" s="17"/>
      <c r="F11" s="17"/>
      <c r="G11" s="17"/>
      <c r="H11" s="18"/>
    </row>
    <row r="12" spans="1:11">
      <c r="A12" s="19" t="s">
        <v>69</v>
      </c>
      <c r="B12" s="20" t="s">
        <v>70</v>
      </c>
      <c r="C12" s="20" t="s">
        <v>55</v>
      </c>
      <c r="D12" s="20" t="s">
        <v>54</v>
      </c>
      <c r="E12" s="20" t="s">
        <v>65</v>
      </c>
      <c r="F12" s="20" t="s">
        <v>53</v>
      </c>
      <c r="G12" s="20" t="s">
        <v>52</v>
      </c>
      <c r="H12" s="21" t="s">
        <v>71</v>
      </c>
    </row>
    <row r="13" spans="1:11">
      <c r="A13" s="22">
        <v>44053</v>
      </c>
      <c r="B13" s="23">
        <f>A13</f>
        <v>44053</v>
      </c>
      <c r="C13" s="64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1538.37</v>
      </c>
      <c r="D13" s="64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499.98</v>
      </c>
      <c r="E13" s="25">
        <f>D13/C13</f>
        <v>0.3250063378771037</v>
      </c>
      <c r="F13" s="24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30</v>
      </c>
      <c r="G13" s="24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0</v>
      </c>
      <c r="H13" s="26">
        <f>C13/F13</f>
        <v>51.278999999999996</v>
      </c>
    </row>
    <row r="14" spans="1:11">
      <c r="A14" s="22">
        <f t="shared" ref="A14:A19" si="0">A13+1</f>
        <v>44054</v>
      </c>
      <c r="B14" s="23">
        <f t="shared" ref="B14:B19" si="1">A14</f>
        <v>44054</v>
      </c>
      <c r="C14" s="64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1252.93</v>
      </c>
      <c r="D14" s="64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419.83</v>
      </c>
      <c r="E14" s="25">
        <f t="shared" ref="E14:E20" si="2">D14/C14</f>
        <v>0.33507857581828193</v>
      </c>
      <c r="F14" s="24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26</v>
      </c>
      <c r="G14" s="24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0</v>
      </c>
      <c r="H14" s="26">
        <f t="shared" ref="H14:H19" si="3">C14/F14</f>
        <v>48.189615384615387</v>
      </c>
    </row>
    <row r="15" spans="1:11">
      <c r="A15" s="22">
        <f t="shared" si="0"/>
        <v>44055</v>
      </c>
      <c r="B15" s="23">
        <f t="shared" si="1"/>
        <v>44055</v>
      </c>
      <c r="C15" s="64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911.86</v>
      </c>
      <c r="D15" s="64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346.44</v>
      </c>
      <c r="E15" s="25">
        <f t="shared" si="2"/>
        <v>0.37992674314039437</v>
      </c>
      <c r="F15" s="24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15</v>
      </c>
      <c r="G15" s="24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1</v>
      </c>
      <c r="H15" s="26">
        <f t="shared" si="3"/>
        <v>60.790666666666667</v>
      </c>
    </row>
    <row r="16" spans="1:11">
      <c r="A16" s="22">
        <f t="shared" si="0"/>
        <v>44056</v>
      </c>
      <c r="B16" s="23">
        <f t="shared" si="1"/>
        <v>44056</v>
      </c>
      <c r="C16" s="64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1054.44</v>
      </c>
      <c r="D16" s="64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347.98</v>
      </c>
      <c r="E16" s="25">
        <f t="shared" si="2"/>
        <v>0.33001403588634726</v>
      </c>
      <c r="F16" s="24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21</v>
      </c>
      <c r="G16" s="24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0</v>
      </c>
      <c r="H16" s="26">
        <f t="shared" si="3"/>
        <v>50.211428571428577</v>
      </c>
    </row>
    <row r="17" spans="1:8">
      <c r="A17" s="22">
        <f t="shared" si="0"/>
        <v>44057</v>
      </c>
      <c r="B17" s="23">
        <f t="shared" si="1"/>
        <v>44057</v>
      </c>
      <c r="C17" s="64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1011.71</v>
      </c>
      <c r="D17" s="64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356.41</v>
      </c>
      <c r="E17" s="25">
        <f t="shared" si="2"/>
        <v>0.35228474562868806</v>
      </c>
      <c r="F17" s="24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18</v>
      </c>
      <c r="G17" s="24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1</v>
      </c>
      <c r="H17" s="26">
        <f t="shared" si="3"/>
        <v>56.206111111111113</v>
      </c>
    </row>
    <row r="18" spans="1:8">
      <c r="A18" s="22">
        <f t="shared" si="0"/>
        <v>44058</v>
      </c>
      <c r="B18" s="23">
        <f t="shared" si="1"/>
        <v>44058</v>
      </c>
      <c r="C18" s="64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1139.3499999999999</v>
      </c>
      <c r="D18" s="64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414.91</v>
      </c>
      <c r="E18" s="25">
        <f t="shared" si="2"/>
        <v>0.36416377759248697</v>
      </c>
      <c r="F18" s="24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22</v>
      </c>
      <c r="G18" s="24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26">
        <f t="shared" si="3"/>
        <v>51.788636363636357</v>
      </c>
    </row>
    <row r="19" spans="1:8">
      <c r="A19" s="27">
        <f t="shared" si="0"/>
        <v>44059</v>
      </c>
      <c r="B19" s="28">
        <f t="shared" si="1"/>
        <v>44059</v>
      </c>
      <c r="C19" s="65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1164.02</v>
      </c>
      <c r="D19" s="65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436.37</v>
      </c>
      <c r="E19" s="30">
        <f t="shared" si="2"/>
        <v>0.37488187488187491</v>
      </c>
      <c r="F19" s="29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21</v>
      </c>
      <c r="G19" s="29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1</v>
      </c>
      <c r="H19" s="31">
        <f t="shared" si="3"/>
        <v>55.429523809523808</v>
      </c>
    </row>
    <row r="20" spans="1:8">
      <c r="A20" s="24" t="s">
        <v>72</v>
      </c>
      <c r="B20" s="23"/>
      <c r="C20" s="64">
        <f>SUM(C13:C19)</f>
        <v>8072.68</v>
      </c>
      <c r="D20" s="64">
        <f>SUM(D13:D19)</f>
        <v>2821.92</v>
      </c>
      <c r="E20" s="25">
        <f t="shared" si="2"/>
        <v>0.34956420915978337</v>
      </c>
      <c r="F20" s="24">
        <f>SUM(F13:F19)</f>
        <v>153</v>
      </c>
      <c r="G20" s="24">
        <f>SUM(G13:G19)</f>
        <v>3</v>
      </c>
      <c r="H20" s="32">
        <f>C20/F20</f>
        <v>52.762614379084972</v>
      </c>
    </row>
    <row r="23" spans="1:8">
      <c r="A23" s="16" t="s">
        <v>73</v>
      </c>
      <c r="B23" s="17"/>
      <c r="C23" s="17" t="s">
        <v>68</v>
      </c>
      <c r="D23" s="17"/>
      <c r="E23" s="17"/>
      <c r="F23" s="17"/>
      <c r="G23" s="17"/>
      <c r="H23" s="18"/>
    </row>
    <row r="24" spans="1:8">
      <c r="A24" s="19" t="s">
        <v>69</v>
      </c>
      <c r="B24" s="20" t="s">
        <v>70</v>
      </c>
      <c r="C24" s="20" t="s">
        <v>59</v>
      </c>
      <c r="D24" s="20" t="s">
        <v>74</v>
      </c>
      <c r="E24" s="20" t="s">
        <v>60</v>
      </c>
      <c r="F24" s="20" t="s">
        <v>75</v>
      </c>
      <c r="G24" s="20" t="s">
        <v>61</v>
      </c>
      <c r="H24" s="21" t="s">
        <v>76</v>
      </c>
    </row>
    <row r="25" spans="1:8">
      <c r="A25" s="22">
        <f>A13</f>
        <v>44053</v>
      </c>
      <c r="B25" s="23">
        <f>A25</f>
        <v>44053</v>
      </c>
      <c r="C25" s="24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1372</v>
      </c>
      <c r="D25" s="24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111</v>
      </c>
      <c r="E25" s="25">
        <f>D25/C25</f>
        <v>8.0903790087463553E-2</v>
      </c>
      <c r="F25" s="24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26</v>
      </c>
      <c r="G25" s="25">
        <f>F25/D25</f>
        <v>0.23423423423423423</v>
      </c>
      <c r="H25" s="33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$C13</f>
        <v>5.2003094184103961E-2</v>
      </c>
    </row>
    <row r="26" spans="1:8">
      <c r="A26" s="22">
        <f t="shared" ref="A26:A31" si="4">A14</f>
        <v>44054</v>
      </c>
      <c r="B26" s="23">
        <f t="shared" ref="B26:B31" si="5">A26</f>
        <v>44054</v>
      </c>
      <c r="C26" s="24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1123</v>
      </c>
      <c r="D26" s="24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97</v>
      </c>
      <c r="E26" s="25">
        <f t="shared" ref="E26:E31" si="6">D26/C26</f>
        <v>8.637577916295637E-2</v>
      </c>
      <c r="F26" s="24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25</v>
      </c>
      <c r="G26" s="25">
        <f t="shared" ref="G26:G31" si="7">F26/D26</f>
        <v>0.25773195876288657</v>
      </c>
      <c r="H26" s="33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$C14</f>
        <v>6.3850334815193185E-2</v>
      </c>
    </row>
    <row r="27" spans="1:8">
      <c r="A27" s="22">
        <f t="shared" si="4"/>
        <v>44055</v>
      </c>
      <c r="B27" s="23">
        <f t="shared" si="5"/>
        <v>44055</v>
      </c>
      <c r="C27" s="24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1019</v>
      </c>
      <c r="D27" s="24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92</v>
      </c>
      <c r="E27" s="25">
        <f t="shared" si="6"/>
        <v>9.0284592737978411E-2</v>
      </c>
      <c r="F27" s="24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16</v>
      </c>
      <c r="G27" s="25">
        <f t="shared" si="7"/>
        <v>0.17391304347826086</v>
      </c>
      <c r="H27" s="33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$C15</f>
        <v>7.2818195775667324E-2</v>
      </c>
    </row>
    <row r="28" spans="1:8">
      <c r="A28" s="22">
        <f t="shared" si="4"/>
        <v>44056</v>
      </c>
      <c r="B28" s="23">
        <f t="shared" si="5"/>
        <v>44056</v>
      </c>
      <c r="C28" s="24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1122</v>
      </c>
      <c r="D28" s="24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87</v>
      </c>
      <c r="E28" s="25">
        <f t="shared" si="6"/>
        <v>7.7540106951871662E-2</v>
      </c>
      <c r="F28" s="24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21</v>
      </c>
      <c r="G28" s="25">
        <f t="shared" si="7"/>
        <v>0.2413793103448276</v>
      </c>
      <c r="H28" s="33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$C16</f>
        <v>5.5726262281400547E-2</v>
      </c>
    </row>
    <row r="29" spans="1:8">
      <c r="A29" s="22">
        <f t="shared" si="4"/>
        <v>44057</v>
      </c>
      <c r="B29" s="23">
        <f t="shared" si="5"/>
        <v>44057</v>
      </c>
      <c r="C29" s="24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1281</v>
      </c>
      <c r="D29" s="24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94</v>
      </c>
      <c r="E29" s="25">
        <f t="shared" si="6"/>
        <v>7.3380171740827477E-2</v>
      </c>
      <c r="F29" s="24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18</v>
      </c>
      <c r="G29" s="25">
        <f t="shared" si="7"/>
        <v>0.19148936170212766</v>
      </c>
      <c r="H29" s="33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$C17</f>
        <v>6.6105899912030114E-2</v>
      </c>
    </row>
    <row r="30" spans="1:8">
      <c r="A30" s="22">
        <f t="shared" si="4"/>
        <v>44058</v>
      </c>
      <c r="B30" s="23">
        <f t="shared" si="5"/>
        <v>44058</v>
      </c>
      <c r="C30" s="24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1467</v>
      </c>
      <c r="D30" s="24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109</v>
      </c>
      <c r="E30" s="25">
        <f t="shared" si="6"/>
        <v>7.4301295160190864E-2</v>
      </c>
      <c r="F30" s="24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22</v>
      </c>
      <c r="G30" s="25">
        <f t="shared" si="7"/>
        <v>0.20183486238532111</v>
      </c>
      <c r="H30" s="33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$C18</f>
        <v>6.6994338877430115E-2</v>
      </c>
    </row>
    <row r="31" spans="1:8">
      <c r="A31" s="27">
        <f t="shared" si="4"/>
        <v>44059</v>
      </c>
      <c r="B31" s="28">
        <f t="shared" si="5"/>
        <v>44059</v>
      </c>
      <c r="C31" s="29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1432</v>
      </c>
      <c r="D31" s="29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100</v>
      </c>
      <c r="E31" s="30">
        <f t="shared" si="6"/>
        <v>6.9832402234636867E-2</v>
      </c>
      <c r="F31" s="29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20</v>
      </c>
      <c r="G31" s="30">
        <f t="shared" si="7"/>
        <v>0.2</v>
      </c>
      <c r="H31" s="34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$C19</f>
        <v>4.0497585952131411E-2</v>
      </c>
    </row>
    <row r="32" spans="1:8">
      <c r="A32" s="24" t="s">
        <v>72</v>
      </c>
      <c r="B32" s="24"/>
      <c r="C32" s="24">
        <f>SUM(C25:C31)</f>
        <v>8816</v>
      </c>
      <c r="D32" s="24">
        <f>SUM(D25:D31)</f>
        <v>690</v>
      </c>
      <c r="E32" s="35">
        <f>D32/C32</f>
        <v>7.8266787658802184E-2</v>
      </c>
      <c r="F32" s="24">
        <f>SUM(F25:F31)</f>
        <v>148</v>
      </c>
      <c r="G32" s="35">
        <f>F32/D32</f>
        <v>0.2144927536231884</v>
      </c>
      <c r="H32" s="35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5.8903610696819396E-2</v>
      </c>
    </row>
  </sheetData>
  <dataConsolidate/>
  <mergeCells count="3">
    <mergeCell ref="A2:H3"/>
    <mergeCell ref="G6:H6"/>
    <mergeCell ref="G7:H7"/>
  </mergeCells>
  <phoneticPr fontId="18" type="noConversion"/>
  <conditionalFormatting sqref="D9">
    <cfRule type="cellIs" dxfId="31" priority="21" operator="lessThan">
      <formula>0</formula>
    </cfRule>
    <cfRule type="cellIs" dxfId="30" priority="22" operator="greaterThan">
      <formula>0</formula>
    </cfRule>
  </conditionalFormatting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{624897C2-C339-4CDC-94F1-B537F0103EF0}</x14:id>
        </ext>
      </extLst>
    </cfRule>
  </conditionalFormatting>
  <conditionalFormatting sqref="B9">
    <cfRule type="cellIs" dxfId="29" priority="18" operator="greaterThan">
      <formula>0</formula>
    </cfRule>
    <cfRule type="cellIs" dxfId="28" priority="19" operator="lessThan">
      <formula>0</formula>
    </cfRule>
  </conditionalFormatting>
  <conditionalFormatting sqref="F9">
    <cfRule type="cellIs" dxfId="27" priority="16" operator="lessThan">
      <formula>0</formula>
    </cfRule>
    <cfRule type="cellIs" dxfId="26" priority="17" operator="greaterThan">
      <formula>0</formula>
    </cfRule>
  </conditionalFormatting>
  <conditionalFormatting sqref="A13:B13 E13:H13 A14:H19">
    <cfRule type="expression" dxfId="25" priority="14">
      <formula>$C13&lt;AVERAGE($C$13:$C$19)</formula>
    </cfRule>
  </conditionalFormatting>
  <conditionalFormatting sqref="D9">
    <cfRule type="cellIs" dxfId="24" priority="12" operator="lessThan">
      <formula>0</formula>
    </cfRule>
    <cfRule type="cellIs" dxfId="23" priority="13" operator="greaterThan">
      <formula>0</formula>
    </cfRule>
  </conditionalFormatting>
  <conditionalFormatting sqref="D9">
    <cfRule type="cellIs" dxfId="22" priority="10" operator="lessThan">
      <formula>0</formula>
    </cfRule>
    <cfRule type="cellIs" dxfId="21" priority="11" operator="greaterThan">
      <formula>0</formula>
    </cfRule>
  </conditionalFormatting>
  <conditionalFormatting sqref="D9">
    <cfRule type="cellIs" dxfId="20" priority="7" operator="greaterThan">
      <formula>0</formula>
    </cfRule>
    <cfRule type="cellIs" dxfId="19" priority="8" operator="lessThan">
      <formula>0</formula>
    </cfRule>
  </conditionalFormatting>
  <conditionalFormatting sqref="F9">
    <cfRule type="cellIs" dxfId="18" priority="5" operator="greaterThan">
      <formula>0</formula>
    </cfRule>
    <cfRule type="cellIs" dxfId="17" priority="6" operator="lessThan">
      <formula>0</formula>
    </cfRule>
  </conditionalFormatting>
  <conditionalFormatting sqref="D9">
    <cfRule type="cellIs" dxfId="16" priority="3" operator="greaterThan">
      <formula>0</formula>
    </cfRule>
    <cfRule type="cellIs" dxfId="15" priority="4" operator="lessThan">
      <formula>0</formula>
    </cfRule>
  </conditionalFormatting>
  <conditionalFormatting sqref="F9">
    <cfRule type="cellIs" dxfId="14" priority="1" operator="greaterThan">
      <formula>0</formula>
    </cfRule>
    <cfRule type="cellIs" dxfId="13" priority="2" operator="lessThan">
      <formula>0</formula>
    </cfRule>
  </conditionalFormatting>
  <dataValidations count="1">
    <dataValidation type="list" allowBlank="1" showInputMessage="1" showErrorMessage="1" sqref="H5" xr:uid="{5926AC02-B758-4EB5-8846-4FD174143F02}">
      <formula1>"全部,美团,饿了么"</formula1>
    </dataValidation>
  </dataValidations>
  <pageMargins left="0.7" right="0.7" top="0.75" bottom="0.75" header="0.3" footer="0.3"/>
  <pageSetup paperSize="9" orientation="portrait" r:id="rId1"/>
  <ignoredErrors>
    <ignoredError sqref="E13:E20 E25:E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4897C2-C339-4CDC-94F1-B537F0103EF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iconSet" priority="15" id="{2361EEB0-42DF-4895-8BAC-AC92E8A9C824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73F04425-0A95-4D0E-9ADB-7714868F3A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'大厂周报-完成版'!C25:C31</xm:f>
              <xm:sqref>B6</xm:sqref>
            </x14:sparkline>
          </x14:sparklines>
        </x14:sparklineGroup>
        <x14:sparklineGroup manualMax="0" manualMin="0" displayEmptyCellsAs="gap" markers="1" xr2:uid="{FA0B1563-E6FC-41FF-933B-DDA4175331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'大厂周报-完成版'!E25:E31</xm:f>
              <xm:sqref>D6</xm:sqref>
            </x14:sparkline>
          </x14:sparklines>
        </x14:sparklineGroup>
        <x14:sparklineGroup manualMax="0" manualMin="0" displayEmptyCellsAs="gap" markers="1" xr2:uid="{1E85E299-2E70-4300-B5A3-5C2189095D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'大厂周报-完成版'!G25:G31</xm:f>
              <xm:sqref>F6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B2CE-562F-40BD-9030-C4D1E53F3062}">
  <sheetPr>
    <tabColor rgb="FFFFC000"/>
  </sheetPr>
  <dimension ref="A1:H32"/>
  <sheetViews>
    <sheetView showGridLines="0" tabSelected="1" workbookViewId="0">
      <selection activeCell="K18" sqref="K18"/>
    </sheetView>
    <sheetView workbookViewId="1"/>
  </sheetViews>
  <sheetFormatPr baseColWidth="10" defaultColWidth="8.83203125" defaultRowHeight="18"/>
  <cols>
    <col min="1" max="1" width="15.6640625" style="66" bestFit="1" customWidth="1"/>
    <col min="2" max="2" width="12.1640625" style="66" customWidth="1"/>
    <col min="3" max="3" width="11.83203125" style="66" customWidth="1"/>
    <col min="4" max="4" width="11.6640625" style="66" customWidth="1"/>
    <col min="5" max="6" width="12.33203125" style="66" customWidth="1"/>
    <col min="7" max="7" width="12.5" style="66" customWidth="1"/>
    <col min="8" max="8" width="11.1640625" style="66" customWidth="1"/>
  </cols>
  <sheetData>
    <row r="1" spans="1:8">
      <c r="A1" s="66" t="s">
        <v>56</v>
      </c>
      <c r="B1" s="77">
        <f>A13</f>
        <v>44053</v>
      </c>
      <c r="C1" s="66" t="s">
        <v>77</v>
      </c>
      <c r="D1" s="77">
        <f>A19</f>
        <v>44059</v>
      </c>
    </row>
    <row r="2" spans="1:8" ht="33">
      <c r="A2" s="86" t="s">
        <v>57</v>
      </c>
      <c r="B2" s="86"/>
      <c r="C2" s="86"/>
      <c r="D2" s="86"/>
      <c r="E2" s="86"/>
      <c r="F2" s="86"/>
      <c r="G2" s="86"/>
      <c r="H2" s="86"/>
    </row>
    <row r="4" spans="1:8">
      <c r="A4" s="87" t="s">
        <v>58</v>
      </c>
    </row>
    <row r="5" spans="1:8">
      <c r="A5" s="88" t="s">
        <v>59</v>
      </c>
      <c r="C5" s="88" t="s">
        <v>60</v>
      </c>
      <c r="E5" s="88" t="s">
        <v>61</v>
      </c>
      <c r="G5" s="91" t="s">
        <v>62</v>
      </c>
      <c r="H5" s="92" t="s">
        <v>22</v>
      </c>
    </row>
    <row r="6" spans="1:8">
      <c r="A6" s="88">
        <f>C32</f>
        <v>8816</v>
      </c>
      <c r="C6" s="89">
        <f>E32</f>
        <v>7.8266787658802184E-2</v>
      </c>
      <c r="E6" s="89">
        <f>G32</f>
        <v>0.2144927536231884</v>
      </c>
      <c r="G6" s="93" t="s">
        <v>63</v>
      </c>
      <c r="H6" s="94"/>
    </row>
    <row r="7" spans="1:8">
      <c r="A7" s="87" t="s">
        <v>64</v>
      </c>
      <c r="G7" s="95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0.2691635</v>
      </c>
      <c r="H7" s="96"/>
    </row>
    <row r="8" spans="1:8">
      <c r="A8" s="88" t="s">
        <v>53</v>
      </c>
      <c r="C8" s="88" t="s">
        <v>54</v>
      </c>
      <c r="E8" s="88" t="s">
        <v>65</v>
      </c>
      <c r="G8" s="97" t="s">
        <v>66</v>
      </c>
      <c r="H8" s="98">
        <f>IF($H$5="全部",200000,IF($H$5="美团",100000,50000))</f>
        <v>100000</v>
      </c>
    </row>
    <row r="9" spans="1:8">
      <c r="A9" s="88">
        <f>F20</f>
        <v>153</v>
      </c>
      <c r="B9" s="66">
        <f>IF($H$5="全部",SUMIFS(INDEX('拌客源数据1-8月'!$1:$1048576,0,MATCH("有效订单",'拌客源数据1-8月'!$1:$1,0)),'拌客源数据1-8月'!$A:$A,"&gt;="&amp;$A$13,'拌客源数据1-8月'!$A:$A,"&lt;="&amp;$A$19),SUMIFS(INDEX('拌客源数据1-8月'!$1:$1048576,0,MATCH("有效订单",'拌客源数据1-8月'!$1:$1,0)),'拌客源数据1-8月'!$H:$H,$H$5,'拌客源数据1-8月'!$A:$A,"&gt;="&amp;$A$13,'拌客源数据1-8月'!$A:$A,"&lt;="&amp;$A$19))/IF($H$5="全部",SUMIFS(INDEX('拌客源数据1-8月'!$1:$1048576,0,MATCH("有效订单",'拌客源数据1-8月'!$1:$1,0)),'拌客源数据1-8月'!$A:$A,"&gt;="&amp;$A$13-7,'拌客源数据1-8月'!$A:$A,"&lt;="&amp;$A$19-7),SUMIFS(INDEX('拌客源数据1-8月'!$1:$1048576,0,MATCH("有效订单",'拌客源数据1-8月'!$1:$1,0)),'拌客源数据1-8月'!$H:$H,$H$5,'拌客源数据1-8月'!$A:$A,"&gt;="&amp;$A$13-7,'拌客源数据1-8月'!$A:$A,"&lt;="&amp;$A$19-7))-1</f>
        <v>-0.28169014084507038</v>
      </c>
      <c r="C9" s="88">
        <f>D20</f>
        <v>2821.92</v>
      </c>
      <c r="D9" s="66">
        <f>IF($H$5="全部",SUMIFS(INDEX('拌客源数据1-8月'!$1:$1048576,0,MATCH("商家实收",'拌客源数据1-8月'!$1:$1,0)),'拌客源数据1-8月'!$A:$A,"&gt;="&amp;$A$13,'拌客源数据1-8月'!$A:$A,"&lt;="&amp;$A$19),SUMIFS(INDEX('拌客源数据1-8月'!$1:$1048576,0,MATCH("商家实收",'拌客源数据1-8月'!$1:$1,0)),'拌客源数据1-8月'!$H:$H,$H$5,'拌客源数据1-8月'!$A:$A,"&gt;="&amp;$A$13,'拌客源数据1-8月'!$A:$A,"&lt;="&amp;$A$19))/IF($H$5="全部",SUMIFS(INDEX('拌客源数据1-8月'!$1:$1048576,0,MATCH("商家实收",'拌客源数据1-8月'!$1:$1,0)),'拌客源数据1-8月'!$A:$A,"&gt;="&amp;$A$13-7,'拌客源数据1-8月'!$A:$A,"&lt;="&amp;$A$19-7),SUMIFS(INDEX('拌客源数据1-8月'!$1:$1048576,0,MATCH("商家实收",'拌客源数据1-8月'!$1:$1,0)),'拌客源数据1-8月'!$H:$H,$H$5,'拌客源数据1-8月'!$A:$A,"&gt;="&amp;$A$13-7,'拌客源数据1-8月'!$A:$A,"&lt;="&amp;$A$19-7))-1</f>
        <v>-0.29393219855529717</v>
      </c>
      <c r="E9" s="89">
        <f>E20</f>
        <v>0.351622298689311</v>
      </c>
      <c r="F9" s="66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1.7074554493574645E-3</v>
      </c>
    </row>
    <row r="11" spans="1:8">
      <c r="A11" s="99" t="s">
        <v>67</v>
      </c>
      <c r="B11" s="100"/>
      <c r="C11" s="100" t="s">
        <v>68</v>
      </c>
      <c r="D11" s="100"/>
      <c r="E11" s="100"/>
      <c r="F11" s="100"/>
      <c r="G11" s="100"/>
      <c r="H11" s="92"/>
    </row>
    <row r="12" spans="1:8">
      <c r="A12" s="101" t="s">
        <v>69</v>
      </c>
      <c r="B12" s="102" t="s">
        <v>70</v>
      </c>
      <c r="C12" s="102" t="s">
        <v>55</v>
      </c>
      <c r="D12" s="102" t="s">
        <v>54</v>
      </c>
      <c r="E12" s="102" t="s">
        <v>65</v>
      </c>
      <c r="F12" s="102" t="s">
        <v>53</v>
      </c>
      <c r="G12" s="102" t="s">
        <v>52</v>
      </c>
      <c r="H12" s="103" t="s">
        <v>71</v>
      </c>
    </row>
    <row r="13" spans="1:8">
      <c r="A13" s="104">
        <v>44053</v>
      </c>
      <c r="B13" s="105">
        <f>A13</f>
        <v>44053</v>
      </c>
      <c r="C13" s="110">
        <f>IF($H$5="全部",SUMIFS(INDEX('拌客源数据1-8月'!$1:$1048576,0,MATCH(C$12,'拌客源数据1-8月'!$1:$1,0)),'拌客源数据1-8月'!$A:$A,$A13),SUMIFS(INDEX('拌客源数据1-8月'!$1:$1048576,0,MATCH(C$12,'拌客源数据1-8月'!$1:$1,0)),'拌客源数据1-8月'!$H:$H,$H$5,'拌客源数据1-8月'!$A:$A,$A13))</f>
        <v>1538.37</v>
      </c>
      <c r="D13" s="110">
        <f>IF($H$5="全部",SUMIFS(INDEX('拌客源数据1-8月'!$1:$1048576,0,MATCH(D$12,'拌客源数据1-8月'!$1:$1,0)),'拌客源数据1-8月'!$A:$A,$A13),SUMIFS(INDEX('拌客源数据1-8月'!$1:$1048576,0,MATCH(D$12,'拌客源数据1-8月'!$1:$1,0)),'拌客源数据1-8月'!$H:$H,$H$5,'拌客源数据1-8月'!$A:$A,$A13))</f>
        <v>499.98</v>
      </c>
      <c r="E13" s="106">
        <f>$D13/$C13</f>
        <v>0.3250063378771037</v>
      </c>
      <c r="F13" s="90">
        <f>IF($H$5="全部",SUMIFS(INDEX('拌客源数据1-8月'!$1:$1048576,0,MATCH(F$12,'拌客源数据1-8月'!$1:$1,0)),'拌客源数据1-8月'!$A:$A,$A13),SUMIFS(INDEX('拌客源数据1-8月'!$1:$1048576,0,MATCH(F$12,'拌客源数据1-8月'!$1:$1,0)),'拌客源数据1-8月'!$H:$H,$H$5,'拌客源数据1-8月'!$A:$A,$A13))</f>
        <v>30</v>
      </c>
      <c r="G13" s="90">
        <f>IF($H$5="全部",SUMIFS(INDEX('拌客源数据1-8月'!$1:$1048576,0,MATCH(G$12,'拌客源数据1-8月'!$1:$1,0)),'拌客源数据1-8月'!$A:$A,$A13),SUMIFS(INDEX('拌客源数据1-8月'!$1:$1048576,0,MATCH(G$12,'拌客源数据1-8月'!$1:$1,0)),'拌客源数据1-8月'!$H:$H,$H$5,'拌客源数据1-8月'!$A:$A,$A13))</f>
        <v>0</v>
      </c>
      <c r="H13" s="112">
        <f>$C13/$F13</f>
        <v>51.278999999999996</v>
      </c>
    </row>
    <row r="14" spans="1:8">
      <c r="A14" s="104">
        <f t="shared" ref="A14:A19" si="0">A13+1</f>
        <v>44054</v>
      </c>
      <c r="B14" s="105">
        <f t="shared" ref="B14:B19" si="1">A14</f>
        <v>44054</v>
      </c>
      <c r="C14" s="110">
        <f>IF($H$5="全部",SUMIFS(INDEX('拌客源数据1-8月'!$1:$1048576,0,MATCH(C$12,'拌客源数据1-8月'!$1:$1,0)),'拌客源数据1-8月'!$A:$A,$A14),SUMIFS(INDEX('拌客源数据1-8月'!$1:$1048576,0,MATCH(C$12,'拌客源数据1-8月'!$1:$1,0)),'拌客源数据1-8月'!$H:$H,$H$5,'拌客源数据1-8月'!$A:$A,$A14))</f>
        <v>1252.93</v>
      </c>
      <c r="D14" s="110">
        <f>IF($H$5="全部",SUMIFS(INDEX('拌客源数据1-8月'!$1:$1048576,0,MATCH(D$12,'拌客源数据1-8月'!$1:$1,0)),'拌客源数据1-8月'!$A:$A,$A14),SUMIFS(INDEX('拌客源数据1-8月'!$1:$1048576,0,MATCH(D$12,'拌客源数据1-8月'!$1:$1,0)),'拌客源数据1-8月'!$H:$H,$H$5,'拌客源数据1-8月'!$A:$A,$A14))</f>
        <v>419.83</v>
      </c>
      <c r="E14" s="106">
        <f t="shared" ref="E14:E19" si="2">$D14/$C14</f>
        <v>0.33507857581828193</v>
      </c>
      <c r="F14" s="90">
        <f>IF($H$5="全部",SUMIFS(INDEX('拌客源数据1-8月'!$1:$1048576,0,MATCH(F$12,'拌客源数据1-8月'!$1:$1,0)),'拌客源数据1-8月'!$A:$A,$A14),SUMIFS(INDEX('拌客源数据1-8月'!$1:$1048576,0,MATCH(F$12,'拌客源数据1-8月'!$1:$1,0)),'拌客源数据1-8月'!$H:$H,$H$5,'拌客源数据1-8月'!$A:$A,$A14))</f>
        <v>26</v>
      </c>
      <c r="G14" s="90">
        <f>IF($H$5="全部",SUMIFS(INDEX('拌客源数据1-8月'!$1:$1048576,0,MATCH(G$12,'拌客源数据1-8月'!$1:$1,0)),'拌客源数据1-8月'!$A:$A,$A14),SUMIFS(INDEX('拌客源数据1-8月'!$1:$1048576,0,MATCH(G$12,'拌客源数据1-8月'!$1:$1,0)),'拌客源数据1-8月'!$H:$H,$H$5,'拌客源数据1-8月'!$A:$A,$A14))</f>
        <v>0</v>
      </c>
      <c r="H14" s="112">
        <f t="shared" ref="H14:H19" si="3">$C14/$F14</f>
        <v>48.189615384615387</v>
      </c>
    </row>
    <row r="15" spans="1:8">
      <c r="A15" s="104">
        <f t="shared" si="0"/>
        <v>44055</v>
      </c>
      <c r="B15" s="105">
        <f t="shared" si="1"/>
        <v>44055</v>
      </c>
      <c r="C15" s="110">
        <f>IF($H$5="全部",SUMIFS(INDEX('拌客源数据1-8月'!$1:$1048576,0,MATCH(C$12,'拌客源数据1-8月'!$1:$1,0)),'拌客源数据1-8月'!$A:$A,$A15),SUMIFS(INDEX('拌客源数据1-8月'!$1:$1048576,0,MATCH(C$12,'拌客源数据1-8月'!$1:$1,0)),'拌客源数据1-8月'!$H:$H,$H$5,'拌客源数据1-8月'!$A:$A,$A15))</f>
        <v>911.86</v>
      </c>
      <c r="D15" s="110">
        <f>IF($H$5="全部",SUMIFS(INDEX('拌客源数据1-8月'!$1:$1048576,0,MATCH(D$12,'拌客源数据1-8月'!$1:$1,0)),'拌客源数据1-8月'!$A:$A,$A15),SUMIFS(INDEX('拌客源数据1-8月'!$1:$1048576,0,MATCH(D$12,'拌客源数据1-8月'!$1:$1,0)),'拌客源数据1-8月'!$H:$H,$H$5,'拌客源数据1-8月'!$A:$A,$A15))</f>
        <v>346.44</v>
      </c>
      <c r="E15" s="106">
        <f t="shared" si="2"/>
        <v>0.37992674314039437</v>
      </c>
      <c r="F15" s="90">
        <f>IF($H$5="全部",SUMIFS(INDEX('拌客源数据1-8月'!$1:$1048576,0,MATCH(F$12,'拌客源数据1-8月'!$1:$1,0)),'拌客源数据1-8月'!$A:$A,$A15),SUMIFS(INDEX('拌客源数据1-8月'!$1:$1048576,0,MATCH(F$12,'拌客源数据1-8月'!$1:$1,0)),'拌客源数据1-8月'!$H:$H,$H$5,'拌客源数据1-8月'!$A:$A,$A15))</f>
        <v>15</v>
      </c>
      <c r="G15" s="90">
        <f>IF($H$5="全部",SUMIFS(INDEX('拌客源数据1-8月'!$1:$1048576,0,MATCH(G$12,'拌客源数据1-8月'!$1:$1,0)),'拌客源数据1-8月'!$A:$A,$A15),SUMIFS(INDEX('拌客源数据1-8月'!$1:$1048576,0,MATCH(G$12,'拌客源数据1-8月'!$1:$1,0)),'拌客源数据1-8月'!$H:$H,$H$5,'拌客源数据1-8月'!$A:$A,$A15))</f>
        <v>1</v>
      </c>
      <c r="H15" s="112">
        <f t="shared" si="3"/>
        <v>60.790666666666667</v>
      </c>
    </row>
    <row r="16" spans="1:8">
      <c r="A16" s="104">
        <f t="shared" si="0"/>
        <v>44056</v>
      </c>
      <c r="B16" s="105">
        <f t="shared" si="1"/>
        <v>44056</v>
      </c>
      <c r="C16" s="110">
        <f>IF($H$5="全部",SUMIFS(INDEX('拌客源数据1-8月'!$1:$1048576,0,MATCH(C$12,'拌客源数据1-8月'!$1:$1,0)),'拌客源数据1-8月'!$A:$A,$A16),SUMIFS(INDEX('拌客源数据1-8月'!$1:$1048576,0,MATCH(C$12,'拌客源数据1-8月'!$1:$1,0)),'拌客源数据1-8月'!$H:$H,$H$5,'拌客源数据1-8月'!$A:$A,$A16))</f>
        <v>1054.44</v>
      </c>
      <c r="D16" s="110">
        <f>IF($H$5="全部",SUMIFS(INDEX('拌客源数据1-8月'!$1:$1048576,0,MATCH(D$12,'拌客源数据1-8月'!$1:$1,0)),'拌客源数据1-8月'!$A:$A,$A16),SUMIFS(INDEX('拌客源数据1-8月'!$1:$1048576,0,MATCH(D$12,'拌客源数据1-8月'!$1:$1,0)),'拌客源数据1-8月'!$H:$H,$H$5,'拌客源数据1-8月'!$A:$A,$A16))</f>
        <v>347.98</v>
      </c>
      <c r="E16" s="106">
        <f t="shared" si="2"/>
        <v>0.33001403588634726</v>
      </c>
      <c r="F16" s="90">
        <f>IF($H$5="全部",SUMIFS(INDEX('拌客源数据1-8月'!$1:$1048576,0,MATCH(F$12,'拌客源数据1-8月'!$1:$1,0)),'拌客源数据1-8月'!$A:$A,$A16),SUMIFS(INDEX('拌客源数据1-8月'!$1:$1048576,0,MATCH(F$12,'拌客源数据1-8月'!$1:$1,0)),'拌客源数据1-8月'!$H:$H,$H$5,'拌客源数据1-8月'!$A:$A,$A16))</f>
        <v>21</v>
      </c>
      <c r="G16" s="90">
        <f>IF($H$5="全部",SUMIFS(INDEX('拌客源数据1-8月'!$1:$1048576,0,MATCH(G$12,'拌客源数据1-8月'!$1:$1,0)),'拌客源数据1-8月'!$A:$A,$A16),SUMIFS(INDEX('拌客源数据1-8月'!$1:$1048576,0,MATCH(G$12,'拌客源数据1-8月'!$1:$1,0)),'拌客源数据1-8月'!$H:$H,$H$5,'拌客源数据1-8月'!$A:$A,$A16))</f>
        <v>0</v>
      </c>
      <c r="H16" s="112">
        <f t="shared" si="3"/>
        <v>50.211428571428577</v>
      </c>
    </row>
    <row r="17" spans="1:8">
      <c r="A17" s="104">
        <f t="shared" si="0"/>
        <v>44057</v>
      </c>
      <c r="B17" s="105">
        <f t="shared" si="1"/>
        <v>44057</v>
      </c>
      <c r="C17" s="110">
        <f>IF($H$5="全部",SUMIFS(INDEX('拌客源数据1-8月'!$1:$1048576,0,MATCH(C$12,'拌客源数据1-8月'!$1:$1,0)),'拌客源数据1-8月'!$A:$A,$A17),SUMIFS(INDEX('拌客源数据1-8月'!$1:$1048576,0,MATCH(C$12,'拌客源数据1-8月'!$1:$1,0)),'拌客源数据1-8月'!$H:$H,$H$5,'拌客源数据1-8月'!$A:$A,$A17))</f>
        <v>1011.71</v>
      </c>
      <c r="D17" s="110">
        <f>IF($H$5="全部",SUMIFS(INDEX('拌客源数据1-8月'!$1:$1048576,0,MATCH(D$12,'拌客源数据1-8月'!$1:$1,0)),'拌客源数据1-8月'!$A:$A,$A17),SUMIFS(INDEX('拌客源数据1-8月'!$1:$1048576,0,MATCH(D$12,'拌客源数据1-8月'!$1:$1,0)),'拌客源数据1-8月'!$H:$H,$H$5,'拌客源数据1-8月'!$A:$A,$A17))</f>
        <v>356.41</v>
      </c>
      <c r="E17" s="106">
        <f t="shared" si="2"/>
        <v>0.35228474562868806</v>
      </c>
      <c r="F17" s="90">
        <f>IF($H$5="全部",SUMIFS(INDEX('拌客源数据1-8月'!$1:$1048576,0,MATCH(F$12,'拌客源数据1-8月'!$1:$1,0)),'拌客源数据1-8月'!$A:$A,$A17),SUMIFS(INDEX('拌客源数据1-8月'!$1:$1048576,0,MATCH(F$12,'拌客源数据1-8月'!$1:$1,0)),'拌客源数据1-8月'!$H:$H,$H$5,'拌客源数据1-8月'!$A:$A,$A17))</f>
        <v>18</v>
      </c>
      <c r="G17" s="90">
        <f>IF($H$5="全部",SUMIFS(INDEX('拌客源数据1-8月'!$1:$1048576,0,MATCH(G$12,'拌客源数据1-8月'!$1:$1,0)),'拌客源数据1-8月'!$A:$A,$A17),SUMIFS(INDEX('拌客源数据1-8月'!$1:$1048576,0,MATCH(G$12,'拌客源数据1-8月'!$1:$1,0)),'拌客源数据1-8月'!$H:$H,$H$5,'拌客源数据1-8月'!$A:$A,$A17))</f>
        <v>1</v>
      </c>
      <c r="H17" s="112">
        <f t="shared" si="3"/>
        <v>56.206111111111113</v>
      </c>
    </row>
    <row r="18" spans="1:8">
      <c r="A18" s="104">
        <f t="shared" si="0"/>
        <v>44058</v>
      </c>
      <c r="B18" s="105">
        <f t="shared" si="1"/>
        <v>44058</v>
      </c>
      <c r="C18" s="110">
        <f>IF($H$5="全部",SUMIFS(INDEX('拌客源数据1-8月'!$1:$1048576,0,MATCH(C$12,'拌客源数据1-8月'!$1:$1,0)),'拌客源数据1-8月'!$A:$A,$A18),SUMIFS(INDEX('拌客源数据1-8月'!$1:$1048576,0,MATCH(C$12,'拌客源数据1-8月'!$1:$1,0)),'拌客源数据1-8月'!$H:$H,$H$5,'拌客源数据1-8月'!$A:$A,$A18))</f>
        <v>1139.3499999999999</v>
      </c>
      <c r="D18" s="110">
        <f>IF($H$5="全部",SUMIFS(INDEX('拌客源数据1-8月'!$1:$1048576,0,MATCH(D$12,'拌客源数据1-8月'!$1:$1,0)),'拌客源数据1-8月'!$A:$A,$A18),SUMIFS(INDEX('拌客源数据1-8月'!$1:$1048576,0,MATCH(D$12,'拌客源数据1-8月'!$1:$1,0)),'拌客源数据1-8月'!$H:$H,$H$5,'拌客源数据1-8月'!$A:$A,$A18))</f>
        <v>414.91</v>
      </c>
      <c r="E18" s="106">
        <f t="shared" si="2"/>
        <v>0.36416377759248697</v>
      </c>
      <c r="F18" s="90">
        <f>IF($H$5="全部",SUMIFS(INDEX('拌客源数据1-8月'!$1:$1048576,0,MATCH(F$12,'拌客源数据1-8月'!$1:$1,0)),'拌客源数据1-8月'!$A:$A,$A18),SUMIFS(INDEX('拌客源数据1-8月'!$1:$1048576,0,MATCH(F$12,'拌客源数据1-8月'!$1:$1,0)),'拌客源数据1-8月'!$H:$H,$H$5,'拌客源数据1-8月'!$A:$A,$A18))</f>
        <v>22</v>
      </c>
      <c r="G18" s="90">
        <f>IF($H$5="全部",SUMIFS(INDEX('拌客源数据1-8月'!$1:$1048576,0,MATCH(G$12,'拌客源数据1-8月'!$1:$1,0)),'拌客源数据1-8月'!$A:$A,$A18),SUMIFS(INDEX('拌客源数据1-8月'!$1:$1048576,0,MATCH(G$12,'拌客源数据1-8月'!$1:$1,0)),'拌客源数据1-8月'!$H:$H,$H$5,'拌客源数据1-8月'!$A:$A,$A18))</f>
        <v>0</v>
      </c>
      <c r="H18" s="112">
        <f t="shared" si="3"/>
        <v>51.788636363636357</v>
      </c>
    </row>
    <row r="19" spans="1:8">
      <c r="A19" s="104">
        <f t="shared" si="0"/>
        <v>44059</v>
      </c>
      <c r="B19" s="105">
        <f t="shared" si="1"/>
        <v>44059</v>
      </c>
      <c r="C19" s="110">
        <f>IF($H$5="全部",SUMIFS(INDEX('拌客源数据1-8月'!$1:$1048576,0,MATCH(C$12,'拌客源数据1-8月'!$1:$1,0)),'拌客源数据1-8月'!$A:$A,$A19),SUMIFS(INDEX('拌客源数据1-8月'!$1:$1048576,0,MATCH(C$12,'拌客源数据1-8月'!$1:$1,0)),'拌客源数据1-8月'!$H:$H,$H$5,'拌客源数据1-8月'!$A:$A,$A19))</f>
        <v>1164.02</v>
      </c>
      <c r="D19" s="110">
        <f>IF($H$5="全部",SUMIFS(INDEX('拌客源数据1-8月'!$1:$1048576,0,MATCH(D$12,'拌客源数据1-8月'!$1:$1,0)),'拌客源数据1-8月'!$A:$A,$A19),SUMIFS(INDEX('拌客源数据1-8月'!$1:$1048576,0,MATCH(D$12,'拌客源数据1-8月'!$1:$1,0)),'拌客源数据1-8月'!$H:$H,$H$5,'拌客源数据1-8月'!$A:$A,$A19))</f>
        <v>436.37</v>
      </c>
      <c r="E19" s="106">
        <f t="shared" si="2"/>
        <v>0.37488187488187491</v>
      </c>
      <c r="F19" s="90">
        <f>IF($H$5="全部",SUMIFS(INDEX('拌客源数据1-8月'!$1:$1048576,0,MATCH(F$12,'拌客源数据1-8月'!$1:$1,0)),'拌客源数据1-8月'!$A:$A,$A19),SUMIFS(INDEX('拌客源数据1-8月'!$1:$1048576,0,MATCH(F$12,'拌客源数据1-8月'!$1:$1,0)),'拌客源数据1-8月'!$H:$H,$H$5,'拌客源数据1-8月'!$A:$A,$A19))</f>
        <v>21</v>
      </c>
      <c r="G19" s="90">
        <f>IF($H$5="全部",SUMIFS(INDEX('拌客源数据1-8月'!$1:$1048576,0,MATCH(G$12,'拌客源数据1-8月'!$1:$1,0)),'拌客源数据1-8月'!$A:$A,$A19),SUMIFS(INDEX('拌客源数据1-8月'!$1:$1048576,0,MATCH(G$12,'拌客源数据1-8月'!$1:$1,0)),'拌客源数据1-8月'!$H:$H,$H$5,'拌客源数据1-8月'!$A:$A,$A19))</f>
        <v>1</v>
      </c>
      <c r="H19" s="112">
        <f t="shared" si="3"/>
        <v>55.429523809523808</v>
      </c>
    </row>
    <row r="20" spans="1:8">
      <c r="A20" s="97" t="s">
        <v>72</v>
      </c>
      <c r="B20" s="107"/>
      <c r="C20" s="111">
        <f>SUM(C13:C19)</f>
        <v>8072.68</v>
      </c>
      <c r="D20" s="111">
        <f>SUM(D13:D19)</f>
        <v>2821.92</v>
      </c>
      <c r="E20" s="108">
        <f>AVERAGE(E13:E19)</f>
        <v>0.351622298689311</v>
      </c>
      <c r="F20" s="107">
        <f>SUM(F13:F19)</f>
        <v>153</v>
      </c>
      <c r="G20" s="107">
        <f>SUM(G13:G19)</f>
        <v>3</v>
      </c>
      <c r="H20" s="113">
        <f>C20/F20</f>
        <v>52.762614379084972</v>
      </c>
    </row>
    <row r="21" spans="1:8">
      <c r="H21" s="114"/>
    </row>
    <row r="23" spans="1:8">
      <c r="A23" s="99" t="s">
        <v>73</v>
      </c>
      <c r="B23" s="100"/>
      <c r="C23" s="100" t="s">
        <v>68</v>
      </c>
      <c r="D23" s="100"/>
      <c r="E23" s="100"/>
      <c r="F23" s="100"/>
      <c r="G23" s="100"/>
      <c r="H23" s="92" t="s">
        <v>170</v>
      </c>
    </row>
    <row r="24" spans="1:8">
      <c r="A24" s="101" t="s">
        <v>69</v>
      </c>
      <c r="B24" s="102" t="s">
        <v>70</v>
      </c>
      <c r="C24" s="102" t="s">
        <v>59</v>
      </c>
      <c r="D24" s="102" t="s">
        <v>74</v>
      </c>
      <c r="E24" s="102" t="s">
        <v>60</v>
      </c>
      <c r="F24" s="102" t="s">
        <v>75</v>
      </c>
      <c r="G24" s="102" t="s">
        <v>61</v>
      </c>
      <c r="H24" s="103" t="s">
        <v>76</v>
      </c>
    </row>
    <row r="25" spans="1:8">
      <c r="A25" s="104">
        <f>A13</f>
        <v>44053</v>
      </c>
      <c r="B25" s="105">
        <f>A13</f>
        <v>44053</v>
      </c>
      <c r="C25" s="90">
        <f>IF($H$5="全部",SUMIFS(INDEX('拌客源数据1-8月'!$1:$1048576,0,MATCH(C$24,'拌客源数据1-8月'!$1:$1,0)),'拌客源数据1-8月'!$A:$A,$A25),SUMIFS(INDEX('拌客源数据1-8月'!$1:$1048576,0,MATCH(C$24,'拌客源数据1-8月'!$1:$1,0)),'拌客源数据1-8月'!$H:$H,$H$5,'拌客源数据1-8月'!$A:$A,$A25))</f>
        <v>1372</v>
      </c>
      <c r="D25" s="90">
        <f>IF($H$5="全部",SUMIFS(INDEX('拌客源数据1-8月'!$1:$1048576,0,MATCH(D$24,'拌客源数据1-8月'!$1:$1,0)),'拌客源数据1-8月'!$A:$A,$A25),SUMIFS(INDEX('拌客源数据1-8月'!$1:$1048576,0,MATCH(D$24,'拌客源数据1-8月'!$1:$1,0)),'拌客源数据1-8月'!$H:$H,$H$5,'拌客源数据1-8月'!$A:$A,$A25))</f>
        <v>111</v>
      </c>
      <c r="E25" s="106">
        <f>$D25/$C25</f>
        <v>8.0903790087463553E-2</v>
      </c>
      <c r="F25" s="90">
        <f>IF($H$5="全部",SUMIFS(INDEX('拌客源数据1-8月'!$1:$1048576,0,MATCH(F$24,'拌客源数据1-8月'!$1:$1,0)),'拌客源数据1-8月'!$A:$A,$A25),SUMIFS(INDEX('拌客源数据1-8月'!$1:$1048576,0,MATCH(F$24,'拌客源数据1-8月'!$1:$1,0)),'拌客源数据1-8月'!$H:$H,$H$5,'拌客源数据1-8月'!$A:$A,$A25))</f>
        <v>26</v>
      </c>
      <c r="G25" s="106">
        <f>$F25/$D25</f>
        <v>0.23423423423423423</v>
      </c>
      <c r="H25" s="115">
        <f>IF($H$5="全部",SUMIFS(INDEX('拌客源数据1-8月'!$1:$1048576,0,MATCH("cpc总费用",'拌客源数据1-8月'!$1:$1,0)),'拌客源数据1-8月'!$A:$A,'大厂周报-练习版'!$A13),SUMIFS(INDEX('拌客源数据1-8月'!$1:$1048576,0,MATCH("cpc总费用",'拌客源数据1-8月'!$1:$1,0)),'拌客源数据1-8月'!$A:$A,'大厂周报-练习版'!$A13,'拌客源数据1-8月'!$H:$H,'大厂周报-练习版'!$H$5))/$C13</f>
        <v>5.2003094184103961E-2</v>
      </c>
    </row>
    <row r="26" spans="1:8">
      <c r="A26" s="104">
        <f t="shared" ref="A26:A31" si="4">A14</f>
        <v>44054</v>
      </c>
      <c r="B26" s="105">
        <f t="shared" ref="B26:B31" si="5">A14</f>
        <v>44054</v>
      </c>
      <c r="C26" s="90">
        <f>IF($H$5="全部",SUMIFS(INDEX('拌客源数据1-8月'!$1:$1048576,0,MATCH(C$24,'拌客源数据1-8月'!$1:$1,0)),'拌客源数据1-8月'!$A:$A,$A26),SUMIFS(INDEX('拌客源数据1-8月'!$1:$1048576,0,MATCH(C$24,'拌客源数据1-8月'!$1:$1,0)),'拌客源数据1-8月'!$H:$H,$H$5,'拌客源数据1-8月'!$A:$A,$A26))</f>
        <v>1123</v>
      </c>
      <c r="D26" s="90">
        <f>IF($H$5="全部",SUMIFS(INDEX('拌客源数据1-8月'!$1:$1048576,0,MATCH(D$24,'拌客源数据1-8月'!$1:$1,0)),'拌客源数据1-8月'!$A:$A,$A26),SUMIFS(INDEX('拌客源数据1-8月'!$1:$1048576,0,MATCH(D$24,'拌客源数据1-8月'!$1:$1,0)),'拌客源数据1-8月'!$H:$H,$H$5,'拌客源数据1-8月'!$A:$A,$A26))</f>
        <v>97</v>
      </c>
      <c r="E26" s="106">
        <f t="shared" ref="E26:E31" si="6">$D26/$C26</f>
        <v>8.637577916295637E-2</v>
      </c>
      <c r="F26" s="90">
        <f>IF($H$5="全部",SUMIFS(INDEX('拌客源数据1-8月'!$1:$1048576,0,MATCH(F$24,'拌客源数据1-8月'!$1:$1,0)),'拌客源数据1-8月'!$A:$A,$A26),SUMIFS(INDEX('拌客源数据1-8月'!$1:$1048576,0,MATCH(F$24,'拌客源数据1-8月'!$1:$1,0)),'拌客源数据1-8月'!$H:$H,$H$5,'拌客源数据1-8月'!$A:$A,$A26))</f>
        <v>25</v>
      </c>
      <c r="G26" s="106">
        <f t="shared" ref="G26:G31" si="7">$F26/$D26</f>
        <v>0.25773195876288657</v>
      </c>
      <c r="H26" s="115">
        <f>IF($H$5="全部",SUMIFS(INDEX('拌客源数据1-8月'!$1:$1048576,0,MATCH("cpc总费用",'拌客源数据1-8月'!$1:$1,0)),'拌客源数据1-8月'!$A:$A,'大厂周报-练习版'!$A14),SUMIFS(INDEX('拌客源数据1-8月'!$1:$1048576,0,MATCH("cpc总费用",'拌客源数据1-8月'!$1:$1,0)),'拌客源数据1-8月'!$A:$A,'大厂周报-练习版'!$A14,'拌客源数据1-8月'!$H:$H,'大厂周报-练习版'!$H$5))/$C14</f>
        <v>6.3850334815193185E-2</v>
      </c>
    </row>
    <row r="27" spans="1:8">
      <c r="A27" s="104">
        <f t="shared" si="4"/>
        <v>44055</v>
      </c>
      <c r="B27" s="105">
        <f t="shared" si="5"/>
        <v>44055</v>
      </c>
      <c r="C27" s="90">
        <f>IF($H$5="全部",SUMIFS(INDEX('拌客源数据1-8月'!$1:$1048576,0,MATCH(C$24,'拌客源数据1-8月'!$1:$1,0)),'拌客源数据1-8月'!$A:$A,$A27),SUMIFS(INDEX('拌客源数据1-8月'!$1:$1048576,0,MATCH(C$24,'拌客源数据1-8月'!$1:$1,0)),'拌客源数据1-8月'!$H:$H,$H$5,'拌客源数据1-8月'!$A:$A,$A27))</f>
        <v>1019</v>
      </c>
      <c r="D27" s="90">
        <f>IF($H$5="全部",SUMIFS(INDEX('拌客源数据1-8月'!$1:$1048576,0,MATCH(D$24,'拌客源数据1-8月'!$1:$1,0)),'拌客源数据1-8月'!$A:$A,$A27),SUMIFS(INDEX('拌客源数据1-8月'!$1:$1048576,0,MATCH(D$24,'拌客源数据1-8月'!$1:$1,0)),'拌客源数据1-8月'!$H:$H,$H$5,'拌客源数据1-8月'!$A:$A,$A27))</f>
        <v>92</v>
      </c>
      <c r="E27" s="106">
        <f t="shared" si="6"/>
        <v>9.0284592737978411E-2</v>
      </c>
      <c r="F27" s="90">
        <f>IF($H$5="全部",SUMIFS(INDEX('拌客源数据1-8月'!$1:$1048576,0,MATCH(F$24,'拌客源数据1-8月'!$1:$1,0)),'拌客源数据1-8月'!$A:$A,$A27),SUMIFS(INDEX('拌客源数据1-8月'!$1:$1048576,0,MATCH(F$24,'拌客源数据1-8月'!$1:$1,0)),'拌客源数据1-8月'!$H:$H,$H$5,'拌客源数据1-8月'!$A:$A,$A27))</f>
        <v>16</v>
      </c>
      <c r="G27" s="106">
        <f t="shared" si="7"/>
        <v>0.17391304347826086</v>
      </c>
      <c r="H27" s="115">
        <f>IF($H$5="全部",SUMIFS(INDEX('拌客源数据1-8月'!$1:$1048576,0,MATCH("cpc总费用",'拌客源数据1-8月'!$1:$1,0)),'拌客源数据1-8月'!$A:$A,'大厂周报-练习版'!$A15),SUMIFS(INDEX('拌客源数据1-8月'!$1:$1048576,0,MATCH("cpc总费用",'拌客源数据1-8月'!$1:$1,0)),'拌客源数据1-8月'!$A:$A,'大厂周报-练习版'!$A15,'拌客源数据1-8月'!$H:$H,'大厂周报-练习版'!$H$5))/$C15</f>
        <v>7.2818195775667324E-2</v>
      </c>
    </row>
    <row r="28" spans="1:8">
      <c r="A28" s="104">
        <f t="shared" si="4"/>
        <v>44056</v>
      </c>
      <c r="B28" s="105">
        <f t="shared" si="5"/>
        <v>44056</v>
      </c>
      <c r="C28" s="90">
        <f>IF($H$5="全部",SUMIFS(INDEX('拌客源数据1-8月'!$1:$1048576,0,MATCH(C$24,'拌客源数据1-8月'!$1:$1,0)),'拌客源数据1-8月'!$A:$A,$A28),SUMIFS(INDEX('拌客源数据1-8月'!$1:$1048576,0,MATCH(C$24,'拌客源数据1-8月'!$1:$1,0)),'拌客源数据1-8月'!$H:$H,$H$5,'拌客源数据1-8月'!$A:$A,$A28))</f>
        <v>1122</v>
      </c>
      <c r="D28" s="90">
        <f>IF($H$5="全部",SUMIFS(INDEX('拌客源数据1-8月'!$1:$1048576,0,MATCH(D$24,'拌客源数据1-8月'!$1:$1,0)),'拌客源数据1-8月'!$A:$A,$A28),SUMIFS(INDEX('拌客源数据1-8月'!$1:$1048576,0,MATCH(D$24,'拌客源数据1-8月'!$1:$1,0)),'拌客源数据1-8月'!$H:$H,$H$5,'拌客源数据1-8月'!$A:$A,$A28))</f>
        <v>87</v>
      </c>
      <c r="E28" s="106">
        <f t="shared" si="6"/>
        <v>7.7540106951871662E-2</v>
      </c>
      <c r="F28" s="90">
        <f>IF($H$5="全部",SUMIFS(INDEX('拌客源数据1-8月'!$1:$1048576,0,MATCH(F$24,'拌客源数据1-8月'!$1:$1,0)),'拌客源数据1-8月'!$A:$A,$A28),SUMIFS(INDEX('拌客源数据1-8月'!$1:$1048576,0,MATCH(F$24,'拌客源数据1-8月'!$1:$1,0)),'拌客源数据1-8月'!$H:$H,$H$5,'拌客源数据1-8月'!$A:$A,$A28))</f>
        <v>21</v>
      </c>
      <c r="G28" s="106">
        <f t="shared" si="7"/>
        <v>0.2413793103448276</v>
      </c>
      <c r="H28" s="115">
        <f>IF($H$5="全部",SUMIFS(INDEX('拌客源数据1-8月'!$1:$1048576,0,MATCH("cpc总费用",'拌客源数据1-8月'!$1:$1,0)),'拌客源数据1-8月'!$A:$A,'大厂周报-练习版'!$A16),SUMIFS(INDEX('拌客源数据1-8月'!$1:$1048576,0,MATCH("cpc总费用",'拌客源数据1-8月'!$1:$1,0)),'拌客源数据1-8月'!$A:$A,'大厂周报-练习版'!$A16,'拌客源数据1-8月'!$H:$H,'大厂周报-练习版'!$H$5))/$C16</f>
        <v>5.5726262281400547E-2</v>
      </c>
    </row>
    <row r="29" spans="1:8">
      <c r="A29" s="104">
        <f t="shared" si="4"/>
        <v>44057</v>
      </c>
      <c r="B29" s="105">
        <f t="shared" si="5"/>
        <v>44057</v>
      </c>
      <c r="C29" s="90">
        <f>IF($H$5="全部",SUMIFS(INDEX('拌客源数据1-8月'!$1:$1048576,0,MATCH(C$24,'拌客源数据1-8月'!$1:$1,0)),'拌客源数据1-8月'!$A:$A,$A29),SUMIFS(INDEX('拌客源数据1-8月'!$1:$1048576,0,MATCH(C$24,'拌客源数据1-8月'!$1:$1,0)),'拌客源数据1-8月'!$H:$H,$H$5,'拌客源数据1-8月'!$A:$A,$A29))</f>
        <v>1281</v>
      </c>
      <c r="D29" s="90">
        <f>IF($H$5="全部",SUMIFS(INDEX('拌客源数据1-8月'!$1:$1048576,0,MATCH(D$24,'拌客源数据1-8月'!$1:$1,0)),'拌客源数据1-8月'!$A:$A,$A29),SUMIFS(INDEX('拌客源数据1-8月'!$1:$1048576,0,MATCH(D$24,'拌客源数据1-8月'!$1:$1,0)),'拌客源数据1-8月'!$H:$H,$H$5,'拌客源数据1-8月'!$A:$A,$A29))</f>
        <v>94</v>
      </c>
      <c r="E29" s="106">
        <f t="shared" si="6"/>
        <v>7.3380171740827477E-2</v>
      </c>
      <c r="F29" s="90">
        <f>IF($H$5="全部",SUMIFS(INDEX('拌客源数据1-8月'!$1:$1048576,0,MATCH(F$24,'拌客源数据1-8月'!$1:$1,0)),'拌客源数据1-8月'!$A:$A,$A29),SUMIFS(INDEX('拌客源数据1-8月'!$1:$1048576,0,MATCH(F$24,'拌客源数据1-8月'!$1:$1,0)),'拌客源数据1-8月'!$H:$H,$H$5,'拌客源数据1-8月'!$A:$A,$A29))</f>
        <v>18</v>
      </c>
      <c r="G29" s="106">
        <f t="shared" si="7"/>
        <v>0.19148936170212766</v>
      </c>
      <c r="H29" s="115">
        <f>IF($H$5="全部",SUMIFS(INDEX('拌客源数据1-8月'!$1:$1048576,0,MATCH("cpc总费用",'拌客源数据1-8月'!$1:$1,0)),'拌客源数据1-8月'!$A:$A,'大厂周报-练习版'!$A17),SUMIFS(INDEX('拌客源数据1-8月'!$1:$1048576,0,MATCH("cpc总费用",'拌客源数据1-8月'!$1:$1,0)),'拌客源数据1-8月'!$A:$A,'大厂周报-练习版'!$A17,'拌客源数据1-8月'!$H:$H,'大厂周报-练习版'!$H$5))/$C17</f>
        <v>6.6105899912030114E-2</v>
      </c>
    </row>
    <row r="30" spans="1:8">
      <c r="A30" s="104">
        <f t="shared" si="4"/>
        <v>44058</v>
      </c>
      <c r="B30" s="105">
        <f t="shared" si="5"/>
        <v>44058</v>
      </c>
      <c r="C30" s="90">
        <f>IF($H$5="全部",SUMIFS(INDEX('拌客源数据1-8月'!$1:$1048576,0,MATCH(C$24,'拌客源数据1-8月'!$1:$1,0)),'拌客源数据1-8月'!$A:$A,$A30),SUMIFS(INDEX('拌客源数据1-8月'!$1:$1048576,0,MATCH(C$24,'拌客源数据1-8月'!$1:$1,0)),'拌客源数据1-8月'!$H:$H,$H$5,'拌客源数据1-8月'!$A:$A,$A30))</f>
        <v>1467</v>
      </c>
      <c r="D30" s="90">
        <f>IF($H$5="全部",SUMIFS(INDEX('拌客源数据1-8月'!$1:$1048576,0,MATCH(D$24,'拌客源数据1-8月'!$1:$1,0)),'拌客源数据1-8月'!$A:$A,$A30),SUMIFS(INDEX('拌客源数据1-8月'!$1:$1048576,0,MATCH(D$24,'拌客源数据1-8月'!$1:$1,0)),'拌客源数据1-8月'!$H:$H,$H$5,'拌客源数据1-8月'!$A:$A,$A30))</f>
        <v>109</v>
      </c>
      <c r="E30" s="106">
        <f t="shared" si="6"/>
        <v>7.4301295160190864E-2</v>
      </c>
      <c r="F30" s="90">
        <f>IF($H$5="全部",SUMIFS(INDEX('拌客源数据1-8月'!$1:$1048576,0,MATCH(F$24,'拌客源数据1-8月'!$1:$1,0)),'拌客源数据1-8月'!$A:$A,$A30),SUMIFS(INDEX('拌客源数据1-8月'!$1:$1048576,0,MATCH(F$24,'拌客源数据1-8月'!$1:$1,0)),'拌客源数据1-8月'!$H:$H,$H$5,'拌客源数据1-8月'!$A:$A,$A30))</f>
        <v>22</v>
      </c>
      <c r="G30" s="106">
        <f t="shared" si="7"/>
        <v>0.20183486238532111</v>
      </c>
      <c r="H30" s="115">
        <f>IF($H$5="全部",SUMIFS(INDEX('拌客源数据1-8月'!$1:$1048576,0,MATCH("cpc总费用",'拌客源数据1-8月'!$1:$1,0)),'拌客源数据1-8月'!$A:$A,'大厂周报-练习版'!$A18),SUMIFS(INDEX('拌客源数据1-8月'!$1:$1048576,0,MATCH("cpc总费用",'拌客源数据1-8月'!$1:$1,0)),'拌客源数据1-8月'!$A:$A,'大厂周报-练习版'!$A18,'拌客源数据1-8月'!$H:$H,'大厂周报-练习版'!$H$5))/$C18</f>
        <v>6.6994338877430115E-2</v>
      </c>
    </row>
    <row r="31" spans="1:8">
      <c r="A31" s="104">
        <f t="shared" si="4"/>
        <v>44059</v>
      </c>
      <c r="B31" s="105">
        <f t="shared" si="5"/>
        <v>44059</v>
      </c>
      <c r="C31" s="90">
        <f>IF($H$5="全部",SUMIFS(INDEX('拌客源数据1-8月'!$1:$1048576,0,MATCH(C$24,'拌客源数据1-8月'!$1:$1,0)),'拌客源数据1-8月'!$A:$A,$A31),SUMIFS(INDEX('拌客源数据1-8月'!$1:$1048576,0,MATCH(C$24,'拌客源数据1-8月'!$1:$1,0)),'拌客源数据1-8月'!$H:$H,$H$5,'拌客源数据1-8月'!$A:$A,$A31))</f>
        <v>1432</v>
      </c>
      <c r="D31" s="90">
        <f>IF($H$5="全部",SUMIFS(INDEX('拌客源数据1-8月'!$1:$1048576,0,MATCH(D$24,'拌客源数据1-8月'!$1:$1,0)),'拌客源数据1-8月'!$A:$A,$A31),SUMIFS(INDEX('拌客源数据1-8月'!$1:$1048576,0,MATCH(D$24,'拌客源数据1-8月'!$1:$1,0)),'拌客源数据1-8月'!$H:$H,$H$5,'拌客源数据1-8月'!$A:$A,$A31))</f>
        <v>100</v>
      </c>
      <c r="E31" s="106">
        <f t="shared" si="6"/>
        <v>6.9832402234636867E-2</v>
      </c>
      <c r="F31" s="90">
        <f>IF($H$5="全部",SUMIFS(INDEX('拌客源数据1-8月'!$1:$1048576,0,MATCH(F$24,'拌客源数据1-8月'!$1:$1,0)),'拌客源数据1-8月'!$A:$A,$A31),SUMIFS(INDEX('拌客源数据1-8月'!$1:$1048576,0,MATCH(F$24,'拌客源数据1-8月'!$1:$1,0)),'拌客源数据1-8月'!$H:$H,$H$5,'拌客源数据1-8月'!$A:$A,$A31))</f>
        <v>20</v>
      </c>
      <c r="G31" s="106">
        <f t="shared" si="7"/>
        <v>0.2</v>
      </c>
      <c r="H31" s="115">
        <f>IF($H$5="全部",SUMIFS(INDEX('拌客源数据1-8月'!$1:$1048576,0,MATCH("cpc总费用",'拌客源数据1-8月'!$1:$1,0)),'拌客源数据1-8月'!$A:$A,'大厂周报-练习版'!$A19),SUMIFS(INDEX('拌客源数据1-8月'!$1:$1048576,0,MATCH("cpc总费用",'拌客源数据1-8月'!$1:$1,0)),'拌客源数据1-8月'!$A:$A,'大厂周报-练习版'!$A19,'拌客源数据1-8月'!$H:$H,'大厂周报-练习版'!$H$5))/$C19</f>
        <v>4.0497585952131411E-2</v>
      </c>
    </row>
    <row r="32" spans="1:8">
      <c r="A32" s="97" t="s">
        <v>72</v>
      </c>
      <c r="B32" s="107"/>
      <c r="C32" s="107">
        <f>SUM(C25:C31)</f>
        <v>8816</v>
      </c>
      <c r="D32" s="107">
        <f>SUM(D25:D31)</f>
        <v>690</v>
      </c>
      <c r="E32" s="108">
        <f>$D32/$C32</f>
        <v>7.8266787658802184E-2</v>
      </c>
      <c r="F32" s="107">
        <f>SUM(F25:F31)</f>
        <v>148</v>
      </c>
      <c r="G32" s="108">
        <f>$F32/$D32</f>
        <v>0.2144927536231884</v>
      </c>
      <c r="H32" s="109">
        <f>IF($H$5="全部",SUMIFS(INDEX('拌客源数据1-8月'!$1:$1048576,0,MATCH("cpc总费用",'拌客源数据1-8月'!$1:$1,0)),'拌客源数据1-8月'!$A:$A,"&gt;="&amp;$A$13,'拌客源数据1-8月'!$A:$A,"&lt;="&amp;$A$19),SUMIFS(INDEX('拌客源数据1-8月'!$1:$1048576,0,MATCH("cpc总费用",'拌客源数据1-8月'!$1:$1,0)),'拌客源数据1-8月'!$H:$H,$H$5,'拌客源数据1-8月'!$A:$A,"&gt;="&amp;$A$13,'拌客源数据1-8月'!$A:$A,"&lt;="&amp;$A$19))/$C$20</f>
        <v>5.8903610696819396E-2</v>
      </c>
    </row>
  </sheetData>
  <mergeCells count="2">
    <mergeCell ref="G7:H7"/>
    <mergeCell ref="A2:H2"/>
  </mergeCells>
  <phoneticPr fontId="18" type="noConversion"/>
  <conditionalFormatting sqref="G7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{073D47E7-AA72-184D-821A-0D701387FBED}</x14:id>
        </ext>
      </extLst>
    </cfRule>
  </conditionalFormatting>
  <conditionalFormatting sqref="B9">
    <cfRule type="cellIs" dxfId="9" priority="11" operator="greaterThan">
      <formula>0</formula>
    </cfRule>
    <cfRule type="cellIs" dxfId="8" priority="10" operator="lessThanOrEqual">
      <formula>0</formula>
    </cfRule>
  </conditionalFormatting>
  <conditionalFormatting sqref="D9">
    <cfRule type="cellIs" dxfId="4" priority="7" operator="lessThanOrEqual">
      <formula>0</formula>
    </cfRule>
    <cfRule type="cellIs" dxfId="5" priority="8" operator="greaterThan">
      <formula>0</formula>
    </cfRule>
  </conditionalFormatting>
  <conditionalFormatting sqref="F9">
    <cfRule type="cellIs" dxfId="2" priority="4" operator="lessThanOrEqual">
      <formula>0</formula>
    </cfRule>
    <cfRule type="cellIs" dxfId="3" priority="5" operator="greaterThan">
      <formula>0</formula>
    </cfRule>
  </conditionalFormatting>
  <conditionalFormatting sqref="A13:H19">
    <cfRule type="expression" dxfId="1" priority="2">
      <formula>$C13&lt;AVERAGE($C$13:$C$19)</formula>
    </cfRule>
  </conditionalFormatting>
  <conditionalFormatting sqref="A25:H31">
    <cfRule type="expression" dxfId="0" priority="1">
      <formula>$C25&lt;AVERAGE($C$13:$C$19)</formula>
    </cfRule>
  </conditionalFormatting>
  <dataValidations count="1">
    <dataValidation type="list" allowBlank="1" showInputMessage="1" showErrorMessage="1" sqref="H5" xr:uid="{6D0C871D-0739-864B-BBC9-F238561B8581}">
      <formula1>"全部,美团,饿了么"</formula1>
    </dataValidation>
  </dataValidations>
  <pageMargins left="0.7" right="0.7" top="0.75" bottom="0.75" header="0.3" footer="0.3"/>
  <ignoredErrors>
    <ignoredError sqref="E13:E20 E25:E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3D47E7-AA72-184D-821A-0D701387FB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iconSet" priority="9" id="{90F52663-E2AA-D44A-93E0-B48441D14573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</xm:sqref>
        </x14:conditionalFormatting>
        <x14:conditionalFormatting xmlns:xm="http://schemas.microsoft.com/office/excel/2006/main">
          <x14:cfRule type="iconSet" priority="6" id="{DA503FD7-8CC5-6D45-B01D-6CFEABE4D923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3" id="{D87E6EDF-5CCF-1841-B514-DE515DEBACA6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DC5C8A64-C980-FB4E-84D8-E240832E461F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'大厂周报-练习版'!G25:G31</xm:f>
              <xm:sqref>F6</xm:sqref>
            </x14:sparkline>
          </x14:sparklines>
        </x14:sparklineGroup>
        <x14:sparklineGroup displayEmptyCellsAs="gap" markers="1" xr2:uid="{80F45538-2012-5244-8FF6-D361EB5651AE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'大厂周报-练习版'!E25:E31</xm:f>
              <xm:sqref>D6</xm:sqref>
            </x14:sparkline>
          </x14:sparklines>
        </x14:sparklineGroup>
        <x14:sparklineGroup displayEmptyCellsAs="gap" markers="1" xr2:uid="{69A451A9-93DB-624B-BDA2-C725A24E89BE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'大厂周报-练习版'!C25:C31</xm:f>
              <xm:sqref>B6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  <sheetView workbookViewId="1"/>
  </sheetViews>
  <sheetFormatPr baseColWidth="10" defaultColWidth="8.83203125" defaultRowHeight="15"/>
  <cols>
    <col min="1" max="1" width="10.5" style="1" bestFit="1" customWidth="1"/>
    <col min="3" max="3" width="23.5" bestFit="1" customWidth="1"/>
    <col min="4" max="4" width="11.6640625" bestFit="1" customWidth="1"/>
    <col min="5" max="5" width="24.5" bestFit="1" customWidth="1"/>
    <col min="9" max="9" width="30.1640625" customWidth="1"/>
    <col min="10" max="10" width="8.83203125" customWidth="1"/>
    <col min="11" max="11" width="10.1640625" customWidth="1"/>
    <col min="12" max="14" width="12.1640625" customWidth="1"/>
    <col min="15" max="16" width="11" bestFit="1" customWidth="1"/>
    <col min="17" max="19" width="10.1640625" customWidth="1"/>
    <col min="20" max="22" width="11.1640625" customWidth="1"/>
    <col min="23" max="24" width="10.1640625" customWidth="1"/>
  </cols>
  <sheetData>
    <row r="1" spans="1:24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拌客源数据1-8月</vt:lpstr>
      <vt:lpstr>数据透视图表-完成版</vt:lpstr>
      <vt:lpstr>常用函数-完成版</vt:lpstr>
      <vt:lpstr>常用函数-练习版</vt:lpstr>
      <vt:lpstr>大厂周报-完成版</vt:lpstr>
      <vt:lpstr>大厂周报-练习版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Microsoft Office User</cp:lastModifiedBy>
  <dcterms:created xsi:type="dcterms:W3CDTF">2021-06-18T07:16:56Z</dcterms:created>
  <dcterms:modified xsi:type="dcterms:W3CDTF">2022-05-07T19:11:49Z</dcterms:modified>
</cp:coreProperties>
</file>