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ndl\Desktop\8.9\"/>
    </mc:Choice>
  </mc:AlternateContent>
  <xr:revisionPtr revIDLastSave="0" documentId="13_ncr:1_{713ED495-D434-4809-8C67-799ACF729778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管脚功能查询" sheetId="2" r:id="rId1"/>
    <sheet name="管脚功能配置" sheetId="1" r:id="rId2"/>
  </sheets>
  <definedNames>
    <definedName name="PA0UT">管脚功能配置!$U$62</definedName>
    <definedName name="PAADS">管脚功能配置!$Q$62</definedName>
    <definedName name="PADIR">管脚功能配置!$S$62</definedName>
    <definedName name="PAOD">管脚功能配置!$T$62</definedName>
    <definedName name="PAPD">管脚功能配置!$W$62</definedName>
    <definedName name="PAPU">管脚功能配置!$V$62</definedName>
    <definedName name="PBADS">管脚功能配置!$Q$63</definedName>
    <definedName name="PBDIR">管脚功能配置!$S$63</definedName>
    <definedName name="PBOD">管脚功能配置!$T$63</definedName>
    <definedName name="PBOUT">管脚功能配置!$U$63</definedName>
    <definedName name="PBPD">管脚功能配置!$W$63</definedName>
    <definedName name="PBPU">管脚功能配置!$V$63</definedName>
    <definedName name="PCADS">管脚功能配置!$Q$64</definedName>
    <definedName name="PCDIR">管脚功能配置!$S$64</definedName>
    <definedName name="PCOD">管脚功能配置!$T$64</definedName>
    <definedName name="PCOUT">管脚功能配置!$U$64</definedName>
    <definedName name="PCPD">管脚功能配置!$W$64</definedName>
    <definedName name="PCPU">管脚功能配置!$V$64</definedName>
    <definedName name="PDADS">管脚功能配置!$Q$65</definedName>
    <definedName name="PDDIR">管脚功能配置!$S$65</definedName>
    <definedName name="PDOD">管脚功能配置!$T$65</definedName>
    <definedName name="PDOUT">管脚功能配置!$U$65</definedName>
    <definedName name="PDPD">管脚功能配置!$W$65</definedName>
    <definedName name="PDPU">管脚功能配置!$V$65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" i="1" l="1"/>
  <c r="Z58" i="1"/>
  <c r="AA57" i="1"/>
  <c r="Z57" i="1"/>
  <c r="X57" i="1"/>
  <c r="W57" i="1"/>
  <c r="V57" i="1"/>
  <c r="U57" i="1"/>
  <c r="T57" i="1"/>
  <c r="S57" i="1"/>
  <c r="Q57" i="1"/>
  <c r="P57" i="1"/>
  <c r="AA56" i="1"/>
  <c r="Q56" i="1" s="1"/>
  <c r="Z56" i="1" s="1"/>
  <c r="X56" i="1"/>
  <c r="S56" i="1" s="1"/>
  <c r="W56" i="1"/>
  <c r="V56" i="1"/>
  <c r="U56" i="1"/>
  <c r="T56" i="1"/>
  <c r="R56" i="1"/>
  <c r="P56" i="1"/>
  <c r="AA55" i="1"/>
  <c r="X55" i="1"/>
  <c r="V55" i="1" s="1"/>
  <c r="W55" i="1"/>
  <c r="U55" i="1"/>
  <c r="T55" i="1"/>
  <c r="S55" i="1"/>
  <c r="Q55" i="1"/>
  <c r="P55" i="1"/>
  <c r="AA54" i="1"/>
  <c r="Q54" i="1" s="1"/>
  <c r="Z54" i="1" s="1"/>
  <c r="X54" i="1"/>
  <c r="S54" i="1" s="1"/>
  <c r="W54" i="1"/>
  <c r="V54" i="1"/>
  <c r="U54" i="1"/>
  <c r="T54" i="1"/>
  <c r="R54" i="1"/>
  <c r="N35" i="1" s="1"/>
  <c r="P54" i="1"/>
  <c r="AA53" i="1"/>
  <c r="X53" i="1"/>
  <c r="W53" i="1"/>
  <c r="V53" i="1"/>
  <c r="U53" i="1"/>
  <c r="T53" i="1"/>
  <c r="S53" i="1"/>
  <c r="Q53" i="1"/>
  <c r="Z53" i="1" s="1"/>
  <c r="P53" i="1"/>
  <c r="AA52" i="1"/>
  <c r="Q52" i="1" s="1"/>
  <c r="Z52" i="1" s="1"/>
  <c r="X52" i="1"/>
  <c r="S52" i="1" s="1"/>
  <c r="W52" i="1"/>
  <c r="V52" i="1"/>
  <c r="U52" i="1"/>
  <c r="T52" i="1"/>
  <c r="P52" i="1"/>
  <c r="AA51" i="1"/>
  <c r="X51" i="1"/>
  <c r="V51" i="1" s="1"/>
  <c r="W51" i="1"/>
  <c r="U51" i="1"/>
  <c r="T51" i="1"/>
  <c r="S51" i="1"/>
  <c r="Q51" i="1"/>
  <c r="Z51" i="1" s="1"/>
  <c r="P51" i="1"/>
  <c r="AA50" i="1"/>
  <c r="Q50" i="1" s="1"/>
  <c r="Z50" i="1" s="1"/>
  <c r="X50" i="1"/>
  <c r="S50" i="1" s="1"/>
  <c r="W50" i="1"/>
  <c r="V50" i="1"/>
  <c r="U50" i="1"/>
  <c r="T50" i="1"/>
  <c r="R50" i="1"/>
  <c r="P50" i="1"/>
  <c r="AA49" i="1"/>
  <c r="Z49" i="1"/>
  <c r="X49" i="1"/>
  <c r="W49" i="1"/>
  <c r="V49" i="1"/>
  <c r="U49" i="1"/>
  <c r="T49" i="1"/>
  <c r="S49" i="1"/>
  <c r="Q49" i="1"/>
  <c r="P49" i="1"/>
  <c r="AA48" i="1"/>
  <c r="Q48" i="1" s="1"/>
  <c r="Z48" i="1" s="1"/>
  <c r="X48" i="1"/>
  <c r="S48" i="1" s="1"/>
  <c r="W48" i="1"/>
  <c r="U48" i="1"/>
  <c r="T48" i="1"/>
  <c r="P48" i="1"/>
  <c r="AA47" i="1"/>
  <c r="Z47" i="1"/>
  <c r="X47" i="1"/>
  <c r="W47" i="1"/>
  <c r="V47" i="1"/>
  <c r="U47" i="1"/>
  <c r="T47" i="1"/>
  <c r="S47" i="1"/>
  <c r="Q47" i="1"/>
  <c r="P47" i="1"/>
  <c r="AA46" i="1"/>
  <c r="Q46" i="1" s="1"/>
  <c r="Z46" i="1" s="1"/>
  <c r="X46" i="1"/>
  <c r="S46" i="1" s="1"/>
  <c r="W46" i="1"/>
  <c r="V46" i="1"/>
  <c r="U46" i="1"/>
  <c r="T46" i="1"/>
  <c r="R46" i="1"/>
  <c r="N20" i="1" s="1"/>
  <c r="P46" i="1"/>
  <c r="AA45" i="1"/>
  <c r="Q45" i="1" s="1"/>
  <c r="Z45" i="1" s="1"/>
  <c r="X45" i="1"/>
  <c r="S45" i="1" s="1"/>
  <c r="W45" i="1"/>
  <c r="V45" i="1"/>
  <c r="U45" i="1"/>
  <c r="T45" i="1"/>
  <c r="R45" i="1"/>
  <c r="P45" i="1"/>
  <c r="AA44" i="1"/>
  <c r="Q44" i="1" s="1"/>
  <c r="Z44" i="1" s="1"/>
  <c r="X44" i="1"/>
  <c r="S44" i="1" s="1"/>
  <c r="W44" i="1"/>
  <c r="V44" i="1"/>
  <c r="U44" i="1"/>
  <c r="T44" i="1"/>
  <c r="R44" i="1"/>
  <c r="N18" i="1" s="1"/>
  <c r="P44" i="1"/>
  <c r="AA43" i="1"/>
  <c r="Q43" i="1" s="1"/>
  <c r="Z43" i="1" s="1"/>
  <c r="X43" i="1"/>
  <c r="S43" i="1" s="1"/>
  <c r="W43" i="1"/>
  <c r="V43" i="1"/>
  <c r="U43" i="1"/>
  <c r="T43" i="1"/>
  <c r="R43" i="1"/>
  <c r="P43" i="1"/>
  <c r="AA42" i="1"/>
  <c r="Q42" i="1" s="1"/>
  <c r="Z42" i="1" s="1"/>
  <c r="R42" i="1" s="1"/>
  <c r="N16" i="1" s="1"/>
  <c r="X42" i="1"/>
  <c r="S42" i="1" s="1"/>
  <c r="W42" i="1"/>
  <c r="V42" i="1"/>
  <c r="U42" i="1"/>
  <c r="T42" i="1"/>
  <c r="P42" i="1"/>
  <c r="AA41" i="1"/>
  <c r="Q41" i="1" s="1"/>
  <c r="Z41" i="1" s="1"/>
  <c r="X41" i="1"/>
  <c r="S41" i="1" s="1"/>
  <c r="W41" i="1"/>
  <c r="V41" i="1"/>
  <c r="U41" i="1"/>
  <c r="T41" i="1"/>
  <c r="P41" i="1"/>
  <c r="AA40" i="1"/>
  <c r="Q40" i="1" s="1"/>
  <c r="Z40" i="1" s="1"/>
  <c r="X40" i="1"/>
  <c r="S40" i="1" s="1"/>
  <c r="W40" i="1"/>
  <c r="V40" i="1"/>
  <c r="U40" i="1"/>
  <c r="T40" i="1"/>
  <c r="P40" i="1"/>
  <c r="AA39" i="1"/>
  <c r="Q39" i="1" s="1"/>
  <c r="Z39" i="1" s="1"/>
  <c r="X39" i="1"/>
  <c r="S39" i="1" s="1"/>
  <c r="W39" i="1"/>
  <c r="V39" i="1"/>
  <c r="U39" i="1"/>
  <c r="T39" i="1"/>
  <c r="P39" i="1"/>
  <c r="AA38" i="1"/>
  <c r="Q38" i="1" s="1"/>
  <c r="Z38" i="1" s="1"/>
  <c r="X38" i="1"/>
  <c r="S38" i="1" s="1"/>
  <c r="W38" i="1"/>
  <c r="V38" i="1"/>
  <c r="U38" i="1"/>
  <c r="T38" i="1"/>
  <c r="P38" i="1"/>
  <c r="AA37" i="1"/>
  <c r="X37" i="1"/>
  <c r="V37" i="1" s="1"/>
  <c r="W37" i="1"/>
  <c r="U37" i="1"/>
  <c r="T37" i="1"/>
  <c r="S37" i="1"/>
  <c r="Q37" i="1"/>
  <c r="P37" i="1"/>
  <c r="N37" i="1"/>
  <c r="AA36" i="1"/>
  <c r="Q36" i="1" s="1"/>
  <c r="Z36" i="1" s="1"/>
  <c r="X36" i="1"/>
  <c r="S36" i="1" s="1"/>
  <c r="W36" i="1"/>
  <c r="U36" i="1"/>
  <c r="T36" i="1"/>
  <c r="P36" i="1"/>
  <c r="AA35" i="1"/>
  <c r="Z35" i="1"/>
  <c r="X35" i="1"/>
  <c r="W35" i="1"/>
  <c r="V35" i="1"/>
  <c r="U35" i="1"/>
  <c r="T35" i="1"/>
  <c r="S35" i="1"/>
  <c r="Q35" i="1"/>
  <c r="P35" i="1"/>
  <c r="AA34" i="1"/>
  <c r="Q34" i="1" s="1"/>
  <c r="Z34" i="1" s="1"/>
  <c r="X34" i="1"/>
  <c r="S34" i="1" s="1"/>
  <c r="W34" i="1"/>
  <c r="U34" i="1"/>
  <c r="T34" i="1"/>
  <c r="P34" i="1"/>
  <c r="AA33" i="1"/>
  <c r="X33" i="1"/>
  <c r="V33" i="1" s="1"/>
  <c r="W33" i="1"/>
  <c r="U33" i="1"/>
  <c r="T33" i="1"/>
  <c r="S33" i="1"/>
  <c r="Q33" i="1"/>
  <c r="P33" i="1"/>
  <c r="AA32" i="1"/>
  <c r="Q32" i="1" s="1"/>
  <c r="Z32" i="1" s="1"/>
  <c r="X32" i="1"/>
  <c r="S32" i="1" s="1"/>
  <c r="W32" i="1"/>
  <c r="U32" i="1"/>
  <c r="T32" i="1"/>
  <c r="R32" i="1"/>
  <c r="L45" i="1" s="1"/>
  <c r="P32" i="1"/>
  <c r="AA31" i="1"/>
  <c r="X31" i="1"/>
  <c r="W31" i="1"/>
  <c r="V31" i="1"/>
  <c r="U31" i="1"/>
  <c r="T31" i="1"/>
  <c r="S31" i="1"/>
  <c r="Q31" i="1"/>
  <c r="P31" i="1"/>
  <c r="N31" i="1"/>
  <c r="AA30" i="1"/>
  <c r="Q30" i="1" s="1"/>
  <c r="Z30" i="1" s="1"/>
  <c r="R30" i="1" s="1"/>
  <c r="L43" i="1" s="1"/>
  <c r="X30" i="1"/>
  <c r="S30" i="1" s="1"/>
  <c r="W30" i="1"/>
  <c r="U30" i="1"/>
  <c r="T30" i="1"/>
  <c r="P30" i="1"/>
  <c r="AA29" i="1"/>
  <c r="X29" i="1"/>
  <c r="V29" i="1" s="1"/>
  <c r="W29" i="1"/>
  <c r="U29" i="1"/>
  <c r="T29" i="1"/>
  <c r="S29" i="1"/>
  <c r="Q29" i="1"/>
  <c r="Z29" i="1" s="1"/>
  <c r="P29" i="1"/>
  <c r="AA28" i="1"/>
  <c r="Q28" i="1" s="1"/>
  <c r="Z28" i="1" s="1"/>
  <c r="X28" i="1"/>
  <c r="S28" i="1" s="1"/>
  <c r="W28" i="1"/>
  <c r="U28" i="1"/>
  <c r="T28" i="1"/>
  <c r="R28" i="1"/>
  <c r="L41" i="1" s="1"/>
  <c r="P28" i="1"/>
  <c r="AA27" i="1"/>
  <c r="Z27" i="1"/>
  <c r="X27" i="1"/>
  <c r="W27" i="1"/>
  <c r="V27" i="1"/>
  <c r="U27" i="1"/>
  <c r="T27" i="1"/>
  <c r="S27" i="1"/>
  <c r="Q27" i="1"/>
  <c r="P27" i="1"/>
  <c r="AA26" i="1"/>
  <c r="Q26" i="1" s="1"/>
  <c r="Z26" i="1" s="1"/>
  <c r="X26" i="1"/>
  <c r="S26" i="1" s="1"/>
  <c r="W26" i="1"/>
  <c r="U26" i="1"/>
  <c r="T26" i="1"/>
  <c r="R26" i="1"/>
  <c r="L39" i="1" s="1"/>
  <c r="P26" i="1"/>
  <c r="AA25" i="1"/>
  <c r="Z25" i="1"/>
  <c r="X25" i="1"/>
  <c r="V25" i="1" s="1"/>
  <c r="W25" i="1"/>
  <c r="U25" i="1"/>
  <c r="T25" i="1"/>
  <c r="S25" i="1"/>
  <c r="Q25" i="1"/>
  <c r="P25" i="1"/>
  <c r="AA24" i="1"/>
  <c r="Q24" i="1" s="1"/>
  <c r="Z24" i="1" s="1"/>
  <c r="X24" i="1"/>
  <c r="W24" i="1"/>
  <c r="V24" i="1"/>
  <c r="U24" i="1"/>
  <c r="T24" i="1"/>
  <c r="S24" i="1"/>
  <c r="R24" i="1"/>
  <c r="L37" i="1" s="1"/>
  <c r="P24" i="1"/>
  <c r="AA23" i="1"/>
  <c r="X23" i="1"/>
  <c r="W23" i="1"/>
  <c r="V23" i="1"/>
  <c r="U23" i="1"/>
  <c r="T23" i="1"/>
  <c r="S23" i="1"/>
  <c r="Q23" i="1"/>
  <c r="Z23" i="1" s="1"/>
  <c r="P23" i="1"/>
  <c r="AA22" i="1"/>
  <c r="Q22" i="1" s="1"/>
  <c r="Z22" i="1" s="1"/>
  <c r="X22" i="1"/>
  <c r="S22" i="1" s="1"/>
  <c r="W22" i="1"/>
  <c r="V22" i="1"/>
  <c r="U22" i="1"/>
  <c r="T22" i="1"/>
  <c r="P22" i="1"/>
  <c r="AA21" i="1"/>
  <c r="X21" i="1"/>
  <c r="W21" i="1"/>
  <c r="V21" i="1"/>
  <c r="U21" i="1"/>
  <c r="T21" i="1"/>
  <c r="S21" i="1"/>
  <c r="Q21" i="1"/>
  <c r="Z21" i="1" s="1"/>
  <c r="P21" i="1"/>
  <c r="AA20" i="1"/>
  <c r="Q20" i="1" s="1"/>
  <c r="Z20" i="1" s="1"/>
  <c r="X20" i="1"/>
  <c r="S20" i="1" s="1"/>
  <c r="W20" i="1"/>
  <c r="V20" i="1"/>
  <c r="U20" i="1"/>
  <c r="T20" i="1"/>
  <c r="P20" i="1"/>
  <c r="AA19" i="1"/>
  <c r="X19" i="1"/>
  <c r="W19" i="1"/>
  <c r="V19" i="1"/>
  <c r="U19" i="1"/>
  <c r="T19" i="1"/>
  <c r="S19" i="1"/>
  <c r="Q19" i="1"/>
  <c r="Z19" i="1" s="1"/>
  <c r="P19" i="1"/>
  <c r="N19" i="1"/>
  <c r="AA18" i="1"/>
  <c r="Q18" i="1" s="1"/>
  <c r="Z18" i="1" s="1"/>
  <c r="X18" i="1"/>
  <c r="S18" i="1" s="1"/>
  <c r="W18" i="1"/>
  <c r="V18" i="1"/>
  <c r="U18" i="1"/>
  <c r="T18" i="1"/>
  <c r="P18" i="1"/>
  <c r="AA17" i="1"/>
  <c r="X17" i="1"/>
  <c r="W17" i="1"/>
  <c r="V17" i="1"/>
  <c r="U17" i="1"/>
  <c r="T17" i="1"/>
  <c r="S17" i="1"/>
  <c r="Q17" i="1"/>
  <c r="Z17" i="1" s="1"/>
  <c r="P17" i="1"/>
  <c r="N17" i="1"/>
  <c r="AA16" i="1"/>
  <c r="Q16" i="1" s="1"/>
  <c r="Z16" i="1" s="1"/>
  <c r="X16" i="1"/>
  <c r="S16" i="1" s="1"/>
  <c r="W16" i="1"/>
  <c r="V16" i="1"/>
  <c r="U16" i="1"/>
  <c r="T16" i="1"/>
  <c r="P16" i="1"/>
  <c r="AA15" i="1"/>
  <c r="X15" i="1"/>
  <c r="W15" i="1"/>
  <c r="V15" i="1"/>
  <c r="U15" i="1"/>
  <c r="T15" i="1"/>
  <c r="S15" i="1"/>
  <c r="Q15" i="1"/>
  <c r="Z15" i="1" s="1"/>
  <c r="P15" i="1"/>
  <c r="AA14" i="1"/>
  <c r="Q14" i="1" s="1"/>
  <c r="Z14" i="1" s="1"/>
  <c r="X14" i="1"/>
  <c r="S14" i="1" s="1"/>
  <c r="W14" i="1"/>
  <c r="V14" i="1"/>
  <c r="U14" i="1"/>
  <c r="T14" i="1"/>
  <c r="P14" i="1"/>
  <c r="AA13" i="1"/>
  <c r="X13" i="1"/>
  <c r="W13" i="1"/>
  <c r="V13" i="1"/>
  <c r="U13" i="1"/>
  <c r="T13" i="1"/>
  <c r="S13" i="1"/>
  <c r="Q13" i="1"/>
  <c r="Z13" i="1" s="1"/>
  <c r="P13" i="1"/>
  <c r="AA12" i="1"/>
  <c r="Q12" i="1" s="1"/>
  <c r="Z12" i="1" s="1"/>
  <c r="X12" i="1"/>
  <c r="S12" i="1" s="1"/>
  <c r="W12" i="1"/>
  <c r="V12" i="1"/>
  <c r="U12" i="1"/>
  <c r="T12" i="1"/>
  <c r="P12" i="1"/>
  <c r="AA11" i="1"/>
  <c r="X11" i="1"/>
  <c r="W11" i="1"/>
  <c r="V11" i="1"/>
  <c r="U11" i="1"/>
  <c r="T11" i="1"/>
  <c r="S11" i="1"/>
  <c r="Q11" i="1"/>
  <c r="Z11" i="1" s="1"/>
  <c r="P11" i="1"/>
  <c r="AA10" i="1"/>
  <c r="Q10" i="1" s="1"/>
  <c r="Z10" i="1" s="1"/>
  <c r="X10" i="1"/>
  <c r="S10" i="1" s="1"/>
  <c r="W10" i="1"/>
  <c r="V10" i="1"/>
  <c r="U10" i="1"/>
  <c r="T10" i="1"/>
  <c r="P10" i="1"/>
  <c r="AA9" i="1"/>
  <c r="X9" i="1"/>
  <c r="W9" i="1"/>
  <c r="V9" i="1"/>
  <c r="U9" i="1"/>
  <c r="T9" i="1"/>
  <c r="S9" i="1"/>
  <c r="Q9" i="1"/>
  <c r="Z9" i="1" s="1"/>
  <c r="R9" i="1" s="1"/>
  <c r="L15" i="1" s="1"/>
  <c r="P9" i="1"/>
  <c r="AA8" i="1"/>
  <c r="X8" i="1"/>
  <c r="V8" i="1" s="1"/>
  <c r="W8" i="1"/>
  <c r="U8" i="1"/>
  <c r="T8" i="1"/>
  <c r="R8" i="1"/>
  <c r="L14" i="1" s="1"/>
  <c r="Q8" i="1"/>
  <c r="Z8" i="1" s="1"/>
  <c r="P8" i="1"/>
  <c r="AA7" i="1"/>
  <c r="X7" i="1"/>
  <c r="V7" i="1" s="1"/>
  <c r="W7" i="1"/>
  <c r="U7" i="1"/>
  <c r="T7" i="1"/>
  <c r="S7" i="1"/>
  <c r="Q7" i="1"/>
  <c r="P7" i="1"/>
  <c r="AA6" i="1"/>
  <c r="Q6" i="1" s="1"/>
  <c r="X6" i="1"/>
  <c r="S6" i="1" s="1"/>
  <c r="W6" i="1"/>
  <c r="V6" i="1"/>
  <c r="U6" i="1"/>
  <c r="T6" i="1"/>
  <c r="P6" i="1"/>
  <c r="AA5" i="1"/>
  <c r="X5" i="1"/>
  <c r="W5" i="1"/>
  <c r="V5" i="1"/>
  <c r="U5" i="1"/>
  <c r="T5" i="1"/>
  <c r="S5" i="1"/>
  <c r="Q5" i="1"/>
  <c r="Z5" i="1" s="1"/>
  <c r="P5" i="1"/>
  <c r="AA4" i="1"/>
  <c r="Q4" i="1" s="1"/>
  <c r="X4" i="1"/>
  <c r="V4" i="1" s="1"/>
  <c r="W4" i="1"/>
  <c r="U4" i="1"/>
  <c r="T4" i="1"/>
  <c r="P4" i="1"/>
  <c r="Q63" i="1" s="1"/>
  <c r="AA3" i="1"/>
  <c r="X3" i="1"/>
  <c r="W3" i="1"/>
  <c r="V3" i="1"/>
  <c r="U3" i="1"/>
  <c r="T3" i="1"/>
  <c r="S3" i="1"/>
  <c r="Q3" i="1"/>
  <c r="Z3" i="1" s="1"/>
  <c r="P3" i="1"/>
  <c r="AA2" i="1"/>
  <c r="Q2" i="1" s="1"/>
  <c r="X2" i="1"/>
  <c r="S2" i="1" s="1"/>
  <c r="W2" i="1"/>
  <c r="V2" i="1"/>
  <c r="U2" i="1"/>
  <c r="T2" i="1"/>
  <c r="P2" i="1"/>
  <c r="Z63" i="1" l="1"/>
  <c r="L25" i="1"/>
  <c r="R4" i="1"/>
  <c r="L10" i="1" s="1"/>
  <c r="Z4" i="1"/>
  <c r="Z6" i="1"/>
  <c r="R6" i="1"/>
  <c r="L12" i="1" s="1"/>
  <c r="R2" i="1"/>
  <c r="L8" i="1" s="1"/>
  <c r="Z2" i="1"/>
  <c r="Q62" i="1"/>
  <c r="R31" i="1"/>
  <c r="L44" i="1" s="1"/>
  <c r="U65" i="1"/>
  <c r="N29" i="1" s="1"/>
  <c r="U64" i="1"/>
  <c r="N6" i="1" s="1"/>
  <c r="U63" i="1"/>
  <c r="L29" i="1" s="1"/>
  <c r="U62" i="1"/>
  <c r="L6" i="1" s="1"/>
  <c r="X65" i="1"/>
  <c r="W65" i="1"/>
  <c r="N27" i="1" s="1"/>
  <c r="S65" i="1"/>
  <c r="N30" i="1" s="1"/>
  <c r="W64" i="1"/>
  <c r="N4" i="1" s="1"/>
  <c r="S64" i="1"/>
  <c r="N7" i="1" s="1"/>
  <c r="W63" i="1"/>
  <c r="L27" i="1" s="1"/>
  <c r="S63" i="1"/>
  <c r="L30" i="1" s="1"/>
  <c r="W62" i="1"/>
  <c r="L4" i="1" s="1"/>
  <c r="S4" i="1"/>
  <c r="S62" i="1" s="1"/>
  <c r="L7" i="1" s="1"/>
  <c r="R5" i="1"/>
  <c r="L11" i="1" s="1"/>
  <c r="S8" i="1"/>
  <c r="V26" i="1"/>
  <c r="V28" i="1"/>
  <c r="Z31" i="1"/>
  <c r="R35" i="1"/>
  <c r="N9" i="1" s="1"/>
  <c r="R48" i="1"/>
  <c r="N22" i="1" s="1"/>
  <c r="R49" i="1"/>
  <c r="N23" i="1" s="1"/>
  <c r="X62" i="1"/>
  <c r="X63" i="1"/>
  <c r="X64" i="1"/>
  <c r="Z7" i="1"/>
  <c r="R7" i="1" s="1"/>
  <c r="L13" i="1" s="1"/>
  <c r="R33" i="1"/>
  <c r="L46" i="1" s="1"/>
  <c r="Q64" i="1"/>
  <c r="Q65" i="1"/>
  <c r="R3" i="1"/>
  <c r="L9" i="1" s="1"/>
  <c r="R10" i="1"/>
  <c r="L16" i="1" s="1"/>
  <c r="R12" i="1"/>
  <c r="L18" i="1" s="1"/>
  <c r="R14" i="1"/>
  <c r="L20" i="1" s="1"/>
  <c r="R16" i="1"/>
  <c r="L22" i="1" s="1"/>
  <c r="R18" i="1"/>
  <c r="L31" i="1" s="1"/>
  <c r="R20" i="1"/>
  <c r="L33" i="1" s="1"/>
  <c r="R22" i="1"/>
  <c r="L35" i="1" s="1"/>
  <c r="R27" i="1"/>
  <c r="L40" i="1" s="1"/>
  <c r="R29" i="1"/>
  <c r="L42" i="1" s="1"/>
  <c r="V34" i="1"/>
  <c r="V36" i="1"/>
  <c r="Z37" i="1"/>
  <c r="R37" i="1" s="1"/>
  <c r="N11" i="1" s="1"/>
  <c r="R38" i="1"/>
  <c r="N12" i="1" s="1"/>
  <c r="R39" i="1"/>
  <c r="N13" i="1" s="1"/>
  <c r="R40" i="1"/>
  <c r="N14" i="1" s="1"/>
  <c r="R41" i="1"/>
  <c r="N15" i="1" s="1"/>
  <c r="R47" i="1"/>
  <c r="N21" i="1" s="1"/>
  <c r="R51" i="1"/>
  <c r="N32" i="1" s="1"/>
  <c r="R57" i="1"/>
  <c r="N38" i="1" s="1"/>
  <c r="T62" i="1"/>
  <c r="L5" i="1" s="1"/>
  <c r="T63" i="1"/>
  <c r="L28" i="1" s="1"/>
  <c r="T64" i="1"/>
  <c r="N5" i="1" s="1"/>
  <c r="T65" i="1"/>
  <c r="N28" i="1" s="1"/>
  <c r="R11" i="1"/>
  <c r="L17" i="1" s="1"/>
  <c r="R13" i="1"/>
  <c r="L19" i="1" s="1"/>
  <c r="R15" i="1"/>
  <c r="L21" i="1" s="1"/>
  <c r="R17" i="1"/>
  <c r="L23" i="1" s="1"/>
  <c r="R19" i="1"/>
  <c r="L32" i="1" s="1"/>
  <c r="R21" i="1"/>
  <c r="L34" i="1" s="1"/>
  <c r="R23" i="1"/>
  <c r="L36" i="1" s="1"/>
  <c r="R25" i="1"/>
  <c r="L38" i="1" s="1"/>
  <c r="V30" i="1"/>
  <c r="V63" i="1" s="1"/>
  <c r="L26" i="1" s="1"/>
  <c r="V32" i="1"/>
  <c r="Z33" i="1"/>
  <c r="R34" i="1"/>
  <c r="N8" i="1" s="1"/>
  <c r="R36" i="1"/>
  <c r="N10" i="1" s="1"/>
  <c r="V48" i="1"/>
  <c r="R52" i="1"/>
  <c r="N33" i="1" s="1"/>
  <c r="R53" i="1"/>
  <c r="N34" i="1" s="1"/>
  <c r="Z55" i="1"/>
  <c r="R55" i="1" s="1"/>
  <c r="N36" i="1" s="1"/>
  <c r="V62" i="1"/>
  <c r="L3" i="1" s="1"/>
  <c r="V64" i="1"/>
  <c r="N3" i="1" s="1"/>
  <c r="V65" i="1"/>
  <c r="N26" i="1" s="1"/>
  <c r="Z64" i="1" l="1"/>
  <c r="N2" i="1"/>
  <c r="Z65" i="1"/>
  <c r="N25" i="1"/>
  <c r="Z62" i="1"/>
  <c r="L2" i="1"/>
</calcChain>
</file>

<file path=xl/sharedStrings.xml><?xml version="1.0" encoding="utf-8"?>
<sst xmlns="http://schemas.openxmlformats.org/spreadsheetml/2006/main" count="1270" uniqueCount="347">
  <si>
    <t>筛选条件1</t>
  </si>
  <si>
    <t>UART0</t>
  </si>
  <si>
    <t>筛选条件4</t>
  </si>
  <si>
    <t>COM</t>
  </si>
  <si>
    <t>筛选条件2</t>
  </si>
  <si>
    <t>I2C</t>
  </si>
  <si>
    <t>筛选条件5</t>
  </si>
  <si>
    <t>AIN0</t>
  </si>
  <si>
    <t>筛选条件3</t>
  </si>
  <si>
    <t>LPTIM</t>
  </si>
  <si>
    <t>筛选条件6</t>
  </si>
  <si>
    <t>VC1_I</t>
  </si>
  <si>
    <t>数字功能</t>
  </si>
  <si>
    <t>模拟功能</t>
  </si>
  <si>
    <t>Pxx_SEL = 0</t>
  </si>
  <si>
    <t>Pxx_SEL = 1</t>
  </si>
  <si>
    <t>Pxx_SEL = 2</t>
  </si>
  <si>
    <t>Pxx_SEL = 3</t>
  </si>
  <si>
    <t>Pxx_SEL = 4</t>
  </si>
  <si>
    <t>Pxx_SEL = 5</t>
  </si>
  <si>
    <t>Pxx_SEL = 6</t>
  </si>
  <si>
    <t>Pxx_SEL = 7</t>
  </si>
  <si>
    <t>PA00</t>
  </si>
  <si>
    <t>UART1_CTS</t>
  </si>
  <si>
    <t>LPUART1_TXD</t>
  </si>
  <si>
    <t>TIM0_ETR</t>
  </si>
  <si>
    <t>VC0_OUT</t>
  </si>
  <si>
    <t>TIM1_CHA</t>
  </si>
  <si>
    <t>TIM3_ETR</t>
  </si>
  <si>
    <t>TIM0_CHA</t>
  </si>
  <si>
    <t>VC0_INP4</t>
  </si>
  <si>
    <t>VC0_INN0</t>
  </si>
  <si>
    <t>VC1_INP0</t>
  </si>
  <si>
    <t>VC1_INN4</t>
  </si>
  <si>
    <t>SEG23</t>
  </si>
  <si>
    <t>PA01</t>
  </si>
  <si>
    <t>UART1_RTS</t>
  </si>
  <si>
    <t>LPUART1_RXD</t>
  </si>
  <si>
    <t>TIM0_CHB</t>
  </si>
  <si>
    <t>TIM1_ETR</t>
  </si>
  <si>
    <t>TIM1_CHB</t>
  </si>
  <si>
    <t>HCLK_OUT</t>
  </si>
  <si>
    <t>SPI1_MOSI</t>
  </si>
  <si>
    <t>AIN1</t>
  </si>
  <si>
    <t>VC0_INP5</t>
  </si>
  <si>
    <t>VC0_INN1</t>
  </si>
  <si>
    <t>VC1_INP1</t>
  </si>
  <si>
    <t>VC1_INN5</t>
  </si>
  <si>
    <t>SEG22</t>
  </si>
  <si>
    <t>PA02</t>
  </si>
  <si>
    <t>UART1_TXD</t>
  </si>
  <si>
    <t>VC1_OUT</t>
  </si>
  <si>
    <t>TIM2_CHA</t>
  </si>
  <si>
    <t>PCLK_OUT</t>
  </si>
  <si>
    <t>SPI1_MISO</t>
  </si>
  <si>
    <t>AIN2</t>
  </si>
  <si>
    <t>VC0_INP6</t>
  </si>
  <si>
    <t>VC0_INN2</t>
  </si>
  <si>
    <t>VC1_INP2</t>
  </si>
  <si>
    <t>SEG21</t>
  </si>
  <si>
    <t>PA03</t>
  </si>
  <si>
    <t>UART1_RXD</t>
  </si>
  <si>
    <t>TIM0_GATE</t>
  </si>
  <si>
    <t>TIM2_CHB</t>
  </si>
  <si>
    <t>SPI1_CS</t>
  </si>
  <si>
    <t>TIM3_CH1A</t>
  </si>
  <si>
    <t>TIM5_CHA</t>
  </si>
  <si>
    <t>AIN3</t>
  </si>
  <si>
    <t>VC0_INP7</t>
  </si>
  <si>
    <t>VC0_INN3</t>
  </si>
  <si>
    <t>VC1_INP3</t>
  </si>
  <si>
    <t>SEG20</t>
  </si>
  <si>
    <t>PA04</t>
  </si>
  <si>
    <t>SPI0_CS</t>
  </si>
  <si>
    <t>PCA_CH4</t>
  </si>
  <si>
    <t>TIM2_ETR</t>
  </si>
  <si>
    <t>LVD_OUT</t>
  </si>
  <si>
    <t>TIM3_CH2B</t>
  </si>
  <si>
    <t>AIN4</t>
  </si>
  <si>
    <t>VC0_INP8</t>
  </si>
  <si>
    <t>VC0_INN4</t>
  </si>
  <si>
    <t>VC1_INP4</t>
  </si>
  <si>
    <t>SEG19</t>
  </si>
  <si>
    <t>PA05</t>
  </si>
  <si>
    <t>SPI0_SCK</t>
  </si>
  <si>
    <t>PCA_ECI</t>
  </si>
  <si>
    <t>TIM5_CHB</t>
  </si>
  <si>
    <t>XTL_OUT</t>
  </si>
  <si>
    <t>XTH_OUT</t>
  </si>
  <si>
    <t>AIN5</t>
  </si>
  <si>
    <t>VC0_INP9</t>
  </si>
  <si>
    <t>VC0_INN5</t>
  </si>
  <si>
    <t>VC1_INP5</t>
  </si>
  <si>
    <t>SEG18</t>
  </si>
  <si>
    <t>PA06</t>
  </si>
  <si>
    <t>SPI0_MISO</t>
  </si>
  <si>
    <t>PCA_CH0</t>
  </si>
  <si>
    <t>TIM3_BK</t>
  </si>
  <si>
    <t>TIM3_GATE</t>
  </si>
  <si>
    <t>LPUART0_CTS</t>
  </si>
  <si>
    <t>AIN6</t>
  </si>
  <si>
    <t>VC0_INP10</t>
  </si>
  <si>
    <t>VC0_INN6</t>
  </si>
  <si>
    <t>SEG17</t>
  </si>
  <si>
    <t>PA07</t>
  </si>
  <si>
    <t>SPI0_MOSI</t>
  </si>
  <si>
    <t>PCA_CH1</t>
  </si>
  <si>
    <t>TIM3_CH0B</t>
  </si>
  <si>
    <t>TIM4_CHB</t>
  </si>
  <si>
    <t>AIN7</t>
  </si>
  <si>
    <t>VC0_INP11</t>
  </si>
  <si>
    <t>VC0_INN7</t>
  </si>
  <si>
    <t>SEG16</t>
  </si>
  <si>
    <t>PA08</t>
  </si>
  <si>
    <t>UART0_TXD</t>
  </si>
  <si>
    <t>TIM3_CH0A</t>
  </si>
  <si>
    <t>TIM1_GATE</t>
  </si>
  <si>
    <t>TIM4_CHA</t>
  </si>
  <si>
    <t>SEG0</t>
  </si>
  <si>
    <t>PA09</t>
  </si>
  <si>
    <t>TIM0_BK</t>
  </si>
  <si>
    <t>I2C0_SCL</t>
  </si>
  <si>
    <t>COM0</t>
  </si>
  <si>
    <t>PA10</t>
  </si>
  <si>
    <t>UART0_RXD</t>
  </si>
  <si>
    <t>TIM3_CH2A</t>
  </si>
  <si>
    <t>TIM2_BK</t>
  </si>
  <si>
    <t>I2C0_SDA</t>
  </si>
  <si>
    <t>TIM2_GATE</t>
  </si>
  <si>
    <t>TIM6_CHA</t>
  </si>
  <si>
    <t>COM1</t>
  </si>
  <si>
    <t>PA11</t>
  </si>
  <si>
    <t>UART0_CTS</t>
  </si>
  <si>
    <t>I2C1_SCL</t>
  </si>
  <si>
    <t>COM2</t>
  </si>
  <si>
    <t>PA12</t>
  </si>
  <si>
    <t>UART0_RTS</t>
  </si>
  <si>
    <t>I2C1_SDA</t>
  </si>
  <si>
    <t>PCNT_S0</t>
  </si>
  <si>
    <t>COM3</t>
  </si>
  <si>
    <t>PA13/SWDIO</t>
  </si>
  <si>
    <t>IR_OUT</t>
  </si>
  <si>
    <t>RTC_1HZ</t>
  </si>
  <si>
    <t>PCNT_S1</t>
  </si>
  <si>
    <t>PA14/SWCLK</t>
  </si>
  <si>
    <t>RCH_OUT</t>
  </si>
  <si>
    <t>RCL_OUT</t>
  </si>
  <si>
    <t>PLL_OUT</t>
  </si>
  <si>
    <t>PA15</t>
  </si>
  <si>
    <t>LPUART1_RTS</t>
  </si>
  <si>
    <t>PB00</t>
  </si>
  <si>
    <t>PCA_CH2</t>
  </si>
  <si>
    <t>TIM3_CH1B</t>
  </si>
  <si>
    <t>LPUART0_TXD</t>
  </si>
  <si>
    <t>AIN8</t>
  </si>
  <si>
    <t>VC0_INN10</t>
  </si>
  <si>
    <t>VC1_INN6</t>
  </si>
  <si>
    <t>SEG13</t>
  </si>
  <si>
    <t>PB01</t>
  </si>
  <si>
    <t>PCA_CH3</t>
  </si>
  <si>
    <t>TIM6_CHB</t>
  </si>
  <si>
    <t>LPUART0_RTS</t>
  </si>
  <si>
    <t>AIN9</t>
  </si>
  <si>
    <t>EXREF</t>
  </si>
  <si>
    <t>VC1_INP6</t>
  </si>
  <si>
    <t>VC1_INN7</t>
  </si>
  <si>
    <t>SEG12</t>
  </si>
  <si>
    <t>PB02</t>
  </si>
  <si>
    <t>LPTIM_TOG</t>
  </si>
  <si>
    <t>TIM1_BK</t>
  </si>
  <si>
    <t>AIN16</t>
  </si>
  <si>
    <t>VC1_INP7</t>
  </si>
  <si>
    <t>VC1_INN8</t>
  </si>
  <si>
    <t>OP2_INN</t>
  </si>
  <si>
    <t>SEG11</t>
  </si>
  <si>
    <t>PB03</t>
  </si>
  <si>
    <t>LPTIM_GATE</t>
  </si>
  <si>
    <t>VC1_INN9</t>
  </si>
  <si>
    <t>SEG35</t>
  </si>
  <si>
    <t>VLCDHIGH</t>
  </si>
  <si>
    <t>PB04</t>
  </si>
  <si>
    <t>LPTIM_ETR</t>
  </si>
  <si>
    <t>VC0_INP12</t>
  </si>
  <si>
    <t>VC1_INP12</t>
  </si>
  <si>
    <t>VC1_INN10</t>
  </si>
  <si>
    <t>SEG34</t>
  </si>
  <si>
    <t>VLCD3</t>
  </si>
  <si>
    <t>PB05</t>
  </si>
  <si>
    <t>VC0_INP13</t>
  </si>
  <si>
    <t>VC1_INP13</t>
  </si>
  <si>
    <t>SEG33</t>
  </si>
  <si>
    <t>VLCD2</t>
  </si>
  <si>
    <t>PB06</t>
  </si>
  <si>
    <t>VC0_INP14</t>
  </si>
  <si>
    <t>VC1_INP14</t>
  </si>
  <si>
    <t>SEG32</t>
  </si>
  <si>
    <t>VLCD1</t>
  </si>
  <si>
    <t>PB07</t>
  </si>
  <si>
    <t>LPUART1_CTS</t>
  </si>
  <si>
    <t>LPTIM_TOGN</t>
  </si>
  <si>
    <t>VC0_INP15</t>
  </si>
  <si>
    <t>VC1_INP15</t>
  </si>
  <si>
    <t>LVD_IN2</t>
  </si>
  <si>
    <t>SEG31</t>
  </si>
  <si>
    <t>PB08</t>
  </si>
  <si>
    <t>LVD_IN1</t>
  </si>
  <si>
    <t>SEG29</t>
  </si>
  <si>
    <t>PB09</t>
  </si>
  <si>
    <t>SEG28</t>
  </si>
  <si>
    <t>PB10</t>
  </si>
  <si>
    <t>SPI1_SCK</t>
  </si>
  <si>
    <t>AIN17</t>
  </si>
  <si>
    <t>VC1_INP8</t>
  </si>
  <si>
    <t>OP2_INP</t>
  </si>
  <si>
    <t>SEG10</t>
  </si>
  <si>
    <t>PB11</t>
  </si>
  <si>
    <t>LPUART0_RXD</t>
  </si>
  <si>
    <t>AIN18</t>
  </si>
  <si>
    <t>OP2_OUT</t>
  </si>
  <si>
    <t>SEG9</t>
  </si>
  <si>
    <t>PB12</t>
  </si>
  <si>
    <t>AIN19</t>
  </si>
  <si>
    <t>VC1_INP9</t>
  </si>
  <si>
    <t>OP1_INN</t>
  </si>
  <si>
    <t>SEG8</t>
  </si>
  <si>
    <t>PB13</t>
  </si>
  <si>
    <t>AIN20</t>
  </si>
  <si>
    <t>VC1_INP10</t>
  </si>
  <si>
    <t>OP1_INP</t>
  </si>
  <si>
    <t>SEG7</t>
  </si>
  <si>
    <t>PB14</t>
  </si>
  <si>
    <t>AIN21</t>
  </si>
  <si>
    <t>VC1_INP11</t>
  </si>
  <si>
    <t>OP1_OUT</t>
  </si>
  <si>
    <t>SEG6</t>
  </si>
  <si>
    <t>PB15</t>
  </si>
  <si>
    <t>AIN22</t>
  </si>
  <si>
    <t>OP0_INN</t>
  </si>
  <si>
    <t>SEG5</t>
  </si>
  <si>
    <t>PC00</t>
  </si>
  <si>
    <t>AIN10</t>
  </si>
  <si>
    <t>VC0_INP0</t>
  </si>
  <si>
    <t>VC1_INN0</t>
  </si>
  <si>
    <t>SEG27</t>
  </si>
  <si>
    <t>PC01</t>
  </si>
  <si>
    <t>AIN11</t>
  </si>
  <si>
    <t>VC0_INP1</t>
  </si>
  <si>
    <t>VC1_INN1</t>
  </si>
  <si>
    <t>SEG26</t>
  </si>
  <si>
    <t>PC02</t>
  </si>
  <si>
    <t>AIN12</t>
  </si>
  <si>
    <t>VC0_INP2</t>
  </si>
  <si>
    <t>VC1_INN2</t>
  </si>
  <si>
    <t>SEG25</t>
  </si>
  <si>
    <t>PC03</t>
  </si>
  <si>
    <t>AIN13</t>
  </si>
  <si>
    <t>VC0_INP3</t>
  </si>
  <si>
    <t>VC1_INN3</t>
  </si>
  <si>
    <t>SEG24</t>
  </si>
  <si>
    <t>PC04</t>
  </si>
  <si>
    <t>AIN14</t>
  </si>
  <si>
    <t>VC0_INN8</t>
  </si>
  <si>
    <t>SEG15</t>
  </si>
  <si>
    <t>PC05</t>
  </si>
  <si>
    <t>AIN15</t>
  </si>
  <si>
    <t>VC0_INN9</t>
  </si>
  <si>
    <t>SEG14</t>
  </si>
  <si>
    <t>PC06</t>
  </si>
  <si>
    <t>AIN23</t>
  </si>
  <si>
    <t>OP0_INP</t>
  </si>
  <si>
    <t>SEG4</t>
  </si>
  <si>
    <t>PC07</t>
  </si>
  <si>
    <t>OP0_OUT</t>
  </si>
  <si>
    <t>SEG3</t>
  </si>
  <si>
    <t>PC08</t>
  </si>
  <si>
    <t>SEG2</t>
  </si>
  <si>
    <t>PC09</t>
  </si>
  <si>
    <t>SEG1</t>
  </si>
  <si>
    <t>PC10</t>
  </si>
  <si>
    <t>COM4</t>
  </si>
  <si>
    <t>SEG39</t>
  </si>
  <si>
    <t>PC11</t>
  </si>
  <si>
    <t>COM5</t>
  </si>
  <si>
    <t>SEG38</t>
  </si>
  <si>
    <t>PC12</t>
  </si>
  <si>
    <t>COM6</t>
  </si>
  <si>
    <t>SEG37</t>
  </si>
  <si>
    <t>PC13</t>
  </si>
  <si>
    <t>LVD_IN0</t>
  </si>
  <si>
    <t>PC14/XTLI</t>
  </si>
  <si>
    <t>XTLI</t>
  </si>
  <si>
    <t>PC15/XTL0</t>
  </si>
  <si>
    <t>XTLO</t>
  </si>
  <si>
    <t>PD00/XTHI</t>
  </si>
  <si>
    <t xml:space="preserve">I2C0_SDA  </t>
  </si>
  <si>
    <t>XTHI</t>
  </si>
  <si>
    <t>PD01/XTHO</t>
  </si>
  <si>
    <t>XTHO</t>
  </si>
  <si>
    <t>PD02</t>
  </si>
  <si>
    <t xml:space="preserve">PCA_ECI </t>
  </si>
  <si>
    <t>PD03/MODE</t>
  </si>
  <si>
    <t>SEG30</t>
  </si>
  <si>
    <t>PD04</t>
  </si>
  <si>
    <t>PD05</t>
  </si>
  <si>
    <t>PD06</t>
  </si>
  <si>
    <t>PD07</t>
  </si>
  <si>
    <t xml:space="preserve">I2C1_SDA </t>
  </si>
  <si>
    <t>管脚名称</t>
  </si>
  <si>
    <t>管脚功能</t>
  </si>
  <si>
    <t>输入输出</t>
  </si>
  <si>
    <t>输出类型</t>
  </si>
  <si>
    <t>输出初值</t>
  </si>
  <si>
    <t>上拉下拉</t>
  </si>
  <si>
    <t>管脚初始化源码</t>
  </si>
  <si>
    <t>PortName</t>
  </si>
  <si>
    <t>PxAna</t>
  </si>
  <si>
    <t>PxSEL</t>
  </si>
  <si>
    <t>PxDir</t>
  </si>
  <si>
    <t>PxOD</t>
  </si>
  <si>
    <t>PxOut</t>
  </si>
  <si>
    <t>PxPu</t>
  </si>
  <si>
    <t>PxPd</t>
  </si>
  <si>
    <t>IdxPower</t>
  </si>
  <si>
    <t>PxSEL
TmpStr</t>
  </si>
  <si>
    <t>GPIO</t>
  </si>
  <si>
    <t>输入</t>
  </si>
  <si>
    <t>推挽</t>
  </si>
  <si>
    <t>上拉</t>
  </si>
  <si>
    <t>下拉</t>
  </si>
  <si>
    <t>PA13</t>
  </si>
  <si>
    <t>SWDIO</t>
  </si>
  <si>
    <t>NA</t>
  </si>
  <si>
    <t>PA14</t>
  </si>
  <si>
    <t>SWDCK</t>
  </si>
  <si>
    <t>EXVREF</t>
  </si>
  <si>
    <t>输出</t>
  </si>
  <si>
    <t>PC14</t>
  </si>
  <si>
    <t>PC15</t>
  </si>
  <si>
    <t>PD00</t>
  </si>
  <si>
    <t>PD01</t>
  </si>
  <si>
    <t>PD03</t>
  </si>
  <si>
    <t>MODE</t>
  </si>
  <si>
    <t>PA</t>
  </si>
  <si>
    <t>PB</t>
  </si>
  <si>
    <t>PC</t>
  </si>
  <si>
    <t>PD</t>
  </si>
  <si>
    <t>修改左侧的
筛选条件以
高亮不同的功能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</si>
</sst>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ont="1" applyFill="1" applyBorder="1" applyProtection="1">
      <alignment vertical="center"/>
    </xf>
    <xf numFmtId="0" fontId="0" fillId="3" borderId="1" xfId="0" applyFont="1" applyFill="1" applyBorder="1" applyProtection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5" borderId="5" xfId="0" applyFill="1" applyBorder="1" applyAlignment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 applyAlignment="1">
      <alignment vertical="center"/>
    </xf>
    <xf numFmtId="0" fontId="0" fillId="4" borderId="7" xfId="0" applyFill="1" applyBorder="1">
      <alignment vertical="center"/>
    </xf>
    <xf numFmtId="0" fontId="0" fillId="5" borderId="7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6" borderId="7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>
      <alignment vertical="center"/>
    </xf>
    <xf numFmtId="0" fontId="2" fillId="8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vertical="center"/>
    </xf>
    <xf numFmtId="0" fontId="2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vertical="center"/>
    </xf>
    <xf numFmtId="0" fontId="0" fillId="0" borderId="0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" xfId="0" applyFont="1" applyBorder="1" applyProtection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4" fillId="10" borderId="16" xfId="0" applyFont="1" applyFill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10" borderId="17" xfId="0" applyFont="1" applyFill="1" applyBorder="1" applyAlignment="1" applyProtection="1">
      <alignment horizontal="left" vertical="center" wrapText="1"/>
    </xf>
    <xf numFmtId="0" fontId="4" fillId="10" borderId="18" xfId="0" applyFont="1" applyFill="1" applyBorder="1" applyAlignment="1" applyProtection="1">
      <alignment horizontal="left" vertical="center"/>
    </xf>
  </cellXfs>
  <cellStyles count="1">
    <cellStyle name="常规" xfId="0" builtinId="0"/>
  </cellStyles>
  <dxfs count="6"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zoomScale="85" zoomScaleNormal="85" workbookViewId="0">
      <pane ySplit="6" topLeftCell="A7" activePane="bottomLeft" state="frozen"/>
      <selection pane="bottomLeft" activeCell="F3" sqref="F3"/>
    </sheetView>
  </sheetViews>
  <sheetFormatPr defaultColWidth="9" defaultRowHeight="21.95" customHeight="1" x14ac:dyDescent="0.15"/>
  <cols>
    <col min="1" max="1" width="14.625" style="35" customWidth="1"/>
    <col min="2" max="8" width="16" style="34" customWidth="1"/>
    <col min="9" max="9" width="8.25" style="36" customWidth="1"/>
    <col min="10" max="15" width="14.625" style="36" customWidth="1"/>
    <col min="16" max="16384" width="9" style="34"/>
  </cols>
  <sheetData>
    <row r="1" spans="1:15" ht="21.95" customHeight="1" x14ac:dyDescent="0.15">
      <c r="B1" s="37" t="s">
        <v>0</v>
      </c>
      <c r="C1" s="38" t="s">
        <v>1</v>
      </c>
      <c r="D1" s="60" t="s">
        <v>346</v>
      </c>
      <c r="E1" s="37" t="s">
        <v>2</v>
      </c>
      <c r="F1" s="38" t="s">
        <v>3</v>
      </c>
      <c r="G1" s="60" t="s">
        <v>346</v>
      </c>
      <c r="J1" s="34"/>
      <c r="K1" s="34"/>
      <c r="M1" s="34"/>
      <c r="N1" s="34"/>
      <c r="O1" s="34"/>
    </row>
    <row r="2" spans="1:15" ht="21.95" customHeight="1" x14ac:dyDescent="0.15">
      <c r="B2" s="37" t="s">
        <v>4</v>
      </c>
      <c r="C2" s="38" t="s">
        <v>5</v>
      </c>
      <c r="D2" s="56"/>
      <c r="E2" s="37" t="s">
        <v>6</v>
      </c>
      <c r="F2" s="38" t="s">
        <v>7</v>
      </c>
      <c r="G2" s="56"/>
      <c r="J2" s="34"/>
      <c r="K2" s="34"/>
      <c r="M2" s="34"/>
      <c r="N2" s="34"/>
      <c r="O2" s="34"/>
    </row>
    <row r="3" spans="1:15" ht="21.95" customHeight="1" x14ac:dyDescent="0.15">
      <c r="B3" s="37" t="s">
        <v>8</v>
      </c>
      <c r="C3" s="38" t="s">
        <v>9</v>
      </c>
      <c r="D3" s="61"/>
      <c r="E3" s="37" t="s">
        <v>10</v>
      </c>
      <c r="F3" s="38" t="s">
        <v>11</v>
      </c>
      <c r="G3" s="61"/>
      <c r="J3" s="34"/>
      <c r="K3" s="34"/>
      <c r="M3" s="34"/>
      <c r="N3" s="34"/>
      <c r="O3" s="34"/>
    </row>
    <row r="5" spans="1:15" ht="21.95" customHeight="1" x14ac:dyDescent="0.15">
      <c r="A5" s="50" t="s">
        <v>12</v>
      </c>
      <c r="B5" s="51"/>
      <c r="C5" s="51"/>
      <c r="D5" s="51"/>
      <c r="E5" s="51"/>
      <c r="F5" s="51"/>
      <c r="G5" s="51"/>
      <c r="H5" s="52"/>
      <c r="J5" s="50" t="s">
        <v>13</v>
      </c>
      <c r="K5" s="51"/>
      <c r="L5" s="51"/>
      <c r="M5" s="51"/>
      <c r="N5" s="51"/>
      <c r="O5" s="52"/>
    </row>
    <row r="6" spans="1:15" ht="21.95" customHeight="1" x14ac:dyDescent="0.15">
      <c r="A6" s="45" t="s">
        <v>14</v>
      </c>
      <c r="B6" s="46" t="s">
        <v>15</v>
      </c>
      <c r="C6" s="46" t="s">
        <v>16</v>
      </c>
      <c r="D6" s="46" t="s">
        <v>17</v>
      </c>
      <c r="E6" s="46" t="s">
        <v>18</v>
      </c>
      <c r="F6" s="46" t="s">
        <v>19</v>
      </c>
      <c r="G6" s="46" t="s">
        <v>20</v>
      </c>
      <c r="H6" s="47" t="s">
        <v>21</v>
      </c>
      <c r="J6" s="53"/>
      <c r="K6" s="54"/>
      <c r="L6" s="54"/>
      <c r="M6" s="54"/>
      <c r="N6" s="54"/>
      <c r="O6" s="55"/>
    </row>
    <row r="7" spans="1:15" ht="21.95" customHeight="1" x14ac:dyDescent="0.15">
      <c r="A7" s="45" t="s">
        <v>22</v>
      </c>
      <c r="B7" s="46" t="s">
        <v>23</v>
      </c>
      <c r="C7" s="46" t="s">
        <v>24</v>
      </c>
      <c r="D7" s="46" t="s">
        <v>25</v>
      </c>
      <c r="E7" s="46" t="s">
        <v>26</v>
      </c>
      <c r="F7" s="46" t="s">
        <v>27</v>
      </c>
      <c r="G7" s="46" t="s">
        <v>28</v>
      </c>
      <c r="H7" s="47" t="s">
        <v>29</v>
      </c>
      <c r="J7" s="39" t="s">
        <v>7</v>
      </c>
      <c r="K7" s="40" t="s">
        <v>30</v>
      </c>
      <c r="L7" s="40" t="s">
        <v>31</v>
      </c>
      <c r="M7" s="40" t="s">
        <v>32</v>
      </c>
      <c r="N7" s="40" t="s">
        <v>33</v>
      </c>
      <c r="O7" s="41" t="s">
        <v>34</v>
      </c>
    </row>
    <row r="8" spans="1:15" ht="21.95" customHeight="1" x14ac:dyDescent="0.15">
      <c r="A8" s="45" t="s">
        <v>35</v>
      </c>
      <c r="B8" s="46" t="s">
        <v>36</v>
      </c>
      <c r="C8" s="46" t="s">
        <v>37</v>
      </c>
      <c r="D8" s="46" t="s">
        <v>38</v>
      </c>
      <c r="E8" s="46" t="s">
        <v>39</v>
      </c>
      <c r="F8" s="46" t="s">
        <v>40</v>
      </c>
      <c r="G8" s="46" t="s">
        <v>41</v>
      </c>
      <c r="H8" s="47" t="s">
        <v>42</v>
      </c>
      <c r="J8" s="39" t="s">
        <v>43</v>
      </c>
      <c r="K8" s="40" t="s">
        <v>44</v>
      </c>
      <c r="L8" s="40" t="s">
        <v>45</v>
      </c>
      <c r="M8" s="40" t="s">
        <v>46</v>
      </c>
      <c r="N8" s="40" t="s">
        <v>47</v>
      </c>
      <c r="O8" s="41" t="s">
        <v>48</v>
      </c>
    </row>
    <row r="9" spans="1:15" ht="21.95" customHeight="1" x14ac:dyDescent="0.15">
      <c r="A9" s="45" t="s">
        <v>49</v>
      </c>
      <c r="B9" s="46" t="s">
        <v>50</v>
      </c>
      <c r="C9" s="46" t="s">
        <v>29</v>
      </c>
      <c r="D9" s="46" t="s">
        <v>51</v>
      </c>
      <c r="E9" s="46" t="s">
        <v>27</v>
      </c>
      <c r="F9" s="46" t="s">
        <v>52</v>
      </c>
      <c r="G9" s="46" t="s">
        <v>53</v>
      </c>
      <c r="H9" s="47" t="s">
        <v>54</v>
      </c>
      <c r="J9" s="39" t="s">
        <v>55</v>
      </c>
      <c r="K9" s="40" t="s">
        <v>56</v>
      </c>
      <c r="L9" s="40" t="s">
        <v>57</v>
      </c>
      <c r="M9" s="40" t="s">
        <v>58</v>
      </c>
      <c r="N9" s="40" t="s">
        <v>59</v>
      </c>
      <c r="O9" s="41"/>
    </row>
    <row r="10" spans="1:15" ht="21.95" customHeight="1" x14ac:dyDescent="0.15">
      <c r="A10" s="45" t="s">
        <v>60</v>
      </c>
      <c r="B10" s="46" t="s">
        <v>61</v>
      </c>
      <c r="C10" s="46" t="s">
        <v>62</v>
      </c>
      <c r="D10" s="46" t="s">
        <v>40</v>
      </c>
      <c r="E10" s="46" t="s">
        <v>63</v>
      </c>
      <c r="F10" s="46" t="s">
        <v>64</v>
      </c>
      <c r="G10" s="46" t="s">
        <v>65</v>
      </c>
      <c r="H10" s="47" t="s">
        <v>66</v>
      </c>
      <c r="J10" s="39" t="s">
        <v>67</v>
      </c>
      <c r="K10" s="40" t="s">
        <v>68</v>
      </c>
      <c r="L10" s="40" t="s">
        <v>69</v>
      </c>
      <c r="M10" s="40" t="s">
        <v>70</v>
      </c>
      <c r="N10" s="40" t="s">
        <v>71</v>
      </c>
      <c r="O10" s="41"/>
    </row>
    <row r="11" spans="1:15" ht="21.95" customHeight="1" x14ac:dyDescent="0.15">
      <c r="A11" s="45" t="s">
        <v>72</v>
      </c>
      <c r="B11" s="46" t="s">
        <v>73</v>
      </c>
      <c r="C11" s="46" t="s">
        <v>50</v>
      </c>
      <c r="D11" s="46" t="s">
        <v>74</v>
      </c>
      <c r="E11" s="46" t="s">
        <v>75</v>
      </c>
      <c r="F11" s="46" t="s">
        <v>66</v>
      </c>
      <c r="G11" s="46" t="s">
        <v>76</v>
      </c>
      <c r="H11" s="47" t="s">
        <v>77</v>
      </c>
      <c r="J11" s="39" t="s">
        <v>78</v>
      </c>
      <c r="K11" s="40" t="s">
        <v>79</v>
      </c>
      <c r="L11" s="40" t="s">
        <v>80</v>
      </c>
      <c r="M11" s="40" t="s">
        <v>81</v>
      </c>
      <c r="N11" s="40" t="s">
        <v>82</v>
      </c>
      <c r="O11" s="41"/>
    </row>
    <row r="12" spans="1:15" ht="21.95" customHeight="1" x14ac:dyDescent="0.15">
      <c r="A12" s="45" t="s">
        <v>83</v>
      </c>
      <c r="B12" s="46" t="s">
        <v>84</v>
      </c>
      <c r="C12" s="46" t="s">
        <v>25</v>
      </c>
      <c r="D12" s="46" t="s">
        <v>85</v>
      </c>
      <c r="E12" s="46" t="s">
        <v>29</v>
      </c>
      <c r="F12" s="46" t="s">
        <v>86</v>
      </c>
      <c r="G12" s="46" t="s">
        <v>87</v>
      </c>
      <c r="H12" s="47" t="s">
        <v>88</v>
      </c>
      <c r="J12" s="39" t="s">
        <v>89</v>
      </c>
      <c r="K12" s="40" t="s">
        <v>90</v>
      </c>
      <c r="L12" s="40" t="s">
        <v>91</v>
      </c>
      <c r="M12" s="40" t="s">
        <v>92</v>
      </c>
      <c r="N12" s="40" t="s">
        <v>93</v>
      </c>
      <c r="O12" s="41"/>
    </row>
    <row r="13" spans="1:15" ht="21.95" customHeight="1" x14ac:dyDescent="0.15">
      <c r="A13" s="45" t="s">
        <v>94</v>
      </c>
      <c r="B13" s="46" t="s">
        <v>95</v>
      </c>
      <c r="C13" s="46" t="s">
        <v>96</v>
      </c>
      <c r="D13" s="46" t="s">
        <v>97</v>
      </c>
      <c r="E13" s="46" t="s">
        <v>27</v>
      </c>
      <c r="F13" s="46" t="s">
        <v>26</v>
      </c>
      <c r="G13" s="46" t="s">
        <v>98</v>
      </c>
      <c r="H13" s="47" t="s">
        <v>99</v>
      </c>
      <c r="J13" s="39" t="s">
        <v>100</v>
      </c>
      <c r="K13" s="40" t="s">
        <v>101</v>
      </c>
      <c r="L13" s="40" t="s">
        <v>102</v>
      </c>
      <c r="M13" s="40" t="s">
        <v>103</v>
      </c>
      <c r="N13" s="40"/>
      <c r="O13" s="41"/>
    </row>
    <row r="14" spans="1:15" ht="21.95" customHeight="1" x14ac:dyDescent="0.15">
      <c r="A14" s="45" t="s">
        <v>104</v>
      </c>
      <c r="B14" s="46" t="s">
        <v>105</v>
      </c>
      <c r="C14" s="46" t="s">
        <v>106</v>
      </c>
      <c r="D14" s="46" t="s">
        <v>41</v>
      </c>
      <c r="E14" s="46" t="s">
        <v>107</v>
      </c>
      <c r="F14" s="46" t="s">
        <v>52</v>
      </c>
      <c r="G14" s="46" t="s">
        <v>51</v>
      </c>
      <c r="H14" s="47" t="s">
        <v>108</v>
      </c>
      <c r="J14" s="39" t="s">
        <v>109</v>
      </c>
      <c r="K14" s="40" t="s">
        <v>110</v>
      </c>
      <c r="L14" s="40" t="s">
        <v>111</v>
      </c>
      <c r="M14" s="40" t="s">
        <v>112</v>
      </c>
      <c r="N14" s="40"/>
      <c r="O14" s="41"/>
    </row>
    <row r="15" spans="1:15" ht="21.95" customHeight="1" x14ac:dyDescent="0.15">
      <c r="A15" s="45" t="s">
        <v>113</v>
      </c>
      <c r="B15" s="46" t="s">
        <v>114</v>
      </c>
      <c r="C15" s="46" t="s">
        <v>115</v>
      </c>
      <c r="D15" s="46"/>
      <c r="E15" s="46"/>
      <c r="F15" s="46" t="s">
        <v>116</v>
      </c>
      <c r="G15" s="46" t="s">
        <v>117</v>
      </c>
      <c r="H15" s="47" t="s">
        <v>97</v>
      </c>
      <c r="J15" s="39" t="s">
        <v>118</v>
      </c>
      <c r="K15" s="40"/>
      <c r="L15" s="40"/>
      <c r="M15" s="40"/>
      <c r="N15" s="40"/>
      <c r="O15" s="41"/>
    </row>
    <row r="16" spans="1:15" ht="21.95" customHeight="1" x14ac:dyDescent="0.15">
      <c r="A16" s="45" t="s">
        <v>119</v>
      </c>
      <c r="B16" s="46" t="s">
        <v>114</v>
      </c>
      <c r="C16" s="46" t="s">
        <v>65</v>
      </c>
      <c r="D16" s="46" t="s">
        <v>120</v>
      </c>
      <c r="E16" s="46" t="s">
        <v>121</v>
      </c>
      <c r="F16" s="46"/>
      <c r="G16" s="46" t="s">
        <v>41</v>
      </c>
      <c r="H16" s="47" t="s">
        <v>66</v>
      </c>
      <c r="J16" s="39" t="s">
        <v>122</v>
      </c>
      <c r="K16" s="40"/>
      <c r="L16" s="40"/>
      <c r="M16" s="40"/>
      <c r="N16" s="40"/>
      <c r="O16" s="41"/>
    </row>
    <row r="17" spans="1:15" ht="21.95" customHeight="1" x14ac:dyDescent="0.15">
      <c r="A17" s="45" t="s">
        <v>123</v>
      </c>
      <c r="B17" s="46" t="s">
        <v>124</v>
      </c>
      <c r="C17" s="46" t="s">
        <v>125</v>
      </c>
      <c r="D17" s="46" t="s">
        <v>126</v>
      </c>
      <c r="E17" s="46" t="s">
        <v>127</v>
      </c>
      <c r="F17" s="46" t="s">
        <v>128</v>
      </c>
      <c r="G17" s="46" t="s">
        <v>53</v>
      </c>
      <c r="H17" s="47" t="s">
        <v>129</v>
      </c>
      <c r="J17" s="39" t="s">
        <v>130</v>
      </c>
      <c r="K17" s="40"/>
      <c r="L17" s="40"/>
      <c r="M17" s="40"/>
      <c r="N17" s="40"/>
      <c r="O17" s="41"/>
    </row>
    <row r="18" spans="1:15" ht="21.95" customHeight="1" x14ac:dyDescent="0.15">
      <c r="A18" s="45" t="s">
        <v>131</v>
      </c>
      <c r="B18" s="46" t="s">
        <v>132</v>
      </c>
      <c r="C18" s="46" t="s">
        <v>98</v>
      </c>
      <c r="D18" s="46" t="s">
        <v>133</v>
      </c>
      <c r="E18" s="46"/>
      <c r="F18" s="46" t="s">
        <v>26</v>
      </c>
      <c r="G18" s="46" t="s">
        <v>95</v>
      </c>
      <c r="H18" s="47" t="s">
        <v>108</v>
      </c>
      <c r="J18" s="39" t="s">
        <v>134</v>
      </c>
      <c r="K18" s="40"/>
      <c r="L18" s="40"/>
      <c r="M18" s="40"/>
      <c r="N18" s="40"/>
      <c r="O18" s="41"/>
    </row>
    <row r="19" spans="1:15" ht="21.95" customHeight="1" x14ac:dyDescent="0.15">
      <c r="A19" s="45" t="s">
        <v>135</v>
      </c>
      <c r="B19" s="46" t="s">
        <v>136</v>
      </c>
      <c r="C19" s="46" t="s">
        <v>28</v>
      </c>
      <c r="D19" s="46" t="s">
        <v>137</v>
      </c>
      <c r="E19" s="46"/>
      <c r="F19" s="46" t="s">
        <v>51</v>
      </c>
      <c r="G19" s="46" t="s">
        <v>105</v>
      </c>
      <c r="H19" s="47" t="s">
        <v>138</v>
      </c>
      <c r="J19" s="39" t="s">
        <v>139</v>
      </c>
      <c r="K19" s="40"/>
      <c r="L19" s="40"/>
      <c r="M19" s="40"/>
      <c r="N19" s="40"/>
      <c r="O19" s="41"/>
    </row>
    <row r="20" spans="1:15" ht="21.95" customHeight="1" x14ac:dyDescent="0.15">
      <c r="A20" s="45" t="s">
        <v>140</v>
      </c>
      <c r="B20" s="46" t="s">
        <v>141</v>
      </c>
      <c r="C20" s="46" t="s">
        <v>124</v>
      </c>
      <c r="D20" s="46" t="s">
        <v>76</v>
      </c>
      <c r="E20" s="46" t="s">
        <v>28</v>
      </c>
      <c r="F20" s="46" t="s">
        <v>142</v>
      </c>
      <c r="G20" s="46" t="s">
        <v>143</v>
      </c>
      <c r="H20" s="47"/>
      <c r="J20" s="39"/>
      <c r="K20" s="40"/>
      <c r="L20" s="40"/>
      <c r="M20" s="40"/>
      <c r="N20" s="40"/>
      <c r="O20" s="41"/>
    </row>
    <row r="21" spans="1:15" ht="21.95" customHeight="1" x14ac:dyDescent="0.15">
      <c r="A21" s="45" t="s">
        <v>144</v>
      </c>
      <c r="B21" s="46" t="s">
        <v>50</v>
      </c>
      <c r="C21" s="46" t="s">
        <v>114</v>
      </c>
      <c r="D21" s="46" t="s">
        <v>125</v>
      </c>
      <c r="E21" s="46" t="s">
        <v>76</v>
      </c>
      <c r="F21" s="46" t="s">
        <v>145</v>
      </c>
      <c r="G21" s="46" t="s">
        <v>146</v>
      </c>
      <c r="H21" s="47" t="s">
        <v>147</v>
      </c>
      <c r="J21" s="39"/>
      <c r="K21" s="40"/>
      <c r="L21" s="40"/>
      <c r="M21" s="40"/>
      <c r="N21" s="40"/>
      <c r="O21" s="41"/>
    </row>
    <row r="22" spans="1:15" ht="21.95" customHeight="1" x14ac:dyDescent="0.15">
      <c r="A22" s="45" t="s">
        <v>148</v>
      </c>
      <c r="B22" s="46" t="s">
        <v>73</v>
      </c>
      <c r="C22" s="46" t="s">
        <v>61</v>
      </c>
      <c r="D22" s="46" t="s">
        <v>149</v>
      </c>
      <c r="E22" s="46" t="s">
        <v>25</v>
      </c>
      <c r="F22" s="46" t="s">
        <v>29</v>
      </c>
      <c r="G22" s="46" t="s">
        <v>65</v>
      </c>
      <c r="H22" s="47"/>
      <c r="J22" s="39"/>
      <c r="K22" s="40"/>
      <c r="L22" s="40"/>
      <c r="M22" s="40"/>
      <c r="N22" s="40"/>
      <c r="O22" s="41"/>
    </row>
    <row r="23" spans="1:15" ht="21.95" customHeight="1" x14ac:dyDescent="0.15">
      <c r="A23" s="45" t="s">
        <v>150</v>
      </c>
      <c r="B23" s="46" t="s">
        <v>151</v>
      </c>
      <c r="C23" s="46" t="s">
        <v>152</v>
      </c>
      <c r="D23" s="46" t="s">
        <v>153</v>
      </c>
      <c r="E23" s="46" t="s">
        <v>86</v>
      </c>
      <c r="F23" s="46" t="s">
        <v>145</v>
      </c>
      <c r="G23" s="46" t="s">
        <v>146</v>
      </c>
      <c r="H23" s="47" t="s">
        <v>147</v>
      </c>
      <c r="J23" s="39" t="s">
        <v>154</v>
      </c>
      <c r="K23" s="40" t="s">
        <v>155</v>
      </c>
      <c r="L23" s="40" t="s">
        <v>156</v>
      </c>
      <c r="M23" s="40" t="s">
        <v>157</v>
      </c>
      <c r="N23" s="40"/>
      <c r="O23" s="41"/>
    </row>
    <row r="24" spans="1:15" ht="21.95" customHeight="1" x14ac:dyDescent="0.15">
      <c r="A24" s="45" t="s">
        <v>158</v>
      </c>
      <c r="B24" s="46" t="s">
        <v>159</v>
      </c>
      <c r="C24" s="46" t="s">
        <v>53</v>
      </c>
      <c r="D24" s="46" t="s">
        <v>77</v>
      </c>
      <c r="E24" s="46" t="s">
        <v>160</v>
      </c>
      <c r="F24" s="46" t="s">
        <v>161</v>
      </c>
      <c r="G24" s="46"/>
      <c r="H24" s="47"/>
      <c r="J24" s="39" t="s">
        <v>162</v>
      </c>
      <c r="K24" s="40" t="s">
        <v>163</v>
      </c>
      <c r="L24" s="40" t="s">
        <v>164</v>
      </c>
      <c r="M24" s="40" t="s">
        <v>165</v>
      </c>
      <c r="N24" s="40" t="s">
        <v>166</v>
      </c>
      <c r="O24" s="41"/>
    </row>
    <row r="25" spans="1:15" ht="21.95" customHeight="1" x14ac:dyDescent="0.15">
      <c r="A25" s="45" t="s">
        <v>167</v>
      </c>
      <c r="B25" s="46" t="s">
        <v>168</v>
      </c>
      <c r="C25" s="46" t="s">
        <v>85</v>
      </c>
      <c r="D25" s="46" t="s">
        <v>24</v>
      </c>
      <c r="E25" s="46" t="s">
        <v>117</v>
      </c>
      <c r="F25" s="46" t="s">
        <v>169</v>
      </c>
      <c r="G25" s="46" t="s">
        <v>120</v>
      </c>
      <c r="H25" s="47" t="s">
        <v>126</v>
      </c>
      <c r="J25" s="39" t="s">
        <v>170</v>
      </c>
      <c r="K25" s="40" t="s">
        <v>171</v>
      </c>
      <c r="L25" s="40" t="s">
        <v>172</v>
      </c>
      <c r="M25" s="40" t="s">
        <v>173</v>
      </c>
      <c r="N25" s="40" t="s">
        <v>174</v>
      </c>
      <c r="O25" s="41"/>
    </row>
    <row r="26" spans="1:15" ht="21.95" customHeight="1" x14ac:dyDescent="0.15">
      <c r="A26" s="45" t="s">
        <v>175</v>
      </c>
      <c r="B26" s="46" t="s">
        <v>84</v>
      </c>
      <c r="C26" s="46" t="s">
        <v>38</v>
      </c>
      <c r="D26" s="46" t="s">
        <v>116</v>
      </c>
      <c r="E26" s="46" t="s">
        <v>115</v>
      </c>
      <c r="F26" s="46" t="s">
        <v>176</v>
      </c>
      <c r="G26" s="46" t="s">
        <v>87</v>
      </c>
      <c r="H26" s="47" t="s">
        <v>88</v>
      </c>
      <c r="J26" s="39" t="s">
        <v>177</v>
      </c>
      <c r="K26" s="40" t="s">
        <v>178</v>
      </c>
      <c r="L26" s="40" t="s">
        <v>179</v>
      </c>
      <c r="M26" s="40"/>
      <c r="N26" s="40"/>
      <c r="O26" s="41"/>
    </row>
    <row r="27" spans="1:15" ht="21.95" customHeight="1" x14ac:dyDescent="0.15">
      <c r="A27" s="45" t="s">
        <v>180</v>
      </c>
      <c r="B27" s="46" t="s">
        <v>95</v>
      </c>
      <c r="C27" s="46" t="s">
        <v>96</v>
      </c>
      <c r="D27" s="46" t="s">
        <v>126</v>
      </c>
      <c r="E27" s="46" t="s">
        <v>132</v>
      </c>
      <c r="F27" s="46" t="s">
        <v>128</v>
      </c>
      <c r="G27" s="46" t="s">
        <v>107</v>
      </c>
      <c r="H27" s="47" t="s">
        <v>181</v>
      </c>
      <c r="J27" s="39" t="s">
        <v>182</v>
      </c>
      <c r="K27" s="40" t="s">
        <v>183</v>
      </c>
      <c r="L27" s="40" t="s">
        <v>184</v>
      </c>
      <c r="M27" s="40" t="s">
        <v>185</v>
      </c>
      <c r="N27" s="40" t="s">
        <v>186</v>
      </c>
      <c r="O27" s="41"/>
    </row>
    <row r="28" spans="1:15" ht="21.95" customHeight="1" x14ac:dyDescent="0.15">
      <c r="A28" s="45" t="s">
        <v>187</v>
      </c>
      <c r="B28" s="46" t="s">
        <v>105</v>
      </c>
      <c r="C28" s="46"/>
      <c r="D28" s="46" t="s">
        <v>169</v>
      </c>
      <c r="E28" s="46" t="s">
        <v>106</v>
      </c>
      <c r="F28" s="46" t="s">
        <v>176</v>
      </c>
      <c r="G28" s="46" t="s">
        <v>138</v>
      </c>
      <c r="H28" s="47" t="s">
        <v>136</v>
      </c>
      <c r="J28" s="39" t="s">
        <v>188</v>
      </c>
      <c r="K28" s="40" t="s">
        <v>189</v>
      </c>
      <c r="L28" s="40" t="s">
        <v>190</v>
      </c>
      <c r="M28" s="40" t="s">
        <v>191</v>
      </c>
      <c r="N28" s="40"/>
      <c r="O28" s="41"/>
    </row>
    <row r="29" spans="1:15" ht="21.95" customHeight="1" x14ac:dyDescent="0.15">
      <c r="A29" s="45" t="s">
        <v>192</v>
      </c>
      <c r="B29" s="46" t="s">
        <v>121</v>
      </c>
      <c r="C29" s="46" t="s">
        <v>114</v>
      </c>
      <c r="D29" s="46" t="s">
        <v>40</v>
      </c>
      <c r="E29" s="46" t="s">
        <v>29</v>
      </c>
      <c r="F29" s="46" t="s">
        <v>181</v>
      </c>
      <c r="G29" s="46" t="s">
        <v>115</v>
      </c>
      <c r="H29" s="47" t="s">
        <v>168</v>
      </c>
      <c r="J29" s="39" t="s">
        <v>193</v>
      </c>
      <c r="K29" s="40" t="s">
        <v>194</v>
      </c>
      <c r="L29" s="40" t="s">
        <v>195</v>
      </c>
      <c r="M29" s="40" t="s">
        <v>196</v>
      </c>
      <c r="N29" s="40"/>
      <c r="O29" s="41"/>
    </row>
    <row r="30" spans="1:15" ht="21.95" customHeight="1" x14ac:dyDescent="0.15">
      <c r="A30" s="45" t="s">
        <v>197</v>
      </c>
      <c r="B30" s="46" t="s">
        <v>127</v>
      </c>
      <c r="C30" s="46" t="s">
        <v>124</v>
      </c>
      <c r="D30" s="46" t="s">
        <v>63</v>
      </c>
      <c r="E30" s="46" t="s">
        <v>198</v>
      </c>
      <c r="F30" s="46" t="s">
        <v>38</v>
      </c>
      <c r="G30" s="46" t="s">
        <v>199</v>
      </c>
      <c r="H30" s="47" t="s">
        <v>143</v>
      </c>
      <c r="J30" s="39" t="s">
        <v>200</v>
      </c>
      <c r="K30" s="40" t="s">
        <v>201</v>
      </c>
      <c r="L30" s="40" t="s">
        <v>202</v>
      </c>
      <c r="M30" s="40" t="s">
        <v>203</v>
      </c>
      <c r="N30" s="40"/>
      <c r="O30" s="41"/>
    </row>
    <row r="31" spans="1:15" ht="21.95" customHeight="1" x14ac:dyDescent="0.15">
      <c r="A31" s="45" t="s">
        <v>204</v>
      </c>
      <c r="B31" s="46" t="s">
        <v>121</v>
      </c>
      <c r="C31" s="46" t="s">
        <v>27</v>
      </c>
      <c r="D31" s="46"/>
      <c r="E31" s="46" t="s">
        <v>52</v>
      </c>
      <c r="F31" s="46" t="s">
        <v>62</v>
      </c>
      <c r="G31" s="46" t="s">
        <v>125</v>
      </c>
      <c r="H31" s="47" t="s">
        <v>114</v>
      </c>
      <c r="J31" s="39" t="s">
        <v>205</v>
      </c>
      <c r="K31" s="40" t="s">
        <v>206</v>
      </c>
      <c r="L31" s="40"/>
      <c r="M31" s="40"/>
      <c r="N31" s="40"/>
      <c r="O31" s="41"/>
    </row>
    <row r="32" spans="1:15" ht="21.95" customHeight="1" x14ac:dyDescent="0.15">
      <c r="A32" s="45" t="s">
        <v>207</v>
      </c>
      <c r="B32" s="46" t="s">
        <v>127</v>
      </c>
      <c r="C32" s="46" t="s">
        <v>141</v>
      </c>
      <c r="D32" s="46" t="s">
        <v>64</v>
      </c>
      <c r="E32" s="46" t="s">
        <v>52</v>
      </c>
      <c r="F32" s="46"/>
      <c r="G32" s="46" t="s">
        <v>63</v>
      </c>
      <c r="H32" s="47" t="s">
        <v>124</v>
      </c>
      <c r="J32" s="39" t="s">
        <v>208</v>
      </c>
      <c r="K32" s="40"/>
      <c r="L32" s="40"/>
      <c r="M32" s="40"/>
      <c r="N32" s="40"/>
      <c r="O32" s="41"/>
    </row>
    <row r="33" spans="1:15" ht="21.95" customHeight="1" x14ac:dyDescent="0.15">
      <c r="A33" s="45" t="s">
        <v>209</v>
      </c>
      <c r="B33" s="46" t="s">
        <v>133</v>
      </c>
      <c r="C33" s="46" t="s">
        <v>210</v>
      </c>
      <c r="D33" s="46" t="s">
        <v>27</v>
      </c>
      <c r="E33" s="46" t="s">
        <v>153</v>
      </c>
      <c r="F33" s="46" t="s">
        <v>65</v>
      </c>
      <c r="G33" s="46" t="s">
        <v>149</v>
      </c>
      <c r="H33" s="47" t="s">
        <v>36</v>
      </c>
      <c r="J33" s="39" t="s">
        <v>211</v>
      </c>
      <c r="K33" s="40" t="s">
        <v>212</v>
      </c>
      <c r="L33" s="40" t="s">
        <v>213</v>
      </c>
      <c r="M33" s="40" t="s">
        <v>214</v>
      </c>
      <c r="N33" s="40"/>
      <c r="O33" s="41"/>
    </row>
    <row r="34" spans="1:15" ht="21.95" customHeight="1" x14ac:dyDescent="0.15">
      <c r="A34" s="45" t="s">
        <v>215</v>
      </c>
      <c r="B34" s="46" t="s">
        <v>137</v>
      </c>
      <c r="C34" s="46" t="s">
        <v>40</v>
      </c>
      <c r="D34" s="46" t="s">
        <v>216</v>
      </c>
      <c r="E34" s="46" t="s">
        <v>128</v>
      </c>
      <c r="F34" s="46" t="s">
        <v>129</v>
      </c>
      <c r="G34" s="46" t="s">
        <v>198</v>
      </c>
      <c r="H34" s="47" t="s">
        <v>23</v>
      </c>
      <c r="J34" s="39" t="s">
        <v>217</v>
      </c>
      <c r="K34" s="40" t="s">
        <v>218</v>
      </c>
      <c r="L34" s="40" t="s">
        <v>219</v>
      </c>
      <c r="M34" s="40"/>
      <c r="N34" s="40"/>
      <c r="O34" s="41"/>
    </row>
    <row r="35" spans="1:15" ht="21.95" customHeight="1" x14ac:dyDescent="0.15">
      <c r="A35" s="45" t="s">
        <v>220</v>
      </c>
      <c r="B35" s="46" t="s">
        <v>64</v>
      </c>
      <c r="C35" s="46" t="s">
        <v>97</v>
      </c>
      <c r="D35" s="46" t="s">
        <v>153</v>
      </c>
      <c r="E35" s="46" t="s">
        <v>120</v>
      </c>
      <c r="F35" s="46"/>
      <c r="G35" s="46" t="s">
        <v>161</v>
      </c>
      <c r="H35" s="47" t="s">
        <v>129</v>
      </c>
      <c r="J35" s="39" t="s">
        <v>221</v>
      </c>
      <c r="K35" s="40" t="s">
        <v>222</v>
      </c>
      <c r="L35" s="40" t="s">
        <v>223</v>
      </c>
      <c r="M35" s="40" t="s">
        <v>224</v>
      </c>
      <c r="N35" s="40"/>
      <c r="O35" s="41"/>
    </row>
    <row r="36" spans="1:15" ht="21.95" customHeight="1" x14ac:dyDescent="0.15">
      <c r="A36" s="45" t="s">
        <v>225</v>
      </c>
      <c r="B36" s="46" t="s">
        <v>210</v>
      </c>
      <c r="C36" s="46" t="s">
        <v>133</v>
      </c>
      <c r="D36" s="46" t="s">
        <v>107</v>
      </c>
      <c r="E36" s="46" t="s">
        <v>99</v>
      </c>
      <c r="F36" s="46" t="s">
        <v>27</v>
      </c>
      <c r="G36" s="46" t="s">
        <v>116</v>
      </c>
      <c r="H36" s="47" t="s">
        <v>160</v>
      </c>
      <c r="J36" s="39" t="s">
        <v>226</v>
      </c>
      <c r="K36" s="40" t="s">
        <v>227</v>
      </c>
      <c r="L36" s="40" t="s">
        <v>228</v>
      </c>
      <c r="M36" s="40" t="s">
        <v>229</v>
      </c>
      <c r="N36" s="40"/>
      <c r="O36" s="41"/>
    </row>
    <row r="37" spans="1:15" ht="21.95" customHeight="1" x14ac:dyDescent="0.15">
      <c r="A37" s="45" t="s">
        <v>230</v>
      </c>
      <c r="B37" s="46" t="s">
        <v>54</v>
      </c>
      <c r="C37" s="46" t="s">
        <v>137</v>
      </c>
      <c r="D37" s="46" t="s">
        <v>152</v>
      </c>
      <c r="E37" s="46" t="s">
        <v>29</v>
      </c>
      <c r="F37" s="46" t="s">
        <v>142</v>
      </c>
      <c r="G37" s="46" t="s">
        <v>161</v>
      </c>
      <c r="H37" s="47" t="s">
        <v>169</v>
      </c>
      <c r="J37" s="39" t="s">
        <v>231</v>
      </c>
      <c r="K37" s="40" t="s">
        <v>232</v>
      </c>
      <c r="L37" s="40" t="s">
        <v>233</v>
      </c>
      <c r="M37" s="40" t="s">
        <v>234</v>
      </c>
      <c r="N37" s="40"/>
      <c r="O37" s="41"/>
    </row>
    <row r="38" spans="1:15" ht="21.95" customHeight="1" x14ac:dyDescent="0.15">
      <c r="A38" s="45" t="s">
        <v>235</v>
      </c>
      <c r="B38" s="46" t="s">
        <v>42</v>
      </c>
      <c r="C38" s="46" t="s">
        <v>77</v>
      </c>
      <c r="D38" s="46" t="s">
        <v>38</v>
      </c>
      <c r="E38" s="46" t="s">
        <v>62</v>
      </c>
      <c r="F38" s="46"/>
      <c r="G38" s="46"/>
      <c r="H38" s="47" t="s">
        <v>37</v>
      </c>
      <c r="J38" s="39" t="s">
        <v>236</v>
      </c>
      <c r="K38" s="40" t="s">
        <v>237</v>
      </c>
      <c r="L38" s="40" t="s">
        <v>238</v>
      </c>
      <c r="M38" s="40"/>
      <c r="N38" s="40"/>
      <c r="O38" s="41"/>
    </row>
    <row r="39" spans="1:15" ht="21.95" customHeight="1" x14ac:dyDescent="0.15">
      <c r="A39" s="45" t="s">
        <v>239</v>
      </c>
      <c r="B39" s="46" t="s">
        <v>176</v>
      </c>
      <c r="C39" s="46" t="s">
        <v>138</v>
      </c>
      <c r="D39" s="46" t="s">
        <v>23</v>
      </c>
      <c r="E39" s="46"/>
      <c r="F39" s="46"/>
      <c r="G39" s="46"/>
      <c r="H39" s="47"/>
      <c r="J39" s="39" t="s">
        <v>240</v>
      </c>
      <c r="K39" s="40" t="s">
        <v>241</v>
      </c>
      <c r="L39" s="40" t="s">
        <v>242</v>
      </c>
      <c r="M39" s="40" t="s">
        <v>243</v>
      </c>
      <c r="N39" s="40"/>
      <c r="O39" s="41"/>
    </row>
    <row r="40" spans="1:15" ht="21.95" customHeight="1" x14ac:dyDescent="0.15">
      <c r="A40" s="45" t="s">
        <v>244</v>
      </c>
      <c r="B40" s="46" t="s">
        <v>168</v>
      </c>
      <c r="C40" s="46" t="s">
        <v>86</v>
      </c>
      <c r="D40" s="46" t="s">
        <v>36</v>
      </c>
      <c r="E40" s="46"/>
      <c r="F40" s="46"/>
      <c r="G40" s="46"/>
      <c r="H40" s="47"/>
      <c r="J40" s="39" t="s">
        <v>245</v>
      </c>
      <c r="K40" s="40" t="s">
        <v>246</v>
      </c>
      <c r="L40" s="40" t="s">
        <v>247</v>
      </c>
      <c r="M40" s="40" t="s">
        <v>248</v>
      </c>
      <c r="N40" s="40"/>
      <c r="O40" s="41"/>
    </row>
    <row r="41" spans="1:15" ht="21.95" customHeight="1" x14ac:dyDescent="0.15">
      <c r="A41" s="45" t="s">
        <v>249</v>
      </c>
      <c r="B41" s="46" t="s">
        <v>54</v>
      </c>
      <c r="C41" s="46" t="s">
        <v>199</v>
      </c>
      <c r="D41" s="46" t="s">
        <v>143</v>
      </c>
      <c r="E41" s="46"/>
      <c r="F41" s="46"/>
      <c r="G41" s="46"/>
      <c r="H41" s="47"/>
      <c r="J41" s="39" t="s">
        <v>250</v>
      </c>
      <c r="K41" s="40" t="s">
        <v>251</v>
      </c>
      <c r="L41" s="40" t="s">
        <v>252</v>
      </c>
      <c r="M41" s="40" t="s">
        <v>253</v>
      </c>
      <c r="N41" s="40"/>
      <c r="O41" s="41"/>
    </row>
    <row r="42" spans="1:15" ht="21.95" customHeight="1" x14ac:dyDescent="0.15">
      <c r="A42" s="45" t="s">
        <v>254</v>
      </c>
      <c r="B42" s="46" t="s">
        <v>42</v>
      </c>
      <c r="C42" s="46" t="s">
        <v>181</v>
      </c>
      <c r="D42" s="46" t="s">
        <v>199</v>
      </c>
      <c r="E42" s="46"/>
      <c r="F42" s="46"/>
      <c r="G42" s="46"/>
      <c r="H42" s="47"/>
      <c r="J42" s="39" t="s">
        <v>255</v>
      </c>
      <c r="K42" s="40" t="s">
        <v>256</v>
      </c>
      <c r="L42" s="40" t="s">
        <v>257</v>
      </c>
      <c r="M42" s="40" t="s">
        <v>258</v>
      </c>
      <c r="N42" s="40"/>
      <c r="O42" s="41"/>
    </row>
    <row r="43" spans="1:15" ht="21.95" customHeight="1" x14ac:dyDescent="0.15">
      <c r="A43" s="45" t="s">
        <v>259</v>
      </c>
      <c r="B43" s="46" t="s">
        <v>153</v>
      </c>
      <c r="C43" s="46" t="s">
        <v>75</v>
      </c>
      <c r="D43" s="46" t="s">
        <v>141</v>
      </c>
      <c r="E43" s="46"/>
      <c r="F43" s="46"/>
      <c r="G43" s="46"/>
      <c r="H43" s="47"/>
      <c r="J43" s="39" t="s">
        <v>260</v>
      </c>
      <c r="K43" s="40" t="s">
        <v>261</v>
      </c>
      <c r="L43" s="40" t="s">
        <v>262</v>
      </c>
      <c r="M43" s="40"/>
      <c r="N43" s="40"/>
      <c r="O43" s="41"/>
    </row>
    <row r="44" spans="1:15" ht="21.95" customHeight="1" x14ac:dyDescent="0.15">
      <c r="A44" s="45" t="s">
        <v>263</v>
      </c>
      <c r="B44" s="46" t="s">
        <v>216</v>
      </c>
      <c r="C44" s="46" t="s">
        <v>160</v>
      </c>
      <c r="D44" s="46" t="s">
        <v>74</v>
      </c>
      <c r="E44" s="46"/>
      <c r="F44" s="46"/>
      <c r="G44" s="46"/>
      <c r="H44" s="47"/>
      <c r="J44" s="39" t="s">
        <v>264</v>
      </c>
      <c r="K44" s="40" t="s">
        <v>265</v>
      </c>
      <c r="L44" s="40" t="s">
        <v>266</v>
      </c>
      <c r="M44" s="40"/>
      <c r="N44" s="40"/>
      <c r="O44" s="41"/>
    </row>
    <row r="45" spans="1:15" ht="21.95" customHeight="1" x14ac:dyDescent="0.15">
      <c r="A45" s="45" t="s">
        <v>267</v>
      </c>
      <c r="B45" s="46" t="s">
        <v>96</v>
      </c>
      <c r="C45" s="46" t="s">
        <v>117</v>
      </c>
      <c r="D45" s="46" t="s">
        <v>52</v>
      </c>
      <c r="E45" s="46"/>
      <c r="F45" s="46"/>
      <c r="G45" s="46"/>
      <c r="H45" s="47"/>
      <c r="J45" s="39" t="s">
        <v>268</v>
      </c>
      <c r="K45" s="40" t="s">
        <v>269</v>
      </c>
      <c r="L45" s="40" t="s">
        <v>270</v>
      </c>
      <c r="M45" s="40"/>
      <c r="N45" s="40"/>
      <c r="O45" s="41"/>
    </row>
    <row r="46" spans="1:15" ht="21.95" customHeight="1" x14ac:dyDescent="0.15">
      <c r="A46" s="45" t="s">
        <v>271</v>
      </c>
      <c r="B46" s="46" t="s">
        <v>106</v>
      </c>
      <c r="C46" s="46" t="s">
        <v>66</v>
      </c>
      <c r="D46" s="46" t="s">
        <v>63</v>
      </c>
      <c r="E46" s="46"/>
      <c r="F46" s="46"/>
      <c r="G46" s="46"/>
      <c r="H46" s="47"/>
      <c r="J46" s="39" t="s">
        <v>272</v>
      </c>
      <c r="K46" s="40" t="s">
        <v>273</v>
      </c>
      <c r="L46" s="40"/>
      <c r="M46" s="40"/>
      <c r="N46" s="40"/>
      <c r="O46" s="41"/>
    </row>
    <row r="47" spans="1:15" ht="21.95" customHeight="1" x14ac:dyDescent="0.15">
      <c r="A47" s="45" t="s">
        <v>274</v>
      </c>
      <c r="B47" s="46" t="s">
        <v>151</v>
      </c>
      <c r="C47" s="46" t="s">
        <v>129</v>
      </c>
      <c r="D47" s="46" t="s">
        <v>75</v>
      </c>
      <c r="E47" s="46"/>
      <c r="F47" s="46"/>
      <c r="G47" s="46"/>
      <c r="H47" s="47"/>
      <c r="J47" s="39" t="s">
        <v>275</v>
      </c>
      <c r="K47" s="40"/>
      <c r="L47" s="40"/>
      <c r="M47" s="40"/>
      <c r="N47" s="40"/>
      <c r="O47" s="41"/>
    </row>
    <row r="48" spans="1:15" ht="21.95" customHeight="1" x14ac:dyDescent="0.15">
      <c r="A48" s="45" t="s">
        <v>276</v>
      </c>
      <c r="B48" s="46" t="s">
        <v>159</v>
      </c>
      <c r="C48" s="46" t="s">
        <v>108</v>
      </c>
      <c r="D48" s="46" t="s">
        <v>39</v>
      </c>
      <c r="E48" s="46"/>
      <c r="F48" s="46"/>
      <c r="G48" s="46"/>
      <c r="H48" s="47"/>
      <c r="J48" s="39" t="s">
        <v>277</v>
      </c>
      <c r="K48" s="40"/>
      <c r="L48" s="40"/>
      <c r="M48" s="40"/>
      <c r="N48" s="40"/>
      <c r="O48" s="41"/>
    </row>
    <row r="49" spans="1:15" ht="21.95" customHeight="1" x14ac:dyDescent="0.15">
      <c r="A49" s="45" t="s">
        <v>278</v>
      </c>
      <c r="B49" s="46" t="s">
        <v>24</v>
      </c>
      <c r="C49" s="46" t="s">
        <v>153</v>
      </c>
      <c r="D49" s="46" t="s">
        <v>151</v>
      </c>
      <c r="E49" s="46"/>
      <c r="F49" s="46"/>
      <c r="G49" s="46"/>
      <c r="H49" s="47"/>
      <c r="J49" s="39" t="s">
        <v>279</v>
      </c>
      <c r="K49" s="40" t="s">
        <v>280</v>
      </c>
      <c r="L49" s="40"/>
      <c r="M49" s="40"/>
      <c r="N49" s="40"/>
      <c r="O49" s="41"/>
    </row>
    <row r="50" spans="1:15" ht="21.95" customHeight="1" x14ac:dyDescent="0.15">
      <c r="A50" s="45" t="s">
        <v>281</v>
      </c>
      <c r="B50" s="46" t="s">
        <v>37</v>
      </c>
      <c r="C50" s="46" t="s">
        <v>216</v>
      </c>
      <c r="D50" s="46" t="s">
        <v>159</v>
      </c>
      <c r="E50" s="46"/>
      <c r="F50" s="46"/>
      <c r="G50" s="46"/>
      <c r="H50" s="47"/>
      <c r="J50" s="39" t="s">
        <v>282</v>
      </c>
      <c r="K50" s="40" t="s">
        <v>283</v>
      </c>
      <c r="L50" s="40"/>
      <c r="M50" s="40"/>
      <c r="N50" s="40"/>
      <c r="O50" s="41"/>
    </row>
    <row r="51" spans="1:15" ht="21.95" customHeight="1" x14ac:dyDescent="0.15">
      <c r="A51" s="45" t="s">
        <v>284</v>
      </c>
      <c r="B51" s="46" t="s">
        <v>153</v>
      </c>
      <c r="C51" s="46" t="s">
        <v>24</v>
      </c>
      <c r="D51" s="46" t="s">
        <v>74</v>
      </c>
      <c r="E51" s="46"/>
      <c r="F51" s="46"/>
      <c r="G51" s="46"/>
      <c r="H51" s="47"/>
      <c r="J51" s="39" t="s">
        <v>285</v>
      </c>
      <c r="K51" s="40" t="s">
        <v>286</v>
      </c>
      <c r="L51" s="40"/>
      <c r="M51" s="40"/>
      <c r="N51" s="40"/>
      <c r="O51" s="41"/>
    </row>
    <row r="52" spans="1:15" ht="21.95" customHeight="1" x14ac:dyDescent="0.15">
      <c r="A52" s="45" t="s">
        <v>287</v>
      </c>
      <c r="B52" s="46"/>
      <c r="C52" s="46" t="s">
        <v>142</v>
      </c>
      <c r="D52" s="46" t="s">
        <v>152</v>
      </c>
      <c r="E52" s="48"/>
      <c r="F52" s="46"/>
      <c r="G52" s="46"/>
      <c r="H52" s="47"/>
      <c r="J52" s="39" t="s">
        <v>288</v>
      </c>
      <c r="K52" s="40"/>
      <c r="L52" s="40"/>
      <c r="M52" s="40"/>
      <c r="N52" s="40"/>
      <c r="O52" s="41"/>
    </row>
    <row r="53" spans="1:15" ht="21.95" customHeight="1" x14ac:dyDescent="0.15">
      <c r="A53" s="45" t="s">
        <v>289</v>
      </c>
      <c r="B53" s="46"/>
      <c r="C53" s="46"/>
      <c r="D53" s="46"/>
      <c r="E53" s="46"/>
      <c r="F53" s="46"/>
      <c r="G53" s="46"/>
      <c r="H53" s="47"/>
      <c r="J53" s="39" t="s">
        <v>290</v>
      </c>
      <c r="K53" s="40"/>
      <c r="L53" s="40"/>
      <c r="M53" s="40"/>
      <c r="N53" s="40"/>
      <c r="O53" s="41"/>
    </row>
    <row r="54" spans="1:15" ht="21.95" customHeight="1" x14ac:dyDescent="0.15">
      <c r="A54" s="45" t="s">
        <v>291</v>
      </c>
      <c r="B54" s="46"/>
      <c r="C54" s="46"/>
      <c r="D54" s="46"/>
      <c r="E54" s="46"/>
      <c r="F54" s="46"/>
      <c r="G54" s="46"/>
      <c r="H54" s="47"/>
      <c r="J54" s="39" t="s">
        <v>292</v>
      </c>
      <c r="K54" s="40"/>
      <c r="L54" s="40"/>
      <c r="M54" s="40"/>
      <c r="N54" s="40"/>
      <c r="O54" s="41"/>
    </row>
    <row r="55" spans="1:15" ht="21.95" customHeight="1" x14ac:dyDescent="0.15">
      <c r="A55" s="45" t="s">
        <v>293</v>
      </c>
      <c r="B55" s="46" t="s">
        <v>294</v>
      </c>
      <c r="C55" s="46"/>
      <c r="D55" s="46" t="s">
        <v>50</v>
      </c>
      <c r="E55" s="48"/>
      <c r="F55" s="46"/>
      <c r="G55" s="46"/>
      <c r="H55" s="47"/>
      <c r="J55" s="39" t="s">
        <v>295</v>
      </c>
      <c r="K55" s="40"/>
      <c r="L55" s="40"/>
      <c r="M55" s="40"/>
      <c r="N55" s="40"/>
      <c r="O55" s="41"/>
    </row>
    <row r="56" spans="1:15" ht="21.95" customHeight="1" x14ac:dyDescent="0.15">
      <c r="A56" s="45" t="s">
        <v>296</v>
      </c>
      <c r="B56" s="46" t="s">
        <v>121</v>
      </c>
      <c r="C56" s="46" t="s">
        <v>108</v>
      </c>
      <c r="D56" s="46" t="s">
        <v>61</v>
      </c>
      <c r="E56" s="48"/>
      <c r="F56" s="46"/>
      <c r="G56" s="46"/>
      <c r="H56" s="47"/>
      <c r="J56" s="39" t="s">
        <v>297</v>
      </c>
      <c r="K56" s="40"/>
      <c r="L56" s="40"/>
      <c r="M56" s="40"/>
      <c r="N56" s="40"/>
      <c r="O56" s="41"/>
    </row>
    <row r="57" spans="1:15" ht="21.95" customHeight="1" x14ac:dyDescent="0.15">
      <c r="A57" s="45" t="s">
        <v>298</v>
      </c>
      <c r="B57" s="46" t="s">
        <v>299</v>
      </c>
      <c r="C57" s="46" t="s">
        <v>161</v>
      </c>
      <c r="D57" s="46" t="s">
        <v>39</v>
      </c>
      <c r="E57" s="48"/>
      <c r="F57" s="46"/>
      <c r="G57" s="46"/>
      <c r="H57" s="47"/>
      <c r="J57" s="39"/>
      <c r="K57" s="40"/>
      <c r="L57" s="40"/>
      <c r="M57" s="40"/>
      <c r="N57" s="40"/>
      <c r="O57" s="41"/>
    </row>
    <row r="58" spans="1:15" ht="21.95" customHeight="1" x14ac:dyDescent="0.15">
      <c r="A58" s="45" t="s">
        <v>300</v>
      </c>
      <c r="B58" s="46"/>
      <c r="C58" s="46"/>
      <c r="D58" s="46"/>
      <c r="E58" s="48"/>
      <c r="F58" s="46"/>
      <c r="G58" s="46"/>
      <c r="H58" s="47"/>
      <c r="J58" s="39" t="s">
        <v>301</v>
      </c>
      <c r="K58" s="40"/>
      <c r="L58" s="40"/>
      <c r="M58" s="40"/>
      <c r="N58" s="40"/>
      <c r="O58" s="41"/>
    </row>
    <row r="59" spans="1:15" ht="21.95" customHeight="1" x14ac:dyDescent="0.15">
      <c r="A59" s="45" t="s">
        <v>302</v>
      </c>
      <c r="B59" s="46"/>
      <c r="C59" s="46"/>
      <c r="D59" s="46"/>
      <c r="E59" s="48"/>
      <c r="F59" s="46"/>
      <c r="G59" s="46"/>
      <c r="H59" s="47"/>
      <c r="J59" s="39"/>
      <c r="K59" s="40"/>
      <c r="L59" s="40"/>
      <c r="M59" s="40"/>
      <c r="N59" s="40"/>
      <c r="O59" s="41"/>
    </row>
    <row r="60" spans="1:15" ht="21.95" customHeight="1" x14ac:dyDescent="0.15">
      <c r="A60" s="45" t="s">
        <v>303</v>
      </c>
      <c r="B60" s="46"/>
      <c r="C60" s="46"/>
      <c r="D60" s="46"/>
      <c r="E60" s="48"/>
      <c r="F60" s="46"/>
      <c r="G60" s="46"/>
      <c r="H60" s="47"/>
      <c r="J60" s="39"/>
      <c r="K60" s="40"/>
      <c r="L60" s="40"/>
      <c r="M60" s="40"/>
      <c r="N60" s="40"/>
      <c r="O60" s="41"/>
    </row>
    <row r="61" spans="1:15" ht="21.95" customHeight="1" x14ac:dyDescent="0.15">
      <c r="A61" s="45" t="s">
        <v>304</v>
      </c>
      <c r="B61" s="46" t="s">
        <v>133</v>
      </c>
      <c r="C61" s="46" t="s">
        <v>198</v>
      </c>
      <c r="D61" s="46" t="s">
        <v>132</v>
      </c>
      <c r="E61" s="48"/>
      <c r="F61" s="46"/>
      <c r="G61" s="46"/>
      <c r="H61" s="47"/>
      <c r="J61" s="39"/>
      <c r="K61" s="40"/>
      <c r="L61" s="40"/>
      <c r="M61" s="40"/>
      <c r="N61" s="40"/>
      <c r="O61" s="41"/>
    </row>
    <row r="62" spans="1:15" ht="21.95" customHeight="1" x14ac:dyDescent="0.15">
      <c r="A62" s="42" t="s">
        <v>305</v>
      </c>
      <c r="B62" s="43" t="s">
        <v>306</v>
      </c>
      <c r="C62" s="43" t="s">
        <v>149</v>
      </c>
      <c r="D62" s="43" t="s">
        <v>136</v>
      </c>
      <c r="E62" s="49"/>
      <c r="F62" s="43"/>
      <c r="G62" s="43"/>
      <c r="H62" s="44"/>
      <c r="J62" s="42"/>
      <c r="K62" s="43"/>
      <c r="L62" s="43"/>
      <c r="M62" s="43"/>
      <c r="N62" s="43"/>
      <c r="O62" s="44"/>
    </row>
  </sheetData>
  <sheetProtection algorithmName="SHA-512" hashValue="hhbim5As8OrguOW1rtVCwvppvdbvLi63kZycJLrZT/f9gxRAss/yOmlPIqXeuCRddKGvzTaeqJj4gZiKjvQZpA==" saltValue="DVst/I7JP2VTTz7HYwei0Q==" spinCount="100000" sheet="1" objects="1" scenarios="1"/>
  <mergeCells count="4">
    <mergeCell ref="A5:H5"/>
    <mergeCell ref="J5:O6"/>
    <mergeCell ref="D1:D3"/>
    <mergeCell ref="G1:G3"/>
  </mergeCells>
  <phoneticPr fontId="3" type="noConversion"/>
  <pageMargins left="0.75" right="0.75" top="1" bottom="1" header="0.5" footer="0.5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8CB09036-7BE3-4774-B64C-F7E4CE340828}">
            <xm:f>NOT(ISERROR(SEARCH($C$1,A1)))</xm:f>
            <xm:f>$C$1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" operator="containsText" id="{E1789B20-4A79-451E-A66C-DA713F1CDB2E}">
            <xm:f>NOT(ISERROR(SEARCH($C$2,A1)))</xm:f>
            <xm:f>$C$2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" operator="containsText" id="{E47DC831-0DD3-4092-B26F-3F474E3185B5}">
            <xm:f>NOT(ISERROR(SEARCH($C$3,A1)))</xm:f>
            <xm:f>$C$3</xm:f>
            <x14:dxf>
              <font>
                <color theme="0"/>
              </font>
              <fill>
                <patternFill patternType="solid">
                  <bgColor rgb="FF7030A0"/>
                </patternFill>
              </fill>
            </x14:dxf>
          </x14:cfRule>
          <x14:cfRule type="containsText" priority="3" operator="containsText" id="{14BE25CB-9FC2-40FA-8583-6BAF587CB117}">
            <xm:f>NOT(ISERROR(SEARCH($F$1,A1)))</xm:f>
            <xm:f>$F$1</xm:f>
            <x14:dxf>
              <font>
                <color theme="0"/>
              </font>
              <fill>
                <patternFill patternType="solid">
                  <bgColor rgb="FF0070C0"/>
                </patternFill>
              </fill>
            </x14:dxf>
          </x14:cfRule>
          <x14:cfRule type="containsText" priority="2" operator="containsText" id="{371367DC-405E-45D8-96B3-5932E2E8A813}">
            <xm:f>NOT(ISERROR(SEARCH($F$2,A1)))</xm:f>
            <xm:f>$F$2</xm:f>
            <x14:dxf>
              <font>
                <color theme="0"/>
              </font>
              <fill>
                <patternFill patternType="solid">
                  <bgColor rgb="FF00B050"/>
                </patternFill>
              </fill>
            </x14:dxf>
          </x14:cfRule>
          <x14:cfRule type="containsText" priority="1" operator="containsText" id="{6E8B5256-685C-4CE0-84FD-9242C8A9410C}">
            <xm:f>NOT(ISERROR(SEARCH($F$3,A1)))</xm:f>
            <xm:f>$F$3</xm:f>
            <x14:dxf>
              <fill>
                <patternFill patternType="solid">
                  <bgColor rgb="FFFFFF00"/>
                </patternFill>
              </fill>
            </x14:dxf>
          </x14:cfRule>
          <xm:sqref>A1:XFD1 A4:XFD1048576 A2:C3 E2:F3 H2:XFD3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5"/>
  <sheetViews>
    <sheetView zoomScaleNormal="100" workbookViewId="0">
      <pane xSplit="10" ySplit="1" topLeftCell="L2" activePane="bottomRight" state="frozen"/>
      <selection pane="topRight"/>
      <selection pane="bottomLeft"/>
      <selection pane="bottomRight" activeCell="D10" sqref="D10"/>
    </sheetView>
  </sheetViews>
  <sheetFormatPr defaultColWidth="9" defaultRowHeight="13.5" x14ac:dyDescent="0.15"/>
  <cols>
    <col min="1" max="1" width="9.375" customWidth="1"/>
    <col min="2" max="2" width="13.375" style="1" customWidth="1"/>
    <col min="3" max="3" width="2.125" customWidth="1"/>
    <col min="4" max="4" width="9" style="1"/>
    <col min="5" max="5" width="2.125" style="1" customWidth="1"/>
    <col min="6" max="6" width="9" style="1"/>
    <col min="7" max="7" width="2.125" style="1" customWidth="1"/>
    <col min="8" max="8" width="9" style="1"/>
    <col min="9" max="9" width="2.125" style="1" customWidth="1"/>
    <col min="10" max="10" width="9" style="1"/>
    <col min="11" max="11" width="3.375" customWidth="1"/>
    <col min="12" max="12" width="60.625" customWidth="1"/>
    <col min="13" max="13" width="2.75" style="2" customWidth="1"/>
    <col min="14" max="14" width="60.625" customWidth="1"/>
    <col min="15" max="15" width="8" style="2" hidden="1" customWidth="1"/>
    <col min="16" max="16" width="9" style="1" hidden="1" customWidth="1"/>
    <col min="17" max="23" width="9" style="3" hidden="1" customWidth="1"/>
    <col min="24" max="24" width="9" style="1" hidden="1" customWidth="1"/>
    <col min="25" max="25" width="9" hidden="1" customWidth="1"/>
    <col min="26" max="26" width="6.375" hidden="1" customWidth="1"/>
    <col min="27" max="27" width="7.625" hidden="1" customWidth="1"/>
    <col min="28" max="28" width="2.875" hidden="1" customWidth="1"/>
    <col min="29" max="29" width="45.75" hidden="1" customWidth="1"/>
    <col min="30" max="36" width="8.625" hidden="1" customWidth="1"/>
    <col min="37" max="37" width="16" hidden="1" customWidth="1"/>
    <col min="38" max="43" width="9" hidden="1" customWidth="1"/>
    <col min="44" max="44" width="9" customWidth="1"/>
  </cols>
  <sheetData>
    <row r="1" spans="1:43" s="1" customFormat="1" ht="27.95" customHeight="1" x14ac:dyDescent="0.15">
      <c r="A1" s="4" t="s">
        <v>307</v>
      </c>
      <c r="B1" s="4" t="s">
        <v>308</v>
      </c>
      <c r="C1" s="4"/>
      <c r="D1" s="4" t="s">
        <v>309</v>
      </c>
      <c r="E1" s="4"/>
      <c r="F1" s="4" t="s">
        <v>310</v>
      </c>
      <c r="G1" s="4"/>
      <c r="H1" s="4" t="s">
        <v>311</v>
      </c>
      <c r="I1" s="4"/>
      <c r="J1" s="4" t="s">
        <v>312</v>
      </c>
      <c r="L1" s="57" t="s">
        <v>313</v>
      </c>
      <c r="M1" s="58"/>
      <c r="N1" s="59"/>
      <c r="O1" s="13"/>
      <c r="P1" s="14" t="s">
        <v>314</v>
      </c>
      <c r="Q1" s="14" t="s">
        <v>315</v>
      </c>
      <c r="R1" s="14" t="s">
        <v>316</v>
      </c>
      <c r="S1" s="14" t="s">
        <v>317</v>
      </c>
      <c r="T1" s="14" t="s">
        <v>318</v>
      </c>
      <c r="U1" s="14" t="s">
        <v>319</v>
      </c>
      <c r="V1" s="14" t="s">
        <v>320</v>
      </c>
      <c r="W1" s="14" t="s">
        <v>321</v>
      </c>
      <c r="X1" s="14" t="s">
        <v>322</v>
      </c>
      <c r="Z1" s="28" t="s">
        <v>323</v>
      </c>
      <c r="AA1" s="1" t="s">
        <v>12</v>
      </c>
    </row>
    <row r="2" spans="1:43" ht="18.75" x14ac:dyDescent="0.15">
      <c r="A2" s="5" t="s">
        <v>22</v>
      </c>
      <c r="B2" s="6" t="s">
        <v>324</v>
      </c>
      <c r="C2" s="7"/>
      <c r="D2" s="6" t="s">
        <v>325</v>
      </c>
      <c r="E2" s="6"/>
      <c r="F2" s="6" t="s">
        <v>326</v>
      </c>
      <c r="G2" s="6"/>
      <c r="H2" s="6">
        <v>0</v>
      </c>
      <c r="I2" s="6"/>
      <c r="J2" s="6" t="s">
        <v>327</v>
      </c>
      <c r="L2" s="15" t="str">
        <f>"M0P_GPIO-&gt;PAADS = "&amp;PAADS&amp;";"</f>
        <v>M0P_GPIO-&gt;PAADS = 0x0000;</v>
      </c>
      <c r="N2" s="16" t="str">
        <f>"M0P_GPIO-&gt;PCADS = "&amp;PCADS&amp;";"</f>
        <v>M0P_GPIO-&gt;PCADS = 0x0000;</v>
      </c>
      <c r="P2" s="14" t="str">
        <f>LEFT(A2,2)</f>
        <v>PA</v>
      </c>
      <c r="Q2" s="14">
        <f>IF(ISERROR(FIND(B2,AA2)),X2,0)</f>
        <v>0</v>
      </c>
      <c r="R2" s="14">
        <f>IF(Q2=0,LEN(Z2)-LEN(SUBSTITUTE(Z2,",",""))-2,0)</f>
        <v>0</v>
      </c>
      <c r="S2" s="14">
        <f>IF(D2="输出",0,X2)</f>
        <v>1</v>
      </c>
      <c r="T2" s="14">
        <f>IF(F2="开漏",X2,0)</f>
        <v>0</v>
      </c>
      <c r="U2" s="14">
        <f>IF(H2=1,X2,0)</f>
        <v>0</v>
      </c>
      <c r="V2" s="14">
        <f>IF(J2="上拉",X2,0)</f>
        <v>1</v>
      </c>
      <c r="W2" s="14">
        <f>IF(J2="下拉",X2,0)</f>
        <v>0</v>
      </c>
      <c r="X2" s="14">
        <f>POWER(2,VALUE(RIGHT(A2,2)))</f>
        <v>1</v>
      </c>
      <c r="Z2" t="str">
        <f>IF(Q2&gt;0,"",LEFT(AA2,FIND(B2,AA2)-1))</f>
        <v>,,</v>
      </c>
      <c r="AA2" t="str">
        <f>","&amp;AC2&amp;","&amp;AD2&amp;","&amp;AE2&amp;","&amp;AF2&amp;","&amp;AG2&amp;","&amp;AH2&amp;","&amp;AI2&amp;","&amp;AJ2&amp;","&amp;AK2&amp;","</f>
        <v>,,GPIO,UART1_CTS,LPUART1_TXD,TIM0_ETR,VC0_OUT,TIM1_CHA,TIM3_ETR,TIM0_CHA,</v>
      </c>
      <c r="AC2" s="29"/>
      <c r="AD2" s="30" t="s">
        <v>324</v>
      </c>
      <c r="AE2" s="31" t="s">
        <v>23</v>
      </c>
      <c r="AF2" s="31" t="s">
        <v>24</v>
      </c>
      <c r="AG2" s="31" t="s">
        <v>25</v>
      </c>
      <c r="AH2" s="31" t="s">
        <v>26</v>
      </c>
      <c r="AI2" s="31" t="s">
        <v>27</v>
      </c>
      <c r="AJ2" s="31" t="s">
        <v>28</v>
      </c>
      <c r="AK2" s="31" t="s">
        <v>29</v>
      </c>
      <c r="AL2" s="32" t="s">
        <v>7</v>
      </c>
      <c r="AM2" s="32" t="s">
        <v>30</v>
      </c>
      <c r="AN2" s="32" t="s">
        <v>31</v>
      </c>
      <c r="AO2" s="32" t="s">
        <v>32</v>
      </c>
      <c r="AP2" s="32" t="s">
        <v>33</v>
      </c>
      <c r="AQ2" s="32" t="s">
        <v>34</v>
      </c>
    </row>
    <row r="3" spans="1:43" ht="18.75" x14ac:dyDescent="0.15">
      <c r="A3" s="8" t="s">
        <v>35</v>
      </c>
      <c r="B3" s="9" t="s">
        <v>324</v>
      </c>
      <c r="C3" s="10"/>
      <c r="D3" s="9" t="s">
        <v>325</v>
      </c>
      <c r="E3" s="9"/>
      <c r="F3" s="9" t="s">
        <v>326</v>
      </c>
      <c r="G3" s="9"/>
      <c r="H3" s="9">
        <v>0</v>
      </c>
      <c r="I3" s="9"/>
      <c r="J3" s="9" t="s">
        <v>328</v>
      </c>
      <c r="L3" s="17" t="str">
        <f>"M0P_GPIO-&gt;PAPU = "&amp;PAPU&amp;";"</f>
        <v>M0P_GPIO-&gt;PAPU = 0xFFFD;</v>
      </c>
      <c r="N3" s="18" t="str">
        <f>"M0P_GPIO-&gt;PCPU = "&amp;PCPU&amp;";"</f>
        <v>M0P_GPIO-&gt;PCPU = 0xFFFF;</v>
      </c>
      <c r="P3" s="14" t="str">
        <f t="shared" ref="P3:P34" si="0">LEFT(A3,2)</f>
        <v>PA</v>
      </c>
      <c r="Q3" s="14">
        <f t="shared" ref="Q3:Q34" si="1">IF(ISERROR(FIND(B3,AA3)),X3,0)</f>
        <v>0</v>
      </c>
      <c r="R3" s="14">
        <f t="shared" ref="R3:R34" si="2">IF(Q3=0,LEN(Z3)-LEN(SUBSTITUTE(Z3,",",""))-2,0)</f>
        <v>0</v>
      </c>
      <c r="S3" s="14">
        <f t="shared" ref="S3:S34" si="3">IF(D3="输出",0,X3)</f>
        <v>2</v>
      </c>
      <c r="T3" s="14">
        <f t="shared" ref="T3:T34" si="4">IF(F3="开漏",X3,0)</f>
        <v>0</v>
      </c>
      <c r="U3" s="14">
        <f t="shared" ref="U3:U34" si="5">IF(H3=1,X3,0)</f>
        <v>0</v>
      </c>
      <c r="V3" s="14">
        <f t="shared" ref="V3:V34" si="6">IF(J3="上拉",X3,0)</f>
        <v>0</v>
      </c>
      <c r="W3" s="14">
        <f t="shared" ref="W3:W34" si="7">IF(J3="下拉",X3,0)</f>
        <v>2</v>
      </c>
      <c r="X3" s="14">
        <f t="shared" ref="X3:X34" si="8">POWER(2,VALUE(RIGHT(A3,2)))</f>
        <v>2</v>
      </c>
      <c r="Z3" t="str">
        <f t="shared" ref="Z3:Z34" si="9">IF(Q3&gt;0,"",LEFT(AA3,FIND(B3,AA3)-1))</f>
        <v>,,</v>
      </c>
      <c r="AA3" t="str">
        <f t="shared" ref="AA3:AA34" si="10">","&amp;AC3&amp;","&amp;AD3&amp;","&amp;AE3&amp;","&amp;AF3&amp;","&amp;AG3&amp;","&amp;AH3&amp;","&amp;AI3&amp;","&amp;AJ3&amp;","&amp;AK3&amp;","</f>
        <v>,,GPIO,UART1_RTS,LPUART1_RXD,TIM0_CHB,TIM1_ETR,TIM1_CHB,HCLK_OUT,SPI1_MOSI,</v>
      </c>
      <c r="AC3" s="29"/>
      <c r="AD3" s="30" t="s">
        <v>324</v>
      </c>
      <c r="AE3" s="31" t="s">
        <v>36</v>
      </c>
      <c r="AF3" s="31" t="s">
        <v>37</v>
      </c>
      <c r="AG3" s="31" t="s">
        <v>38</v>
      </c>
      <c r="AH3" s="31" t="s">
        <v>39</v>
      </c>
      <c r="AI3" s="31" t="s">
        <v>40</v>
      </c>
      <c r="AJ3" s="31" t="s">
        <v>41</v>
      </c>
      <c r="AK3" s="31" t="s">
        <v>42</v>
      </c>
      <c r="AL3" s="32" t="s">
        <v>43</v>
      </c>
      <c r="AM3" s="32" t="s">
        <v>44</v>
      </c>
      <c r="AN3" s="32" t="s">
        <v>45</v>
      </c>
      <c r="AO3" s="32" t="s">
        <v>46</v>
      </c>
      <c r="AP3" s="32" t="s">
        <v>47</v>
      </c>
      <c r="AQ3" s="32" t="s">
        <v>48</v>
      </c>
    </row>
    <row r="4" spans="1:43" ht="18.75" x14ac:dyDescent="0.15">
      <c r="A4" s="5" t="s">
        <v>49</v>
      </c>
      <c r="B4" s="6" t="s">
        <v>324</v>
      </c>
      <c r="C4" s="7"/>
      <c r="D4" s="6" t="s">
        <v>325</v>
      </c>
      <c r="E4" s="6"/>
      <c r="F4" s="6" t="s">
        <v>326</v>
      </c>
      <c r="G4" s="6"/>
      <c r="H4" s="6">
        <v>0</v>
      </c>
      <c r="I4" s="6"/>
      <c r="J4" s="6" t="s">
        <v>327</v>
      </c>
      <c r="L4" s="17" t="str">
        <f>"M0P_GPIO-&gt;PAPD = "&amp;PAPD&amp;";"</f>
        <v>M0P_GPIO-&gt;PAPD = 0x0002;</v>
      </c>
      <c r="N4" s="18" t="str">
        <f>"M0P_GPIO-&gt;PCPD = "&amp;PCPD&amp;";"</f>
        <v>M0P_GPIO-&gt;PCPD = 0x0000;</v>
      </c>
      <c r="P4" s="14" t="str">
        <f t="shared" si="0"/>
        <v>PA</v>
      </c>
      <c r="Q4" s="14">
        <f t="shared" si="1"/>
        <v>0</v>
      </c>
      <c r="R4" s="14">
        <f t="shared" si="2"/>
        <v>0</v>
      </c>
      <c r="S4" s="14">
        <f t="shared" si="3"/>
        <v>4</v>
      </c>
      <c r="T4" s="14">
        <f t="shared" si="4"/>
        <v>0</v>
      </c>
      <c r="U4" s="14">
        <f t="shared" si="5"/>
        <v>0</v>
      </c>
      <c r="V4" s="14">
        <f t="shared" si="6"/>
        <v>4</v>
      </c>
      <c r="W4" s="14">
        <f t="shared" si="7"/>
        <v>0</v>
      </c>
      <c r="X4" s="14">
        <f t="shared" si="8"/>
        <v>4</v>
      </c>
      <c r="Z4" t="str">
        <f t="shared" si="9"/>
        <v>,,</v>
      </c>
      <c r="AA4" t="str">
        <f t="shared" si="10"/>
        <v>,,GPIO,UART1_TXD,TIM0_CHA,VC1_OUT,TIM1_CHA,TIM2_CHA,PCLK_OUT,SPI1_MISO,</v>
      </c>
      <c r="AC4" s="29"/>
      <c r="AD4" s="30" t="s">
        <v>324</v>
      </c>
      <c r="AE4" s="31" t="s">
        <v>50</v>
      </c>
      <c r="AF4" s="31" t="s">
        <v>29</v>
      </c>
      <c r="AG4" s="31" t="s">
        <v>51</v>
      </c>
      <c r="AH4" s="31" t="s">
        <v>27</v>
      </c>
      <c r="AI4" s="31" t="s">
        <v>52</v>
      </c>
      <c r="AJ4" s="31" t="s">
        <v>53</v>
      </c>
      <c r="AK4" s="31" t="s">
        <v>54</v>
      </c>
      <c r="AL4" s="32" t="s">
        <v>55</v>
      </c>
      <c r="AM4" s="32" t="s">
        <v>56</v>
      </c>
      <c r="AN4" s="32" t="s">
        <v>57</v>
      </c>
      <c r="AO4" s="32" t="s">
        <v>58</v>
      </c>
      <c r="AP4" s="32" t="s">
        <v>59</v>
      </c>
      <c r="AQ4" s="32"/>
    </row>
    <row r="5" spans="1:43" ht="18.75" x14ac:dyDescent="0.15">
      <c r="A5" s="8" t="s">
        <v>60</v>
      </c>
      <c r="B5" s="9" t="s">
        <v>324</v>
      </c>
      <c r="C5" s="10"/>
      <c r="D5" s="9" t="s">
        <v>325</v>
      </c>
      <c r="E5" s="9"/>
      <c r="F5" s="9" t="s">
        <v>326</v>
      </c>
      <c r="G5" s="9"/>
      <c r="H5" s="9">
        <v>0</v>
      </c>
      <c r="I5" s="9"/>
      <c r="J5" s="9" t="s">
        <v>327</v>
      </c>
      <c r="L5" s="17" t="str">
        <f>"M0P_GPIO-&gt;PAOD = "&amp;PAOD&amp;";"</f>
        <v>M0P_GPIO-&gt;PAOD = 0x0000;</v>
      </c>
      <c r="N5" s="18" t="str">
        <f>"M0P_GPIO-&gt;PCOD = "&amp;PCOD&amp;";"</f>
        <v>M0P_GPIO-&gt;PCOD = 0x0000;</v>
      </c>
      <c r="P5" s="14" t="str">
        <f t="shared" si="0"/>
        <v>PA</v>
      </c>
      <c r="Q5" s="14">
        <f t="shared" si="1"/>
        <v>0</v>
      </c>
      <c r="R5" s="14">
        <f t="shared" si="2"/>
        <v>0</v>
      </c>
      <c r="S5" s="14">
        <f t="shared" si="3"/>
        <v>8</v>
      </c>
      <c r="T5" s="14">
        <f t="shared" si="4"/>
        <v>0</v>
      </c>
      <c r="U5" s="14">
        <f t="shared" si="5"/>
        <v>0</v>
      </c>
      <c r="V5" s="14">
        <f t="shared" si="6"/>
        <v>8</v>
      </c>
      <c r="W5" s="14">
        <f t="shared" si="7"/>
        <v>0</v>
      </c>
      <c r="X5" s="14">
        <f t="shared" si="8"/>
        <v>8</v>
      </c>
      <c r="Z5" t="str">
        <f t="shared" si="9"/>
        <v>,,</v>
      </c>
      <c r="AA5" t="str">
        <f t="shared" si="10"/>
        <v>,,GPIO,UART1_RXD,TIM0_GATE,TIM1_CHB,TIM2_CHB,SPI1_CS,TIM3_CH1A,TIM5_CHA,</v>
      </c>
      <c r="AC5" s="29"/>
      <c r="AD5" s="30" t="s">
        <v>324</v>
      </c>
      <c r="AE5" s="31" t="s">
        <v>61</v>
      </c>
      <c r="AF5" s="31" t="s">
        <v>62</v>
      </c>
      <c r="AG5" s="31" t="s">
        <v>40</v>
      </c>
      <c r="AH5" s="31" t="s">
        <v>63</v>
      </c>
      <c r="AI5" s="31" t="s">
        <v>64</v>
      </c>
      <c r="AJ5" s="31" t="s">
        <v>65</v>
      </c>
      <c r="AK5" s="31" t="s">
        <v>66</v>
      </c>
      <c r="AL5" s="32" t="s">
        <v>67</v>
      </c>
      <c r="AM5" s="32" t="s">
        <v>68</v>
      </c>
      <c r="AN5" s="32" t="s">
        <v>69</v>
      </c>
      <c r="AO5" s="32" t="s">
        <v>70</v>
      </c>
      <c r="AP5" s="32" t="s">
        <v>71</v>
      </c>
      <c r="AQ5" s="32"/>
    </row>
    <row r="6" spans="1:43" ht="18.75" x14ac:dyDescent="0.15">
      <c r="A6" s="5" t="s">
        <v>72</v>
      </c>
      <c r="B6" s="6" t="s">
        <v>324</v>
      </c>
      <c r="C6" s="7"/>
      <c r="D6" s="6" t="s">
        <v>325</v>
      </c>
      <c r="E6" s="6"/>
      <c r="F6" s="6" t="s">
        <v>326</v>
      </c>
      <c r="G6" s="6"/>
      <c r="H6" s="6">
        <v>0</v>
      </c>
      <c r="I6" s="6"/>
      <c r="J6" s="6" t="s">
        <v>327</v>
      </c>
      <c r="L6" s="17" t="str">
        <f>"M0P_GPIO-&gt;PAOUT = "&amp;PA0UT&amp;";"</f>
        <v>M0P_GPIO-&gt;PAOUT = 0x0000;</v>
      </c>
      <c r="N6" s="18" t="str">
        <f>"M0P_GPIO-&gt;PCOUT = "&amp;PCOUT&amp;";"</f>
        <v>M0P_GPIO-&gt;PCOUT = 0x0000;</v>
      </c>
      <c r="P6" s="14" t="str">
        <f t="shared" si="0"/>
        <v>PA</v>
      </c>
      <c r="Q6" s="14">
        <f t="shared" si="1"/>
        <v>0</v>
      </c>
      <c r="R6" s="14">
        <f t="shared" si="2"/>
        <v>0</v>
      </c>
      <c r="S6" s="14">
        <f t="shared" si="3"/>
        <v>16</v>
      </c>
      <c r="T6" s="14">
        <f t="shared" si="4"/>
        <v>0</v>
      </c>
      <c r="U6" s="14">
        <f t="shared" si="5"/>
        <v>0</v>
      </c>
      <c r="V6" s="14">
        <f t="shared" si="6"/>
        <v>16</v>
      </c>
      <c r="W6" s="14">
        <f t="shared" si="7"/>
        <v>0</v>
      </c>
      <c r="X6" s="14">
        <f t="shared" si="8"/>
        <v>16</v>
      </c>
      <c r="Z6" t="str">
        <f t="shared" si="9"/>
        <v>,,</v>
      </c>
      <c r="AA6" t="str">
        <f t="shared" si="10"/>
        <v>,,GPIO,SPI0_CS,UART1_TXD,PCA_CH4,TIM2_ETR,TIM5_CHA,LVD_OUT,TIM3_CH2B,</v>
      </c>
      <c r="AC6" s="29"/>
      <c r="AD6" s="30" t="s">
        <v>324</v>
      </c>
      <c r="AE6" s="31" t="s">
        <v>73</v>
      </c>
      <c r="AF6" s="31" t="s">
        <v>50</v>
      </c>
      <c r="AG6" s="31" t="s">
        <v>74</v>
      </c>
      <c r="AH6" s="31" t="s">
        <v>75</v>
      </c>
      <c r="AI6" s="31" t="s">
        <v>66</v>
      </c>
      <c r="AJ6" s="31" t="s">
        <v>76</v>
      </c>
      <c r="AK6" s="31" t="s">
        <v>77</v>
      </c>
      <c r="AL6" s="32" t="s">
        <v>78</v>
      </c>
      <c r="AM6" s="32" t="s">
        <v>79</v>
      </c>
      <c r="AN6" s="32" t="s">
        <v>80</v>
      </c>
      <c r="AO6" s="32" t="s">
        <v>81</v>
      </c>
      <c r="AP6" s="32" t="s">
        <v>82</v>
      </c>
      <c r="AQ6" s="32"/>
    </row>
    <row r="7" spans="1:43" ht="18.75" x14ac:dyDescent="0.15">
      <c r="A7" s="8" t="s">
        <v>83</v>
      </c>
      <c r="B7" s="9" t="s">
        <v>324</v>
      </c>
      <c r="C7" s="10"/>
      <c r="D7" s="9" t="s">
        <v>325</v>
      </c>
      <c r="E7" s="9"/>
      <c r="F7" s="9" t="s">
        <v>326</v>
      </c>
      <c r="G7" s="9"/>
      <c r="H7" s="9">
        <v>0</v>
      </c>
      <c r="I7" s="9"/>
      <c r="J7" s="9" t="s">
        <v>327</v>
      </c>
      <c r="L7" s="17" t="str">
        <f>"M0P_GPIO-&gt;PADIR = "&amp;PADIR&amp;";"</f>
        <v>M0P_GPIO-&gt;PADIR = 0xFFFF;</v>
      </c>
      <c r="N7" s="18" t="str">
        <f>"M0P_GPIO-&gt;PCDIR = "&amp;PCDIR&amp;";"</f>
        <v>M0P_GPIO-&gt;PCDIR = 0xFFFF;</v>
      </c>
      <c r="P7" s="14" t="str">
        <f t="shared" si="0"/>
        <v>PA</v>
      </c>
      <c r="Q7" s="14">
        <f t="shared" si="1"/>
        <v>0</v>
      </c>
      <c r="R7" s="14">
        <f t="shared" si="2"/>
        <v>0</v>
      </c>
      <c r="S7" s="14">
        <f t="shared" si="3"/>
        <v>32</v>
      </c>
      <c r="T7" s="14">
        <f t="shared" si="4"/>
        <v>0</v>
      </c>
      <c r="U7" s="14">
        <f t="shared" si="5"/>
        <v>0</v>
      </c>
      <c r="V7" s="14">
        <f t="shared" si="6"/>
        <v>32</v>
      </c>
      <c r="W7" s="14">
        <f t="shared" si="7"/>
        <v>0</v>
      </c>
      <c r="X7" s="14">
        <f t="shared" si="8"/>
        <v>32</v>
      </c>
      <c r="Z7" t="str">
        <f t="shared" si="9"/>
        <v>,,</v>
      </c>
      <c r="AA7" t="str">
        <f t="shared" si="10"/>
        <v>,,GPIO,SPI0_SCK,TIM0_ETR,PCA_ECI,TIM0_CHA,TIM5_CHB,XTL_OUT,XTH_OUT,</v>
      </c>
      <c r="AC7" s="29"/>
      <c r="AD7" s="30" t="s">
        <v>324</v>
      </c>
      <c r="AE7" s="31" t="s">
        <v>84</v>
      </c>
      <c r="AF7" s="31" t="s">
        <v>25</v>
      </c>
      <c r="AG7" s="31" t="s">
        <v>85</v>
      </c>
      <c r="AH7" s="31" t="s">
        <v>29</v>
      </c>
      <c r="AI7" s="31" t="s">
        <v>86</v>
      </c>
      <c r="AJ7" s="31" t="s">
        <v>87</v>
      </c>
      <c r="AK7" s="31" t="s">
        <v>88</v>
      </c>
      <c r="AL7" s="32" t="s">
        <v>89</v>
      </c>
      <c r="AM7" s="32" t="s">
        <v>90</v>
      </c>
      <c r="AN7" s="32" t="s">
        <v>91</v>
      </c>
      <c r="AO7" s="32" t="s">
        <v>92</v>
      </c>
      <c r="AP7" s="32" t="s">
        <v>93</v>
      </c>
      <c r="AQ7" s="32"/>
    </row>
    <row r="8" spans="1:43" ht="18.75" x14ac:dyDescent="0.15">
      <c r="A8" s="5" t="s">
        <v>94</v>
      </c>
      <c r="B8" s="6" t="s">
        <v>324</v>
      </c>
      <c r="C8" s="7"/>
      <c r="D8" s="6" t="s">
        <v>325</v>
      </c>
      <c r="E8" s="6"/>
      <c r="F8" s="6" t="s">
        <v>326</v>
      </c>
      <c r="G8" s="6"/>
      <c r="H8" s="6">
        <v>0</v>
      </c>
      <c r="I8" s="6"/>
      <c r="J8" s="6" t="s">
        <v>327</v>
      </c>
      <c r="L8" s="17" t="str">
        <f>IF(R2&gt;0,"M0P_GPIO-&gt;"&amp;A2&amp;"_SEL = "&amp;R2&amp;";    //"&amp;A2&amp;" = "&amp;B2,IF(Q2=0,"//"&amp;A2&amp;" = GPIO","//"&amp;A2&amp;" = "&amp;B2))</f>
        <v>//PA00 = GPIO</v>
      </c>
      <c r="N8" s="18" t="str">
        <f>IF(R34&gt;0,"M0P_GPIO-&gt;"&amp;A34&amp;"_SEL = "&amp;R34&amp;";    //"&amp;A34&amp;" = "&amp;B34,IF(Q34=0,"//"&amp;A34&amp;" = GPIO","//"&amp;A34&amp;" = "&amp;B34))</f>
        <v>//PC00 = GPIO</v>
      </c>
      <c r="P8" s="14" t="str">
        <f t="shared" si="0"/>
        <v>PA</v>
      </c>
      <c r="Q8" s="14">
        <f t="shared" si="1"/>
        <v>0</v>
      </c>
      <c r="R8" s="14">
        <f t="shared" si="2"/>
        <v>0</v>
      </c>
      <c r="S8" s="14">
        <f t="shared" si="3"/>
        <v>64</v>
      </c>
      <c r="T8" s="14">
        <f t="shared" si="4"/>
        <v>0</v>
      </c>
      <c r="U8" s="14">
        <f t="shared" si="5"/>
        <v>0</v>
      </c>
      <c r="V8" s="14">
        <f t="shared" si="6"/>
        <v>64</v>
      </c>
      <c r="W8" s="14">
        <f t="shared" si="7"/>
        <v>0</v>
      </c>
      <c r="X8" s="14">
        <f t="shared" si="8"/>
        <v>64</v>
      </c>
      <c r="Z8" t="str">
        <f t="shared" si="9"/>
        <v>,,</v>
      </c>
      <c r="AA8" t="str">
        <f t="shared" si="10"/>
        <v>,,GPIO,SPI0_MISO,PCA_CH0,TIM3_BK,TIM1_CHA,VC0_OUT,TIM3_GATE,LPUART0_CTS,</v>
      </c>
      <c r="AC8" s="29"/>
      <c r="AD8" s="30" t="s">
        <v>324</v>
      </c>
      <c r="AE8" s="31" t="s">
        <v>95</v>
      </c>
      <c r="AF8" s="31" t="s">
        <v>96</v>
      </c>
      <c r="AG8" s="31" t="s">
        <v>97</v>
      </c>
      <c r="AH8" s="31" t="s">
        <v>27</v>
      </c>
      <c r="AI8" s="31" t="s">
        <v>26</v>
      </c>
      <c r="AJ8" s="31" t="s">
        <v>98</v>
      </c>
      <c r="AK8" s="31" t="s">
        <v>99</v>
      </c>
      <c r="AL8" s="32" t="s">
        <v>100</v>
      </c>
      <c r="AM8" s="32" t="s">
        <v>101</v>
      </c>
      <c r="AN8" s="32" t="s">
        <v>102</v>
      </c>
      <c r="AO8" s="32" t="s">
        <v>103</v>
      </c>
      <c r="AP8" s="32"/>
      <c r="AQ8" s="32"/>
    </row>
    <row r="9" spans="1:43" ht="18.75" x14ac:dyDescent="0.15">
      <c r="A9" s="8" t="s">
        <v>104</v>
      </c>
      <c r="B9" s="9" t="s">
        <v>324</v>
      </c>
      <c r="C9" s="10"/>
      <c r="D9" s="9" t="s">
        <v>325</v>
      </c>
      <c r="E9" s="9"/>
      <c r="F9" s="9" t="s">
        <v>326</v>
      </c>
      <c r="G9" s="9"/>
      <c r="H9" s="9">
        <v>0</v>
      </c>
      <c r="I9" s="9"/>
      <c r="J9" s="9" t="s">
        <v>327</v>
      </c>
      <c r="L9" s="17" t="str">
        <f t="shared" ref="L9:L23" si="11">IF(R3&gt;0,"M0P_GPIO-&gt;"&amp;A3&amp;"_SEL = "&amp;R3&amp;";    //"&amp;A3&amp;" = "&amp;B3,IF(Q3=0,"//"&amp;A3&amp;" = GPIO","//"&amp;A3&amp;" = "&amp;B3))</f>
        <v>//PA01 = GPIO</v>
      </c>
      <c r="N9" s="18" t="str">
        <f t="shared" ref="N9:N23" si="12">IF(R35&gt;0,"M0P_GPIO-&gt;"&amp;A35&amp;"_SEL = "&amp;R35&amp;";    //"&amp;A35&amp;" = "&amp;B35,IF(Q35=0,"//"&amp;A35&amp;" = GPIO","//"&amp;A35&amp;" = "&amp;B35))</f>
        <v>//PC01 = GPIO</v>
      </c>
      <c r="P9" s="14" t="str">
        <f t="shared" si="0"/>
        <v>PA</v>
      </c>
      <c r="Q9" s="14">
        <f t="shared" si="1"/>
        <v>0</v>
      </c>
      <c r="R9" s="14">
        <f t="shared" si="2"/>
        <v>0</v>
      </c>
      <c r="S9" s="14">
        <f t="shared" si="3"/>
        <v>128</v>
      </c>
      <c r="T9" s="14">
        <f t="shared" si="4"/>
        <v>0</v>
      </c>
      <c r="U9" s="14">
        <f t="shared" si="5"/>
        <v>0</v>
      </c>
      <c r="V9" s="14">
        <f t="shared" si="6"/>
        <v>128</v>
      </c>
      <c r="W9" s="14">
        <f t="shared" si="7"/>
        <v>0</v>
      </c>
      <c r="X9" s="14">
        <f t="shared" si="8"/>
        <v>128</v>
      </c>
      <c r="Z9" t="str">
        <f t="shared" si="9"/>
        <v>,,</v>
      </c>
      <c r="AA9" t="str">
        <f t="shared" si="10"/>
        <v>,,GPIO,SPI0_MOSI,PCA_CH1,HCLK_OUT,TIM3_CH0B,TIM2_CHA,VC1_OUT,TIM4_CHB,</v>
      </c>
      <c r="AC9" s="29"/>
      <c r="AD9" s="30" t="s">
        <v>324</v>
      </c>
      <c r="AE9" s="31" t="s">
        <v>105</v>
      </c>
      <c r="AF9" s="31" t="s">
        <v>106</v>
      </c>
      <c r="AG9" s="31" t="s">
        <v>41</v>
      </c>
      <c r="AH9" s="31" t="s">
        <v>107</v>
      </c>
      <c r="AI9" s="31" t="s">
        <v>52</v>
      </c>
      <c r="AJ9" s="31" t="s">
        <v>51</v>
      </c>
      <c r="AK9" s="31" t="s">
        <v>108</v>
      </c>
      <c r="AL9" s="32" t="s">
        <v>109</v>
      </c>
      <c r="AM9" s="32" t="s">
        <v>110</v>
      </c>
      <c r="AN9" s="32" t="s">
        <v>111</v>
      </c>
      <c r="AO9" s="32" t="s">
        <v>112</v>
      </c>
      <c r="AP9" s="32"/>
      <c r="AQ9" s="32"/>
    </row>
    <row r="10" spans="1:43" ht="18.75" x14ac:dyDescent="0.15">
      <c r="A10" s="5" t="s">
        <v>113</v>
      </c>
      <c r="B10" s="6" t="s">
        <v>324</v>
      </c>
      <c r="C10" s="7"/>
      <c r="D10" s="6" t="s">
        <v>325</v>
      </c>
      <c r="E10" s="6"/>
      <c r="F10" s="6" t="s">
        <v>326</v>
      </c>
      <c r="G10" s="6"/>
      <c r="H10" s="6">
        <v>0</v>
      </c>
      <c r="I10" s="6"/>
      <c r="J10" s="6" t="s">
        <v>327</v>
      </c>
      <c r="L10" s="17" t="str">
        <f t="shared" si="11"/>
        <v>//PA02 = GPIO</v>
      </c>
      <c r="N10" s="18" t="str">
        <f t="shared" si="12"/>
        <v>//PC02 = GPIO</v>
      </c>
      <c r="P10" s="14" t="str">
        <f t="shared" si="0"/>
        <v>PA</v>
      </c>
      <c r="Q10" s="14">
        <f t="shared" si="1"/>
        <v>0</v>
      </c>
      <c r="R10" s="14">
        <f t="shared" si="2"/>
        <v>0</v>
      </c>
      <c r="S10" s="14">
        <f t="shared" si="3"/>
        <v>256</v>
      </c>
      <c r="T10" s="14">
        <f t="shared" si="4"/>
        <v>0</v>
      </c>
      <c r="U10" s="14">
        <f t="shared" si="5"/>
        <v>0</v>
      </c>
      <c r="V10" s="14">
        <f t="shared" si="6"/>
        <v>256</v>
      </c>
      <c r="W10" s="14">
        <f t="shared" si="7"/>
        <v>0</v>
      </c>
      <c r="X10" s="14">
        <f t="shared" si="8"/>
        <v>256</v>
      </c>
      <c r="Z10" t="str">
        <f t="shared" si="9"/>
        <v>,,</v>
      </c>
      <c r="AA10" t="str">
        <f t="shared" si="10"/>
        <v>,,GPIO,UART0_TXD,TIM3_CH0A,,,TIM1_GATE,TIM4_CHA,TIM3_BK,</v>
      </c>
      <c r="AC10" s="29"/>
      <c r="AD10" s="30" t="s">
        <v>324</v>
      </c>
      <c r="AE10" s="31" t="s">
        <v>114</v>
      </c>
      <c r="AF10" s="31" t="s">
        <v>115</v>
      </c>
      <c r="AG10" s="31"/>
      <c r="AH10" s="31"/>
      <c r="AI10" s="31" t="s">
        <v>116</v>
      </c>
      <c r="AJ10" s="31" t="s">
        <v>117</v>
      </c>
      <c r="AK10" s="31" t="s">
        <v>97</v>
      </c>
      <c r="AL10" s="32" t="s">
        <v>118</v>
      </c>
      <c r="AM10" s="32"/>
      <c r="AN10" s="32"/>
      <c r="AO10" s="32"/>
      <c r="AP10" s="32"/>
      <c r="AQ10" s="32"/>
    </row>
    <row r="11" spans="1:43" ht="18.75" x14ac:dyDescent="0.15">
      <c r="A11" s="8" t="s">
        <v>119</v>
      </c>
      <c r="B11" s="9" t="s">
        <v>324</v>
      </c>
      <c r="C11" s="10"/>
      <c r="D11" s="9" t="s">
        <v>325</v>
      </c>
      <c r="E11" s="9"/>
      <c r="F11" s="9" t="s">
        <v>326</v>
      </c>
      <c r="G11" s="9"/>
      <c r="H11" s="9">
        <v>0</v>
      </c>
      <c r="I11" s="9"/>
      <c r="J11" s="9" t="s">
        <v>327</v>
      </c>
      <c r="L11" s="17" t="str">
        <f t="shared" si="11"/>
        <v>//PA03 = GPIO</v>
      </c>
      <c r="N11" s="18" t="str">
        <f t="shared" si="12"/>
        <v>//PC03 = GPIO</v>
      </c>
      <c r="P11" s="14" t="str">
        <f t="shared" si="0"/>
        <v>PA</v>
      </c>
      <c r="Q11" s="14">
        <f t="shared" si="1"/>
        <v>0</v>
      </c>
      <c r="R11" s="14">
        <f t="shared" si="2"/>
        <v>0</v>
      </c>
      <c r="S11" s="14">
        <f t="shared" si="3"/>
        <v>512</v>
      </c>
      <c r="T11" s="14">
        <f t="shared" si="4"/>
        <v>0</v>
      </c>
      <c r="U11" s="14">
        <f t="shared" si="5"/>
        <v>0</v>
      </c>
      <c r="V11" s="14">
        <f t="shared" si="6"/>
        <v>512</v>
      </c>
      <c r="W11" s="14">
        <f t="shared" si="7"/>
        <v>0</v>
      </c>
      <c r="X11" s="14">
        <f t="shared" si="8"/>
        <v>512</v>
      </c>
      <c r="Z11" t="str">
        <f t="shared" si="9"/>
        <v>,,</v>
      </c>
      <c r="AA11" t="str">
        <f t="shared" si="10"/>
        <v>,,GPIO,UART0_TXD,TIM3_CH1A,TIM0_BK,I2C0_SCL,,HCLK_OUT,TIM5_CHA,</v>
      </c>
      <c r="AC11" s="29"/>
      <c r="AD11" s="30" t="s">
        <v>324</v>
      </c>
      <c r="AE11" s="31" t="s">
        <v>114</v>
      </c>
      <c r="AF11" s="31" t="s">
        <v>65</v>
      </c>
      <c r="AG11" s="31" t="s">
        <v>120</v>
      </c>
      <c r="AH11" s="31" t="s">
        <v>121</v>
      </c>
      <c r="AI11" s="31"/>
      <c r="AJ11" s="31" t="s">
        <v>41</v>
      </c>
      <c r="AK11" s="31" t="s">
        <v>66</v>
      </c>
      <c r="AL11" s="32" t="s">
        <v>122</v>
      </c>
      <c r="AM11" s="32"/>
      <c r="AN11" s="32"/>
      <c r="AO11" s="32"/>
      <c r="AP11" s="32"/>
      <c r="AQ11" s="32"/>
    </row>
    <row r="12" spans="1:43" ht="18.75" x14ac:dyDescent="0.15">
      <c r="A12" s="5" t="s">
        <v>123</v>
      </c>
      <c r="B12" s="6" t="s">
        <v>324</v>
      </c>
      <c r="C12" s="7"/>
      <c r="D12" s="6" t="s">
        <v>325</v>
      </c>
      <c r="E12" s="6"/>
      <c r="F12" s="6" t="s">
        <v>326</v>
      </c>
      <c r="G12" s="6"/>
      <c r="H12" s="6">
        <v>0</v>
      </c>
      <c r="I12" s="6"/>
      <c r="J12" s="6" t="s">
        <v>327</v>
      </c>
      <c r="L12" s="17" t="str">
        <f t="shared" si="11"/>
        <v>//PA04 = GPIO</v>
      </c>
      <c r="N12" s="18" t="str">
        <f t="shared" si="12"/>
        <v>//PC04 = GPIO</v>
      </c>
      <c r="P12" s="14" t="str">
        <f t="shared" si="0"/>
        <v>PA</v>
      </c>
      <c r="Q12" s="14">
        <f t="shared" si="1"/>
        <v>0</v>
      </c>
      <c r="R12" s="14">
        <f t="shared" si="2"/>
        <v>0</v>
      </c>
      <c r="S12" s="14">
        <f t="shared" si="3"/>
        <v>1024</v>
      </c>
      <c r="T12" s="14">
        <f t="shared" si="4"/>
        <v>0</v>
      </c>
      <c r="U12" s="14">
        <f t="shared" si="5"/>
        <v>0</v>
      </c>
      <c r="V12" s="14">
        <f t="shared" si="6"/>
        <v>1024</v>
      </c>
      <c r="W12" s="14">
        <f t="shared" si="7"/>
        <v>0</v>
      </c>
      <c r="X12" s="14">
        <f t="shared" si="8"/>
        <v>1024</v>
      </c>
      <c r="Z12" t="str">
        <f t="shared" si="9"/>
        <v>,,</v>
      </c>
      <c r="AA12" t="str">
        <f t="shared" si="10"/>
        <v>,,GPIO,UART0_RXD,TIM3_CH2A,TIM2_BK,I2C0_SDA,TIM2_GATE,PCLK_OUT,TIM6_CHA,</v>
      </c>
      <c r="AC12" s="29"/>
      <c r="AD12" s="30" t="s">
        <v>324</v>
      </c>
      <c r="AE12" s="31" t="s">
        <v>124</v>
      </c>
      <c r="AF12" s="31" t="s">
        <v>125</v>
      </c>
      <c r="AG12" s="31" t="s">
        <v>126</v>
      </c>
      <c r="AH12" s="31" t="s">
        <v>127</v>
      </c>
      <c r="AI12" s="31" t="s">
        <v>128</v>
      </c>
      <c r="AJ12" s="31" t="s">
        <v>53</v>
      </c>
      <c r="AK12" s="31" t="s">
        <v>129</v>
      </c>
      <c r="AL12" s="32" t="s">
        <v>130</v>
      </c>
      <c r="AM12" s="32"/>
      <c r="AN12" s="32"/>
      <c r="AO12" s="32"/>
      <c r="AP12" s="32"/>
      <c r="AQ12" s="32"/>
    </row>
    <row r="13" spans="1:43" ht="18.75" x14ac:dyDescent="0.15">
      <c r="A13" s="8" t="s">
        <v>131</v>
      </c>
      <c r="B13" s="9" t="s">
        <v>324</v>
      </c>
      <c r="C13" s="10"/>
      <c r="D13" s="9" t="s">
        <v>325</v>
      </c>
      <c r="E13" s="9"/>
      <c r="F13" s="9" t="s">
        <v>326</v>
      </c>
      <c r="G13" s="9"/>
      <c r="H13" s="9">
        <v>0</v>
      </c>
      <c r="I13" s="9"/>
      <c r="J13" s="9" t="s">
        <v>327</v>
      </c>
      <c r="L13" s="17" t="str">
        <f t="shared" si="11"/>
        <v>//PA05 = GPIO</v>
      </c>
      <c r="N13" s="18" t="str">
        <f t="shared" si="12"/>
        <v>//PC05 = GPIO</v>
      </c>
      <c r="P13" s="14" t="str">
        <f t="shared" si="0"/>
        <v>PA</v>
      </c>
      <c r="Q13" s="14">
        <f t="shared" si="1"/>
        <v>0</v>
      </c>
      <c r="R13" s="14">
        <f t="shared" si="2"/>
        <v>0</v>
      </c>
      <c r="S13" s="14">
        <f t="shared" si="3"/>
        <v>2048</v>
      </c>
      <c r="T13" s="14">
        <f t="shared" si="4"/>
        <v>0</v>
      </c>
      <c r="U13" s="14">
        <f t="shared" si="5"/>
        <v>0</v>
      </c>
      <c r="V13" s="14">
        <f t="shared" si="6"/>
        <v>2048</v>
      </c>
      <c r="W13" s="14">
        <f t="shared" si="7"/>
        <v>0</v>
      </c>
      <c r="X13" s="14">
        <f t="shared" si="8"/>
        <v>2048</v>
      </c>
      <c r="Z13" t="str">
        <f t="shared" si="9"/>
        <v>,,</v>
      </c>
      <c r="AA13" t="str">
        <f t="shared" si="10"/>
        <v>,,GPIO,UART0_CTS,TIM3_GATE,I2C1_SCL,,VC0_OUT,SPI0_MISO,TIM4_CHB,</v>
      </c>
      <c r="AC13" s="29"/>
      <c r="AD13" s="30" t="s">
        <v>324</v>
      </c>
      <c r="AE13" s="31" t="s">
        <v>132</v>
      </c>
      <c r="AF13" s="31" t="s">
        <v>98</v>
      </c>
      <c r="AG13" s="31" t="s">
        <v>133</v>
      </c>
      <c r="AH13" s="31"/>
      <c r="AI13" s="31" t="s">
        <v>26</v>
      </c>
      <c r="AJ13" s="31" t="s">
        <v>95</v>
      </c>
      <c r="AK13" s="31" t="s">
        <v>108</v>
      </c>
      <c r="AL13" s="32" t="s">
        <v>134</v>
      </c>
      <c r="AM13" s="32"/>
      <c r="AN13" s="32"/>
      <c r="AO13" s="32"/>
      <c r="AP13" s="32"/>
      <c r="AQ13" s="32"/>
    </row>
    <row r="14" spans="1:43" ht="18.75" x14ac:dyDescent="0.15">
      <c r="A14" s="5" t="s">
        <v>135</v>
      </c>
      <c r="B14" s="6" t="s">
        <v>324</v>
      </c>
      <c r="C14" s="7"/>
      <c r="D14" s="6" t="s">
        <v>325</v>
      </c>
      <c r="E14" s="6"/>
      <c r="F14" s="6" t="s">
        <v>326</v>
      </c>
      <c r="G14" s="6"/>
      <c r="H14" s="6">
        <v>0</v>
      </c>
      <c r="I14" s="6"/>
      <c r="J14" s="6" t="s">
        <v>327</v>
      </c>
      <c r="L14" s="17" t="str">
        <f t="shared" si="11"/>
        <v>//PA06 = GPIO</v>
      </c>
      <c r="N14" s="18" t="str">
        <f t="shared" si="12"/>
        <v>//PC06 = GPIO</v>
      </c>
      <c r="P14" s="14" t="str">
        <f t="shared" si="0"/>
        <v>PA</v>
      </c>
      <c r="Q14" s="14">
        <f t="shared" si="1"/>
        <v>0</v>
      </c>
      <c r="R14" s="14">
        <f t="shared" si="2"/>
        <v>0</v>
      </c>
      <c r="S14" s="14">
        <f t="shared" si="3"/>
        <v>4096</v>
      </c>
      <c r="T14" s="14">
        <f t="shared" si="4"/>
        <v>0</v>
      </c>
      <c r="U14" s="14">
        <f t="shared" si="5"/>
        <v>0</v>
      </c>
      <c r="V14" s="14">
        <f t="shared" si="6"/>
        <v>4096</v>
      </c>
      <c r="W14" s="14">
        <f t="shared" si="7"/>
        <v>0</v>
      </c>
      <c r="X14" s="14">
        <f t="shared" si="8"/>
        <v>4096</v>
      </c>
      <c r="Z14" t="str">
        <f t="shared" si="9"/>
        <v>,,</v>
      </c>
      <c r="AA14" t="str">
        <f t="shared" si="10"/>
        <v>,,GPIO,UART0_RTS,TIM3_ETR,I2C1_SDA,,VC1_OUT,SPI0_MOSI,PCNT_S0,</v>
      </c>
      <c r="AC14" s="29"/>
      <c r="AD14" s="30" t="s">
        <v>324</v>
      </c>
      <c r="AE14" s="31" t="s">
        <v>136</v>
      </c>
      <c r="AF14" s="31" t="s">
        <v>28</v>
      </c>
      <c r="AG14" s="31" t="s">
        <v>137</v>
      </c>
      <c r="AH14" s="31"/>
      <c r="AI14" s="31" t="s">
        <v>51</v>
      </c>
      <c r="AJ14" s="31" t="s">
        <v>105</v>
      </c>
      <c r="AK14" s="31" t="s">
        <v>138</v>
      </c>
      <c r="AL14" s="32" t="s">
        <v>139</v>
      </c>
      <c r="AM14" s="32"/>
      <c r="AN14" s="32"/>
      <c r="AO14" s="32"/>
      <c r="AP14" s="32"/>
      <c r="AQ14" s="32"/>
    </row>
    <row r="15" spans="1:43" ht="18.75" x14ac:dyDescent="0.15">
      <c r="A15" s="8" t="s">
        <v>329</v>
      </c>
      <c r="B15" s="8" t="s">
        <v>330</v>
      </c>
      <c r="C15" s="11"/>
      <c r="D15" s="8" t="s">
        <v>331</v>
      </c>
      <c r="E15" s="8"/>
      <c r="F15" s="8" t="s">
        <v>331</v>
      </c>
      <c r="G15" s="8"/>
      <c r="H15" s="8" t="s">
        <v>331</v>
      </c>
      <c r="I15" s="8"/>
      <c r="J15" s="8" t="s">
        <v>327</v>
      </c>
      <c r="L15" s="17" t="str">
        <f t="shared" si="11"/>
        <v>//PA07 = GPIO</v>
      </c>
      <c r="N15" s="18" t="str">
        <f t="shared" si="12"/>
        <v>//PC07 = GPIO</v>
      </c>
      <c r="P15" s="14" t="str">
        <f t="shared" si="0"/>
        <v>PA</v>
      </c>
      <c r="Q15" s="14">
        <f t="shared" si="1"/>
        <v>0</v>
      </c>
      <c r="R15" s="14">
        <f t="shared" si="2"/>
        <v>-1</v>
      </c>
      <c r="S15" s="14">
        <f t="shared" si="3"/>
        <v>8192</v>
      </c>
      <c r="T15" s="14">
        <f t="shared" si="4"/>
        <v>0</v>
      </c>
      <c r="U15" s="14">
        <f t="shared" si="5"/>
        <v>0</v>
      </c>
      <c r="V15" s="14">
        <f t="shared" si="6"/>
        <v>8192</v>
      </c>
      <c r="W15" s="14">
        <f t="shared" si="7"/>
        <v>0</v>
      </c>
      <c r="X15" s="14">
        <f t="shared" si="8"/>
        <v>8192</v>
      </c>
      <c r="Z15" t="str">
        <f t="shared" si="9"/>
        <v>,</v>
      </c>
      <c r="AA15" t="str">
        <f t="shared" si="10"/>
        <v>,SWDIO,GPIO,IR_OUT,UART0_RXD,LVD_OUT,TIM3_ETR,RTC_1HZ,PCNT_S1,,</v>
      </c>
      <c r="AC15" s="29" t="s">
        <v>330</v>
      </c>
      <c r="AD15" s="30" t="s">
        <v>324</v>
      </c>
      <c r="AE15" s="31" t="s">
        <v>141</v>
      </c>
      <c r="AF15" s="31" t="s">
        <v>124</v>
      </c>
      <c r="AG15" s="31" t="s">
        <v>76</v>
      </c>
      <c r="AH15" s="31" t="s">
        <v>28</v>
      </c>
      <c r="AI15" s="31" t="s">
        <v>142</v>
      </c>
      <c r="AJ15" s="31" t="s">
        <v>143</v>
      </c>
      <c r="AK15" s="31"/>
      <c r="AL15" s="32"/>
      <c r="AM15" s="32"/>
      <c r="AN15" s="32"/>
      <c r="AO15" s="32"/>
      <c r="AP15" s="32"/>
      <c r="AQ15" s="32"/>
    </row>
    <row r="16" spans="1:43" ht="18.75" x14ac:dyDescent="0.15">
      <c r="A16" s="5" t="s">
        <v>332</v>
      </c>
      <c r="B16" s="5" t="s">
        <v>333</v>
      </c>
      <c r="C16" s="12"/>
      <c r="D16" s="5" t="s">
        <v>331</v>
      </c>
      <c r="E16" s="5"/>
      <c r="F16" s="5" t="s">
        <v>331</v>
      </c>
      <c r="G16" s="5"/>
      <c r="H16" s="5" t="s">
        <v>331</v>
      </c>
      <c r="I16" s="5"/>
      <c r="J16" s="5" t="s">
        <v>327</v>
      </c>
      <c r="L16" s="17" t="str">
        <f t="shared" si="11"/>
        <v>//PA08 = GPIO</v>
      </c>
      <c r="N16" s="18" t="str">
        <f t="shared" si="12"/>
        <v>//PC08 = GPIO</v>
      </c>
      <c r="P16" s="14" t="str">
        <f t="shared" si="0"/>
        <v>PA</v>
      </c>
      <c r="Q16" s="14">
        <f t="shared" si="1"/>
        <v>0</v>
      </c>
      <c r="R16" s="14">
        <f t="shared" si="2"/>
        <v>-1</v>
      </c>
      <c r="S16" s="14">
        <f t="shared" si="3"/>
        <v>16384</v>
      </c>
      <c r="T16" s="14">
        <f t="shared" si="4"/>
        <v>0</v>
      </c>
      <c r="U16" s="14">
        <f t="shared" si="5"/>
        <v>0</v>
      </c>
      <c r="V16" s="14">
        <f t="shared" si="6"/>
        <v>16384</v>
      </c>
      <c r="W16" s="14">
        <f t="shared" si="7"/>
        <v>0</v>
      </c>
      <c r="X16" s="14">
        <f t="shared" si="8"/>
        <v>16384</v>
      </c>
      <c r="Z16" t="str">
        <f t="shared" si="9"/>
        <v>,</v>
      </c>
      <c r="AA16" t="str">
        <f t="shared" si="10"/>
        <v>,SWDCK,GPIO,UART1_TXD,UART0_TXD,TIM3_CH2A,LVD_OUT,RCH_OUT,RCL_OUT,PLL_OUT,</v>
      </c>
      <c r="AC16" s="29" t="s">
        <v>333</v>
      </c>
      <c r="AD16" s="30" t="s">
        <v>324</v>
      </c>
      <c r="AE16" s="31" t="s">
        <v>50</v>
      </c>
      <c r="AF16" s="31" t="s">
        <v>114</v>
      </c>
      <c r="AG16" s="31" t="s">
        <v>125</v>
      </c>
      <c r="AH16" s="31" t="s">
        <v>76</v>
      </c>
      <c r="AI16" s="31" t="s">
        <v>145</v>
      </c>
      <c r="AJ16" s="31" t="s">
        <v>146</v>
      </c>
      <c r="AK16" s="31" t="s">
        <v>147</v>
      </c>
      <c r="AL16" s="32"/>
      <c r="AM16" s="32"/>
      <c r="AN16" s="32"/>
      <c r="AO16" s="32"/>
      <c r="AP16" s="32"/>
      <c r="AQ16" s="32"/>
    </row>
    <row r="17" spans="1:43" ht="18.75" x14ac:dyDescent="0.15">
      <c r="A17" s="8" t="s">
        <v>148</v>
      </c>
      <c r="B17" s="9" t="s">
        <v>324</v>
      </c>
      <c r="C17" s="10"/>
      <c r="D17" s="9" t="s">
        <v>325</v>
      </c>
      <c r="E17" s="9"/>
      <c r="F17" s="9" t="s">
        <v>326</v>
      </c>
      <c r="G17" s="9"/>
      <c r="H17" s="9">
        <v>0</v>
      </c>
      <c r="I17" s="9"/>
      <c r="J17" s="9" t="s">
        <v>327</v>
      </c>
      <c r="L17" s="17" t="str">
        <f t="shared" si="11"/>
        <v>//PA09 = GPIO</v>
      </c>
      <c r="N17" s="18" t="str">
        <f t="shared" si="12"/>
        <v>//PC09 = GPIO</v>
      </c>
      <c r="P17" s="14" t="str">
        <f t="shared" si="0"/>
        <v>PA</v>
      </c>
      <c r="Q17" s="14">
        <f t="shared" si="1"/>
        <v>0</v>
      </c>
      <c r="R17" s="14">
        <f t="shared" si="2"/>
        <v>0</v>
      </c>
      <c r="S17" s="14">
        <f t="shared" si="3"/>
        <v>32768</v>
      </c>
      <c r="T17" s="14">
        <f t="shared" si="4"/>
        <v>0</v>
      </c>
      <c r="U17" s="14">
        <f t="shared" si="5"/>
        <v>0</v>
      </c>
      <c r="V17" s="14">
        <f t="shared" si="6"/>
        <v>32768</v>
      </c>
      <c r="W17" s="14">
        <f t="shared" si="7"/>
        <v>0</v>
      </c>
      <c r="X17" s="14">
        <f t="shared" si="8"/>
        <v>32768</v>
      </c>
      <c r="Z17" t="str">
        <f t="shared" si="9"/>
        <v>,,</v>
      </c>
      <c r="AA17" t="str">
        <f t="shared" si="10"/>
        <v>,,GPIO,SPI0_CS,UART1_RXD,LPUART1_RTS,TIM0_ETR,TIM0_CHA,TIM3_CH1A,,</v>
      </c>
      <c r="AC17" s="29"/>
      <c r="AD17" s="30" t="s">
        <v>324</v>
      </c>
      <c r="AE17" s="31" t="s">
        <v>73</v>
      </c>
      <c r="AF17" s="31" t="s">
        <v>61</v>
      </c>
      <c r="AG17" s="31" t="s">
        <v>149</v>
      </c>
      <c r="AH17" s="31" t="s">
        <v>25</v>
      </c>
      <c r="AI17" s="31" t="s">
        <v>29</v>
      </c>
      <c r="AJ17" s="31" t="s">
        <v>65</v>
      </c>
      <c r="AK17" s="31"/>
      <c r="AL17" s="32"/>
      <c r="AM17" s="32"/>
      <c r="AN17" s="32"/>
      <c r="AO17" s="32"/>
      <c r="AP17" s="32"/>
      <c r="AQ17" s="32"/>
    </row>
    <row r="18" spans="1:43" ht="18.75" x14ac:dyDescent="0.15">
      <c r="A18" s="5" t="s">
        <v>150</v>
      </c>
      <c r="B18" s="6" t="s">
        <v>324</v>
      </c>
      <c r="C18" s="7"/>
      <c r="D18" s="6" t="s">
        <v>325</v>
      </c>
      <c r="E18" s="6"/>
      <c r="F18" s="6" t="s">
        <v>326</v>
      </c>
      <c r="G18" s="6"/>
      <c r="H18" s="6">
        <v>0</v>
      </c>
      <c r="I18" s="6"/>
      <c r="J18" s="6" t="s">
        <v>327</v>
      </c>
      <c r="L18" s="17" t="str">
        <f t="shared" si="11"/>
        <v>//PA10 = GPIO</v>
      </c>
      <c r="N18" s="18" t="str">
        <f t="shared" si="12"/>
        <v>//PC10 = GPIO</v>
      </c>
      <c r="P18" s="14" t="str">
        <f t="shared" si="0"/>
        <v>PB</v>
      </c>
      <c r="Q18" s="14">
        <f t="shared" si="1"/>
        <v>0</v>
      </c>
      <c r="R18" s="14">
        <f t="shared" si="2"/>
        <v>0</v>
      </c>
      <c r="S18" s="14">
        <f t="shared" si="3"/>
        <v>1</v>
      </c>
      <c r="T18" s="14">
        <f t="shared" si="4"/>
        <v>0</v>
      </c>
      <c r="U18" s="14">
        <f t="shared" si="5"/>
        <v>0</v>
      </c>
      <c r="V18" s="14">
        <f t="shared" si="6"/>
        <v>1</v>
      </c>
      <c r="W18" s="14">
        <f t="shared" si="7"/>
        <v>0</v>
      </c>
      <c r="X18" s="14">
        <f t="shared" si="8"/>
        <v>1</v>
      </c>
      <c r="Z18" t="str">
        <f t="shared" si="9"/>
        <v>,,</v>
      </c>
      <c r="AA18" t="str">
        <f t="shared" si="10"/>
        <v>,,GPIO,PCA_CH2,TIM3_CH1B,LPUART0_TXD,TIM5_CHB,RCH_OUT,RCL_OUT,PLL_OUT,</v>
      </c>
      <c r="AC18" s="29"/>
      <c r="AD18" s="30" t="s">
        <v>324</v>
      </c>
      <c r="AE18" s="31" t="s">
        <v>151</v>
      </c>
      <c r="AF18" s="31" t="s">
        <v>152</v>
      </c>
      <c r="AG18" s="31" t="s">
        <v>153</v>
      </c>
      <c r="AH18" s="31" t="s">
        <v>86</v>
      </c>
      <c r="AI18" s="31" t="s">
        <v>145</v>
      </c>
      <c r="AJ18" s="31" t="s">
        <v>146</v>
      </c>
      <c r="AK18" s="31" t="s">
        <v>147</v>
      </c>
      <c r="AL18" s="32" t="s">
        <v>154</v>
      </c>
      <c r="AM18" s="32" t="s">
        <v>155</v>
      </c>
      <c r="AN18" s="32" t="s">
        <v>156</v>
      </c>
      <c r="AO18" s="32" t="s">
        <v>157</v>
      </c>
      <c r="AP18" s="32"/>
      <c r="AQ18" s="32"/>
    </row>
    <row r="19" spans="1:43" ht="18.75" x14ac:dyDescent="0.15">
      <c r="A19" s="8" t="s">
        <v>158</v>
      </c>
      <c r="B19" s="9" t="s">
        <v>324</v>
      </c>
      <c r="C19" s="10"/>
      <c r="D19" s="9" t="s">
        <v>325</v>
      </c>
      <c r="E19" s="9"/>
      <c r="F19" s="9" t="s">
        <v>326</v>
      </c>
      <c r="G19" s="9"/>
      <c r="H19" s="9">
        <v>0</v>
      </c>
      <c r="I19" s="9"/>
      <c r="J19" s="9" t="s">
        <v>327</v>
      </c>
      <c r="L19" s="17" t="str">
        <f t="shared" si="11"/>
        <v>//PA11 = GPIO</v>
      </c>
      <c r="N19" s="18" t="str">
        <f t="shared" si="12"/>
        <v>//PC11 = GPIO</v>
      </c>
      <c r="P19" s="14" t="str">
        <f t="shared" si="0"/>
        <v>PB</v>
      </c>
      <c r="Q19" s="14">
        <f t="shared" si="1"/>
        <v>0</v>
      </c>
      <c r="R19" s="14">
        <f t="shared" si="2"/>
        <v>0</v>
      </c>
      <c r="S19" s="14">
        <f t="shared" si="3"/>
        <v>2</v>
      </c>
      <c r="T19" s="14">
        <f t="shared" si="4"/>
        <v>0</v>
      </c>
      <c r="U19" s="14">
        <f t="shared" si="5"/>
        <v>0</v>
      </c>
      <c r="V19" s="14">
        <f t="shared" si="6"/>
        <v>2</v>
      </c>
      <c r="W19" s="14">
        <f t="shared" si="7"/>
        <v>0</v>
      </c>
      <c r="X19" s="14">
        <f t="shared" si="8"/>
        <v>2</v>
      </c>
      <c r="Z19" t="str">
        <f t="shared" si="9"/>
        <v>,,</v>
      </c>
      <c r="AA19" t="str">
        <f t="shared" si="10"/>
        <v>,,GPIO,PCA_CH3,PCLK_OUT,TIM3_CH2B,TIM6_CHB,LPUART0_RTS,,,</v>
      </c>
      <c r="AC19" s="29"/>
      <c r="AD19" s="30" t="s">
        <v>324</v>
      </c>
      <c r="AE19" s="31" t="s">
        <v>159</v>
      </c>
      <c r="AF19" s="31" t="s">
        <v>53</v>
      </c>
      <c r="AG19" s="31" t="s">
        <v>77</v>
      </c>
      <c r="AH19" s="31" t="s">
        <v>160</v>
      </c>
      <c r="AI19" s="31" t="s">
        <v>161</v>
      </c>
      <c r="AJ19" s="31"/>
      <c r="AK19" s="31"/>
      <c r="AL19" s="32" t="s">
        <v>162</v>
      </c>
      <c r="AM19" s="32" t="s">
        <v>334</v>
      </c>
      <c r="AN19" s="32" t="s">
        <v>164</v>
      </c>
      <c r="AO19" s="32" t="s">
        <v>165</v>
      </c>
      <c r="AP19" s="32" t="s">
        <v>166</v>
      </c>
      <c r="AQ19" s="32"/>
    </row>
    <row r="20" spans="1:43" ht="18.75" x14ac:dyDescent="0.15">
      <c r="A20" s="5" t="s">
        <v>167</v>
      </c>
      <c r="B20" s="6" t="s">
        <v>324</v>
      </c>
      <c r="C20" s="7"/>
      <c r="D20" s="6" t="s">
        <v>325</v>
      </c>
      <c r="E20" s="6"/>
      <c r="F20" s="6" t="s">
        <v>326</v>
      </c>
      <c r="G20" s="6"/>
      <c r="H20" s="6">
        <v>0</v>
      </c>
      <c r="I20" s="6"/>
      <c r="J20" s="6" t="s">
        <v>327</v>
      </c>
      <c r="L20" s="17" t="str">
        <f t="shared" si="11"/>
        <v>//PA12 = GPIO</v>
      </c>
      <c r="N20" s="18" t="str">
        <f t="shared" si="12"/>
        <v>//PC12 = GPIO</v>
      </c>
      <c r="P20" s="14" t="str">
        <f t="shared" si="0"/>
        <v>PB</v>
      </c>
      <c r="Q20" s="14">
        <f t="shared" si="1"/>
        <v>0</v>
      </c>
      <c r="R20" s="14">
        <f t="shared" si="2"/>
        <v>0</v>
      </c>
      <c r="S20" s="14">
        <f t="shared" si="3"/>
        <v>4</v>
      </c>
      <c r="T20" s="14">
        <f t="shared" si="4"/>
        <v>0</v>
      </c>
      <c r="U20" s="14">
        <f t="shared" si="5"/>
        <v>0</v>
      </c>
      <c r="V20" s="14">
        <f t="shared" si="6"/>
        <v>4</v>
      </c>
      <c r="W20" s="14">
        <f t="shared" si="7"/>
        <v>0</v>
      </c>
      <c r="X20" s="14">
        <f t="shared" si="8"/>
        <v>4</v>
      </c>
      <c r="Z20" t="str">
        <f t="shared" si="9"/>
        <v>,,</v>
      </c>
      <c r="AA20" t="str">
        <f t="shared" si="10"/>
        <v>,,GPIO,LPTIM_TOG,PCA_ECI,LPUART1_TXD,TIM4_CHA,TIM1_BK,TIM0_BK,TIM2_BK,</v>
      </c>
      <c r="AC20" s="29"/>
      <c r="AD20" s="30" t="s">
        <v>324</v>
      </c>
      <c r="AE20" s="31" t="s">
        <v>168</v>
      </c>
      <c r="AF20" s="31" t="s">
        <v>85</v>
      </c>
      <c r="AG20" s="31" t="s">
        <v>24</v>
      </c>
      <c r="AH20" s="31" t="s">
        <v>117</v>
      </c>
      <c r="AI20" s="31" t="s">
        <v>169</v>
      </c>
      <c r="AJ20" s="31" t="s">
        <v>120</v>
      </c>
      <c r="AK20" s="31" t="s">
        <v>126</v>
      </c>
      <c r="AL20" s="32" t="s">
        <v>170</v>
      </c>
      <c r="AM20" s="32" t="s">
        <v>171</v>
      </c>
      <c r="AN20" s="32" t="s">
        <v>172</v>
      </c>
      <c r="AO20" s="32" t="s">
        <v>173</v>
      </c>
      <c r="AP20" s="32" t="s">
        <v>174</v>
      </c>
      <c r="AQ20" s="32"/>
    </row>
    <row r="21" spans="1:43" ht="18.75" x14ac:dyDescent="0.15">
      <c r="A21" s="8" t="s">
        <v>175</v>
      </c>
      <c r="B21" s="9" t="s">
        <v>324</v>
      </c>
      <c r="C21" s="10"/>
      <c r="D21" s="9" t="s">
        <v>325</v>
      </c>
      <c r="E21" s="9"/>
      <c r="F21" s="9" t="s">
        <v>326</v>
      </c>
      <c r="G21" s="9"/>
      <c r="H21" s="9">
        <v>0</v>
      </c>
      <c r="I21" s="9"/>
      <c r="J21" s="9" t="s">
        <v>327</v>
      </c>
      <c r="L21" s="17" t="str">
        <f t="shared" si="11"/>
        <v>//PA13 = GPIO</v>
      </c>
      <c r="N21" s="18" t="str">
        <f t="shared" si="12"/>
        <v>//PC13 = GPIO</v>
      </c>
      <c r="P21" s="14" t="str">
        <f t="shared" si="0"/>
        <v>PB</v>
      </c>
      <c r="Q21" s="14">
        <f t="shared" si="1"/>
        <v>0</v>
      </c>
      <c r="R21" s="14">
        <f t="shared" si="2"/>
        <v>0</v>
      </c>
      <c r="S21" s="14">
        <f t="shared" si="3"/>
        <v>8</v>
      </c>
      <c r="T21" s="14">
        <f t="shared" si="4"/>
        <v>0</v>
      </c>
      <c r="U21" s="14">
        <f t="shared" si="5"/>
        <v>0</v>
      </c>
      <c r="V21" s="14">
        <f t="shared" si="6"/>
        <v>8</v>
      </c>
      <c r="W21" s="14">
        <f t="shared" si="7"/>
        <v>0</v>
      </c>
      <c r="X21" s="14">
        <f t="shared" si="8"/>
        <v>8</v>
      </c>
      <c r="Z21" t="str">
        <f t="shared" si="9"/>
        <v>,,</v>
      </c>
      <c r="AA21" t="str">
        <f t="shared" si="10"/>
        <v>,,GPIO,SPI0_SCK,TIM0_CHB,TIM1_GATE,TIM3_CH0A,LPTIM_GATE,XTL_OUT,XTH_OUT,</v>
      </c>
      <c r="AC21" s="29"/>
      <c r="AD21" s="30" t="s">
        <v>324</v>
      </c>
      <c r="AE21" s="31" t="s">
        <v>84</v>
      </c>
      <c r="AF21" s="31" t="s">
        <v>38</v>
      </c>
      <c r="AG21" s="31" t="s">
        <v>116</v>
      </c>
      <c r="AH21" s="31" t="s">
        <v>115</v>
      </c>
      <c r="AI21" s="31" t="s">
        <v>176</v>
      </c>
      <c r="AJ21" s="31" t="s">
        <v>87</v>
      </c>
      <c r="AK21" s="31" t="s">
        <v>88</v>
      </c>
      <c r="AL21" s="32" t="s">
        <v>177</v>
      </c>
      <c r="AM21" s="32" t="s">
        <v>178</v>
      </c>
      <c r="AN21" s="32" t="s">
        <v>179</v>
      </c>
      <c r="AO21" s="32"/>
      <c r="AP21" s="32"/>
      <c r="AQ21" s="32"/>
    </row>
    <row r="22" spans="1:43" ht="18.75" x14ac:dyDescent="0.15">
      <c r="A22" s="5" t="s">
        <v>180</v>
      </c>
      <c r="B22" s="6" t="s">
        <v>324</v>
      </c>
      <c r="C22" s="7"/>
      <c r="D22" s="6" t="s">
        <v>325</v>
      </c>
      <c r="E22" s="6"/>
      <c r="F22" s="6" t="s">
        <v>326</v>
      </c>
      <c r="G22" s="6"/>
      <c r="H22" s="6">
        <v>0</v>
      </c>
      <c r="I22" s="6"/>
      <c r="J22" s="6" t="s">
        <v>327</v>
      </c>
      <c r="L22" s="17" t="str">
        <f t="shared" si="11"/>
        <v>//PA14 = GPIO</v>
      </c>
      <c r="N22" s="18" t="str">
        <f t="shared" si="12"/>
        <v>//PC14 = GPIO</v>
      </c>
      <c r="P22" s="14" t="str">
        <f t="shared" si="0"/>
        <v>PB</v>
      </c>
      <c r="Q22" s="14">
        <f t="shared" si="1"/>
        <v>0</v>
      </c>
      <c r="R22" s="14">
        <f t="shared" si="2"/>
        <v>0</v>
      </c>
      <c r="S22" s="14">
        <f t="shared" si="3"/>
        <v>16</v>
      </c>
      <c r="T22" s="14">
        <f t="shared" si="4"/>
        <v>0</v>
      </c>
      <c r="U22" s="14">
        <f t="shared" si="5"/>
        <v>0</v>
      </c>
      <c r="V22" s="14">
        <f t="shared" si="6"/>
        <v>16</v>
      </c>
      <c r="W22" s="14">
        <f t="shared" si="7"/>
        <v>0</v>
      </c>
      <c r="X22" s="14">
        <f t="shared" si="8"/>
        <v>16</v>
      </c>
      <c r="Z22" t="str">
        <f t="shared" si="9"/>
        <v>,,</v>
      </c>
      <c r="AA22" t="str">
        <f t="shared" si="10"/>
        <v>,,GPIO,SPI0_MISO,PCA_CH0,TIM2_BK,UART0_CTS,TIM2_GATE,TIM3_CH0B,LPTIM_ETR,</v>
      </c>
      <c r="AC22" s="29"/>
      <c r="AD22" s="30" t="s">
        <v>324</v>
      </c>
      <c r="AE22" s="31" t="s">
        <v>95</v>
      </c>
      <c r="AF22" s="31" t="s">
        <v>96</v>
      </c>
      <c r="AG22" s="31" t="s">
        <v>126</v>
      </c>
      <c r="AH22" s="31" t="s">
        <v>132</v>
      </c>
      <c r="AI22" s="31" t="s">
        <v>128</v>
      </c>
      <c r="AJ22" s="31" t="s">
        <v>107</v>
      </c>
      <c r="AK22" s="31" t="s">
        <v>181</v>
      </c>
      <c r="AL22" s="32" t="s">
        <v>182</v>
      </c>
      <c r="AM22" s="32" t="s">
        <v>183</v>
      </c>
      <c r="AN22" s="32" t="s">
        <v>184</v>
      </c>
      <c r="AO22" s="32" t="s">
        <v>185</v>
      </c>
      <c r="AP22" s="32" t="s">
        <v>186</v>
      </c>
      <c r="AQ22" s="32"/>
    </row>
    <row r="23" spans="1:43" ht="18.75" x14ac:dyDescent="0.15">
      <c r="A23" s="8" t="s">
        <v>187</v>
      </c>
      <c r="B23" s="9" t="s">
        <v>324</v>
      </c>
      <c r="C23" s="10"/>
      <c r="D23" s="9" t="s">
        <v>325</v>
      </c>
      <c r="E23" s="9"/>
      <c r="F23" s="9" t="s">
        <v>326</v>
      </c>
      <c r="G23" s="9"/>
      <c r="H23" s="9">
        <v>0</v>
      </c>
      <c r="I23" s="9"/>
      <c r="J23" s="9" t="s">
        <v>327</v>
      </c>
      <c r="L23" s="19" t="str">
        <f t="shared" si="11"/>
        <v>//PA15 = GPIO</v>
      </c>
      <c r="N23" s="20" t="str">
        <f t="shared" si="12"/>
        <v>//PC15 = GPIO</v>
      </c>
      <c r="P23" s="14" t="str">
        <f t="shared" si="0"/>
        <v>PB</v>
      </c>
      <c r="Q23" s="14">
        <f t="shared" si="1"/>
        <v>0</v>
      </c>
      <c r="R23" s="14">
        <f t="shared" si="2"/>
        <v>0</v>
      </c>
      <c r="S23" s="14">
        <f t="shared" si="3"/>
        <v>32</v>
      </c>
      <c r="T23" s="14">
        <f t="shared" si="4"/>
        <v>0</v>
      </c>
      <c r="U23" s="14">
        <f t="shared" si="5"/>
        <v>0</v>
      </c>
      <c r="V23" s="14">
        <f t="shared" si="6"/>
        <v>32</v>
      </c>
      <c r="W23" s="14">
        <f t="shared" si="7"/>
        <v>0</v>
      </c>
      <c r="X23" s="14">
        <f t="shared" si="8"/>
        <v>32</v>
      </c>
      <c r="Z23" t="str">
        <f t="shared" si="9"/>
        <v>,,</v>
      </c>
      <c r="AA23" t="str">
        <f t="shared" si="10"/>
        <v>,,GPIO,SPI0_MOSI,,TIM1_BK,PCA_CH1,LPTIM_GATE,PCNT_S0,UART0_RTS,</v>
      </c>
      <c r="AC23" s="29"/>
      <c r="AD23" s="30" t="s">
        <v>324</v>
      </c>
      <c r="AE23" s="31" t="s">
        <v>105</v>
      </c>
      <c r="AF23" s="31"/>
      <c r="AG23" s="31" t="s">
        <v>169</v>
      </c>
      <c r="AH23" s="31" t="s">
        <v>106</v>
      </c>
      <c r="AI23" s="31" t="s">
        <v>176</v>
      </c>
      <c r="AJ23" s="31" t="s">
        <v>138</v>
      </c>
      <c r="AK23" s="31" t="s">
        <v>136</v>
      </c>
      <c r="AL23" s="32" t="s">
        <v>188</v>
      </c>
      <c r="AM23" s="32" t="s">
        <v>189</v>
      </c>
      <c r="AN23" s="32" t="s">
        <v>190</v>
      </c>
      <c r="AO23" s="32" t="s">
        <v>191</v>
      </c>
      <c r="AP23" s="32"/>
      <c r="AQ23" s="32"/>
    </row>
    <row r="24" spans="1:43" ht="18.75" x14ac:dyDescent="0.15">
      <c r="A24" s="5" t="s">
        <v>192</v>
      </c>
      <c r="B24" s="6" t="s">
        <v>324</v>
      </c>
      <c r="C24" s="7"/>
      <c r="D24" s="6" t="s">
        <v>335</v>
      </c>
      <c r="E24" s="6"/>
      <c r="F24" s="6" t="s">
        <v>326</v>
      </c>
      <c r="G24" s="6"/>
      <c r="H24" s="6">
        <v>0</v>
      </c>
      <c r="I24" s="6"/>
      <c r="J24" s="6" t="s">
        <v>327</v>
      </c>
      <c r="P24" s="14" t="str">
        <f t="shared" si="0"/>
        <v>PB</v>
      </c>
      <c r="Q24" s="14">
        <f t="shared" si="1"/>
        <v>0</v>
      </c>
      <c r="R24" s="14">
        <f t="shared" si="2"/>
        <v>0</v>
      </c>
      <c r="S24" s="14">
        <f t="shared" si="3"/>
        <v>0</v>
      </c>
      <c r="T24" s="14">
        <f t="shared" si="4"/>
        <v>0</v>
      </c>
      <c r="U24" s="14">
        <f t="shared" si="5"/>
        <v>0</v>
      </c>
      <c r="V24" s="14">
        <f t="shared" si="6"/>
        <v>64</v>
      </c>
      <c r="W24" s="14">
        <f t="shared" si="7"/>
        <v>0</v>
      </c>
      <c r="X24" s="14">
        <f t="shared" si="8"/>
        <v>64</v>
      </c>
      <c r="Z24" t="str">
        <f t="shared" si="9"/>
        <v>,,</v>
      </c>
      <c r="AA24" t="str">
        <f t="shared" si="10"/>
        <v>,,GPIO,I2C0_SCL,UART0_TXD,TIM1_CHB,TIM0_CHA,LPTIM_ETR,TIM3_CH0A,LPTIM_TOG,</v>
      </c>
      <c r="AC24" s="29"/>
      <c r="AD24" s="30" t="s">
        <v>324</v>
      </c>
      <c r="AE24" s="31" t="s">
        <v>121</v>
      </c>
      <c r="AF24" s="31" t="s">
        <v>114</v>
      </c>
      <c r="AG24" s="31" t="s">
        <v>40</v>
      </c>
      <c r="AH24" s="31" t="s">
        <v>29</v>
      </c>
      <c r="AI24" s="31" t="s">
        <v>181</v>
      </c>
      <c r="AJ24" s="31" t="s">
        <v>115</v>
      </c>
      <c r="AK24" s="31" t="s">
        <v>168</v>
      </c>
      <c r="AL24" s="32" t="s">
        <v>193</v>
      </c>
      <c r="AM24" s="32" t="s">
        <v>194</v>
      </c>
      <c r="AN24" s="32" t="s">
        <v>195</v>
      </c>
      <c r="AO24" s="32" t="s">
        <v>196</v>
      </c>
      <c r="AP24" s="32"/>
      <c r="AQ24" s="32"/>
    </row>
    <row r="25" spans="1:43" ht="18.75" x14ac:dyDescent="0.15">
      <c r="A25" s="8" t="s">
        <v>197</v>
      </c>
      <c r="B25" s="9" t="s">
        <v>324</v>
      </c>
      <c r="C25" s="10"/>
      <c r="D25" s="9" t="s">
        <v>325</v>
      </c>
      <c r="E25" s="9"/>
      <c r="F25" s="9" t="s">
        <v>326</v>
      </c>
      <c r="G25" s="9"/>
      <c r="H25" s="9">
        <v>0</v>
      </c>
      <c r="I25" s="9"/>
      <c r="J25" s="9" t="s">
        <v>327</v>
      </c>
      <c r="L25" s="21" t="str">
        <f>"M0P_GPIO-&gt;PBADS = "&amp;PBADS&amp;";"</f>
        <v>M0P_GPIO-&gt;PBADS = 0x0000;</v>
      </c>
      <c r="N25" s="22" t="str">
        <f>"M0P_GPIO-&gt;PDADS = "&amp;PDADS&amp;";"</f>
        <v>M0P_GPIO-&gt;PDADS = 0x0000;</v>
      </c>
      <c r="P25" s="14" t="str">
        <f t="shared" si="0"/>
        <v>PB</v>
      </c>
      <c r="Q25" s="14">
        <f t="shared" si="1"/>
        <v>0</v>
      </c>
      <c r="R25" s="14">
        <f t="shared" si="2"/>
        <v>0</v>
      </c>
      <c r="S25" s="14">
        <f t="shared" si="3"/>
        <v>128</v>
      </c>
      <c r="T25" s="14">
        <f t="shared" si="4"/>
        <v>0</v>
      </c>
      <c r="U25" s="14">
        <f t="shared" si="5"/>
        <v>0</v>
      </c>
      <c r="V25" s="14">
        <f t="shared" si="6"/>
        <v>128</v>
      </c>
      <c r="W25" s="14">
        <f t="shared" si="7"/>
        <v>0</v>
      </c>
      <c r="X25" s="14">
        <f t="shared" si="8"/>
        <v>128</v>
      </c>
      <c r="Z25" t="str">
        <f t="shared" si="9"/>
        <v>,,</v>
      </c>
      <c r="AA25" t="str">
        <f t="shared" si="10"/>
        <v>,,GPIO,I2C0_SDA,UART0_RXD,TIM2_CHB,LPUART1_CTS,TIM0_CHB,LPTIM_TOGN,PCNT_S1,</v>
      </c>
      <c r="AC25" s="29"/>
      <c r="AD25" s="30" t="s">
        <v>324</v>
      </c>
      <c r="AE25" s="31" t="s">
        <v>127</v>
      </c>
      <c r="AF25" s="31" t="s">
        <v>124</v>
      </c>
      <c r="AG25" s="31" t="s">
        <v>63</v>
      </c>
      <c r="AH25" s="31" t="s">
        <v>198</v>
      </c>
      <c r="AI25" s="31" t="s">
        <v>38</v>
      </c>
      <c r="AJ25" s="31" t="s">
        <v>199</v>
      </c>
      <c r="AK25" s="31" t="s">
        <v>143</v>
      </c>
      <c r="AL25" s="32" t="s">
        <v>200</v>
      </c>
      <c r="AM25" s="32" t="s">
        <v>201</v>
      </c>
      <c r="AN25" s="32" t="s">
        <v>202</v>
      </c>
      <c r="AO25" s="32" t="s">
        <v>203</v>
      </c>
      <c r="AP25" s="32"/>
      <c r="AQ25" s="32"/>
    </row>
    <row r="26" spans="1:43" ht="18.75" x14ac:dyDescent="0.15">
      <c r="A26" s="5" t="s">
        <v>204</v>
      </c>
      <c r="B26" s="6" t="s">
        <v>324</v>
      </c>
      <c r="C26" s="7"/>
      <c r="D26" s="6" t="s">
        <v>325</v>
      </c>
      <c r="E26" s="6"/>
      <c r="F26" s="6" t="s">
        <v>326</v>
      </c>
      <c r="G26" s="6"/>
      <c r="H26" s="6">
        <v>0</v>
      </c>
      <c r="I26" s="6"/>
      <c r="J26" s="6" t="s">
        <v>327</v>
      </c>
      <c r="L26" s="23" t="str">
        <f>"M0P_GPIO-&gt;PBPU = "&amp;PBPU&amp;";"</f>
        <v>M0P_GPIO-&gt;PBPU = 0xFFFF;</v>
      </c>
      <c r="N26" s="24" t="str">
        <f>"M0P_GPIO-&gt;PDPU = "&amp;PDPU&amp;";"</f>
        <v>M0P_GPIO-&gt;PDPU = 0x00E7;</v>
      </c>
      <c r="P26" s="14" t="str">
        <f t="shared" si="0"/>
        <v>PB</v>
      </c>
      <c r="Q26" s="14">
        <f t="shared" si="1"/>
        <v>0</v>
      </c>
      <c r="R26" s="14">
        <f t="shared" si="2"/>
        <v>0</v>
      </c>
      <c r="S26" s="14">
        <f t="shared" si="3"/>
        <v>256</v>
      </c>
      <c r="T26" s="14">
        <f t="shared" si="4"/>
        <v>0</v>
      </c>
      <c r="U26" s="14">
        <f t="shared" si="5"/>
        <v>0</v>
      </c>
      <c r="V26" s="14">
        <f t="shared" si="6"/>
        <v>256</v>
      </c>
      <c r="W26" s="14">
        <f t="shared" si="7"/>
        <v>0</v>
      </c>
      <c r="X26" s="14">
        <f t="shared" si="8"/>
        <v>256</v>
      </c>
      <c r="Z26" t="str">
        <f t="shared" si="9"/>
        <v>,,</v>
      </c>
      <c r="AA26" t="str">
        <f t="shared" si="10"/>
        <v>,,GPIO,I2C0_SCL,TIM1_CHA,,TIM2_CHA,TIM0_GATE,TIM3_CH2A,UART0_TXD,</v>
      </c>
      <c r="AC26" s="29"/>
      <c r="AD26" s="30" t="s">
        <v>324</v>
      </c>
      <c r="AE26" s="31" t="s">
        <v>121</v>
      </c>
      <c r="AF26" s="31" t="s">
        <v>27</v>
      </c>
      <c r="AG26" s="31"/>
      <c r="AH26" s="31" t="s">
        <v>52</v>
      </c>
      <c r="AI26" s="31" t="s">
        <v>62</v>
      </c>
      <c r="AJ26" s="31" t="s">
        <v>125</v>
      </c>
      <c r="AK26" s="31" t="s">
        <v>114</v>
      </c>
      <c r="AL26" s="32" t="s">
        <v>205</v>
      </c>
      <c r="AM26" s="32" t="s">
        <v>206</v>
      </c>
      <c r="AN26" s="32"/>
      <c r="AO26" s="32"/>
      <c r="AP26" s="32"/>
      <c r="AQ26" s="32"/>
    </row>
    <row r="27" spans="1:43" ht="18.75" x14ac:dyDescent="0.15">
      <c r="A27" s="8" t="s">
        <v>207</v>
      </c>
      <c r="B27" s="9" t="s">
        <v>324</v>
      </c>
      <c r="C27" s="10"/>
      <c r="D27" s="9" t="s">
        <v>325</v>
      </c>
      <c r="E27" s="9"/>
      <c r="F27" s="9" t="s">
        <v>326</v>
      </c>
      <c r="G27" s="9"/>
      <c r="H27" s="9">
        <v>0</v>
      </c>
      <c r="I27" s="9"/>
      <c r="J27" s="9" t="s">
        <v>327</v>
      </c>
      <c r="L27" s="23" t="str">
        <f>"M0P_GPIO-&gt;PBPD = "&amp;PBPD&amp;";"</f>
        <v>M0P_GPIO-&gt;PBPD = 0x0000;</v>
      </c>
      <c r="N27" s="24" t="str">
        <f>"M0P_GPIO-&gt;PDPD = "&amp;PDPD&amp;";"</f>
        <v>M0P_GPIO-&gt;PDPD = 0x0000;</v>
      </c>
      <c r="P27" s="14" t="str">
        <f t="shared" si="0"/>
        <v>PB</v>
      </c>
      <c r="Q27" s="14">
        <f t="shared" si="1"/>
        <v>0</v>
      </c>
      <c r="R27" s="14">
        <f t="shared" si="2"/>
        <v>0</v>
      </c>
      <c r="S27" s="14">
        <f t="shared" si="3"/>
        <v>512</v>
      </c>
      <c r="T27" s="14">
        <f t="shared" si="4"/>
        <v>0</v>
      </c>
      <c r="U27" s="14">
        <f t="shared" si="5"/>
        <v>0</v>
      </c>
      <c r="V27" s="14">
        <f t="shared" si="6"/>
        <v>512</v>
      </c>
      <c r="W27" s="14">
        <f t="shared" si="7"/>
        <v>0</v>
      </c>
      <c r="X27" s="14">
        <f t="shared" si="8"/>
        <v>512</v>
      </c>
      <c r="Z27" t="str">
        <f t="shared" si="9"/>
        <v>,,</v>
      </c>
      <c r="AA27" t="str">
        <f t="shared" si="10"/>
        <v>,,GPIO,I2C0_SDA,IR_OUT,SPI1_CS,TIM2_CHA,,TIM2_CHB,UART0_RXD,</v>
      </c>
      <c r="AC27" s="29"/>
      <c r="AD27" s="30" t="s">
        <v>324</v>
      </c>
      <c r="AE27" s="31" t="s">
        <v>127</v>
      </c>
      <c r="AF27" s="31" t="s">
        <v>141</v>
      </c>
      <c r="AG27" s="31" t="s">
        <v>64</v>
      </c>
      <c r="AH27" s="31" t="s">
        <v>52</v>
      </c>
      <c r="AI27" s="31"/>
      <c r="AJ27" s="31" t="s">
        <v>63</v>
      </c>
      <c r="AK27" s="31" t="s">
        <v>124</v>
      </c>
      <c r="AL27" s="32" t="s">
        <v>208</v>
      </c>
      <c r="AM27" s="32"/>
      <c r="AN27" s="32"/>
      <c r="AO27" s="32"/>
      <c r="AP27" s="32"/>
      <c r="AQ27" s="32"/>
    </row>
    <row r="28" spans="1:43" ht="18.75" x14ac:dyDescent="0.15">
      <c r="A28" s="5" t="s">
        <v>209</v>
      </c>
      <c r="B28" s="6" t="s">
        <v>324</v>
      </c>
      <c r="C28" s="7"/>
      <c r="D28" s="6" t="s">
        <v>325</v>
      </c>
      <c r="E28" s="6"/>
      <c r="F28" s="6" t="s">
        <v>326</v>
      </c>
      <c r="G28" s="6"/>
      <c r="H28" s="6">
        <v>0</v>
      </c>
      <c r="I28" s="6"/>
      <c r="J28" s="6" t="s">
        <v>327</v>
      </c>
      <c r="L28" s="23" t="str">
        <f>"M0P_GPIO-&gt;PBOD = "&amp;PBOD&amp;";"</f>
        <v>M0P_GPIO-&gt;PBOD = 0x0000;</v>
      </c>
      <c r="N28" s="24" t="str">
        <f>"M0P_GPIO-&gt;PDOD = "&amp;PDOD&amp;";"</f>
        <v>M0P_GPIO-&gt;PDOD = 0x0000;</v>
      </c>
      <c r="P28" s="14" t="str">
        <f t="shared" si="0"/>
        <v>PB</v>
      </c>
      <c r="Q28" s="14">
        <f t="shared" si="1"/>
        <v>0</v>
      </c>
      <c r="R28" s="14">
        <f t="shared" si="2"/>
        <v>0</v>
      </c>
      <c r="S28" s="14">
        <f t="shared" si="3"/>
        <v>1024</v>
      </c>
      <c r="T28" s="14">
        <f t="shared" si="4"/>
        <v>0</v>
      </c>
      <c r="U28" s="14">
        <f t="shared" si="5"/>
        <v>0</v>
      </c>
      <c r="V28" s="14">
        <f t="shared" si="6"/>
        <v>1024</v>
      </c>
      <c r="W28" s="14">
        <f t="shared" si="7"/>
        <v>0</v>
      </c>
      <c r="X28" s="14">
        <f t="shared" si="8"/>
        <v>1024</v>
      </c>
      <c r="Z28" t="str">
        <f t="shared" si="9"/>
        <v>,,</v>
      </c>
      <c r="AA28" t="str">
        <f t="shared" si="10"/>
        <v>,,GPIO,I2C1_SCL,SPI1_SCK,TIM1_CHA,LPUART0_TXD,TIM3_CH1A,LPUART1_RTS,UART1_RTS,</v>
      </c>
      <c r="AC28" s="29"/>
      <c r="AD28" s="30" t="s">
        <v>324</v>
      </c>
      <c r="AE28" s="31" t="s">
        <v>133</v>
      </c>
      <c r="AF28" s="31" t="s">
        <v>210</v>
      </c>
      <c r="AG28" s="31" t="s">
        <v>27</v>
      </c>
      <c r="AH28" s="31" t="s">
        <v>153</v>
      </c>
      <c r="AI28" s="31" t="s">
        <v>65</v>
      </c>
      <c r="AJ28" s="31" t="s">
        <v>149</v>
      </c>
      <c r="AK28" s="31" t="s">
        <v>36</v>
      </c>
      <c r="AL28" s="32" t="s">
        <v>211</v>
      </c>
      <c r="AM28" s="32" t="s">
        <v>212</v>
      </c>
      <c r="AN28" s="32" t="s">
        <v>213</v>
      </c>
      <c r="AO28" s="32" t="s">
        <v>214</v>
      </c>
      <c r="AP28" s="32"/>
      <c r="AQ28" s="32"/>
    </row>
    <row r="29" spans="1:43" ht="18.75" x14ac:dyDescent="0.15">
      <c r="A29" s="8" t="s">
        <v>215</v>
      </c>
      <c r="B29" s="9" t="s">
        <v>324</v>
      </c>
      <c r="C29" s="10"/>
      <c r="D29" s="9" t="s">
        <v>325</v>
      </c>
      <c r="E29" s="9"/>
      <c r="F29" s="9" t="s">
        <v>326</v>
      </c>
      <c r="G29" s="9"/>
      <c r="H29" s="9">
        <v>0</v>
      </c>
      <c r="I29" s="9"/>
      <c r="J29" s="9" t="s">
        <v>327</v>
      </c>
      <c r="L29" s="23" t="str">
        <f>"M0P_GPIO-&gt;PBOUT = "&amp;PBOUT&amp;";"</f>
        <v>M0P_GPIO-&gt;PBOUT = 0x0000;</v>
      </c>
      <c r="N29" s="24" t="str">
        <f>"M0P_GPIO-&gt;PDOUT = "&amp;PDOUT&amp;";"</f>
        <v>M0P_GPIO-&gt;PDOUT = 0x0000;</v>
      </c>
      <c r="P29" s="14" t="str">
        <f t="shared" si="0"/>
        <v>PB</v>
      </c>
      <c r="Q29" s="14">
        <f t="shared" si="1"/>
        <v>0</v>
      </c>
      <c r="R29" s="14">
        <f t="shared" si="2"/>
        <v>0</v>
      </c>
      <c r="S29" s="14">
        <f t="shared" si="3"/>
        <v>2048</v>
      </c>
      <c r="T29" s="14">
        <f t="shared" si="4"/>
        <v>0</v>
      </c>
      <c r="U29" s="14">
        <f t="shared" si="5"/>
        <v>0</v>
      </c>
      <c r="V29" s="14">
        <f t="shared" si="6"/>
        <v>2048</v>
      </c>
      <c r="W29" s="14">
        <f t="shared" si="7"/>
        <v>0</v>
      </c>
      <c r="X29" s="14">
        <f t="shared" si="8"/>
        <v>2048</v>
      </c>
      <c r="Z29" t="str">
        <f t="shared" si="9"/>
        <v>,,</v>
      </c>
      <c r="AA29" t="str">
        <f t="shared" si="10"/>
        <v>,,GPIO,I2C1_SDA,TIM1_CHB,LPUART0_RXD,TIM2_GATE,TIM6_CHA,LPUART1_CTS,UART1_CTS,</v>
      </c>
      <c r="AC29" s="29"/>
      <c r="AD29" s="30" t="s">
        <v>324</v>
      </c>
      <c r="AE29" s="31" t="s">
        <v>137</v>
      </c>
      <c r="AF29" s="31" t="s">
        <v>40</v>
      </c>
      <c r="AG29" s="31" t="s">
        <v>216</v>
      </c>
      <c r="AH29" s="31" t="s">
        <v>128</v>
      </c>
      <c r="AI29" s="31" t="s">
        <v>129</v>
      </c>
      <c r="AJ29" s="31" t="s">
        <v>198</v>
      </c>
      <c r="AK29" s="31" t="s">
        <v>23</v>
      </c>
      <c r="AL29" s="32" t="s">
        <v>217</v>
      </c>
      <c r="AM29" s="32" t="s">
        <v>218</v>
      </c>
      <c r="AN29" s="32" t="s">
        <v>219</v>
      </c>
      <c r="AO29" s="32"/>
      <c r="AP29" s="32"/>
      <c r="AQ29" s="32"/>
    </row>
    <row r="30" spans="1:43" ht="18.75" x14ac:dyDescent="0.15">
      <c r="A30" s="5" t="s">
        <v>220</v>
      </c>
      <c r="B30" s="6" t="s">
        <v>324</v>
      </c>
      <c r="C30" s="7"/>
      <c r="D30" s="6" t="s">
        <v>325</v>
      </c>
      <c r="E30" s="6"/>
      <c r="F30" s="6" t="s">
        <v>326</v>
      </c>
      <c r="G30" s="6"/>
      <c r="H30" s="6">
        <v>0</v>
      </c>
      <c r="I30" s="6"/>
      <c r="J30" s="6" t="s">
        <v>327</v>
      </c>
      <c r="L30" s="23" t="str">
        <f>"M0P_GPIO-&gt;PBDIR = "&amp;PBDIR&amp;";"</f>
        <v>M0P_GPIO-&gt;PBDIR = 0xFFBF;</v>
      </c>
      <c r="N30" s="24" t="str">
        <f>"M0P_GPIO-&gt;PDDIR = "&amp;PDDIR&amp;";"</f>
        <v>M0P_GPIO-&gt;PDDIR = 0x00FF;</v>
      </c>
      <c r="P30" s="14" t="str">
        <f t="shared" si="0"/>
        <v>PB</v>
      </c>
      <c r="Q30" s="14">
        <f t="shared" si="1"/>
        <v>0</v>
      </c>
      <c r="R30" s="14">
        <f t="shared" si="2"/>
        <v>0</v>
      </c>
      <c r="S30" s="14">
        <f t="shared" si="3"/>
        <v>4096</v>
      </c>
      <c r="T30" s="14">
        <f t="shared" si="4"/>
        <v>0</v>
      </c>
      <c r="U30" s="14">
        <f t="shared" si="5"/>
        <v>0</v>
      </c>
      <c r="V30" s="14">
        <f t="shared" si="6"/>
        <v>4096</v>
      </c>
      <c r="W30" s="14">
        <f t="shared" si="7"/>
        <v>0</v>
      </c>
      <c r="X30" s="14">
        <f t="shared" si="8"/>
        <v>4096</v>
      </c>
      <c r="Z30" t="str">
        <f t="shared" si="9"/>
        <v>,,</v>
      </c>
      <c r="AA30" t="str">
        <f t="shared" si="10"/>
        <v>,,GPIO,SPI1_CS,TIM3_BK,LPUART0_TXD,TIM0_BK,,LPUART0_RTS,TIM6_CHA,</v>
      </c>
      <c r="AC30" s="29"/>
      <c r="AD30" s="30" t="s">
        <v>324</v>
      </c>
      <c r="AE30" s="31" t="s">
        <v>64</v>
      </c>
      <c r="AF30" s="31" t="s">
        <v>97</v>
      </c>
      <c r="AG30" s="31" t="s">
        <v>153</v>
      </c>
      <c r="AH30" s="31" t="s">
        <v>120</v>
      </c>
      <c r="AI30" s="31"/>
      <c r="AJ30" s="31" t="s">
        <v>161</v>
      </c>
      <c r="AK30" s="31" t="s">
        <v>129</v>
      </c>
      <c r="AL30" s="32" t="s">
        <v>221</v>
      </c>
      <c r="AM30" s="32" t="s">
        <v>222</v>
      </c>
      <c r="AN30" s="32" t="s">
        <v>223</v>
      </c>
      <c r="AO30" s="32" t="s">
        <v>224</v>
      </c>
      <c r="AP30" s="32"/>
      <c r="AQ30" s="32"/>
    </row>
    <row r="31" spans="1:43" ht="18.75" x14ac:dyDescent="0.15">
      <c r="A31" s="8" t="s">
        <v>225</v>
      </c>
      <c r="B31" s="9" t="s">
        <v>324</v>
      </c>
      <c r="C31" s="10"/>
      <c r="D31" s="9" t="s">
        <v>325</v>
      </c>
      <c r="E31" s="9"/>
      <c r="F31" s="9" t="s">
        <v>326</v>
      </c>
      <c r="G31" s="9"/>
      <c r="H31" s="9">
        <v>0</v>
      </c>
      <c r="I31" s="9"/>
      <c r="J31" s="9" t="s">
        <v>327</v>
      </c>
      <c r="L31" s="23" t="str">
        <f>IF(R18&gt;0,"M0P_GPIO-&gt;"&amp;A18&amp;"_SEL = "&amp;R18&amp;";    //"&amp;A18&amp;" = "&amp;B18,IF(Q18=0,"//"&amp;A18&amp;" = GPIO","//"&amp;A18&amp;" = "&amp;B18))</f>
        <v>//PB00 = GPIO</v>
      </c>
      <c r="N31" s="24" t="str">
        <f>IF(R50&gt;0,"M0P_GPIO-&gt;"&amp;A50&amp;"_SEL = "&amp;R50&amp;";    //"&amp;A50&amp;" = "&amp;B50,IF(Q50=0,"//"&amp;A50&amp;" = GPIO","//"&amp;A50&amp;" = "&amp;B50))</f>
        <v>//PD00 = GPIO</v>
      </c>
      <c r="P31" s="14" t="str">
        <f t="shared" si="0"/>
        <v>PB</v>
      </c>
      <c r="Q31" s="14">
        <f t="shared" si="1"/>
        <v>0</v>
      </c>
      <c r="R31" s="14">
        <f t="shared" si="2"/>
        <v>0</v>
      </c>
      <c r="S31" s="14">
        <f t="shared" si="3"/>
        <v>8192</v>
      </c>
      <c r="T31" s="14">
        <f t="shared" si="4"/>
        <v>0</v>
      </c>
      <c r="U31" s="14">
        <f t="shared" si="5"/>
        <v>0</v>
      </c>
      <c r="V31" s="14">
        <f t="shared" si="6"/>
        <v>8192</v>
      </c>
      <c r="W31" s="14">
        <f t="shared" si="7"/>
        <v>0</v>
      </c>
      <c r="X31" s="14">
        <f t="shared" si="8"/>
        <v>8192</v>
      </c>
      <c r="Z31" t="str">
        <f t="shared" si="9"/>
        <v>,,</v>
      </c>
      <c r="AA31" t="str">
        <f t="shared" si="10"/>
        <v>,,GPIO,SPI1_SCK,I2C1_SCL,TIM3_CH0B,LPUART0_CTS,TIM1_CHA,TIM1_GATE,TIM6_CHB,</v>
      </c>
      <c r="AC31" s="29"/>
      <c r="AD31" s="30" t="s">
        <v>324</v>
      </c>
      <c r="AE31" s="31" t="s">
        <v>210</v>
      </c>
      <c r="AF31" s="31" t="s">
        <v>133</v>
      </c>
      <c r="AG31" s="31" t="s">
        <v>107</v>
      </c>
      <c r="AH31" s="31" t="s">
        <v>99</v>
      </c>
      <c r="AI31" s="31" t="s">
        <v>27</v>
      </c>
      <c r="AJ31" s="31" t="s">
        <v>116</v>
      </c>
      <c r="AK31" s="31" t="s">
        <v>160</v>
      </c>
      <c r="AL31" s="32" t="s">
        <v>226</v>
      </c>
      <c r="AM31" s="32" t="s">
        <v>227</v>
      </c>
      <c r="AN31" s="32" t="s">
        <v>228</v>
      </c>
      <c r="AO31" s="32" t="s">
        <v>229</v>
      </c>
      <c r="AP31" s="32"/>
      <c r="AQ31" s="32"/>
    </row>
    <row r="32" spans="1:43" ht="18.75" x14ac:dyDescent="0.15">
      <c r="A32" s="5" t="s">
        <v>230</v>
      </c>
      <c r="B32" s="6" t="s">
        <v>324</v>
      </c>
      <c r="C32" s="7"/>
      <c r="D32" s="6" t="s">
        <v>325</v>
      </c>
      <c r="E32" s="6"/>
      <c r="F32" s="6" t="s">
        <v>326</v>
      </c>
      <c r="G32" s="6"/>
      <c r="H32" s="6">
        <v>0</v>
      </c>
      <c r="I32" s="6"/>
      <c r="J32" s="6" t="s">
        <v>327</v>
      </c>
      <c r="L32" s="23" t="str">
        <f t="shared" ref="L32:L46" si="13">IF(R19&gt;0,"M0P_GPIO-&gt;"&amp;A19&amp;"_SEL = "&amp;R19&amp;";    //"&amp;A19&amp;" = "&amp;B19,IF(Q19=0,"//"&amp;A19&amp;" = GPIO","//"&amp;A19&amp;" = "&amp;B19))</f>
        <v>//PB01 = GPIO</v>
      </c>
      <c r="N32" s="24" t="str">
        <f t="shared" ref="N32:N38" si="14">IF(R51&gt;0,"M0P_GPIO-&gt;"&amp;A51&amp;"_SEL = "&amp;R51&amp;";    //"&amp;A51&amp;" = "&amp;B51,IF(Q51=0,"//"&amp;A51&amp;" = GPIO","//"&amp;A51&amp;" = "&amp;B51))</f>
        <v>//PD01 = GPIO</v>
      </c>
      <c r="P32" s="14" t="str">
        <f t="shared" si="0"/>
        <v>PB</v>
      </c>
      <c r="Q32" s="14">
        <f t="shared" si="1"/>
        <v>0</v>
      </c>
      <c r="R32" s="14">
        <f t="shared" si="2"/>
        <v>0</v>
      </c>
      <c r="S32" s="14">
        <f t="shared" si="3"/>
        <v>16384</v>
      </c>
      <c r="T32" s="14">
        <f t="shared" si="4"/>
        <v>0</v>
      </c>
      <c r="U32" s="14">
        <f t="shared" si="5"/>
        <v>0</v>
      </c>
      <c r="V32" s="14">
        <f t="shared" si="6"/>
        <v>16384</v>
      </c>
      <c r="W32" s="14">
        <f t="shared" si="7"/>
        <v>0</v>
      </c>
      <c r="X32" s="14">
        <f t="shared" si="8"/>
        <v>16384</v>
      </c>
      <c r="Z32" t="str">
        <f t="shared" si="9"/>
        <v>,,</v>
      </c>
      <c r="AA32" t="str">
        <f t="shared" si="10"/>
        <v>,,GPIO,SPI1_MISO,I2C1_SDA,TIM3_CH1B,TIM0_CHA,RTC_1HZ,LPUART0_RTS,TIM1_BK,</v>
      </c>
      <c r="AC32" s="29"/>
      <c r="AD32" s="30" t="s">
        <v>324</v>
      </c>
      <c r="AE32" s="31" t="s">
        <v>54</v>
      </c>
      <c r="AF32" s="31" t="s">
        <v>137</v>
      </c>
      <c r="AG32" s="31" t="s">
        <v>152</v>
      </c>
      <c r="AH32" s="31" t="s">
        <v>29</v>
      </c>
      <c r="AI32" s="31" t="s">
        <v>142</v>
      </c>
      <c r="AJ32" s="31" t="s">
        <v>161</v>
      </c>
      <c r="AK32" s="31" t="s">
        <v>169</v>
      </c>
      <c r="AL32" s="32" t="s">
        <v>231</v>
      </c>
      <c r="AM32" s="32" t="s">
        <v>232</v>
      </c>
      <c r="AN32" s="32" t="s">
        <v>233</v>
      </c>
      <c r="AO32" s="32" t="s">
        <v>234</v>
      </c>
      <c r="AP32" s="32"/>
      <c r="AQ32" s="32"/>
    </row>
    <row r="33" spans="1:43" ht="18.75" x14ac:dyDescent="0.15">
      <c r="A33" s="8" t="s">
        <v>235</v>
      </c>
      <c r="B33" s="9" t="s">
        <v>324</v>
      </c>
      <c r="C33" s="10"/>
      <c r="D33" s="9" t="s">
        <v>325</v>
      </c>
      <c r="E33" s="9"/>
      <c r="F33" s="9" t="s">
        <v>326</v>
      </c>
      <c r="G33" s="9"/>
      <c r="H33" s="9">
        <v>0</v>
      </c>
      <c r="I33" s="9"/>
      <c r="J33" s="9" t="s">
        <v>327</v>
      </c>
      <c r="L33" s="23" t="str">
        <f t="shared" si="13"/>
        <v>//PB02 = GPIO</v>
      </c>
      <c r="N33" s="24" t="str">
        <f t="shared" si="14"/>
        <v>//PD02 = GPIO</v>
      </c>
      <c r="P33" s="14" t="str">
        <f t="shared" si="0"/>
        <v>PB</v>
      </c>
      <c r="Q33" s="14">
        <f t="shared" si="1"/>
        <v>0</v>
      </c>
      <c r="R33" s="14">
        <f t="shared" si="2"/>
        <v>0</v>
      </c>
      <c r="S33" s="14">
        <f t="shared" si="3"/>
        <v>32768</v>
      </c>
      <c r="T33" s="14">
        <f t="shared" si="4"/>
        <v>0</v>
      </c>
      <c r="U33" s="14">
        <f t="shared" si="5"/>
        <v>0</v>
      </c>
      <c r="V33" s="14">
        <f t="shared" si="6"/>
        <v>32768</v>
      </c>
      <c r="W33" s="14">
        <f t="shared" si="7"/>
        <v>0</v>
      </c>
      <c r="X33" s="14">
        <f t="shared" si="8"/>
        <v>32768</v>
      </c>
      <c r="Z33" t="str">
        <f t="shared" si="9"/>
        <v>,,</v>
      </c>
      <c r="AA33" t="str">
        <f t="shared" si="10"/>
        <v>,,GPIO,SPI1_MOSI,TIM3_CH2B,TIM0_CHB,TIM0_GATE,,,LPUART1_RXD,</v>
      </c>
      <c r="AC33" s="29"/>
      <c r="AD33" s="30" t="s">
        <v>324</v>
      </c>
      <c r="AE33" s="31" t="s">
        <v>42</v>
      </c>
      <c r="AF33" s="31" t="s">
        <v>77</v>
      </c>
      <c r="AG33" s="31" t="s">
        <v>38</v>
      </c>
      <c r="AH33" s="31" t="s">
        <v>62</v>
      </c>
      <c r="AI33" s="31"/>
      <c r="AJ33" s="31"/>
      <c r="AK33" s="31" t="s">
        <v>37</v>
      </c>
      <c r="AL33" s="32" t="s">
        <v>236</v>
      </c>
      <c r="AM33" s="32" t="s">
        <v>237</v>
      </c>
      <c r="AN33" s="32" t="s">
        <v>238</v>
      </c>
      <c r="AO33" s="32"/>
      <c r="AP33" s="32"/>
      <c r="AQ33" s="32"/>
    </row>
    <row r="34" spans="1:43" ht="18.75" x14ac:dyDescent="0.15">
      <c r="A34" s="5" t="s">
        <v>239</v>
      </c>
      <c r="B34" s="6" t="s">
        <v>324</v>
      </c>
      <c r="C34" s="7"/>
      <c r="D34" s="6" t="s">
        <v>325</v>
      </c>
      <c r="E34" s="6"/>
      <c r="F34" s="6" t="s">
        <v>326</v>
      </c>
      <c r="G34" s="6"/>
      <c r="H34" s="6">
        <v>0</v>
      </c>
      <c r="I34" s="6"/>
      <c r="J34" s="6" t="s">
        <v>327</v>
      </c>
      <c r="L34" s="23" t="str">
        <f t="shared" si="13"/>
        <v>//PB03 = GPIO</v>
      </c>
      <c r="N34" s="24" t="str">
        <f t="shared" si="14"/>
        <v>//PD03 = GPIO</v>
      </c>
      <c r="P34" s="14" t="str">
        <f t="shared" si="0"/>
        <v>PC</v>
      </c>
      <c r="Q34" s="14">
        <f t="shared" si="1"/>
        <v>0</v>
      </c>
      <c r="R34" s="14">
        <f t="shared" si="2"/>
        <v>0</v>
      </c>
      <c r="S34" s="14">
        <f t="shared" si="3"/>
        <v>1</v>
      </c>
      <c r="T34" s="14">
        <f t="shared" si="4"/>
        <v>0</v>
      </c>
      <c r="U34" s="14">
        <f t="shared" si="5"/>
        <v>0</v>
      </c>
      <c r="V34" s="14">
        <f t="shared" si="6"/>
        <v>1</v>
      </c>
      <c r="W34" s="14">
        <f t="shared" si="7"/>
        <v>0</v>
      </c>
      <c r="X34" s="14">
        <f t="shared" si="8"/>
        <v>1</v>
      </c>
      <c r="Z34" t="str">
        <f t="shared" si="9"/>
        <v>,,</v>
      </c>
      <c r="AA34" t="str">
        <f t="shared" si="10"/>
        <v>,,GPIO,LPTIM_GATE,PCNT_S0,UART1_CTS,,,,,</v>
      </c>
      <c r="AC34" s="29"/>
      <c r="AD34" s="30" t="s">
        <v>324</v>
      </c>
      <c r="AE34" s="31" t="s">
        <v>176</v>
      </c>
      <c r="AF34" s="31" t="s">
        <v>138</v>
      </c>
      <c r="AG34" s="31" t="s">
        <v>23</v>
      </c>
      <c r="AH34" s="31"/>
      <c r="AI34" s="31"/>
      <c r="AJ34" s="31"/>
      <c r="AK34" s="31"/>
      <c r="AL34" s="32" t="s">
        <v>240</v>
      </c>
      <c r="AM34" s="32" t="s">
        <v>241</v>
      </c>
      <c r="AN34" s="32" t="s">
        <v>242</v>
      </c>
      <c r="AO34" s="32" t="s">
        <v>243</v>
      </c>
      <c r="AP34" s="32"/>
      <c r="AQ34" s="32"/>
    </row>
    <row r="35" spans="1:43" ht="18.75" x14ac:dyDescent="0.15">
      <c r="A35" s="8" t="s">
        <v>244</v>
      </c>
      <c r="B35" s="9" t="s">
        <v>324</v>
      </c>
      <c r="C35" s="10"/>
      <c r="D35" s="9" t="s">
        <v>325</v>
      </c>
      <c r="E35" s="9"/>
      <c r="F35" s="9" t="s">
        <v>326</v>
      </c>
      <c r="G35" s="9"/>
      <c r="H35" s="9">
        <v>0</v>
      </c>
      <c r="I35" s="9"/>
      <c r="J35" s="9" t="s">
        <v>327</v>
      </c>
      <c r="L35" s="23" t="str">
        <f t="shared" si="13"/>
        <v>//PB04 = GPIO</v>
      </c>
      <c r="N35" s="24" t="str">
        <f t="shared" si="14"/>
        <v>//PD04 = GPIO</v>
      </c>
      <c r="P35" s="14" t="str">
        <f t="shared" ref="P35:P57" si="15">LEFT(A35,2)</f>
        <v>PC</v>
      </c>
      <c r="Q35" s="14">
        <f t="shared" ref="Q35:Q57" si="16">IF(ISERROR(FIND(B35,AA35)),X35,0)</f>
        <v>0</v>
      </c>
      <c r="R35" s="14">
        <f t="shared" ref="R35:R57" si="17">IF(Q35=0,LEN(Z35)-LEN(SUBSTITUTE(Z35,",",""))-2,0)</f>
        <v>0</v>
      </c>
      <c r="S35" s="14">
        <f t="shared" ref="S35:S57" si="18">IF(D35="输出",0,X35)</f>
        <v>2</v>
      </c>
      <c r="T35" s="14">
        <f t="shared" ref="T35:T57" si="19">IF(F35="开漏",X35,0)</f>
        <v>0</v>
      </c>
      <c r="U35" s="14">
        <f t="shared" ref="U35:U57" si="20">IF(H35=1,X35,0)</f>
        <v>0</v>
      </c>
      <c r="V35" s="14">
        <f t="shared" ref="V35:V57" si="21">IF(J35="上拉",X35,0)</f>
        <v>2</v>
      </c>
      <c r="W35" s="14">
        <f t="shared" ref="W35:W57" si="22">IF(J35="下拉",X35,0)</f>
        <v>0</v>
      </c>
      <c r="X35" s="14">
        <f t="shared" ref="X35:X57" si="23">POWER(2,VALUE(RIGHT(A35,2)))</f>
        <v>2</v>
      </c>
      <c r="Z35" t="str">
        <f t="shared" ref="Z35:Z58" si="24">IF(Q35&gt;0,"",LEFT(AA35,FIND(B35,AA35)-1))</f>
        <v>,,</v>
      </c>
      <c r="AA35" t="str">
        <f t="shared" ref="AA35:AA57" si="25">","&amp;AC35&amp;","&amp;AD35&amp;","&amp;AE35&amp;","&amp;AF35&amp;","&amp;AG35&amp;","&amp;AH35&amp;","&amp;AI35&amp;","&amp;AJ35&amp;","&amp;AK35&amp;","</f>
        <v>,,GPIO,LPTIM_TOG,TIM5_CHB,UART1_RTS,,,,,</v>
      </c>
      <c r="AC35" s="29"/>
      <c r="AD35" s="30" t="s">
        <v>324</v>
      </c>
      <c r="AE35" s="31" t="s">
        <v>168</v>
      </c>
      <c r="AF35" s="31" t="s">
        <v>86</v>
      </c>
      <c r="AG35" s="31" t="s">
        <v>36</v>
      </c>
      <c r="AH35" s="31"/>
      <c r="AI35" s="31"/>
      <c r="AJ35" s="31"/>
      <c r="AK35" s="31"/>
      <c r="AL35" s="32" t="s">
        <v>245</v>
      </c>
      <c r="AM35" s="32" t="s">
        <v>246</v>
      </c>
      <c r="AN35" s="32" t="s">
        <v>247</v>
      </c>
      <c r="AO35" s="32" t="s">
        <v>248</v>
      </c>
      <c r="AP35" s="32"/>
      <c r="AQ35" s="32"/>
    </row>
    <row r="36" spans="1:43" ht="18.75" x14ac:dyDescent="0.15">
      <c r="A36" s="5" t="s">
        <v>249</v>
      </c>
      <c r="B36" s="6" t="s">
        <v>324</v>
      </c>
      <c r="C36" s="7"/>
      <c r="D36" s="6" t="s">
        <v>325</v>
      </c>
      <c r="E36" s="6"/>
      <c r="F36" s="6" t="s">
        <v>326</v>
      </c>
      <c r="G36" s="6"/>
      <c r="H36" s="6">
        <v>0</v>
      </c>
      <c r="I36" s="6"/>
      <c r="J36" s="6" t="s">
        <v>327</v>
      </c>
      <c r="L36" s="23" t="str">
        <f t="shared" si="13"/>
        <v>//PB05 = GPIO</v>
      </c>
      <c r="N36" s="24" t="str">
        <f t="shared" si="14"/>
        <v>//PD05 = GPIO</v>
      </c>
      <c r="P36" s="14" t="str">
        <f t="shared" si="15"/>
        <v>PC</v>
      </c>
      <c r="Q36" s="14">
        <f t="shared" si="16"/>
        <v>0</v>
      </c>
      <c r="R36" s="14">
        <f t="shared" si="17"/>
        <v>0</v>
      </c>
      <c r="S36" s="14">
        <f t="shared" si="18"/>
        <v>4</v>
      </c>
      <c r="T36" s="14">
        <f t="shared" si="19"/>
        <v>0</v>
      </c>
      <c r="U36" s="14">
        <f t="shared" si="20"/>
        <v>0</v>
      </c>
      <c r="V36" s="14">
        <f t="shared" si="21"/>
        <v>4</v>
      </c>
      <c r="W36" s="14">
        <f t="shared" si="22"/>
        <v>0</v>
      </c>
      <c r="X36" s="14">
        <f t="shared" si="23"/>
        <v>4</v>
      </c>
      <c r="Z36" t="str">
        <f t="shared" si="24"/>
        <v>,,</v>
      </c>
      <c r="AA36" t="str">
        <f t="shared" si="25"/>
        <v>,,GPIO,SPI1_MISO,LPTIM_TOGN,PCNT_S1,,,,,</v>
      </c>
      <c r="AC36" s="29"/>
      <c r="AD36" s="30" t="s">
        <v>324</v>
      </c>
      <c r="AE36" s="31" t="s">
        <v>54</v>
      </c>
      <c r="AF36" s="31" t="s">
        <v>199</v>
      </c>
      <c r="AG36" s="31" t="s">
        <v>143</v>
      </c>
      <c r="AH36" s="31"/>
      <c r="AI36" s="31"/>
      <c r="AJ36" s="31"/>
      <c r="AK36" s="31"/>
      <c r="AL36" s="32" t="s">
        <v>250</v>
      </c>
      <c r="AM36" s="32" t="s">
        <v>251</v>
      </c>
      <c r="AN36" s="32" t="s">
        <v>252</v>
      </c>
      <c r="AO36" s="32" t="s">
        <v>253</v>
      </c>
      <c r="AP36" s="32"/>
      <c r="AQ36" s="32"/>
    </row>
    <row r="37" spans="1:43" ht="18.75" x14ac:dyDescent="0.15">
      <c r="A37" s="8" t="s">
        <v>254</v>
      </c>
      <c r="B37" s="9" t="s">
        <v>324</v>
      </c>
      <c r="C37" s="10"/>
      <c r="D37" s="9" t="s">
        <v>325</v>
      </c>
      <c r="E37" s="9"/>
      <c r="F37" s="9" t="s">
        <v>326</v>
      </c>
      <c r="G37" s="9"/>
      <c r="H37" s="9">
        <v>0</v>
      </c>
      <c r="I37" s="9"/>
      <c r="J37" s="9" t="s">
        <v>327</v>
      </c>
      <c r="L37" s="23" t="str">
        <f t="shared" si="13"/>
        <v>//PB06 = GPIO</v>
      </c>
      <c r="N37" s="24" t="str">
        <f t="shared" si="14"/>
        <v>//PD06 = GPIO</v>
      </c>
      <c r="P37" s="14" t="str">
        <f t="shared" si="15"/>
        <v>PC</v>
      </c>
      <c r="Q37" s="14">
        <f t="shared" si="16"/>
        <v>0</v>
      </c>
      <c r="R37" s="14">
        <f t="shared" si="17"/>
        <v>0</v>
      </c>
      <c r="S37" s="14">
        <f t="shared" si="18"/>
        <v>8</v>
      </c>
      <c r="T37" s="14">
        <f t="shared" si="19"/>
        <v>0</v>
      </c>
      <c r="U37" s="14">
        <f t="shared" si="20"/>
        <v>0</v>
      </c>
      <c r="V37" s="14">
        <f t="shared" si="21"/>
        <v>8</v>
      </c>
      <c r="W37" s="14">
        <f t="shared" si="22"/>
        <v>0</v>
      </c>
      <c r="X37" s="14">
        <f t="shared" si="23"/>
        <v>8</v>
      </c>
      <c r="Z37" t="str">
        <f t="shared" si="24"/>
        <v>,,</v>
      </c>
      <c r="AA37" t="str">
        <f t="shared" si="25"/>
        <v>,,GPIO,SPI1_MOSI,LPTIM_ETR,LPTIM_TOGN,,,,,</v>
      </c>
      <c r="AC37" s="29"/>
      <c r="AD37" s="30" t="s">
        <v>324</v>
      </c>
      <c r="AE37" s="31" t="s">
        <v>42</v>
      </c>
      <c r="AF37" s="31" t="s">
        <v>181</v>
      </c>
      <c r="AG37" s="31" t="s">
        <v>199</v>
      </c>
      <c r="AH37" s="31"/>
      <c r="AI37" s="31"/>
      <c r="AJ37" s="31"/>
      <c r="AK37" s="31"/>
      <c r="AL37" s="32" t="s">
        <v>255</v>
      </c>
      <c r="AM37" s="32" t="s">
        <v>256</v>
      </c>
      <c r="AN37" s="32" t="s">
        <v>257</v>
      </c>
      <c r="AO37" s="32" t="s">
        <v>258</v>
      </c>
      <c r="AP37" s="32"/>
      <c r="AQ37" s="32"/>
    </row>
    <row r="38" spans="1:43" ht="18.75" x14ac:dyDescent="0.15">
      <c r="A38" s="5" t="s">
        <v>259</v>
      </c>
      <c r="B38" s="6" t="s">
        <v>324</v>
      </c>
      <c r="C38" s="7"/>
      <c r="D38" s="6" t="s">
        <v>325</v>
      </c>
      <c r="E38" s="6"/>
      <c r="F38" s="6" t="s">
        <v>326</v>
      </c>
      <c r="G38" s="6"/>
      <c r="H38" s="6">
        <v>0</v>
      </c>
      <c r="I38" s="6"/>
      <c r="J38" s="6" t="s">
        <v>327</v>
      </c>
      <c r="L38" s="23" t="str">
        <f t="shared" si="13"/>
        <v>//PB07 = GPIO</v>
      </c>
      <c r="N38" s="25" t="str">
        <f t="shared" si="14"/>
        <v>//PD07 = GPIO</v>
      </c>
      <c r="P38" s="14" t="str">
        <f t="shared" si="15"/>
        <v>PC</v>
      </c>
      <c r="Q38" s="14">
        <f t="shared" si="16"/>
        <v>0</v>
      </c>
      <c r="R38" s="14">
        <f t="shared" si="17"/>
        <v>0</v>
      </c>
      <c r="S38" s="14">
        <f t="shared" si="18"/>
        <v>16</v>
      </c>
      <c r="T38" s="14">
        <f t="shared" si="19"/>
        <v>0</v>
      </c>
      <c r="U38" s="14">
        <f t="shared" si="20"/>
        <v>0</v>
      </c>
      <c r="V38" s="14">
        <f t="shared" si="21"/>
        <v>16</v>
      </c>
      <c r="W38" s="14">
        <f t="shared" si="22"/>
        <v>0</v>
      </c>
      <c r="X38" s="14">
        <f t="shared" si="23"/>
        <v>16</v>
      </c>
      <c r="Z38" t="str">
        <f t="shared" si="24"/>
        <v>,,</v>
      </c>
      <c r="AA38" t="str">
        <f t="shared" si="25"/>
        <v>,,GPIO,LPUART0_TXD,TIM2_ETR,IR_OUT,,,,,</v>
      </c>
      <c r="AC38" s="29"/>
      <c r="AD38" s="30" t="s">
        <v>324</v>
      </c>
      <c r="AE38" s="31" t="s">
        <v>153</v>
      </c>
      <c r="AF38" s="31" t="s">
        <v>75</v>
      </c>
      <c r="AG38" s="31" t="s">
        <v>141</v>
      </c>
      <c r="AH38" s="31"/>
      <c r="AI38" s="31"/>
      <c r="AJ38" s="31"/>
      <c r="AK38" s="31"/>
      <c r="AL38" s="32" t="s">
        <v>260</v>
      </c>
      <c r="AM38" s="32" t="s">
        <v>261</v>
      </c>
      <c r="AN38" s="32" t="s">
        <v>262</v>
      </c>
      <c r="AO38" s="32"/>
      <c r="AP38" s="32"/>
      <c r="AQ38" s="32"/>
    </row>
    <row r="39" spans="1:43" ht="18.75" x14ac:dyDescent="0.15">
      <c r="A39" s="8" t="s">
        <v>263</v>
      </c>
      <c r="B39" s="9" t="s">
        <v>324</v>
      </c>
      <c r="C39" s="10"/>
      <c r="D39" s="9" t="s">
        <v>325</v>
      </c>
      <c r="E39" s="9"/>
      <c r="F39" s="9" t="s">
        <v>326</v>
      </c>
      <c r="G39" s="9"/>
      <c r="H39" s="9">
        <v>0</v>
      </c>
      <c r="I39" s="9"/>
      <c r="J39" s="9" t="s">
        <v>327</v>
      </c>
      <c r="L39" s="23" t="str">
        <f t="shared" si="13"/>
        <v>//PB08 = GPIO</v>
      </c>
      <c r="P39" s="14" t="str">
        <f t="shared" si="15"/>
        <v>PC</v>
      </c>
      <c r="Q39" s="14">
        <f t="shared" si="16"/>
        <v>0</v>
      </c>
      <c r="R39" s="14">
        <f t="shared" si="17"/>
        <v>0</v>
      </c>
      <c r="S39" s="14">
        <f t="shared" si="18"/>
        <v>32</v>
      </c>
      <c r="T39" s="14">
        <f t="shared" si="19"/>
        <v>0</v>
      </c>
      <c r="U39" s="14">
        <f t="shared" si="20"/>
        <v>0</v>
      </c>
      <c r="V39" s="14">
        <f t="shared" si="21"/>
        <v>32</v>
      </c>
      <c r="W39" s="14">
        <f t="shared" si="22"/>
        <v>0</v>
      </c>
      <c r="X39" s="14">
        <f t="shared" si="23"/>
        <v>32</v>
      </c>
      <c r="Z39" t="str">
        <f t="shared" si="24"/>
        <v>,,</v>
      </c>
      <c r="AA39" t="str">
        <f t="shared" si="25"/>
        <v>,,GPIO,LPUART0_RXD,TIM6_CHB,PCA_CH4,,,,,</v>
      </c>
      <c r="AC39" s="29"/>
      <c r="AD39" s="30" t="s">
        <v>324</v>
      </c>
      <c r="AE39" s="31" t="s">
        <v>216</v>
      </c>
      <c r="AF39" s="31" t="s">
        <v>160</v>
      </c>
      <c r="AG39" s="31" t="s">
        <v>74</v>
      </c>
      <c r="AH39" s="31"/>
      <c r="AI39" s="31"/>
      <c r="AJ39" s="31"/>
      <c r="AK39" s="31"/>
      <c r="AL39" s="32" t="s">
        <v>264</v>
      </c>
      <c r="AM39" s="32" t="s">
        <v>265</v>
      </c>
      <c r="AN39" s="32" t="s">
        <v>266</v>
      </c>
      <c r="AO39" s="32"/>
      <c r="AP39" s="32"/>
      <c r="AQ39" s="32"/>
    </row>
    <row r="40" spans="1:43" ht="18.75" x14ac:dyDescent="0.15">
      <c r="A40" s="5" t="s">
        <v>267</v>
      </c>
      <c r="B40" s="6" t="s">
        <v>324</v>
      </c>
      <c r="C40" s="7"/>
      <c r="D40" s="6" t="s">
        <v>325</v>
      </c>
      <c r="E40" s="6"/>
      <c r="F40" s="6" t="s">
        <v>326</v>
      </c>
      <c r="G40" s="6"/>
      <c r="H40" s="6">
        <v>0</v>
      </c>
      <c r="I40" s="6"/>
      <c r="J40" s="6" t="s">
        <v>327</v>
      </c>
      <c r="L40" s="23" t="str">
        <f t="shared" si="13"/>
        <v>//PB09 = GPIO</v>
      </c>
      <c r="P40" s="14" t="str">
        <f t="shared" si="15"/>
        <v>PC</v>
      </c>
      <c r="Q40" s="14">
        <f t="shared" si="16"/>
        <v>0</v>
      </c>
      <c r="R40" s="14">
        <f t="shared" si="17"/>
        <v>0</v>
      </c>
      <c r="S40" s="14">
        <f t="shared" si="18"/>
        <v>64</v>
      </c>
      <c r="T40" s="14">
        <f t="shared" si="19"/>
        <v>0</v>
      </c>
      <c r="U40" s="14">
        <f t="shared" si="20"/>
        <v>0</v>
      </c>
      <c r="V40" s="14">
        <f t="shared" si="21"/>
        <v>64</v>
      </c>
      <c r="W40" s="14">
        <f t="shared" si="22"/>
        <v>0</v>
      </c>
      <c r="X40" s="14">
        <f t="shared" si="23"/>
        <v>64</v>
      </c>
      <c r="Z40" t="str">
        <f t="shared" si="24"/>
        <v>,,</v>
      </c>
      <c r="AA40" t="str">
        <f t="shared" si="25"/>
        <v>,,GPIO,PCA_CH0,TIM4_CHA,TIM2_CHA,,,,,</v>
      </c>
      <c r="AC40" s="29"/>
      <c r="AD40" s="30" t="s">
        <v>324</v>
      </c>
      <c r="AE40" s="31" t="s">
        <v>96</v>
      </c>
      <c r="AF40" s="31" t="s">
        <v>117</v>
      </c>
      <c r="AG40" s="31" t="s">
        <v>52</v>
      </c>
      <c r="AH40" s="31"/>
      <c r="AI40" s="31"/>
      <c r="AJ40" s="31"/>
      <c r="AK40" s="31"/>
      <c r="AL40" s="32" t="s">
        <v>268</v>
      </c>
      <c r="AM40" s="32" t="s">
        <v>269</v>
      </c>
      <c r="AN40" s="32" t="s">
        <v>270</v>
      </c>
      <c r="AO40" s="32"/>
      <c r="AP40" s="32"/>
      <c r="AQ40" s="32"/>
    </row>
    <row r="41" spans="1:43" ht="18.75" x14ac:dyDescent="0.15">
      <c r="A41" s="8" t="s">
        <v>271</v>
      </c>
      <c r="B41" s="9" t="s">
        <v>324</v>
      </c>
      <c r="C41" s="10"/>
      <c r="D41" s="9" t="s">
        <v>325</v>
      </c>
      <c r="E41" s="9"/>
      <c r="F41" s="9" t="s">
        <v>326</v>
      </c>
      <c r="G41" s="9"/>
      <c r="H41" s="9">
        <v>0</v>
      </c>
      <c r="I41" s="9"/>
      <c r="J41" s="9" t="s">
        <v>327</v>
      </c>
      <c r="L41" s="23" t="str">
        <f t="shared" si="13"/>
        <v>//PB10 = GPIO</v>
      </c>
      <c r="P41" s="14" t="str">
        <f t="shared" si="15"/>
        <v>PC</v>
      </c>
      <c r="Q41" s="14">
        <f t="shared" si="16"/>
        <v>0</v>
      </c>
      <c r="R41" s="14">
        <f t="shared" si="17"/>
        <v>0</v>
      </c>
      <c r="S41" s="14">
        <f t="shared" si="18"/>
        <v>128</v>
      </c>
      <c r="T41" s="14">
        <f t="shared" si="19"/>
        <v>0</v>
      </c>
      <c r="U41" s="14">
        <f t="shared" si="20"/>
        <v>0</v>
      </c>
      <c r="V41" s="14">
        <f t="shared" si="21"/>
        <v>128</v>
      </c>
      <c r="W41" s="14">
        <f t="shared" si="22"/>
        <v>0</v>
      </c>
      <c r="X41" s="14">
        <f t="shared" si="23"/>
        <v>128</v>
      </c>
      <c r="Z41" t="str">
        <f t="shared" si="24"/>
        <v>,,</v>
      </c>
      <c r="AA41" t="str">
        <f t="shared" si="25"/>
        <v>,,GPIO,PCA_CH1,TIM5_CHA,TIM2_CHB,,,,,</v>
      </c>
      <c r="AC41" s="29"/>
      <c r="AD41" s="30" t="s">
        <v>324</v>
      </c>
      <c r="AE41" s="31" t="s">
        <v>106</v>
      </c>
      <c r="AF41" s="31" t="s">
        <v>66</v>
      </c>
      <c r="AG41" s="31" t="s">
        <v>63</v>
      </c>
      <c r="AH41" s="31"/>
      <c r="AI41" s="31"/>
      <c r="AJ41" s="31"/>
      <c r="AK41" s="31"/>
      <c r="AL41" s="32" t="s">
        <v>272</v>
      </c>
      <c r="AM41" s="32" t="s">
        <v>273</v>
      </c>
      <c r="AN41" s="32"/>
      <c r="AO41" s="32"/>
      <c r="AP41" s="32"/>
      <c r="AQ41" s="32"/>
    </row>
    <row r="42" spans="1:43" ht="18.75" x14ac:dyDescent="0.15">
      <c r="A42" s="5" t="s">
        <v>274</v>
      </c>
      <c r="B42" s="6" t="s">
        <v>324</v>
      </c>
      <c r="C42" s="7"/>
      <c r="D42" s="6" t="s">
        <v>325</v>
      </c>
      <c r="E42" s="6"/>
      <c r="F42" s="6" t="s">
        <v>326</v>
      </c>
      <c r="G42" s="6"/>
      <c r="H42" s="6">
        <v>0</v>
      </c>
      <c r="I42" s="6"/>
      <c r="J42" s="6" t="s">
        <v>327</v>
      </c>
      <c r="L42" s="23" t="str">
        <f t="shared" si="13"/>
        <v>//PB11 = GPIO</v>
      </c>
      <c r="P42" s="14" t="str">
        <f t="shared" si="15"/>
        <v>PC</v>
      </c>
      <c r="Q42" s="14">
        <f t="shared" si="16"/>
        <v>0</v>
      </c>
      <c r="R42" s="14">
        <f t="shared" si="17"/>
        <v>0</v>
      </c>
      <c r="S42" s="14">
        <f t="shared" si="18"/>
        <v>256</v>
      </c>
      <c r="T42" s="14">
        <f t="shared" si="19"/>
        <v>0</v>
      </c>
      <c r="U42" s="14">
        <f t="shared" si="20"/>
        <v>0</v>
      </c>
      <c r="V42" s="14">
        <f t="shared" si="21"/>
        <v>256</v>
      </c>
      <c r="W42" s="14">
        <f t="shared" si="22"/>
        <v>0</v>
      </c>
      <c r="X42" s="14">
        <f t="shared" si="23"/>
        <v>256</v>
      </c>
      <c r="Z42" t="str">
        <f t="shared" si="24"/>
        <v>,,</v>
      </c>
      <c r="AA42" t="str">
        <f t="shared" si="25"/>
        <v>,,GPIO,PCA_CH2,TIM6_CHA,TIM2_ETR,,,,,</v>
      </c>
      <c r="AC42" s="29"/>
      <c r="AD42" s="30" t="s">
        <v>324</v>
      </c>
      <c r="AE42" s="31" t="s">
        <v>151</v>
      </c>
      <c r="AF42" s="31" t="s">
        <v>129</v>
      </c>
      <c r="AG42" s="31" t="s">
        <v>75</v>
      </c>
      <c r="AH42" s="31"/>
      <c r="AI42" s="31"/>
      <c r="AJ42" s="31"/>
      <c r="AK42" s="31"/>
      <c r="AL42" s="32" t="s">
        <v>275</v>
      </c>
      <c r="AM42" s="32"/>
      <c r="AN42" s="32"/>
      <c r="AO42" s="32"/>
      <c r="AP42" s="32"/>
      <c r="AQ42" s="32"/>
    </row>
    <row r="43" spans="1:43" ht="18.75" x14ac:dyDescent="0.15">
      <c r="A43" s="8" t="s">
        <v>276</v>
      </c>
      <c r="B43" s="9" t="s">
        <v>324</v>
      </c>
      <c r="C43" s="10"/>
      <c r="D43" s="9" t="s">
        <v>325</v>
      </c>
      <c r="E43" s="9"/>
      <c r="F43" s="9" t="s">
        <v>326</v>
      </c>
      <c r="G43" s="9"/>
      <c r="H43" s="9">
        <v>0</v>
      </c>
      <c r="I43" s="9"/>
      <c r="J43" s="9" t="s">
        <v>327</v>
      </c>
      <c r="L43" s="23" t="str">
        <f t="shared" si="13"/>
        <v>//PB12 = GPIO</v>
      </c>
      <c r="P43" s="14" t="str">
        <f t="shared" si="15"/>
        <v>PC</v>
      </c>
      <c r="Q43" s="14">
        <f t="shared" si="16"/>
        <v>0</v>
      </c>
      <c r="R43" s="14">
        <f t="shared" si="17"/>
        <v>0</v>
      </c>
      <c r="S43" s="14">
        <f t="shared" si="18"/>
        <v>512</v>
      </c>
      <c r="T43" s="14">
        <f t="shared" si="19"/>
        <v>0</v>
      </c>
      <c r="U43" s="14">
        <f t="shared" si="20"/>
        <v>0</v>
      </c>
      <c r="V43" s="14">
        <f t="shared" si="21"/>
        <v>512</v>
      </c>
      <c r="W43" s="14">
        <f t="shared" si="22"/>
        <v>0</v>
      </c>
      <c r="X43" s="14">
        <f t="shared" si="23"/>
        <v>512</v>
      </c>
      <c r="Z43" t="str">
        <f t="shared" si="24"/>
        <v>,,</v>
      </c>
      <c r="AA43" t="str">
        <f t="shared" si="25"/>
        <v>,,GPIO,PCA_CH3,TIM4_CHB,TIM1_ETR,,,,,</v>
      </c>
      <c r="AC43" s="29"/>
      <c r="AD43" s="30" t="s">
        <v>324</v>
      </c>
      <c r="AE43" s="31" t="s">
        <v>159</v>
      </c>
      <c r="AF43" s="31" t="s">
        <v>108</v>
      </c>
      <c r="AG43" s="31" t="s">
        <v>39</v>
      </c>
      <c r="AH43" s="31"/>
      <c r="AI43" s="31"/>
      <c r="AJ43" s="31"/>
      <c r="AK43" s="31"/>
      <c r="AL43" s="32" t="s">
        <v>277</v>
      </c>
      <c r="AM43" s="32"/>
      <c r="AN43" s="32"/>
      <c r="AO43" s="32"/>
      <c r="AP43" s="32"/>
      <c r="AQ43" s="32"/>
    </row>
    <row r="44" spans="1:43" ht="18.75" x14ac:dyDescent="0.15">
      <c r="A44" s="5" t="s">
        <v>278</v>
      </c>
      <c r="B44" s="6" t="s">
        <v>324</v>
      </c>
      <c r="C44" s="7"/>
      <c r="D44" s="6" t="s">
        <v>325</v>
      </c>
      <c r="E44" s="6"/>
      <c r="F44" s="6" t="s">
        <v>326</v>
      </c>
      <c r="G44" s="6"/>
      <c r="H44" s="6">
        <v>0</v>
      </c>
      <c r="I44" s="6"/>
      <c r="J44" s="6" t="s">
        <v>327</v>
      </c>
      <c r="L44" s="23" t="str">
        <f t="shared" si="13"/>
        <v>//PB13 = GPIO</v>
      </c>
      <c r="M44" s="26"/>
      <c r="O44" s="26"/>
      <c r="P44" s="14" t="str">
        <f t="shared" si="15"/>
        <v>PC</v>
      </c>
      <c r="Q44" s="14">
        <f t="shared" si="16"/>
        <v>0</v>
      </c>
      <c r="R44" s="14">
        <f t="shared" si="17"/>
        <v>0</v>
      </c>
      <c r="S44" s="14">
        <f t="shared" si="18"/>
        <v>1024</v>
      </c>
      <c r="T44" s="14">
        <f t="shared" si="19"/>
        <v>0</v>
      </c>
      <c r="U44" s="14">
        <f t="shared" si="20"/>
        <v>0</v>
      </c>
      <c r="V44" s="14">
        <f t="shared" si="21"/>
        <v>1024</v>
      </c>
      <c r="W44" s="14">
        <f t="shared" si="22"/>
        <v>0</v>
      </c>
      <c r="X44" s="14">
        <f t="shared" si="23"/>
        <v>1024</v>
      </c>
      <c r="Z44" t="str">
        <f t="shared" si="24"/>
        <v>,,</v>
      </c>
      <c r="AA44" t="str">
        <f t="shared" si="25"/>
        <v>,,GPIO,LPUART1_TXD,LPUART0_TXD,PCA_CH2,,,,,</v>
      </c>
      <c r="AC44" s="29"/>
      <c r="AD44" s="30" t="s">
        <v>324</v>
      </c>
      <c r="AE44" s="31" t="s">
        <v>24</v>
      </c>
      <c r="AF44" s="31" t="s">
        <v>153</v>
      </c>
      <c r="AG44" s="31" t="s">
        <v>151</v>
      </c>
      <c r="AH44" s="31"/>
      <c r="AI44" s="31"/>
      <c r="AJ44" s="31"/>
      <c r="AK44" s="31"/>
      <c r="AL44" s="32" t="s">
        <v>279</v>
      </c>
      <c r="AM44" s="32" t="s">
        <v>280</v>
      </c>
      <c r="AN44" s="32"/>
      <c r="AO44" s="32"/>
      <c r="AP44" s="32"/>
      <c r="AQ44" s="32"/>
    </row>
    <row r="45" spans="1:43" ht="18.75" x14ac:dyDescent="0.15">
      <c r="A45" s="8" t="s">
        <v>281</v>
      </c>
      <c r="B45" s="9" t="s">
        <v>324</v>
      </c>
      <c r="C45" s="10"/>
      <c r="D45" s="9" t="s">
        <v>325</v>
      </c>
      <c r="E45" s="9"/>
      <c r="F45" s="9" t="s">
        <v>326</v>
      </c>
      <c r="G45" s="9"/>
      <c r="H45" s="9">
        <v>0</v>
      </c>
      <c r="I45" s="9"/>
      <c r="J45" s="9" t="s">
        <v>327</v>
      </c>
      <c r="L45" s="23" t="str">
        <f t="shared" si="13"/>
        <v>//PB14 = GPIO</v>
      </c>
      <c r="M45" s="26"/>
      <c r="P45" s="14" t="str">
        <f t="shared" si="15"/>
        <v>PC</v>
      </c>
      <c r="Q45" s="14">
        <f t="shared" si="16"/>
        <v>0</v>
      </c>
      <c r="R45" s="14">
        <f t="shared" si="17"/>
        <v>0</v>
      </c>
      <c r="S45" s="14">
        <f t="shared" si="18"/>
        <v>2048</v>
      </c>
      <c r="T45" s="14">
        <f t="shared" si="19"/>
        <v>0</v>
      </c>
      <c r="U45" s="14">
        <f t="shared" si="20"/>
        <v>0</v>
      </c>
      <c r="V45" s="14">
        <f t="shared" si="21"/>
        <v>2048</v>
      </c>
      <c r="W45" s="14">
        <f t="shared" si="22"/>
        <v>0</v>
      </c>
      <c r="X45" s="14">
        <f t="shared" si="23"/>
        <v>2048</v>
      </c>
      <c r="Z45" t="str">
        <f t="shared" si="24"/>
        <v>,,</v>
      </c>
      <c r="AA45" t="str">
        <f t="shared" si="25"/>
        <v>,,GPIO,LPUART1_RXD,LPUART0_RXD,PCA_CH3,,,,,</v>
      </c>
      <c r="AC45" s="29"/>
      <c r="AD45" s="30" t="s">
        <v>324</v>
      </c>
      <c r="AE45" s="31" t="s">
        <v>37</v>
      </c>
      <c r="AF45" s="31" t="s">
        <v>216</v>
      </c>
      <c r="AG45" s="31" t="s">
        <v>159</v>
      </c>
      <c r="AH45" s="31"/>
      <c r="AI45" s="31"/>
      <c r="AJ45" s="31"/>
      <c r="AK45" s="31"/>
      <c r="AL45" s="32" t="s">
        <v>282</v>
      </c>
      <c r="AM45" s="32" t="s">
        <v>283</v>
      </c>
      <c r="AN45" s="32"/>
      <c r="AO45" s="32"/>
      <c r="AP45" s="32"/>
      <c r="AQ45" s="32"/>
    </row>
    <row r="46" spans="1:43" ht="18.75" x14ac:dyDescent="0.15">
      <c r="A46" s="5" t="s">
        <v>284</v>
      </c>
      <c r="B46" s="6" t="s">
        <v>324</v>
      </c>
      <c r="C46" s="7"/>
      <c r="D46" s="6" t="s">
        <v>325</v>
      </c>
      <c r="E46" s="6"/>
      <c r="F46" s="6" t="s">
        <v>326</v>
      </c>
      <c r="G46" s="6"/>
      <c r="H46" s="6">
        <v>0</v>
      </c>
      <c r="I46" s="6"/>
      <c r="J46" s="6" t="s">
        <v>327</v>
      </c>
      <c r="L46" s="27" t="str">
        <f t="shared" si="13"/>
        <v>//PB15 = GPIO</v>
      </c>
      <c r="M46" s="26"/>
      <c r="P46" s="14" t="str">
        <f t="shared" si="15"/>
        <v>PC</v>
      </c>
      <c r="Q46" s="14">
        <f t="shared" si="16"/>
        <v>0</v>
      </c>
      <c r="R46" s="14">
        <f t="shared" si="17"/>
        <v>0</v>
      </c>
      <c r="S46" s="14">
        <f t="shared" si="18"/>
        <v>4096</v>
      </c>
      <c r="T46" s="14">
        <f t="shared" si="19"/>
        <v>0</v>
      </c>
      <c r="U46" s="14">
        <f t="shared" si="20"/>
        <v>0</v>
      </c>
      <c r="V46" s="14">
        <f t="shared" si="21"/>
        <v>4096</v>
      </c>
      <c r="W46" s="14">
        <f t="shared" si="22"/>
        <v>0</v>
      </c>
      <c r="X46" s="14">
        <f t="shared" si="23"/>
        <v>4096</v>
      </c>
      <c r="Z46" t="str">
        <f t="shared" si="24"/>
        <v>,,</v>
      </c>
      <c r="AA46" t="str">
        <f t="shared" si="25"/>
        <v>,,GPIO,LPUART0_TXD,LPUART1_TXD,PCA_CH4,,,,,</v>
      </c>
      <c r="AC46" s="29"/>
      <c r="AD46" s="30" t="s">
        <v>324</v>
      </c>
      <c r="AE46" s="31" t="s">
        <v>153</v>
      </c>
      <c r="AF46" s="31" t="s">
        <v>24</v>
      </c>
      <c r="AG46" s="31" t="s">
        <v>74</v>
      </c>
      <c r="AH46" s="31"/>
      <c r="AI46" s="31"/>
      <c r="AJ46" s="31"/>
      <c r="AK46" s="31"/>
      <c r="AL46" s="32" t="s">
        <v>285</v>
      </c>
      <c r="AM46" s="32" t="s">
        <v>286</v>
      </c>
      <c r="AN46" s="32"/>
      <c r="AO46" s="32"/>
      <c r="AP46" s="32"/>
      <c r="AQ46" s="32"/>
    </row>
    <row r="47" spans="1:43" ht="18.75" x14ac:dyDescent="0.15">
      <c r="A47" s="8" t="s">
        <v>287</v>
      </c>
      <c r="B47" s="9" t="s">
        <v>324</v>
      </c>
      <c r="C47" s="10"/>
      <c r="D47" s="9" t="s">
        <v>325</v>
      </c>
      <c r="E47" s="9"/>
      <c r="F47" s="9" t="s">
        <v>326</v>
      </c>
      <c r="G47" s="9"/>
      <c r="H47" s="9">
        <v>0</v>
      </c>
      <c r="I47" s="9"/>
      <c r="J47" s="9" t="s">
        <v>327</v>
      </c>
      <c r="P47" s="14" t="str">
        <f t="shared" si="15"/>
        <v>PC</v>
      </c>
      <c r="Q47" s="14">
        <f t="shared" si="16"/>
        <v>0</v>
      </c>
      <c r="R47" s="14">
        <f t="shared" si="17"/>
        <v>0</v>
      </c>
      <c r="S47" s="14">
        <f t="shared" si="18"/>
        <v>8192</v>
      </c>
      <c r="T47" s="14">
        <f t="shared" si="19"/>
        <v>0</v>
      </c>
      <c r="U47" s="14">
        <f t="shared" si="20"/>
        <v>0</v>
      </c>
      <c r="V47" s="14">
        <f t="shared" si="21"/>
        <v>8192</v>
      </c>
      <c r="W47" s="14">
        <f t="shared" si="22"/>
        <v>0</v>
      </c>
      <c r="X47" s="14">
        <f t="shared" si="23"/>
        <v>8192</v>
      </c>
      <c r="Z47" t="str">
        <f t="shared" si="24"/>
        <v>,,</v>
      </c>
      <c r="AA47" t="str">
        <f t="shared" si="25"/>
        <v>,,GPIO,,RTC_1HZ,TIM3_CH1B,,,,,</v>
      </c>
      <c r="AC47" s="29"/>
      <c r="AD47" s="30" t="s">
        <v>324</v>
      </c>
      <c r="AE47" s="31"/>
      <c r="AF47" s="31" t="s">
        <v>142</v>
      </c>
      <c r="AG47" s="31" t="s">
        <v>152</v>
      </c>
      <c r="AH47" s="33"/>
      <c r="AI47" s="31"/>
      <c r="AJ47" s="31"/>
      <c r="AK47" s="31"/>
      <c r="AL47" s="32" t="s">
        <v>288</v>
      </c>
      <c r="AM47" s="32"/>
      <c r="AN47" s="32"/>
      <c r="AO47" s="32"/>
      <c r="AP47" s="32"/>
      <c r="AQ47" s="32"/>
    </row>
    <row r="48" spans="1:43" ht="18.75" x14ac:dyDescent="0.15">
      <c r="A48" s="5" t="s">
        <v>336</v>
      </c>
      <c r="B48" s="6" t="s">
        <v>324</v>
      </c>
      <c r="C48" s="7"/>
      <c r="D48" s="6" t="s">
        <v>325</v>
      </c>
      <c r="E48" s="6"/>
      <c r="F48" s="6" t="s">
        <v>326</v>
      </c>
      <c r="G48" s="6"/>
      <c r="H48" s="6">
        <v>0</v>
      </c>
      <c r="I48" s="6"/>
      <c r="J48" s="6" t="s">
        <v>327</v>
      </c>
      <c r="P48" s="14" t="str">
        <f t="shared" si="15"/>
        <v>PC</v>
      </c>
      <c r="Q48" s="14">
        <f t="shared" si="16"/>
        <v>0</v>
      </c>
      <c r="R48" s="14">
        <f t="shared" si="17"/>
        <v>0</v>
      </c>
      <c r="S48" s="14">
        <f t="shared" si="18"/>
        <v>16384</v>
      </c>
      <c r="T48" s="14">
        <f t="shared" si="19"/>
        <v>0</v>
      </c>
      <c r="U48" s="14">
        <f t="shared" si="20"/>
        <v>0</v>
      </c>
      <c r="V48" s="14">
        <f t="shared" si="21"/>
        <v>16384</v>
      </c>
      <c r="W48" s="14">
        <f t="shared" si="22"/>
        <v>0</v>
      </c>
      <c r="X48" s="14">
        <f t="shared" si="23"/>
        <v>16384</v>
      </c>
      <c r="Z48" t="str">
        <f t="shared" si="24"/>
        <v>,,</v>
      </c>
      <c r="AA48" t="str">
        <f t="shared" si="25"/>
        <v>,,GPIO,,,,,,,,</v>
      </c>
      <c r="AC48" s="29"/>
      <c r="AD48" s="30" t="s">
        <v>324</v>
      </c>
      <c r="AE48" s="31"/>
      <c r="AF48" s="31"/>
      <c r="AG48" s="31"/>
      <c r="AH48" s="31"/>
      <c r="AI48" s="31"/>
      <c r="AJ48" s="31"/>
      <c r="AK48" s="31"/>
      <c r="AL48" s="32" t="s">
        <v>290</v>
      </c>
      <c r="AM48" s="32"/>
      <c r="AN48" s="32"/>
      <c r="AO48" s="32"/>
      <c r="AP48" s="32"/>
      <c r="AQ48" s="32"/>
    </row>
    <row r="49" spans="1:43" ht="18.75" x14ac:dyDescent="0.15">
      <c r="A49" s="8" t="s">
        <v>337</v>
      </c>
      <c r="B49" s="9" t="s">
        <v>324</v>
      </c>
      <c r="C49" s="10"/>
      <c r="D49" s="9" t="s">
        <v>325</v>
      </c>
      <c r="E49" s="9"/>
      <c r="F49" s="9" t="s">
        <v>326</v>
      </c>
      <c r="G49" s="9"/>
      <c r="H49" s="9">
        <v>0</v>
      </c>
      <c r="I49" s="9"/>
      <c r="J49" s="9" t="s">
        <v>327</v>
      </c>
      <c r="P49" s="14" t="str">
        <f t="shared" si="15"/>
        <v>PC</v>
      </c>
      <c r="Q49" s="14">
        <f t="shared" si="16"/>
        <v>0</v>
      </c>
      <c r="R49" s="14">
        <f t="shared" si="17"/>
        <v>0</v>
      </c>
      <c r="S49" s="14">
        <f t="shared" si="18"/>
        <v>32768</v>
      </c>
      <c r="T49" s="14">
        <f t="shared" si="19"/>
        <v>0</v>
      </c>
      <c r="U49" s="14">
        <f t="shared" si="20"/>
        <v>0</v>
      </c>
      <c r="V49" s="14">
        <f t="shared" si="21"/>
        <v>32768</v>
      </c>
      <c r="W49" s="14">
        <f t="shared" si="22"/>
        <v>0</v>
      </c>
      <c r="X49" s="14">
        <f t="shared" si="23"/>
        <v>32768</v>
      </c>
      <c r="Z49" t="str">
        <f t="shared" si="24"/>
        <v>,,</v>
      </c>
      <c r="AA49" t="str">
        <f t="shared" si="25"/>
        <v>,,GPIO,,,,,,,,</v>
      </c>
      <c r="AC49" s="29"/>
      <c r="AD49" s="30" t="s">
        <v>324</v>
      </c>
      <c r="AE49" s="31"/>
      <c r="AF49" s="31"/>
      <c r="AG49" s="31"/>
      <c r="AH49" s="31"/>
      <c r="AI49" s="31"/>
      <c r="AJ49" s="31"/>
      <c r="AK49" s="31"/>
      <c r="AL49" s="32" t="s">
        <v>292</v>
      </c>
      <c r="AM49" s="32"/>
      <c r="AN49" s="32"/>
      <c r="AO49" s="32"/>
      <c r="AP49" s="32"/>
      <c r="AQ49" s="32"/>
    </row>
    <row r="50" spans="1:43" ht="18.75" x14ac:dyDescent="0.15">
      <c r="A50" s="5" t="s">
        <v>338</v>
      </c>
      <c r="B50" s="6" t="s">
        <v>324</v>
      </c>
      <c r="C50" s="7"/>
      <c r="D50" s="6" t="s">
        <v>325</v>
      </c>
      <c r="E50" s="6"/>
      <c r="F50" s="6" t="s">
        <v>326</v>
      </c>
      <c r="G50" s="6"/>
      <c r="H50" s="6">
        <v>0</v>
      </c>
      <c r="I50" s="6"/>
      <c r="J50" s="6" t="s">
        <v>327</v>
      </c>
      <c r="P50" s="14" t="str">
        <f t="shared" si="15"/>
        <v>PD</v>
      </c>
      <c r="Q50" s="14">
        <f t="shared" si="16"/>
        <v>0</v>
      </c>
      <c r="R50" s="14">
        <f t="shared" si="17"/>
        <v>0</v>
      </c>
      <c r="S50" s="14">
        <f t="shared" si="18"/>
        <v>1</v>
      </c>
      <c r="T50" s="14">
        <f t="shared" si="19"/>
        <v>0</v>
      </c>
      <c r="U50" s="14">
        <f t="shared" si="20"/>
        <v>0</v>
      </c>
      <c r="V50" s="14">
        <f t="shared" si="21"/>
        <v>1</v>
      </c>
      <c r="W50" s="14">
        <f t="shared" si="22"/>
        <v>0</v>
      </c>
      <c r="X50" s="14">
        <f t="shared" si="23"/>
        <v>1</v>
      </c>
      <c r="Z50" t="str">
        <f t="shared" si="24"/>
        <v>,,</v>
      </c>
      <c r="AA50" t="str">
        <f t="shared" si="25"/>
        <v>,,GPIO,I2C0_SDA  ,,UART1_TXD,,,,,</v>
      </c>
      <c r="AC50" s="29"/>
      <c r="AD50" s="30" t="s">
        <v>324</v>
      </c>
      <c r="AE50" s="31" t="s">
        <v>294</v>
      </c>
      <c r="AF50" s="31"/>
      <c r="AG50" s="31" t="s">
        <v>50</v>
      </c>
      <c r="AH50" s="33"/>
      <c r="AI50" s="31"/>
      <c r="AJ50" s="31"/>
      <c r="AK50" s="31"/>
      <c r="AL50" s="32" t="s">
        <v>295</v>
      </c>
      <c r="AM50" s="32"/>
      <c r="AN50" s="32"/>
      <c r="AO50" s="32"/>
      <c r="AP50" s="32"/>
      <c r="AQ50" s="32"/>
    </row>
    <row r="51" spans="1:43" ht="18.75" x14ac:dyDescent="0.15">
      <c r="A51" s="8" t="s">
        <v>339</v>
      </c>
      <c r="B51" s="9" t="s">
        <v>324</v>
      </c>
      <c r="C51" s="10"/>
      <c r="D51" s="9" t="s">
        <v>325</v>
      </c>
      <c r="E51" s="9"/>
      <c r="F51" s="9" t="s">
        <v>326</v>
      </c>
      <c r="G51" s="9"/>
      <c r="H51" s="9">
        <v>0</v>
      </c>
      <c r="I51" s="9"/>
      <c r="J51" s="9" t="s">
        <v>327</v>
      </c>
      <c r="P51" s="14" t="str">
        <f t="shared" si="15"/>
        <v>PD</v>
      </c>
      <c r="Q51" s="14">
        <f t="shared" si="16"/>
        <v>0</v>
      </c>
      <c r="R51" s="14">
        <f t="shared" si="17"/>
        <v>0</v>
      </c>
      <c r="S51" s="14">
        <f t="shared" si="18"/>
        <v>2</v>
      </c>
      <c r="T51" s="14">
        <f t="shared" si="19"/>
        <v>0</v>
      </c>
      <c r="U51" s="14">
        <f t="shared" si="20"/>
        <v>0</v>
      </c>
      <c r="V51" s="14">
        <f t="shared" si="21"/>
        <v>2</v>
      </c>
      <c r="W51" s="14">
        <f t="shared" si="22"/>
        <v>0</v>
      </c>
      <c r="X51" s="14">
        <f t="shared" si="23"/>
        <v>2</v>
      </c>
      <c r="Z51" t="str">
        <f t="shared" si="24"/>
        <v>,,</v>
      </c>
      <c r="AA51" t="str">
        <f t="shared" si="25"/>
        <v>,,GPIO,I2C0_SCL,TIM4_CHB,UART1_RXD,,,,,</v>
      </c>
      <c r="AC51" s="29"/>
      <c r="AD51" s="30" t="s">
        <v>324</v>
      </c>
      <c r="AE51" s="31" t="s">
        <v>121</v>
      </c>
      <c r="AF51" s="31" t="s">
        <v>108</v>
      </c>
      <c r="AG51" s="31" t="s">
        <v>61</v>
      </c>
      <c r="AH51" s="33"/>
      <c r="AI51" s="31"/>
      <c r="AJ51" s="31"/>
      <c r="AK51" s="31"/>
      <c r="AL51" s="32" t="s">
        <v>297</v>
      </c>
      <c r="AM51" s="32"/>
      <c r="AN51" s="32"/>
      <c r="AO51" s="32"/>
      <c r="AP51" s="32"/>
      <c r="AQ51" s="32"/>
    </row>
    <row r="52" spans="1:43" ht="18.75" x14ac:dyDescent="0.15">
      <c r="A52" s="5" t="s">
        <v>298</v>
      </c>
      <c r="B52" s="6" t="s">
        <v>324</v>
      </c>
      <c r="C52" s="7"/>
      <c r="D52" s="6" t="s">
        <v>325</v>
      </c>
      <c r="E52" s="6"/>
      <c r="F52" s="6" t="s">
        <v>326</v>
      </c>
      <c r="G52" s="6"/>
      <c r="H52" s="6">
        <v>0</v>
      </c>
      <c r="I52" s="6"/>
      <c r="J52" s="6" t="s">
        <v>327</v>
      </c>
      <c r="P52" s="14" t="str">
        <f t="shared" si="15"/>
        <v>PD</v>
      </c>
      <c r="Q52" s="14">
        <f t="shared" si="16"/>
        <v>0</v>
      </c>
      <c r="R52" s="14">
        <f t="shared" si="17"/>
        <v>0</v>
      </c>
      <c r="S52" s="14">
        <f t="shared" si="18"/>
        <v>4</v>
      </c>
      <c r="T52" s="14">
        <f t="shared" si="19"/>
        <v>0</v>
      </c>
      <c r="U52" s="14">
        <f t="shared" si="20"/>
        <v>0</v>
      </c>
      <c r="V52" s="14">
        <f t="shared" si="21"/>
        <v>4</v>
      </c>
      <c r="W52" s="14">
        <f t="shared" si="22"/>
        <v>0</v>
      </c>
      <c r="X52" s="14">
        <f t="shared" si="23"/>
        <v>4</v>
      </c>
      <c r="Z52" t="str">
        <f t="shared" si="24"/>
        <v>,,</v>
      </c>
      <c r="AA52" t="str">
        <f t="shared" si="25"/>
        <v>,,GPIO,PCA_ECI ,LPUART0_RTS,TIM1_ETR,,,,,</v>
      </c>
      <c r="AC52" s="29"/>
      <c r="AD52" s="30" t="s">
        <v>324</v>
      </c>
      <c r="AE52" s="31" t="s">
        <v>299</v>
      </c>
      <c r="AF52" s="31" t="s">
        <v>161</v>
      </c>
      <c r="AG52" s="31" t="s">
        <v>39</v>
      </c>
      <c r="AH52" s="33"/>
      <c r="AI52" s="31"/>
      <c r="AJ52" s="31"/>
      <c r="AK52" s="31"/>
      <c r="AL52" s="32"/>
      <c r="AM52" s="32"/>
      <c r="AN52" s="32"/>
      <c r="AO52" s="32"/>
      <c r="AP52" s="32"/>
      <c r="AQ52" s="32"/>
    </row>
    <row r="53" spans="1:43" ht="18.75" x14ac:dyDescent="0.15">
      <c r="A53" s="8" t="s">
        <v>340</v>
      </c>
      <c r="B53" s="8" t="s">
        <v>341</v>
      </c>
      <c r="C53" s="11"/>
      <c r="D53" s="8" t="s">
        <v>325</v>
      </c>
      <c r="E53" s="8"/>
      <c r="F53" s="8" t="s">
        <v>331</v>
      </c>
      <c r="G53" s="8"/>
      <c r="H53" s="8" t="s">
        <v>331</v>
      </c>
      <c r="I53" s="8"/>
      <c r="J53" s="8" t="s">
        <v>331</v>
      </c>
      <c r="P53" s="14" t="str">
        <f t="shared" si="15"/>
        <v>PD</v>
      </c>
      <c r="Q53" s="14">
        <f t="shared" si="16"/>
        <v>0</v>
      </c>
      <c r="R53" s="14">
        <f t="shared" si="17"/>
        <v>-1</v>
      </c>
      <c r="S53" s="14">
        <f t="shared" si="18"/>
        <v>8</v>
      </c>
      <c r="T53" s="14">
        <f t="shared" si="19"/>
        <v>0</v>
      </c>
      <c r="U53" s="14">
        <f t="shared" si="20"/>
        <v>0</v>
      </c>
      <c r="V53" s="14">
        <f t="shared" si="21"/>
        <v>0</v>
      </c>
      <c r="W53" s="14">
        <f t="shared" si="22"/>
        <v>0</v>
      </c>
      <c r="X53" s="14">
        <f t="shared" si="23"/>
        <v>8</v>
      </c>
      <c r="Z53" t="str">
        <f t="shared" si="24"/>
        <v>,</v>
      </c>
      <c r="AA53" t="str">
        <f t="shared" si="25"/>
        <v>,MODE,GPIO,,,,,,,,</v>
      </c>
      <c r="AC53" s="29" t="s">
        <v>341</v>
      </c>
      <c r="AD53" s="30" t="s">
        <v>324</v>
      </c>
      <c r="AE53" s="31"/>
      <c r="AF53" s="31"/>
      <c r="AG53" s="31"/>
      <c r="AH53" s="33"/>
      <c r="AI53" s="31"/>
      <c r="AJ53" s="31"/>
      <c r="AK53" s="31"/>
      <c r="AL53" s="32" t="s">
        <v>301</v>
      </c>
      <c r="AM53" s="32"/>
      <c r="AN53" s="32"/>
      <c r="AO53" s="32"/>
      <c r="AP53" s="32"/>
      <c r="AQ53" s="32"/>
    </row>
    <row r="54" spans="1:43" ht="18.75" x14ac:dyDescent="0.15">
      <c r="A54" s="5" t="s">
        <v>302</v>
      </c>
      <c r="B54" s="6" t="s">
        <v>324</v>
      </c>
      <c r="C54" s="7"/>
      <c r="D54" s="6" t="s">
        <v>325</v>
      </c>
      <c r="E54" s="6"/>
      <c r="F54" s="6" t="s">
        <v>326</v>
      </c>
      <c r="G54" s="6"/>
      <c r="H54" s="6">
        <v>0</v>
      </c>
      <c r="I54" s="6"/>
      <c r="J54" s="6" t="s">
        <v>331</v>
      </c>
      <c r="P54" s="14" t="str">
        <f t="shared" si="15"/>
        <v>PD</v>
      </c>
      <c r="Q54" s="14">
        <f t="shared" si="16"/>
        <v>0</v>
      </c>
      <c r="R54" s="14">
        <f t="shared" si="17"/>
        <v>0</v>
      </c>
      <c r="S54" s="14">
        <f t="shared" si="18"/>
        <v>16</v>
      </c>
      <c r="T54" s="14">
        <f t="shared" si="19"/>
        <v>0</v>
      </c>
      <c r="U54" s="14">
        <f t="shared" si="20"/>
        <v>0</v>
      </c>
      <c r="V54" s="14">
        <f t="shared" si="21"/>
        <v>0</v>
      </c>
      <c r="W54" s="14">
        <f t="shared" si="22"/>
        <v>0</v>
      </c>
      <c r="X54" s="14">
        <f t="shared" si="23"/>
        <v>16</v>
      </c>
      <c r="Z54" t="str">
        <f t="shared" si="24"/>
        <v>,,</v>
      </c>
      <c r="AA54" t="str">
        <f t="shared" si="25"/>
        <v>,,GPIO,,,,,,,,</v>
      </c>
      <c r="AC54" s="29"/>
      <c r="AD54" s="30" t="s">
        <v>324</v>
      </c>
      <c r="AE54" s="31"/>
      <c r="AF54" s="31"/>
      <c r="AG54" s="31"/>
      <c r="AH54" s="33"/>
      <c r="AI54" s="31"/>
      <c r="AJ54" s="31"/>
      <c r="AK54" s="31"/>
      <c r="AL54" s="32"/>
      <c r="AM54" s="32"/>
      <c r="AN54" s="32"/>
      <c r="AO54" s="32"/>
      <c r="AP54" s="32"/>
      <c r="AQ54" s="32"/>
    </row>
    <row r="55" spans="1:43" ht="18.75" x14ac:dyDescent="0.15">
      <c r="A55" s="8" t="s">
        <v>303</v>
      </c>
      <c r="B55" s="9" t="s">
        <v>324</v>
      </c>
      <c r="C55" s="10"/>
      <c r="D55" s="9" t="s">
        <v>325</v>
      </c>
      <c r="E55" s="9"/>
      <c r="F55" s="9" t="s">
        <v>326</v>
      </c>
      <c r="G55" s="9"/>
      <c r="H55" s="9">
        <v>0</v>
      </c>
      <c r="I55" s="9"/>
      <c r="J55" s="9" t="s">
        <v>327</v>
      </c>
      <c r="P55" s="14" t="str">
        <f t="shared" si="15"/>
        <v>PD</v>
      </c>
      <c r="Q55" s="14">
        <f t="shared" si="16"/>
        <v>0</v>
      </c>
      <c r="R55" s="14">
        <f t="shared" si="17"/>
        <v>0</v>
      </c>
      <c r="S55" s="14">
        <f t="shared" si="18"/>
        <v>32</v>
      </c>
      <c r="T55" s="14">
        <f t="shared" si="19"/>
        <v>0</v>
      </c>
      <c r="U55" s="14">
        <f t="shared" si="20"/>
        <v>0</v>
      </c>
      <c r="V55" s="14">
        <f t="shared" si="21"/>
        <v>32</v>
      </c>
      <c r="W55" s="14">
        <f t="shared" si="22"/>
        <v>0</v>
      </c>
      <c r="X55" s="14">
        <f t="shared" si="23"/>
        <v>32</v>
      </c>
      <c r="Z55" t="str">
        <f t="shared" si="24"/>
        <v>,,</v>
      </c>
      <c r="AA55" t="str">
        <f t="shared" si="25"/>
        <v>,,GPIO,,,,,,,,</v>
      </c>
      <c r="AC55" s="29"/>
      <c r="AD55" s="30" t="s">
        <v>324</v>
      </c>
      <c r="AE55" s="31"/>
      <c r="AF55" s="31"/>
      <c r="AG55" s="31"/>
      <c r="AH55" s="33"/>
      <c r="AI55" s="31"/>
      <c r="AJ55" s="31"/>
      <c r="AK55" s="31"/>
      <c r="AL55" s="32"/>
      <c r="AM55" s="32"/>
      <c r="AN55" s="32"/>
      <c r="AO55" s="32"/>
      <c r="AP55" s="32"/>
      <c r="AQ55" s="32"/>
    </row>
    <row r="56" spans="1:43" ht="18.75" x14ac:dyDescent="0.15">
      <c r="A56" s="5" t="s">
        <v>304</v>
      </c>
      <c r="B56" s="6" t="s">
        <v>324</v>
      </c>
      <c r="C56" s="7"/>
      <c r="D56" s="6" t="s">
        <v>325</v>
      </c>
      <c r="E56" s="6"/>
      <c r="F56" s="6" t="s">
        <v>326</v>
      </c>
      <c r="G56" s="6"/>
      <c r="H56" s="6">
        <v>0</v>
      </c>
      <c r="I56" s="6"/>
      <c r="J56" s="6" t="s">
        <v>327</v>
      </c>
      <c r="P56" s="14" t="str">
        <f t="shared" si="15"/>
        <v>PD</v>
      </c>
      <c r="Q56" s="14">
        <f t="shared" si="16"/>
        <v>0</v>
      </c>
      <c r="R56" s="14">
        <f t="shared" si="17"/>
        <v>0</v>
      </c>
      <c r="S56" s="14">
        <f t="shared" si="18"/>
        <v>64</v>
      </c>
      <c r="T56" s="14">
        <f t="shared" si="19"/>
        <v>0</v>
      </c>
      <c r="U56" s="14">
        <f t="shared" si="20"/>
        <v>0</v>
      </c>
      <c r="V56" s="14">
        <f t="shared" si="21"/>
        <v>64</v>
      </c>
      <c r="W56" s="14">
        <f t="shared" si="22"/>
        <v>0</v>
      </c>
      <c r="X56" s="14">
        <f t="shared" si="23"/>
        <v>64</v>
      </c>
      <c r="Z56" t="str">
        <f t="shared" si="24"/>
        <v>,,</v>
      </c>
      <c r="AA56" t="str">
        <f t="shared" si="25"/>
        <v>,,GPIO,I2C1_SCL,LPUART1_CTS,UART0_CTS,,,,,</v>
      </c>
      <c r="AC56" s="29"/>
      <c r="AD56" s="30" t="s">
        <v>324</v>
      </c>
      <c r="AE56" s="31" t="s">
        <v>133</v>
      </c>
      <c r="AF56" s="31" t="s">
        <v>198</v>
      </c>
      <c r="AG56" s="31" t="s">
        <v>132</v>
      </c>
      <c r="AH56" s="33"/>
      <c r="AI56" s="31"/>
      <c r="AJ56" s="31"/>
      <c r="AK56" s="31"/>
      <c r="AL56" s="32"/>
      <c r="AM56" s="32"/>
      <c r="AN56" s="32"/>
      <c r="AO56" s="32"/>
      <c r="AP56" s="32"/>
      <c r="AQ56" s="32"/>
    </row>
    <row r="57" spans="1:43" ht="18.75" x14ac:dyDescent="0.15">
      <c r="A57" s="8" t="s">
        <v>305</v>
      </c>
      <c r="B57" s="9" t="s">
        <v>324</v>
      </c>
      <c r="C57" s="10"/>
      <c r="D57" s="9" t="s">
        <v>325</v>
      </c>
      <c r="E57" s="9"/>
      <c r="F57" s="9" t="s">
        <v>326</v>
      </c>
      <c r="G57" s="9"/>
      <c r="H57" s="9">
        <v>0</v>
      </c>
      <c r="I57" s="9"/>
      <c r="J57" s="9" t="s">
        <v>327</v>
      </c>
      <c r="P57" s="14" t="str">
        <f t="shared" si="15"/>
        <v>PD</v>
      </c>
      <c r="Q57" s="14">
        <f t="shared" si="16"/>
        <v>0</v>
      </c>
      <c r="R57" s="14">
        <f t="shared" si="17"/>
        <v>0</v>
      </c>
      <c r="S57" s="14">
        <f t="shared" si="18"/>
        <v>128</v>
      </c>
      <c r="T57" s="14">
        <f t="shared" si="19"/>
        <v>0</v>
      </c>
      <c r="U57" s="14">
        <f t="shared" si="20"/>
        <v>0</v>
      </c>
      <c r="V57" s="14">
        <f t="shared" si="21"/>
        <v>128</v>
      </c>
      <c r="W57" s="14">
        <f t="shared" si="22"/>
        <v>0</v>
      </c>
      <c r="X57" s="14">
        <f t="shared" si="23"/>
        <v>128</v>
      </c>
      <c r="Z57" t="str">
        <f t="shared" si="24"/>
        <v>,,</v>
      </c>
      <c r="AA57" t="str">
        <f t="shared" si="25"/>
        <v>,,GPIO,I2C1_SDA ,LPUART1_RTS,UART0_RTS,,,,,</v>
      </c>
      <c r="AC57" s="29"/>
      <c r="AD57" s="30" t="s">
        <v>324</v>
      </c>
      <c r="AE57" s="31" t="s">
        <v>306</v>
      </c>
      <c r="AF57" s="31" t="s">
        <v>149</v>
      </c>
      <c r="AG57" s="31" t="s">
        <v>136</v>
      </c>
      <c r="AH57" s="33"/>
      <c r="AI57" s="31"/>
      <c r="AJ57" s="31"/>
      <c r="AK57" s="31"/>
      <c r="AL57" s="32"/>
      <c r="AM57" s="32"/>
      <c r="AN57" s="32"/>
      <c r="AO57" s="32"/>
      <c r="AP57" s="32"/>
      <c r="AQ57" s="32"/>
    </row>
    <row r="58" spans="1:43" x14ac:dyDescent="0.15">
      <c r="Z58" t="str">
        <f t="shared" si="24"/>
        <v/>
      </c>
    </row>
    <row r="61" spans="1:43" x14ac:dyDescent="0.15">
      <c r="P61" s="14" t="s">
        <v>314</v>
      </c>
      <c r="Q61" s="14" t="s">
        <v>315</v>
      </c>
      <c r="R61" s="14"/>
      <c r="S61" s="14" t="s">
        <v>317</v>
      </c>
      <c r="T61" s="14" t="s">
        <v>318</v>
      </c>
      <c r="U61" s="14" t="s">
        <v>319</v>
      </c>
      <c r="V61" s="14" t="s">
        <v>320</v>
      </c>
      <c r="W61" s="14" t="s">
        <v>321</v>
      </c>
      <c r="X61" s="14" t="s">
        <v>322</v>
      </c>
      <c r="Z61" t="str">
        <f>IF(Q61&gt;0,"",LEFT(AA61,FIND(#REF!,AA61)-1))</f>
        <v/>
      </c>
    </row>
    <row r="62" spans="1:43" x14ac:dyDescent="0.15">
      <c r="P62" s="14" t="s">
        <v>342</v>
      </c>
      <c r="Q62" s="14" t="str">
        <f>"0x"&amp;DEC2HEX(SUMIFS(Q$2:Q$57,$P$2:$P$57,$P62),4)</f>
        <v>0x0000</v>
      </c>
      <c r="R62" s="14"/>
      <c r="S62" s="14" t="str">
        <f t="shared" ref="S62:X62" si="26">"0x"&amp;DEC2HEX(SUMIFS(S$2:S$57,$P$2:$P$57,$P62),4)</f>
        <v>0xFFFF</v>
      </c>
      <c r="T62" s="14" t="str">
        <f t="shared" si="26"/>
        <v>0x0000</v>
      </c>
      <c r="U62" s="14" t="str">
        <f t="shared" si="26"/>
        <v>0x0000</v>
      </c>
      <c r="V62" s="14" t="str">
        <f t="shared" si="26"/>
        <v>0xFFFD</v>
      </c>
      <c r="W62" s="14" t="str">
        <f t="shared" si="26"/>
        <v>0x0002</v>
      </c>
      <c r="X62" s="14" t="str">
        <f t="shared" si="26"/>
        <v>0xFFFF</v>
      </c>
      <c r="Z62" t="str">
        <f>IF(Q62&gt;0,"",LEFT(AA62,FIND(#REF!,AA62)-1))</f>
        <v/>
      </c>
    </row>
    <row r="63" spans="1:43" x14ac:dyDescent="0.15">
      <c r="P63" s="14" t="s">
        <v>343</v>
      </c>
      <c r="Q63" s="14" t="str">
        <f>"0x"&amp;DEC2HEX(SUMIFS(Q$2:Q$57,$P$2:$P$57,$P63),4)</f>
        <v>0x0000</v>
      </c>
      <c r="R63" s="14"/>
      <c r="S63" s="14" t="str">
        <f t="shared" ref="S63:X63" si="27">"0x"&amp;DEC2HEX(SUMIFS(S$2:S$57,$P$2:$P$57,$P63),4)</f>
        <v>0xFFBF</v>
      </c>
      <c r="T63" s="14" t="str">
        <f t="shared" si="27"/>
        <v>0x0000</v>
      </c>
      <c r="U63" s="14" t="str">
        <f t="shared" si="27"/>
        <v>0x0000</v>
      </c>
      <c r="V63" s="14" t="str">
        <f t="shared" si="27"/>
        <v>0xFFFF</v>
      </c>
      <c r="W63" s="14" t="str">
        <f t="shared" si="27"/>
        <v>0x0000</v>
      </c>
      <c r="X63" s="14" t="str">
        <f t="shared" si="27"/>
        <v>0xFFFF</v>
      </c>
      <c r="Z63" t="str">
        <f>IF(Q63&gt;0,"",LEFT(AA63,FIND(#REF!,AA63)-1))</f>
        <v/>
      </c>
    </row>
    <row r="64" spans="1:43" x14ac:dyDescent="0.15">
      <c r="P64" s="14" t="s">
        <v>344</v>
      </c>
      <c r="Q64" s="14" t="str">
        <f>"0x"&amp;DEC2HEX(SUMIFS(Q$2:Q$57,$P$2:$P$57,$P64),4)</f>
        <v>0x0000</v>
      </c>
      <c r="R64" s="14"/>
      <c r="S64" s="14" t="str">
        <f t="shared" ref="S64:X64" si="28">"0x"&amp;DEC2HEX(SUMIFS(S$2:S$57,$P$2:$P$57,$P64),4)</f>
        <v>0xFFFF</v>
      </c>
      <c r="T64" s="14" t="str">
        <f t="shared" si="28"/>
        <v>0x0000</v>
      </c>
      <c r="U64" s="14" t="str">
        <f t="shared" si="28"/>
        <v>0x0000</v>
      </c>
      <c r="V64" s="14" t="str">
        <f t="shared" si="28"/>
        <v>0xFFFF</v>
      </c>
      <c r="W64" s="14" t="str">
        <f t="shared" si="28"/>
        <v>0x0000</v>
      </c>
      <c r="X64" s="14" t="str">
        <f t="shared" si="28"/>
        <v>0xFFFF</v>
      </c>
      <c r="Z64" t="str">
        <f>IF(Q64&gt;0,"",LEFT(AA64,FIND(#REF!,AA64)-1))</f>
        <v/>
      </c>
    </row>
    <row r="65" spans="16:26" x14ac:dyDescent="0.15">
      <c r="P65" s="14" t="s">
        <v>345</v>
      </c>
      <c r="Q65" s="14" t="str">
        <f>"0x"&amp;DEC2HEX(SUMIFS(Q$2:Q$57,$P$2:$P$57,$P65),4)</f>
        <v>0x0000</v>
      </c>
      <c r="R65" s="14"/>
      <c r="S65" s="14" t="str">
        <f t="shared" ref="S65:X65" si="29">"0x"&amp;DEC2HEX(SUMIFS(S$2:S$57,$P$2:$P$57,$P65),4)</f>
        <v>0x00FF</v>
      </c>
      <c r="T65" s="14" t="str">
        <f t="shared" si="29"/>
        <v>0x0000</v>
      </c>
      <c r="U65" s="14" t="str">
        <f t="shared" si="29"/>
        <v>0x0000</v>
      </c>
      <c r="V65" s="14" t="str">
        <f t="shared" si="29"/>
        <v>0x00E7</v>
      </c>
      <c r="W65" s="14" t="str">
        <f t="shared" si="29"/>
        <v>0x0000</v>
      </c>
      <c r="X65" s="14" t="str">
        <f t="shared" si="29"/>
        <v>0x00FF</v>
      </c>
      <c r="Z65" t="str">
        <f>IF(Q65&gt;0,"",LEFT(AA65,FIND(#REF!,AA65)-1))</f>
        <v/>
      </c>
    </row>
  </sheetData>
  <sheetProtection algorithmName="SHA-512" hashValue="mvx6FI8Y5/jUIvUwwc1zQHuM2SYX+TP2gVF0J/QAUbcavhmyNw+NF6ubBVqE8DR55qL43+61sNUkOYU4DAnbYA==" saltValue="AvqKiO0+rMefQxffQxRr/Q==" spinCount="100000" sheet="1" objects="1" scenarios="1"/>
  <mergeCells count="1">
    <mergeCell ref="L1:N1"/>
  </mergeCells>
  <phoneticPr fontId="3" type="noConversion"/>
  <dataValidations count="5">
    <dataValidation type="list" allowBlank="1" showInputMessage="1" showErrorMessage="1" sqref="F2:F57" xr:uid="{00000000-0002-0000-0100-000000000000}">
      <formula1>"推挽,开漏,NA"</formula1>
    </dataValidation>
    <dataValidation type="list" allowBlank="1" showInputMessage="1" showErrorMessage="1" sqref="B2:B57" xr:uid="{00000000-0002-0000-0100-000001000000}">
      <formula1>$AC2:$AQ2</formula1>
    </dataValidation>
    <dataValidation type="list" allowBlank="1" showInputMessage="1" showErrorMessage="1" sqref="D2:D57" xr:uid="{00000000-0002-0000-0100-000002000000}">
      <formula1>"输入,输出,NA"</formula1>
    </dataValidation>
    <dataValidation type="list" allowBlank="1" showInputMessage="1" showErrorMessage="1" sqref="H2:H57" xr:uid="{00000000-0002-0000-0100-000003000000}">
      <formula1>"0,1,NA"</formula1>
    </dataValidation>
    <dataValidation type="list" allowBlank="1" showInputMessage="1" showErrorMessage="1" sqref="J2:J57" xr:uid="{00000000-0002-0000-0100-000004000000}">
      <formula1>"上拉,下拉,NA"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24</vt:i4>
      </vt:variant>
    </vt:vector>
  </HeadingPairs>
  <TitlesOfParts>
    <vt:vector size="26" baseType="lpstr">
      <vt:lpstr>管脚功能查询</vt:lpstr>
      <vt:lpstr>管脚功能配置</vt:lpstr>
      <vt:lpstr>PA0UT</vt:lpstr>
      <vt:lpstr>PAADS</vt:lpstr>
      <vt:lpstr>PADIR</vt:lpstr>
      <vt:lpstr>PAOD</vt:lpstr>
      <vt:lpstr>PAPD</vt:lpstr>
      <vt:lpstr>PAPU</vt:lpstr>
      <vt:lpstr>PBADS</vt:lpstr>
      <vt:lpstr>PBDIR</vt:lpstr>
      <vt:lpstr>PBOD</vt:lpstr>
      <vt:lpstr>PBOUT</vt:lpstr>
      <vt:lpstr>PBPD</vt:lpstr>
      <vt:lpstr>PBPU</vt:lpstr>
      <vt:lpstr>PCADS</vt:lpstr>
      <vt:lpstr>PCDIR</vt:lpstr>
      <vt:lpstr>PCOD</vt:lpstr>
      <vt:lpstr>PCOUT</vt:lpstr>
      <vt:lpstr>PCPD</vt:lpstr>
      <vt:lpstr>PCPU</vt:lpstr>
      <vt:lpstr>PDADS</vt:lpstr>
      <vt:lpstr>PDDIR</vt:lpstr>
      <vt:lpstr>PDOD</vt:lpstr>
      <vt:lpstr>PDOUT</vt:lpstr>
      <vt:lpstr>PDPD</vt:lpstr>
      <vt:lpstr>PDPU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XiaChengjun</dc:creator>
  <cp:lastModifiedBy>甘德龙</cp:lastModifiedBy>
  <dcterms:created xsi:type="dcterms:W3CDTF">2019-08-07T09:54:00Z</dcterms:created>
  <dcterms:modified xsi:type="dcterms:W3CDTF">2019-08-12T08:40:42Z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