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almar\OneDrive\Escritorio\Nueva carpeta\9° cuatri\DAW-APII-I\04_SharkOn\Reporte\"/>
    </mc:Choice>
  </mc:AlternateContent>
  <xr:revisionPtr revIDLastSave="0" documentId="13_ncr:1_{0C4FF9CA-FD3E-46D4-A887-B3887ACB8ED9}" xr6:coauthVersionLast="45" xr6:coauthVersionMax="45" xr10:uidLastSave="{00000000-0000-0000-0000-000000000000}"/>
  <bookViews>
    <workbookView xWindow="-5325" yWindow="4965" windowWidth="11130" windowHeight="7335" firstSheet="2" activeTab="2"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A38" i="2"/>
  <c r="B38" i="2" s="1"/>
  <c r="A37" i="2"/>
  <c r="E37" i="2" s="1"/>
  <c r="A36" i="2"/>
  <c r="A35" i="2"/>
  <c r="A34" i="2"/>
  <c r="E34" i="2" s="1"/>
  <c r="A33" i="2"/>
  <c r="B33" i="2" s="1"/>
  <c r="A32" i="2"/>
  <c r="A31" i="2"/>
  <c r="D31" i="2" s="1"/>
  <c r="A30" i="2"/>
  <c r="D30" i="2" s="1"/>
  <c r="A29" i="2"/>
  <c r="B33" i="5" s="1"/>
  <c r="A28" i="2"/>
  <c r="B28" i="2" s="1"/>
  <c r="A27" i="2"/>
  <c r="B31" i="5" s="1"/>
  <c r="A26" i="2"/>
  <c r="D26" i="2" s="1"/>
  <c r="A25" i="2"/>
  <c r="B25" i="2" s="1"/>
  <c r="A24" i="2"/>
  <c r="B24" i="2" s="1"/>
  <c r="A23" i="2"/>
  <c r="D23" i="2" s="1"/>
  <c r="A22" i="2"/>
  <c r="D22" i="2" s="1"/>
  <c r="A21" i="2"/>
  <c r="E21" i="2" s="1"/>
  <c r="A20" i="2"/>
  <c r="D20" i="2" s="1"/>
  <c r="A19" i="2"/>
  <c r="D19" i="2" s="1"/>
  <c r="A18" i="2"/>
  <c r="E18" i="2" s="1"/>
  <c r="A17" i="2"/>
  <c r="G17" i="2" s="1"/>
  <c r="A16" i="2"/>
  <c r="C16" i="2" s="1"/>
  <c r="A15" i="2"/>
  <c r="B19" i="5" s="1"/>
  <c r="A14" i="2"/>
  <c r="C14" i="2" s="1"/>
  <c r="A13" i="2"/>
  <c r="E13" i="2" s="1"/>
  <c r="A12" i="2"/>
  <c r="E12" i="2" s="1"/>
  <c r="B43" i="5"/>
  <c r="B39" i="5"/>
  <c r="D396" i="8"/>
  <c r="I31" i="5" s="1"/>
  <c r="D292" i="8"/>
  <c r="I27" i="5" s="1"/>
  <c r="D162" i="8"/>
  <c r="D58" i="8"/>
  <c r="I18" i="5" s="1"/>
  <c r="D763" i="8"/>
  <c r="D760" i="8"/>
  <c r="D737" i="8"/>
  <c r="D734" i="8"/>
  <c r="I44" i="5" s="1"/>
  <c r="D711" i="8"/>
  <c r="D708" i="8"/>
  <c r="D685" i="8"/>
  <c r="D682" i="8"/>
  <c r="I42" i="5" s="1"/>
  <c r="D659" i="8"/>
  <c r="D656" i="8"/>
  <c r="D633" i="8"/>
  <c r="D630" i="8"/>
  <c r="I40" i="5" s="1"/>
  <c r="D607" i="8"/>
  <c r="D604" i="8"/>
  <c r="D581" i="8"/>
  <c r="D578" i="8"/>
  <c r="I38" i="5" s="1"/>
  <c r="D555" i="8"/>
  <c r="D552" i="8"/>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F39" i="5"/>
  <c r="D35" i="8"/>
  <c r="D32" i="8"/>
  <c r="I17" i="5" s="1"/>
  <c r="D8" i="8"/>
  <c r="C1" i="2"/>
  <c r="J1" i="2"/>
  <c r="I22" i="5"/>
  <c r="D43" i="5"/>
  <c r="D39" i="5"/>
  <c r="B32" i="2"/>
  <c r="C32" i="2"/>
  <c r="D32" i="2"/>
  <c r="E32" i="2"/>
  <c r="G32" i="2"/>
  <c r="I32" i="2"/>
  <c r="J32" i="2"/>
  <c r="C33" i="2"/>
  <c r="C34" i="2"/>
  <c r="D34" i="2"/>
  <c r="I34" i="2"/>
  <c r="J34" i="2"/>
  <c r="B35" i="2"/>
  <c r="C35" i="2"/>
  <c r="D35" i="2"/>
  <c r="E35" i="2"/>
  <c r="G35" i="2"/>
  <c r="I35" i="2"/>
  <c r="J35" i="2"/>
  <c r="B36" i="2"/>
  <c r="C36" i="2"/>
  <c r="D36" i="2"/>
  <c r="E36" i="2"/>
  <c r="G36" i="2"/>
  <c r="I36" i="2"/>
  <c r="J36" i="2"/>
  <c r="I37" i="2"/>
  <c r="D38" i="2"/>
  <c r="E38" i="2"/>
  <c r="J38" i="2"/>
  <c r="B39" i="2"/>
  <c r="C39" i="2"/>
  <c r="D39" i="2"/>
  <c r="E39" i="2"/>
  <c r="G39" i="2"/>
  <c r="I39" i="2"/>
  <c r="J39" i="2"/>
  <c r="B40" i="2"/>
  <c r="C40" i="2"/>
  <c r="D40" i="2"/>
  <c r="E40" i="2"/>
  <c r="G40" i="2"/>
  <c r="I40" i="2"/>
  <c r="J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I37" i="5"/>
  <c r="K37" i="5"/>
  <c r="L37" i="5"/>
  <c r="K38" i="5"/>
  <c r="L38" i="5"/>
  <c r="I39" i="5"/>
  <c r="K39" i="5"/>
  <c r="L39" i="5"/>
  <c r="K40" i="5"/>
  <c r="L40" i="5"/>
  <c r="I41" i="5"/>
  <c r="K41" i="5"/>
  <c r="L41" i="5"/>
  <c r="K42" i="5"/>
  <c r="L42" i="5"/>
  <c r="I43" i="5"/>
  <c r="K43" i="5"/>
  <c r="L43" i="5"/>
  <c r="K44" i="5"/>
  <c r="L44" i="5"/>
  <c r="I45" i="5"/>
  <c r="K45" i="5"/>
  <c r="L45" i="5"/>
  <c r="D15" i="2" l="1"/>
  <c r="C41" i="2"/>
  <c r="I38" i="2"/>
  <c r="C38" i="2"/>
  <c r="G34" i="2"/>
  <c r="B34" i="2"/>
  <c r="C37" i="2"/>
  <c r="G38" i="2"/>
  <c r="I33" i="2"/>
  <c r="I29" i="2"/>
  <c r="C23" i="2"/>
  <c r="J15" i="2"/>
  <c r="C31" i="2"/>
  <c r="I31" i="2"/>
  <c r="B35" i="5"/>
  <c r="B31" i="2"/>
  <c r="G31" i="2"/>
  <c r="I27" i="2"/>
  <c r="C27" i="2"/>
  <c r="C31" i="5" s="1"/>
  <c r="D24" i="2"/>
  <c r="J24" i="2"/>
  <c r="C24" i="2"/>
  <c r="I24" i="2"/>
  <c r="E24" i="2"/>
  <c r="I23" i="2"/>
  <c r="G16" i="2"/>
  <c r="E16" i="2"/>
  <c r="B16" i="2"/>
  <c r="G14" i="2"/>
  <c r="B14" i="2"/>
  <c r="J12" i="2"/>
  <c r="C12" i="2"/>
  <c r="D12" i="2"/>
  <c r="E31" i="2"/>
  <c r="J31" i="2"/>
  <c r="I30" i="2"/>
  <c r="C30" i="2"/>
  <c r="G30" i="2"/>
  <c r="E30" i="2"/>
  <c r="B30" i="2"/>
  <c r="J30" i="2"/>
  <c r="C29" i="2"/>
  <c r="C33" i="5" s="1"/>
  <c r="J28" i="2"/>
  <c r="D28" i="2"/>
  <c r="I28" i="2"/>
  <c r="C28" i="2"/>
  <c r="E28" i="2"/>
  <c r="G28" i="2"/>
  <c r="G27" i="2"/>
  <c r="B27" i="2"/>
  <c r="E27" i="2"/>
  <c r="J27" i="2"/>
  <c r="D27" i="2"/>
  <c r="I26" i="2"/>
  <c r="G26" i="2"/>
  <c r="E26" i="2"/>
  <c r="C26" i="2"/>
  <c r="B26" i="2"/>
  <c r="J26" i="2"/>
  <c r="I25" i="2"/>
  <c r="C25" i="2"/>
  <c r="G24" i="2"/>
  <c r="G23" i="2"/>
  <c r="B23" i="2"/>
  <c r="E23" i="2"/>
  <c r="B27" i="5"/>
  <c r="J23" i="2"/>
  <c r="G22" i="2"/>
  <c r="I22" i="2"/>
  <c r="C22" i="2"/>
  <c r="B22" i="2"/>
  <c r="E22" i="2"/>
  <c r="J22" i="2"/>
  <c r="C21" i="2"/>
  <c r="B25" i="5"/>
  <c r="I21" i="2"/>
  <c r="I20" i="2"/>
  <c r="G20" i="2"/>
  <c r="B20" i="2"/>
  <c r="C20" i="2"/>
  <c r="E20" i="2"/>
  <c r="J20" i="2"/>
  <c r="C19" i="2"/>
  <c r="C23" i="5" s="1"/>
  <c r="B23" i="5"/>
  <c r="G19" i="2"/>
  <c r="B19" i="2"/>
  <c r="I19" i="2"/>
  <c r="E19" i="2"/>
  <c r="J19" i="2"/>
  <c r="G18" i="2"/>
  <c r="J18" i="2"/>
  <c r="D18" i="2"/>
  <c r="I18" i="2"/>
  <c r="B18" i="2"/>
  <c r="C18" i="2"/>
  <c r="B17" i="2"/>
  <c r="J16" i="2"/>
  <c r="D16" i="2"/>
  <c r="I16" i="2"/>
  <c r="I15" i="2"/>
  <c r="C15" i="2"/>
  <c r="C19" i="5" s="1"/>
  <c r="G15" i="2"/>
  <c r="B15" i="2"/>
  <c r="E15" i="2"/>
  <c r="E14" i="2"/>
  <c r="J14" i="2"/>
  <c r="D14" i="2"/>
  <c r="I14" i="2"/>
  <c r="G13" i="2"/>
  <c r="B13" i="2"/>
  <c r="B17" i="5"/>
  <c r="I12" i="2"/>
  <c r="B12" i="2"/>
  <c r="G12" i="2"/>
  <c r="B41" i="5"/>
  <c r="F41" i="5" s="1"/>
  <c r="H17" i="2"/>
  <c r="G21" i="5" s="1"/>
  <c r="H29" i="2"/>
  <c r="G33" i="5" s="1"/>
  <c r="F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C17" i="5" s="1"/>
  <c r="D4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25" i="5" l="1"/>
  <c r="F36" i="2"/>
  <c r="H38" i="10" s="1"/>
  <c r="C35" i="5"/>
  <c r="F34" i="2"/>
  <c r="H36" i="10" s="1"/>
  <c r="E35" i="5"/>
  <c r="M33" i="5"/>
  <c r="F29" i="2"/>
  <c r="H31" i="10" s="1"/>
  <c r="E33" i="5"/>
  <c r="F25" i="5"/>
  <c r="E25" i="5"/>
  <c r="E19" i="5"/>
  <c r="E17" i="5"/>
  <c r="E31" i="5"/>
  <c r="F26" i="2"/>
  <c r="H28" i="10" s="1"/>
  <c r="E27" i="5"/>
  <c r="E23" i="5"/>
  <c r="F14" i="2"/>
  <c r="H16" i="10" s="1"/>
  <c r="C27" i="5"/>
  <c r="F20" i="2"/>
  <c r="H22" i="10" s="1"/>
  <c r="F17" i="5"/>
  <c r="F12" i="2"/>
  <c r="H14" i="10" s="1"/>
  <c r="F25" i="2"/>
  <c r="H27" i="10" s="1"/>
  <c r="F30" i="2"/>
  <c r="H32" i="10" s="1"/>
  <c r="F18" i="2"/>
  <c r="H20" i="10" s="1"/>
  <c r="M17" i="5"/>
  <c r="F28" i="2"/>
  <c r="H30" i="10" s="1"/>
  <c r="F33" i="2"/>
  <c r="H35" i="10" s="1"/>
  <c r="F13" i="2"/>
  <c r="H15"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<sst xmlns="http://schemas.openxmlformats.org/spreadsheetml/2006/main" count="2492" uniqueCount="374">
  <si>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</si>
  <si>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</si>
  <si>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</si>
  <si>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</si>
  <si>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</si>
  <si>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</si>
  <si>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</si>
  <si>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</si>
  <si>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</si>
  <si>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</si>
  <si>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</si>
  <si>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</si>
  <si>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</si>
  <si>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</si>
  <si>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</si>
  <si>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</si>
  <si>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</si>
  <si>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</si>
  <si>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</si>
  <si>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</si>
  <si>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</si>
  <si>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</si>
  <si>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</si>
  <si>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</si>
  <si>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</si>
  <si>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</si>
  <si>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</si>
  <si>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</si>
  <si>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</si>
  <si>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</si>
  <si>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</si>
  <si>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</si>
  <si>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</si>
  <si>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</si>
  <si>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</si>
  <si>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</si>
  <si>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</si>
  <si>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</si>
  <si>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</si>
  <si>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</si>
  <si>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</si>
  <si>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</si>
  <si>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</si>
  <si>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</si>
  <si>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</si>
  <si>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</si>
  <si>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</si>
  <si>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</si>
  <si>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</si>
  <si>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</si>
  <si>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</si>
  <si>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</si>
  <si>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</si>
  <si>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</si>
  <si>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</si>
  <si>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</si>
  <si>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</si>
  <si>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</si>
  <si>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</si>
  <si>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</si>
  <si>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</si>
  <si>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</si>
  <si>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</si>
  <si>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</si>
  <si>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</si>
  <si>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</si>
  <si>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</si>
  <si>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</si>
  <si>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</si>
  <si>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</si>
  <si>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</si>
  <si>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</si>
  <si>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</si>
  <si>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</si>
  <si>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</si>
  <si>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</si>
  <si>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</si>
  <si>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</si>
  <si>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</si>
  <si>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</si>
  <si>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</si>
  <si>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</si>
  <si>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</si>
  <si>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</si>
  <si>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</si>
  <si>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</si>
  <si>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</si>
  <si>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</si>
  <si>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</si>
  <si>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</si>
  <si>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</si>
  <si>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</si>
  <si>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</si>
  <si>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</si>
  <si>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</si>
  <si>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</si>
  <si>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</si>
  <si>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</si>
  <si>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</si>
  <si>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</si>
  <si>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</si>
  <si>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</si>
  <si>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</si>
  <si>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</si>
  <si>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</si>
  <si>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</si>
  <si>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</si>
  <si>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</si>
  <si>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</si>
  <si>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</si>
  <si>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</si>
  <si>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</si>
  <si>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</si>
  <si>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</si>
  <si>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</si>
  <si>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</si>
  <si>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</si>
  <si>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</si>
  <si>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</si>
  <si>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</si>
  <si>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</si>
  <si>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</si>
  <si>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</si>
  <si>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</si>
  <si>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</si>
  <si>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</si>
  <si>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</si>
  <si>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</si>
  <si>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</si>
  <si>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</si>
  <si>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</si>
  <si>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</si>
  <si>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</si>
  <si>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</si>
  <si>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</si>
  <si>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</si>
  <si>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</si>
  <si>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</si>
  <si>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</si>
  <si>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</si>
  <si>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</si>
  <si>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</si>
  <si>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</si>
  <si>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</si>
  <si>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</si>
  <si>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</si>
  <si>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</si>
  <si>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</si>
  <si>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</si>
  <si>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</si>
  <si>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</si>
  <si>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</si>
  <si>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</si>
  <si>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</si>
  <si>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</si>
  <si>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</si>
  <si>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</si>
  <si>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</si>
  <si>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</si>
  <si>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</si>
  <si>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</si>
  <si>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</si>
  <si>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</si>
  <si>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</si>
  <si>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</si>
  <si>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</si>
  <si>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</si>
  <si>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</si>
  <si>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</si>
  <si>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</si>
  <si>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</si>
  <si>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</si>
  <si>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</si>
  <si>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</si>
  <si>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</si>
  <si>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</si>
  <si>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</si>
  <si>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</si>
  <si>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</si>
  <si>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</si>
  <si>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</si>
  <si>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</si>
  <si>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</si>
  <si>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</si>
  <si>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</si>
  <si>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</si>
  <si>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</si>
  <si>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</si>
  <si>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</si>
  <si>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</si>
  <si>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</si>
  <si>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</si>
  <si>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</si>
  <si>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</si>
  <si>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</si>
  <si>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</si>
  <si>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</si>
  <si>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</si>
  <si>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</si>
  <si>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</si>
  <si>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</si>
  <si>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</si>
  <si>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</si>
  <si>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</si>
  <si>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</si>
  <si>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</si>
  <si>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</si>
  <si>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</si>
  <si>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</si>
  <si>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</si>
  <si>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</si>
  <si>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</si>
  <si>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</si>
  <si>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</si>
  <si>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</si>
  <si>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</si>
  <si>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</si>
  <si>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</si>
  <si>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</si>
  <si>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</si>
  <si>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</si>
  <si>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</si>
  <si>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</si>
  <si>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</si>
  <si>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</si>
  <si>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</si>
  <si>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</si>
  <si>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</si>
  <si>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</si>
  <si>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</si>
  <si>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</si>
  <si>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</si>
  <si>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</si>
  <si>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</si>
  <si>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</si>
  <si>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</si>
  <si>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</si>
  <si>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</si>
  <si>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</si>
  <si>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TWFF</t>
  </si>
  <si>
    <t>María Alejandra Almaraz García</t>
  </si>
  <si>
    <t xml:space="preserve">María Alejandra Almaraz García </t>
  </si>
  <si>
    <t>María Alejandra Almaraz García, Giovanni Guijosa Suárez, Agustín Serrano Martínez, Octavio Muñoz Bernabé</t>
  </si>
  <si>
    <t>Proyecto:  TWFF</t>
  </si>
  <si>
    <t>Miembros problemáticos del equipo</t>
  </si>
  <si>
    <t>No disponibilidad de personas apropiadas</t>
  </si>
  <si>
    <t>No encontrar personas con  habilidades muy específicas</t>
  </si>
  <si>
    <t>Límite de tiempo con personas claves</t>
  </si>
  <si>
    <t>Personal disponible insuficiente</t>
  </si>
  <si>
    <t>Tareas no aptas para las posibilidades del personal</t>
  </si>
  <si>
    <t>El personal trabaja lento</t>
  </si>
  <si>
    <t>Sabotaje por la dirección del proyecto</t>
  </si>
  <si>
    <t>Sabotaje por el personal técnico</t>
  </si>
  <si>
    <t>Diseño complejo con complicaciones innecesarias</t>
  </si>
  <si>
    <t>Mal diseño</t>
  </si>
  <si>
    <t>Utilizar metodologías desconocidas</t>
  </si>
  <si>
    <t>Implementación en lenguaje de bajo nivel</t>
  </si>
  <si>
    <t>No poder implementar funcionalidades con el lenguaje</t>
  </si>
  <si>
    <t>Sobrestimación del ahorro de la planificación por mejorar la productividad</t>
  </si>
  <si>
    <t>Agustín Serrano Martínez</t>
  </si>
  <si>
    <t>Giovanni Guijosa Suárez</t>
  </si>
  <si>
    <t>Octavio Muñoz Bernabé</t>
  </si>
  <si>
    <t>Media</t>
  </si>
  <si>
    <t>Alta</t>
  </si>
  <si>
    <t>&lt;1 mes</t>
  </si>
  <si>
    <t>&gt; 3 meses</t>
  </si>
  <si>
    <t>Prevenir</t>
  </si>
  <si>
    <t>Aceptar</t>
  </si>
  <si>
    <t>Proc</t>
  </si>
  <si>
    <t>Conflictos entre miembros del equipo</t>
  </si>
  <si>
    <t>Enfermedad de los miembros del equipo por estrés</t>
  </si>
  <si>
    <t>Rec</t>
  </si>
  <si>
    <t>Cal</t>
  </si>
  <si>
    <t>Diseño sencillo que no cubre cuestiones principales</t>
  </si>
  <si>
    <t>Poca calidad en la biblioteca de código o clases</t>
  </si>
  <si>
    <t>Costo</t>
  </si>
  <si>
    <t>Si se presentan conflictos entre los miembros del equipo.</t>
  </si>
  <si>
    <t>Conducen a problemas en la comunicación y en el diseño, errores en la interfaz y tener que repetir trabajos.</t>
  </si>
  <si>
    <t>Si un miembro del personal se enferma por estrés</t>
  </si>
  <si>
    <t>Entonces habría retrasos en la realización de las tareas y en la entrega de los elementos del proyecto.</t>
  </si>
  <si>
    <t>Si los miembros problemáticos del equipo no son apartados.</t>
  </si>
  <si>
    <t>Entonces ellos influyen negativamente en la motivación del resto del equipo.</t>
  </si>
  <si>
    <t>Entonces habría retraso en el desarrollo del proyecto.</t>
  </si>
  <si>
    <t>Si las personas más aporpiadas para trabajar en el proyecto están disponibles, pero no se pueden incorporar por razones políticas o de otro tipo.</t>
  </si>
  <si>
    <t>Si se necesitan personas para el proyecto con habilidades muy específicas y no se encuentran.</t>
  </si>
  <si>
    <t>Si las personas clave sólo están disponibles una parte del tiempo.</t>
  </si>
  <si>
    <t>Entonces habría limitaciones de tiempo en la planeación del proyecto.</t>
  </si>
  <si>
    <t>Si no hay personal disponible para el proyecto.</t>
  </si>
  <si>
    <t>Entonces se retrasa el desarrollo del proyecto por falta de recursos.</t>
  </si>
  <si>
    <t>Si las tareas asignadas al personal no se ajustan a sus posibilidades.</t>
  </si>
  <si>
    <t>Entonces las tareas pueden ser ejecutadas de manera incorrecto o incompletas.</t>
  </si>
  <si>
    <t>Si el personal trabaja más lento de lo esperado.</t>
  </si>
  <si>
    <t>Entonces se retrasaría el tiempo de entrega del proyecto .</t>
  </si>
  <si>
    <t>Si hay sabotaje por parte de la dirección del proyecto.</t>
  </si>
  <si>
    <t>Entonces se deriva en una planificación ineficiente e inefectiva.</t>
  </si>
  <si>
    <t>Si hay sabotaje por parte del personal técnico.</t>
  </si>
  <si>
    <t>Entonces se deriva en una pérdida de trabajo o en un trabajo de poca calidad, por lo que se tendrían que repetir algunos trabajos.</t>
  </si>
  <si>
    <t>Si el diseño es demasiado sencillo y no cubre las cuestiones principales.</t>
  </si>
  <si>
    <t>Entonces se tendría que volver a diseñar e implementar.</t>
  </si>
  <si>
    <t>Si el diseño es demasiado complejo.</t>
  </si>
  <si>
    <t>Entonces exige tener en cuneta complicaciones innecesarias e improductivas en la implementación.</t>
  </si>
  <si>
    <t>Si se tiene un mal diseño.</t>
  </si>
  <si>
    <t>Entonces implica volver diseñar e implementar.</t>
  </si>
  <si>
    <t>Si se utilizan metodologías desconocidas.</t>
  </si>
  <si>
    <t>Entonces se deriva un periodo extra de formación y tener que volver atrás para corregir los errores iniciales cometidos en la metodología.</t>
  </si>
  <si>
    <t>Si el producto está implementado en un lengueja de bajo nivel.</t>
  </si>
  <si>
    <t>Entonces la productividad es menor a la que se esperaba.</t>
  </si>
  <si>
    <t>Si no se puede implementar  la  funcionalidad  deseada  con  el  lenguaje  o  bibliotecas utilizados.</t>
  </si>
  <si>
    <t>Entonces el  personal  de  desarrollo  tiene  que  utilizar  otras  bibliotecas,  o  crearlas  él mismo para conseguir la funcionalidad deseada.</t>
  </si>
  <si>
    <t>Si las bibliotecas de código o clases tienen poca calidad.</t>
  </si>
  <si>
    <t>Entonces se tienen que generar una comprobación extra, corrección de errores y la repetición de algunos trabajos.</t>
  </si>
  <si>
    <t>Si se  ha  sobreestimado  el  ahorro  en  la  planificación  derivado  del  uso  de  herramientas para mejorar la productividad.</t>
  </si>
  <si>
    <t>Entonces los costos del proyecto aumentarían.</t>
  </si>
  <si>
    <t>Durante el desarrollo del proyecto se pueden presentar desacuerddos entre los miembros del equipo, lo cual ocasiona que se presneten diversos problemas.</t>
  </si>
  <si>
    <t>Durante el desarrollo del proyecto los miembros del equipo pueden presentar enfermedades ocasionadas por el estrés, ocasionando que no se trabaje de manera óptima.</t>
  </si>
  <si>
    <t>Dentro del equipo de trabajo puede haber miembros problemáticos que provaquen un ambiente negativo de trabajo y desmotivación en los otros miembros.</t>
  </si>
  <si>
    <t>Si las personas más apropiadas para trabajar en el proyecto no están disponibles.</t>
  </si>
  <si>
    <t>Puede ser difícil encontrar a las personas apropiadas para trabajar en el proyectoy esto puede demorar más tiempo para el desarrollo del mismo.</t>
  </si>
  <si>
    <t>Se encuentran personas aporpiadas para trabajar en el proyecto, pero por otras circunstancias no pueden integrarse al equipo de trabajo, como razones políticas, religiosas, personales, entre otras. Esto puede demorar más tiempo para el desarrollo del mismo.</t>
  </si>
  <si>
    <t>No encontrar a las personas que cuaneten con las habilidades necesarias para cumplir con ciertas actividades específicas, ocasiona que el desarrollo del proyecto se demore.</t>
  </si>
  <si>
    <t>Miembros del equipo sólo pueden trabajar un tiempo limitado en el desarrollo del proyecto creando restricciones de disponibilidad de horarios.</t>
  </si>
  <si>
    <t>No contar con personas suficientes para el desarrollo del proyecto, ocasiona que lo miembros tengan más carga de trabajo, haciendo que el proyecto tenga demoras.</t>
  </si>
  <si>
    <t>Se presentan complicaciones en el desarrollo del proyecto, generando retrasos por parte de la dirección del proyecto. Se genera una planificación ineficiente e inefectiva.</t>
  </si>
  <si>
    <t>Se presentan complicaciones en el desarrollo del proyecto, generando pérdidas de trabajo por parte del personal técnico. Algunos de los trabajos daañados, incorrectos o de baja calidad se tienen que realizar de nuevo.</t>
  </si>
  <si>
    <t>El diseño es muy sencillo que no cumple con los requisitos principales que se establecieron.</t>
  </si>
  <si>
    <t>El diseño es muy complejo que se tiene que añadir elementos que no se especificaron y que no son necesarios.</t>
  </si>
  <si>
    <t xml:space="preserve">Se cuenta con un diseño no funcional e incorrecto que no cumple con los requisitos. Se tiene que realizar nuevamente. </t>
  </si>
  <si>
    <t>Aplicar metodologías de las que no se tienen conocimientos. Se tiene que investigar y/o capacitar para poder aplicarse en el desarrollo del proyecto. Corriegiendo lo que se había realizado de manera errónea con dichas metodologías.</t>
  </si>
  <si>
    <t>Algunas funcionalidades no se pueden implementar debido a la tecnología que se eligio para desaroolar el software. Esto ocaciona que el desarrollador que utilizar otras funcionalidades alternas o desarrollarlas por él mismo.</t>
  </si>
  <si>
    <t>Se tiene poca calidad en el código fuente del software. Esto ocasiona que se realicen pruebas extras a las planeadas y se hagan mayores correcciones y que se realicen nuevamnete los trabajos con dichos errores.</t>
  </si>
  <si>
    <t>Se utiliza más recurso económico para utilizar herramientas que ayuden a mejorar la productividad del proyecto, haciéndolo más eficiente . El presupuesto asignado para el proyecto aumenta.</t>
  </si>
  <si>
    <t>Aplicar sansiones</t>
  </si>
  <si>
    <t>Aplicar técnicas de relajación.</t>
  </si>
  <si>
    <t>Aplicar sanciones si no se está trabajando de manera adecuada</t>
  </si>
  <si>
    <t>Encontrar personas capacez de realizar las activades necesarias.</t>
  </si>
  <si>
    <t>Hablar con el personal para encontrar una solución.</t>
  </si>
  <si>
    <t>Contratar personal con el perfil de forma temporal.</t>
  </si>
  <si>
    <t>Hablar para llegar a una solución con esa persona.</t>
  </si>
  <si>
    <t>Asignar las tareas dependiendo del perfil y las posibilidades de cada integrante.</t>
  </si>
  <si>
    <t>Hablar para llegar a una solución.</t>
  </si>
  <si>
    <t>Aplicar sanciones de ser necesario.</t>
  </si>
  <si>
    <t>Hacer saber a los responsables y al cliente la situación actual del proyecto para llegar a una solución.</t>
  </si>
  <si>
    <t>Establecer el diseño de modo que cubra las necesaidades del cliente.</t>
  </si>
  <si>
    <t>Conocer las metodologías a utilizar.</t>
  </si>
  <si>
    <t>Escoger un lenguaje que se adapte a los requerimeintos establecidos</t>
  </si>
  <si>
    <t>Implementar la funcionalidad en caso de ser absolutamente necesario de otro modo descartar.</t>
  </si>
  <si>
    <t>Octavio Muñoz Bernabé.</t>
  </si>
  <si>
    <t>Establecer estándares de calidad</t>
  </si>
  <si>
    <t>No sobreestimar el  ahorro  en  la  planificación.</t>
  </si>
  <si>
    <t>Las tareas que se asignaron a cada miembro no se ajustan a las posibilidades o habilidades que el miembro tiene. El miembro del equipo pude que las ejecute de manera incorrecta o pude que no las termine de realizar.</t>
  </si>
  <si>
    <t>Los miembros del equipo no dan el rendimiento máximo para realizar las actividades. Trabajan de manera lenta, ocasionando que los entregables del proyecto no se entreguen en el tiempo establecido. La entrega del proyecto se demora.</t>
  </si>
  <si>
    <t>Personas apropiadas disponIbles, no incorporadas por otras cuestiones</t>
  </si>
  <si>
    <t>RG_121</t>
  </si>
  <si>
    <t>RG_122</t>
  </si>
  <si>
    <t>RG_123</t>
  </si>
  <si>
    <t>RG_124</t>
  </si>
  <si>
    <t>RG_125</t>
  </si>
  <si>
    <t>RG_126</t>
  </si>
  <si>
    <t>RG_127</t>
  </si>
  <si>
    <t>RG_128</t>
  </si>
  <si>
    <t>RG_129</t>
  </si>
  <si>
    <t>RG_130</t>
  </si>
  <si>
    <t>RG_131</t>
  </si>
  <si>
    <t>RG_132</t>
  </si>
  <si>
    <t>RG_133</t>
  </si>
  <si>
    <t>RG_134</t>
  </si>
  <si>
    <t>RG_135</t>
  </si>
  <si>
    <t>RG_136</t>
  </si>
  <si>
    <t>RG_137</t>
  </si>
  <si>
    <t>RG_138</t>
  </si>
  <si>
    <t>RG_139</t>
  </si>
  <si>
    <t>RG_140</t>
  </si>
  <si>
    <t>https://github.com/SharkOnTeam/Proyecto-TWFF/tree/master/TWFF/Documentaci%C3%B3n/Formato%20de%20Riesgos</t>
  </si>
  <si>
    <t>Implementar el proyecto en lenguaje de programación de bajo nivel puede ocasionar que la productividad del software sea menor y que la calidad del mismo sea poca.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</si>
</sst>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u/>
      <sz val="10"/>
      <color theme="10"/>
      <name val="Arial"/>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0" fontId="21" fillId="0" borderId="0" applyNumberFormat="0" applyFill="0" applyBorder="0" applyAlignment="0" applyProtection="0"/>
  </cellStyleXfs>
  <cellXfs count="21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Alignment="1">
      <alignment horizontal="center" vertical="top" wrapText="1"/>
    </xf>
    <xf numFmtId="0" fontId="17" fillId="0" borderId="10" xfId="0" applyFont="1" applyBorder="1" applyAlignment="1">
      <alignment horizontal="center" vertical="top" wrapText="1"/>
    </xf>
    <xf numFmtId="165" fontId="0" fillId="0" borderId="10" xfId="0" applyNumberFormat="1" applyBorder="1" applyAlignment="1">
      <alignment horizontal="center" vertical="top" wrapText="1"/>
    </xf>
    <xf numFmtId="1" fontId="17" fillId="0" borderId="17" xfId="0" applyNumberFormat="1" applyFont="1" applyBorder="1" applyAlignment="1">
      <alignment horizontal="center" vertical="top"/>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0" fillId="0" borderId="2" xfId="0" applyNumberFormat="1" applyFont="1" applyBorder="1" applyAlignment="1">
      <alignment horizontal="center"/>
    </xf>
    <xf numFmtId="0" fontId="21" fillId="0" borderId="0" xfId="2"/>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3">
    <cellStyle name="Hipervínculo" xfId="2" builtinId="8"/>
    <cellStyle name="Normal" xfId="0" builtinId="0"/>
    <cellStyle name="Normal_RM_Risks" xfId="1" xr:uid="{00000000-0005-0000-0000-000001000000}"/>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c:v>
                </c:pt>
                <c:pt idx="1">
                  <c:v>0</c:v>
                </c:pt>
                <c:pt idx="2">
                  <c:v>0</c:v>
                </c:pt>
                <c:pt idx="3">
                  <c:v>0</c:v>
                </c:pt>
              </c:numCache>
            </c:numRef>
          </c:val>
          <c:extLst>
            <c:ext xmlns:c16="http://schemas.microsoft.com/office/drawing/2014/chart" uri="{C3380CC4-5D6E-409C-BE32-E72D297353CC}">
              <c16:uniqueId val="{00000000-2232-4056-8628-0CAC86E215F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0</c:v>
                </c:pt>
                <c:pt idx="3">
                  <c:v>1</c:v>
                </c:pt>
              </c:numCache>
            </c:numRef>
          </c:val>
          <c:extLst>
            <c:ext xmlns:c16="http://schemas.microsoft.com/office/drawing/2014/chart" uri="{C3380CC4-5D6E-409C-BE32-E72D297353CC}">
              <c16:uniqueId val="{00000001-2232-4056-8628-0CAC86E215F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9</c:v>
                </c:pt>
                <c:pt idx="1">
                  <c:v>0</c:v>
                </c:pt>
                <c:pt idx="2">
                  <c:v>0</c:v>
                </c:pt>
                <c:pt idx="3">
                  <c:v>1</c:v>
                </c:pt>
              </c:numCache>
            </c:numRef>
          </c:val>
          <c:extLst>
            <c:ext xmlns:c16="http://schemas.microsoft.com/office/drawing/2014/chart" uri="{C3380CC4-5D6E-409C-BE32-E72D297353CC}">
              <c16:uniqueId val="{00000002-2232-4056-8628-0CAC86E215F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2</c:v>
                </c:pt>
              </c:numCache>
            </c:numRef>
          </c:val>
          <c:extLst>
            <c:ext xmlns:c16="http://schemas.microsoft.com/office/drawing/2014/chart" uri="{C3380CC4-5D6E-409C-BE32-E72D297353CC}">
              <c16:uniqueId val="{00000003-2232-4056-8628-0CAC86E215F2}"/>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0</xdr:row>
      <xdr:rowOff>85725</xdr:rowOff>
    </xdr:from>
    <xdr:to>
      <xdr:col>0</xdr:col>
      <xdr:colOff>1371600</xdr:colOff>
      <xdr:row>5</xdr:row>
      <xdr:rowOff>110159</xdr:rowOff>
    </xdr:to>
    <xdr:pic>
      <xdr:nvPicPr>
        <xdr:cNvPr id="2" name="Imagen 1">
          <a:extLst>
            <a:ext uri="{FF2B5EF4-FFF2-40B4-BE49-F238E27FC236}">
              <a16:creationId xmlns:a16="http://schemas.microsoft.com/office/drawing/2014/main" id="{C6900A12-37FD-423E-AF5B-939F29FB1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85725"/>
          <a:ext cx="904875" cy="834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0</xdr:row>
      <xdr:rowOff>133350</xdr:rowOff>
    </xdr:from>
    <xdr:to>
      <xdr:col>1</xdr:col>
      <xdr:colOff>314325</xdr:colOff>
      <xdr:row>5</xdr:row>
      <xdr:rowOff>157784</xdr:rowOff>
    </xdr:to>
    <xdr:pic>
      <xdr:nvPicPr>
        <xdr:cNvPr id="3" name="Imagen 2">
          <a:extLst>
            <a:ext uri="{FF2B5EF4-FFF2-40B4-BE49-F238E27FC236}">
              <a16:creationId xmlns:a16="http://schemas.microsoft.com/office/drawing/2014/main" id="{9272B8D6-17B9-4A5B-B3DB-6A5694CDE0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33350"/>
          <a:ext cx="904875" cy="834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SharkOnTeam/Proyecto-TWFF/tree/master/TWFF/Documentaci%C3%B3n/Formato%20de%20Riesg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32"/>
  <sheetViews>
    <sheetView workbookViewId="0">
      <selection activeCell="D7" sqref="D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194" t="s">
        <v>233</v>
      </c>
    </row>
    <row r="8" spans="1:5" x14ac:dyDescent="0.2">
      <c r="A8" s="195"/>
    </row>
    <row r="9" spans="1:5" x14ac:dyDescent="0.2">
      <c r="A9" s="196" t="s">
        <v>217</v>
      </c>
      <c r="B9" s="197" t="s">
        <v>218</v>
      </c>
      <c r="C9" s="197"/>
      <c r="D9" s="197"/>
    </row>
    <row r="10" spans="1:5" x14ac:dyDescent="0.2">
      <c r="A10" s="196" t="s">
        <v>219</v>
      </c>
      <c r="B10" s="208" t="s">
        <v>239</v>
      </c>
      <c r="C10" s="197"/>
      <c r="D10" s="197"/>
    </row>
    <row r="11" spans="1:5" x14ac:dyDescent="0.2">
      <c r="A11" s="196" t="s">
        <v>220</v>
      </c>
      <c r="B11" s="198">
        <v>43998</v>
      </c>
      <c r="C11" s="197"/>
      <c r="D11" s="197"/>
    </row>
    <row r="12" spans="1:5" x14ac:dyDescent="0.2">
      <c r="A12" s="196" t="s">
        <v>221</v>
      </c>
      <c r="B12" s="208" t="s">
        <v>240</v>
      </c>
      <c r="C12" s="197"/>
      <c r="D12" s="197"/>
    </row>
    <row r="13" spans="1:5" ht="25.5" x14ac:dyDescent="0.2">
      <c r="A13" s="196" t="s">
        <v>222</v>
      </c>
      <c r="B13" s="215" t="s">
        <v>372</v>
      </c>
      <c r="C13" s="197"/>
      <c r="D13" s="197"/>
    </row>
    <row r="14" spans="1:5" x14ac:dyDescent="0.2">
      <c r="A14" s="196" t="s">
        <v>223</v>
      </c>
      <c r="B14" s="197"/>
      <c r="C14" s="197"/>
      <c r="D14" s="197"/>
    </row>
    <row r="15" spans="1:5" x14ac:dyDescent="0.2">
      <c r="A15" s="197"/>
      <c r="B15" s="197"/>
      <c r="C15" s="197"/>
      <c r="D15" s="197"/>
    </row>
    <row r="16" spans="1:5" ht="15.75" customHeight="1" x14ac:dyDescent="0.2">
      <c r="A16" s="216" t="s">
        <v>224</v>
      </c>
      <c r="B16" s="217"/>
      <c r="C16" s="199"/>
      <c r="D16" s="199"/>
      <c r="E16" s="200"/>
    </row>
    <row r="17" spans="1:4" x14ac:dyDescent="0.2">
      <c r="A17" s="196" t="s">
        <v>225</v>
      </c>
      <c r="B17" s="196" t="s">
        <v>226</v>
      </c>
      <c r="C17" s="197"/>
      <c r="D17" s="197"/>
    </row>
    <row r="18" spans="1:4" ht="25.5" x14ac:dyDescent="0.2">
      <c r="A18" s="209" t="s">
        <v>241</v>
      </c>
      <c r="B18" s="203">
        <v>43998</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16" t="s">
        <v>227</v>
      </c>
      <c r="B22" s="217"/>
      <c r="C22" s="197"/>
      <c r="D22" s="197"/>
    </row>
    <row r="23" spans="1:4" x14ac:dyDescent="0.2">
      <c r="A23" s="196" t="s">
        <v>225</v>
      </c>
      <c r="B23" s="196" t="s">
        <v>228</v>
      </c>
      <c r="C23" s="197"/>
      <c r="D23" s="197"/>
    </row>
    <row r="24" spans="1:4" ht="25.5" x14ac:dyDescent="0.2">
      <c r="A24" s="209" t="s">
        <v>241</v>
      </c>
      <c r="B24" s="203">
        <v>43999</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6" t="s">
        <v>229</v>
      </c>
      <c r="B28" s="218"/>
      <c r="C28" s="218"/>
      <c r="D28" s="217"/>
    </row>
    <row r="29" spans="1:4" x14ac:dyDescent="0.2">
      <c r="A29" s="196" t="s">
        <v>217</v>
      </c>
      <c r="B29" s="202" t="s">
        <v>220</v>
      </c>
      <c r="C29" s="202" t="s">
        <v>230</v>
      </c>
      <c r="D29" s="202" t="s">
        <v>231</v>
      </c>
    </row>
    <row r="30" spans="1:4" ht="63.75" x14ac:dyDescent="0.2">
      <c r="A30" s="210">
        <v>1</v>
      </c>
      <c r="B30" s="203">
        <v>43998</v>
      </c>
      <c r="C30" s="208" t="s">
        <v>242</v>
      </c>
      <c r="D30" s="201" t="s">
        <v>232</v>
      </c>
    </row>
    <row r="31" spans="1:4" s="201" customFormat="1" x14ac:dyDescent="0.2"/>
    <row r="32" spans="1:4" s="201" customFormat="1" x14ac:dyDescent="0.2"/>
  </sheetData>
  <mergeCells count="3">
    <mergeCell ref="A16:B16"/>
    <mergeCell ref="A22:B22"/>
    <mergeCell ref="A28:D28"/>
  </mergeCells>
  <phoneticPr fontId="6" type="noConversion"/>
  <hyperlinks>
    <hyperlink ref="B13" r:id="rId1" xr:uid="{42EFAECE-2DFB-4BDD-B08D-A62E6CDD1589}"/>
  </hyperlinks>
  <pageMargins left="0.75" right="0.75" top="1" bottom="1" header="0" footer="0"/>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130" workbookViewId="0">
      <selection activeCell="B116" sqref="B11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abSelected="1" topLeftCell="B493" zoomScale="80" zoomScaleNormal="80" workbookViewId="0">
      <selection activeCell="C295" sqref="C29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243</v>
      </c>
      <c r="E2" s="186" t="s">
        <v>81</v>
      </c>
      <c r="F2" s="103">
        <v>43998</v>
      </c>
      <c r="I2" s="138" t="s">
        <v>92</v>
      </c>
      <c r="AB2" s="101" t="s">
        <v>27</v>
      </c>
    </row>
    <row r="3" spans="2:28" ht="13.5" thickBot="1" x14ac:dyDescent="0.25">
      <c r="B3" s="164" t="s">
        <v>109</v>
      </c>
      <c r="C3" s="211" t="s">
        <v>352</v>
      </c>
      <c r="D3" s="166" t="s">
        <v>269</v>
      </c>
      <c r="E3" s="167" t="s">
        <v>51</v>
      </c>
      <c r="F3" s="168" t="s">
        <v>104</v>
      </c>
      <c r="I3" s="138" t="s">
        <v>92</v>
      </c>
      <c r="AB3">
        <v>1</v>
      </c>
    </row>
    <row r="4" spans="2:28" x14ac:dyDescent="0.2">
      <c r="B4" s="190" t="s">
        <v>215</v>
      </c>
      <c r="C4" s="191"/>
      <c r="D4" s="192"/>
      <c r="E4" s="21"/>
      <c r="F4" s="193"/>
      <c r="I4" s="138"/>
    </row>
    <row r="5" spans="2:28" x14ac:dyDescent="0.2">
      <c r="B5" s="13" t="s">
        <v>39</v>
      </c>
      <c r="C5" s="131">
        <v>43997</v>
      </c>
      <c r="D5" s="15" t="str">
        <f>IF(OR(C8="",C9=""),"",VLOOKUP(CONCATENATE(C8," - ",C9),Exposure,2))</f>
        <v>Y</v>
      </c>
      <c r="E5" s="16" t="s">
        <v>135</v>
      </c>
      <c r="F5" s="113">
        <v>4</v>
      </c>
      <c r="I5" s="138" t="s">
        <v>92</v>
      </c>
      <c r="AB5">
        <v>2</v>
      </c>
    </row>
    <row r="6" spans="2:28" x14ac:dyDescent="0.2">
      <c r="B6" s="13" t="s">
        <v>84</v>
      </c>
      <c r="C6" s="212" t="s">
        <v>240</v>
      </c>
      <c r="D6" s="15" t="s">
        <v>126</v>
      </c>
      <c r="E6" s="16" t="s">
        <v>56</v>
      </c>
      <c r="F6" s="134" t="s">
        <v>268</v>
      </c>
      <c r="I6" s="138" t="s">
        <v>92</v>
      </c>
      <c r="AB6">
        <v>3</v>
      </c>
    </row>
    <row r="7" spans="2:28" x14ac:dyDescent="0.2">
      <c r="B7" s="13" t="s">
        <v>85</v>
      </c>
      <c r="C7" s="213" t="s">
        <v>240</v>
      </c>
      <c r="D7" s="18"/>
      <c r="E7" s="16" t="s">
        <v>91</v>
      </c>
      <c r="F7" s="134" t="s">
        <v>106</v>
      </c>
      <c r="I7" s="138" t="s">
        <v>92</v>
      </c>
      <c r="AB7">
        <v>4</v>
      </c>
    </row>
    <row r="8" spans="2:28" x14ac:dyDescent="0.2">
      <c r="B8" s="13" t="s">
        <v>44</v>
      </c>
      <c r="C8" s="133" t="s">
        <v>94</v>
      </c>
      <c r="D8" s="49" t="str">
        <f>IF(C8="","WARNING - Please enter a Probability.","")</f>
        <v/>
      </c>
      <c r="E8" s="16" t="s">
        <v>60</v>
      </c>
      <c r="F8" s="134" t="s">
        <v>107</v>
      </c>
      <c r="I8" s="138" t="s">
        <v>92</v>
      </c>
      <c r="AB8">
        <v>5</v>
      </c>
    </row>
    <row r="9" spans="2:28" x14ac:dyDescent="0.2">
      <c r="B9" s="13" t="s">
        <v>50</v>
      </c>
      <c r="C9" s="133" t="s">
        <v>263</v>
      </c>
      <c r="D9" s="15" t="s">
        <v>96</v>
      </c>
      <c r="E9" s="16" t="s">
        <v>61</v>
      </c>
      <c r="F9" s="135">
        <v>43998</v>
      </c>
      <c r="I9" s="138" t="s">
        <v>92</v>
      </c>
      <c r="AB9">
        <v>6</v>
      </c>
    </row>
    <row r="10" spans="2:28" ht="25.5" x14ac:dyDescent="0.2">
      <c r="B10" s="187" t="s">
        <v>57</v>
      </c>
      <c r="C10" s="133" t="s">
        <v>95</v>
      </c>
      <c r="D10" s="15" t="s">
        <v>99</v>
      </c>
      <c r="E10" s="16" t="s">
        <v>62</v>
      </c>
      <c r="F10" s="135">
        <v>43998</v>
      </c>
      <c r="I10" s="138" t="s">
        <v>92</v>
      </c>
      <c r="AB10">
        <v>7</v>
      </c>
    </row>
    <row r="11" spans="2:28" x14ac:dyDescent="0.2">
      <c r="B11" s="13"/>
      <c r="C11" s="15"/>
      <c r="D11" s="15"/>
      <c r="E11" s="18"/>
      <c r="F11" s="19"/>
      <c r="I11" s="138" t="s">
        <v>92</v>
      </c>
      <c r="AB11">
        <v>8</v>
      </c>
    </row>
    <row r="12" spans="2:28" x14ac:dyDescent="0.2">
      <c r="B12" s="20"/>
      <c r="C12" s="21" t="s">
        <v>89</v>
      </c>
      <c r="D12" s="174" t="s">
        <v>276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277</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313</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240</v>
      </c>
      <c r="C23" s="26">
        <v>1</v>
      </c>
      <c r="D23" s="22" t="s">
        <v>331</v>
      </c>
      <c r="E23" s="27">
        <v>43998</v>
      </c>
      <c r="F23" s="28" t="s">
        <v>86</v>
      </c>
      <c r="I23" s="138" t="s">
        <v>92</v>
      </c>
      <c r="AB23">
        <v>18</v>
      </c>
    </row>
    <row r="24" spans="2:28" x14ac:dyDescent="0.2">
      <c r="B24" s="25"/>
      <c r="C24" s="26"/>
      <c r="D24" s="22"/>
      <c r="E24" s="27"/>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11" t="s">
        <v>353</v>
      </c>
      <c r="D30" s="166" t="s">
        <v>270</v>
      </c>
      <c r="E30" s="167" t="s">
        <v>51</v>
      </c>
      <c r="F30" s="168" t="s">
        <v>266</v>
      </c>
      <c r="I30" s="138" t="s">
        <v>92</v>
      </c>
      <c r="AB30">
        <v>1</v>
      </c>
    </row>
    <row r="31" spans="2:28" x14ac:dyDescent="0.2">
      <c r="B31" s="190" t="s">
        <v>215</v>
      </c>
      <c r="C31" s="191"/>
      <c r="D31" s="192"/>
      <c r="E31" s="21"/>
      <c r="F31" s="193"/>
      <c r="I31" s="138"/>
    </row>
    <row r="32" spans="2:28" x14ac:dyDescent="0.2">
      <c r="B32" s="13" t="s">
        <v>39</v>
      </c>
      <c r="C32" s="131">
        <v>43997</v>
      </c>
      <c r="D32" s="15" t="str">
        <f>IF(OR(C35="",C36=""),"",VLOOKUP(CONCATENATE(C35," - ",C36),Exposure,2))</f>
        <v>R</v>
      </c>
      <c r="E32" s="16" t="s">
        <v>135</v>
      </c>
      <c r="F32" s="113">
        <v>1</v>
      </c>
      <c r="I32" s="138" t="s">
        <v>92</v>
      </c>
      <c r="AB32">
        <v>2</v>
      </c>
    </row>
    <row r="33" spans="2:28" x14ac:dyDescent="0.2">
      <c r="B33" s="13" t="s">
        <v>84</v>
      </c>
      <c r="C33" s="212" t="s">
        <v>240</v>
      </c>
      <c r="D33" s="15" t="s">
        <v>126</v>
      </c>
      <c r="E33" s="16" t="s">
        <v>56</v>
      </c>
      <c r="F33" s="134" t="s">
        <v>268</v>
      </c>
      <c r="I33" s="138" t="s">
        <v>92</v>
      </c>
      <c r="AB33">
        <v>3</v>
      </c>
    </row>
    <row r="34" spans="2:28" x14ac:dyDescent="0.2">
      <c r="B34" s="13" t="s">
        <v>85</v>
      </c>
      <c r="C34" s="213" t="s">
        <v>240</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263</v>
      </c>
      <c r="D35" s="49" t="str">
        <f>IF(C35="","WARNING - Please enter a Probability.","")</f>
        <v/>
      </c>
      <c r="E35" s="16" t="s">
        <v>60</v>
      </c>
      <c r="F35" s="134" t="s">
        <v>107</v>
      </c>
      <c r="I35" s="138" t="s">
        <v>92</v>
      </c>
      <c r="AB35">
        <v>5</v>
      </c>
    </row>
    <row r="36" spans="2:28" x14ac:dyDescent="0.2">
      <c r="B36" s="13" t="s">
        <v>50</v>
      </c>
      <c r="C36" s="133" t="s">
        <v>263</v>
      </c>
      <c r="D36" s="15" t="s">
        <v>96</v>
      </c>
      <c r="E36" s="16" t="s">
        <v>61</v>
      </c>
      <c r="F36" s="135">
        <v>43998</v>
      </c>
      <c r="I36" s="138" t="s">
        <v>92</v>
      </c>
      <c r="AB36">
        <v>6</v>
      </c>
    </row>
    <row r="37" spans="2:28" ht="25.5" x14ac:dyDescent="0.2">
      <c r="B37" s="187" t="s">
        <v>57</v>
      </c>
      <c r="C37" s="133" t="s">
        <v>264</v>
      </c>
      <c r="D37" s="15" t="s">
        <v>99</v>
      </c>
      <c r="E37" s="16" t="s">
        <v>62</v>
      </c>
      <c r="F37" s="175">
        <v>43998</v>
      </c>
      <c r="I37" s="138" t="s">
        <v>92</v>
      </c>
      <c r="AB37">
        <v>7</v>
      </c>
    </row>
    <row r="38" spans="2:28" x14ac:dyDescent="0.2">
      <c r="B38" s="13"/>
      <c r="C38" s="15"/>
      <c r="D38" s="15"/>
      <c r="E38" s="18"/>
      <c r="F38" s="19"/>
      <c r="I38" s="138" t="s">
        <v>92</v>
      </c>
      <c r="AB38">
        <v>8</v>
      </c>
    </row>
    <row r="39" spans="2:28" x14ac:dyDescent="0.2">
      <c r="B39" s="20"/>
      <c r="C39" s="21" t="s">
        <v>89</v>
      </c>
      <c r="D39" s="174" t="s">
        <v>278</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279</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314</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240</v>
      </c>
      <c r="C50" s="26">
        <v>1</v>
      </c>
      <c r="D50" s="22" t="s">
        <v>332</v>
      </c>
      <c r="E50" s="27">
        <v>43998</v>
      </c>
      <c r="F50" s="28" t="s">
        <v>86</v>
      </c>
      <c r="I50" s="138" t="s">
        <v>92</v>
      </c>
      <c r="AB50">
        <v>20</v>
      </c>
    </row>
    <row r="51" spans="1:28" x14ac:dyDescent="0.2">
      <c r="B51" s="25" t="s">
        <v>87</v>
      </c>
      <c r="C51" s="26"/>
      <c r="D51" s="22"/>
      <c r="E51" s="27"/>
      <c r="F51" s="28"/>
      <c r="I51" s="138" t="s">
        <v>92</v>
      </c>
      <c r="AB51">
        <v>21</v>
      </c>
    </row>
    <row r="52" spans="1:28" x14ac:dyDescent="0.2">
      <c r="B52" s="25" t="s">
        <v>87</v>
      </c>
      <c r="C52" s="26"/>
      <c r="D52" s="22"/>
      <c r="E52" s="27"/>
      <c r="F52" s="28"/>
      <c r="I52" s="138" t="s">
        <v>92</v>
      </c>
      <c r="AB52">
        <v>22</v>
      </c>
    </row>
    <row r="53" spans="1:28" x14ac:dyDescent="0.2">
      <c r="B53" s="25" t="s">
        <v>87</v>
      </c>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11" t="s">
        <v>354</v>
      </c>
      <c r="D56" s="166" t="s">
        <v>244</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43997</v>
      </c>
      <c r="D58" s="15" t="str">
        <f>IF(OR(C61="",C62=""),"",VLOOKUP(CONCATENATE(C61," - ",C62),Exposure,2))</f>
        <v>G</v>
      </c>
      <c r="E58" s="16" t="s">
        <v>135</v>
      </c>
      <c r="F58" s="113">
        <v>1</v>
      </c>
      <c r="I58" s="138" t="s">
        <v>92</v>
      </c>
      <c r="AB58">
        <v>2</v>
      </c>
    </row>
    <row r="59" spans="1:28" x14ac:dyDescent="0.2">
      <c r="B59" s="13" t="s">
        <v>84</v>
      </c>
      <c r="C59" s="212" t="s">
        <v>240</v>
      </c>
      <c r="D59" s="15" t="s">
        <v>126</v>
      </c>
      <c r="E59" s="16" t="s">
        <v>56</v>
      </c>
      <c r="F59" s="134" t="s">
        <v>268</v>
      </c>
      <c r="I59" s="138" t="s">
        <v>92</v>
      </c>
      <c r="AB59">
        <v>3</v>
      </c>
    </row>
    <row r="60" spans="1:28" x14ac:dyDescent="0.2">
      <c r="B60" s="13" t="s">
        <v>85</v>
      </c>
      <c r="C60" s="213" t="s">
        <v>240</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262</v>
      </c>
      <c r="D62" s="15" t="s">
        <v>96</v>
      </c>
      <c r="E62" s="16" t="s">
        <v>61</v>
      </c>
      <c r="F62" s="135">
        <v>43998</v>
      </c>
      <c r="I62" s="138" t="s">
        <v>92</v>
      </c>
      <c r="AB62">
        <v>6</v>
      </c>
    </row>
    <row r="63" spans="1:28" ht="25.5" x14ac:dyDescent="0.2">
      <c r="B63" s="187" t="s">
        <v>57</v>
      </c>
      <c r="C63" s="133" t="s">
        <v>95</v>
      </c>
      <c r="D63" s="15" t="s">
        <v>99</v>
      </c>
      <c r="E63" s="16" t="s">
        <v>62</v>
      </c>
      <c r="F63" s="175">
        <v>43998</v>
      </c>
      <c r="I63" s="138" t="s">
        <v>92</v>
      </c>
      <c r="AB63">
        <v>7</v>
      </c>
    </row>
    <row r="64" spans="1:28" x14ac:dyDescent="0.2">
      <c r="B64" s="13"/>
      <c r="C64" s="15"/>
      <c r="D64" s="15"/>
      <c r="E64" s="18"/>
      <c r="F64" s="19"/>
      <c r="I64" s="138" t="s">
        <v>92</v>
      </c>
      <c r="AB64">
        <v>8</v>
      </c>
    </row>
    <row r="65" spans="2:28" x14ac:dyDescent="0.2">
      <c r="B65" s="20"/>
      <c r="C65" s="21" t="s">
        <v>89</v>
      </c>
      <c r="D65" s="174" t="s">
        <v>280</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281</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315</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240</v>
      </c>
      <c r="C76" s="26">
        <v>1</v>
      </c>
      <c r="D76" s="22" t="s">
        <v>333</v>
      </c>
      <c r="E76" s="27">
        <v>43998</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1" t="s">
        <v>355</v>
      </c>
      <c r="D82" s="166" t="s">
        <v>245</v>
      </c>
      <c r="E82" s="167" t="s">
        <v>51</v>
      </c>
      <c r="F82" s="168" t="s">
        <v>267</v>
      </c>
      <c r="I82" s="138" t="s">
        <v>92</v>
      </c>
      <c r="AB82">
        <v>1</v>
      </c>
    </row>
    <row r="83" spans="2:28" x14ac:dyDescent="0.2">
      <c r="B83" s="190" t="s">
        <v>215</v>
      </c>
      <c r="C83" s="191"/>
      <c r="D83" s="192"/>
      <c r="E83" s="21"/>
      <c r="F83" s="193"/>
      <c r="I83" s="138"/>
    </row>
    <row r="84" spans="2:28" x14ac:dyDescent="0.2">
      <c r="B84" s="13" t="s">
        <v>39</v>
      </c>
      <c r="C84" s="131">
        <v>43997</v>
      </c>
      <c r="D84" s="15" t="str">
        <f>IF(OR(C87="",C88=""),"",VLOOKUP(CONCATENATE(C87," - ",C88),Exposure,2))</f>
        <v>Y</v>
      </c>
      <c r="E84" s="16" t="s">
        <v>135</v>
      </c>
      <c r="F84" s="113">
        <v>5</v>
      </c>
      <c r="I84" s="138" t="s">
        <v>92</v>
      </c>
      <c r="AB84">
        <v>2</v>
      </c>
    </row>
    <row r="85" spans="2:28" x14ac:dyDescent="0.2">
      <c r="B85" s="13" t="s">
        <v>84</v>
      </c>
      <c r="C85" s="212" t="s">
        <v>240</v>
      </c>
      <c r="D85" s="15" t="s">
        <v>126</v>
      </c>
      <c r="E85" s="16" t="s">
        <v>56</v>
      </c>
      <c r="F85" s="134" t="s">
        <v>271</v>
      </c>
      <c r="I85" s="138" t="s">
        <v>92</v>
      </c>
      <c r="AB85">
        <v>3</v>
      </c>
    </row>
    <row r="86" spans="2:28" x14ac:dyDescent="0.2">
      <c r="B86" s="13" t="s">
        <v>85</v>
      </c>
      <c r="C86" s="213" t="s">
        <v>240</v>
      </c>
      <c r="D86" s="18"/>
      <c r="E86" s="16" t="s">
        <v>91</v>
      </c>
      <c r="F86" s="134" t="s">
        <v>106</v>
      </c>
      <c r="I86" s="138" t="s">
        <v>92</v>
      </c>
      <c r="AB86">
        <v>4</v>
      </c>
    </row>
    <row r="87" spans="2:28" x14ac:dyDescent="0.2">
      <c r="B87" s="13" t="s">
        <v>44</v>
      </c>
      <c r="C87" s="133" t="s">
        <v>262</v>
      </c>
      <c r="D87" s="49" t="str">
        <f>IF(C87="","WARNING - Please enter a Probability.","")</f>
        <v/>
      </c>
      <c r="E87" s="16" t="s">
        <v>60</v>
      </c>
      <c r="F87" s="134" t="s">
        <v>107</v>
      </c>
      <c r="I87" s="138" t="s">
        <v>92</v>
      </c>
      <c r="AB87">
        <v>5</v>
      </c>
    </row>
    <row r="88" spans="2:28" x14ac:dyDescent="0.2">
      <c r="B88" s="13" t="s">
        <v>50</v>
      </c>
      <c r="C88" s="133" t="s">
        <v>262</v>
      </c>
      <c r="D88" s="15" t="s">
        <v>96</v>
      </c>
      <c r="E88" s="16" t="s">
        <v>61</v>
      </c>
      <c r="F88" s="135">
        <v>43998</v>
      </c>
      <c r="I88" s="138" t="s">
        <v>92</v>
      </c>
      <c r="AB88">
        <v>6</v>
      </c>
    </row>
    <row r="89" spans="2:28" ht="25.5" x14ac:dyDescent="0.2">
      <c r="B89" s="187" t="s">
        <v>57</v>
      </c>
      <c r="C89" s="133" t="s">
        <v>264</v>
      </c>
      <c r="D89" s="15" t="s">
        <v>99</v>
      </c>
      <c r="E89" s="16" t="s">
        <v>62</v>
      </c>
      <c r="F89" s="175">
        <v>43998</v>
      </c>
      <c r="I89" s="138" t="s">
        <v>92</v>
      </c>
      <c r="AB89">
        <v>7</v>
      </c>
    </row>
    <row r="90" spans="2:28" x14ac:dyDescent="0.2">
      <c r="B90" s="13"/>
      <c r="C90" s="15"/>
      <c r="D90" s="15"/>
      <c r="E90" s="18"/>
      <c r="F90" s="19"/>
      <c r="I90" s="138" t="s">
        <v>92</v>
      </c>
      <c r="AB90">
        <v>8</v>
      </c>
    </row>
    <row r="91" spans="2:28" ht="25.5" x14ac:dyDescent="0.2">
      <c r="B91" s="20"/>
      <c r="C91" s="21" t="s">
        <v>89</v>
      </c>
      <c r="D91" s="174" t="s">
        <v>316</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282</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22" t="s">
        <v>317</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240</v>
      </c>
      <c r="C102" s="26">
        <v>1</v>
      </c>
      <c r="D102" s="22" t="s">
        <v>334</v>
      </c>
      <c r="E102" s="27">
        <v>43998</v>
      </c>
      <c r="F102" s="28" t="s">
        <v>86</v>
      </c>
      <c r="I102" s="138" t="s">
        <v>92</v>
      </c>
      <c r="AB102">
        <v>20</v>
      </c>
    </row>
    <row r="103" spans="2:28" x14ac:dyDescent="0.2">
      <c r="B103" s="25" t="s">
        <v>87</v>
      </c>
      <c r="C103" s="26"/>
      <c r="D103" s="22"/>
      <c r="E103" s="27"/>
      <c r="F103" s="28"/>
      <c r="I103" s="138" t="s">
        <v>92</v>
      </c>
      <c r="AB103">
        <v>21</v>
      </c>
    </row>
    <row r="104" spans="2:28" x14ac:dyDescent="0.2">
      <c r="B104" s="25" t="s">
        <v>87</v>
      </c>
      <c r="C104" s="26"/>
      <c r="D104" s="22"/>
      <c r="E104" s="27"/>
      <c r="F104" s="28"/>
      <c r="I104" s="138" t="s">
        <v>92</v>
      </c>
      <c r="AB104">
        <v>22</v>
      </c>
    </row>
    <row r="105" spans="2:28" x14ac:dyDescent="0.2">
      <c r="B105" s="25" t="s">
        <v>87</v>
      </c>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211" t="s">
        <v>356</v>
      </c>
      <c r="D108" s="166" t="s">
        <v>351</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v>43997</v>
      </c>
      <c r="D110" s="15" t="str">
        <f>IF(OR(C113="",C114=""),"",VLOOKUP(CONCATENATE(C113," - ",C114),Exposure,2))</f>
        <v>G</v>
      </c>
      <c r="E110" s="16" t="s">
        <v>135</v>
      </c>
      <c r="F110" s="113">
        <v>4</v>
      </c>
      <c r="I110" s="138" t="s">
        <v>92</v>
      </c>
      <c r="AB110">
        <v>2</v>
      </c>
    </row>
    <row r="111" spans="2:28" x14ac:dyDescent="0.2">
      <c r="B111" s="13" t="s">
        <v>84</v>
      </c>
      <c r="C111" s="212" t="s">
        <v>240</v>
      </c>
      <c r="D111" s="15" t="s">
        <v>126</v>
      </c>
      <c r="E111" s="16" t="s">
        <v>56</v>
      </c>
      <c r="F111" s="134" t="s">
        <v>271</v>
      </c>
      <c r="I111" s="138" t="s">
        <v>92</v>
      </c>
      <c r="AB111">
        <v>3</v>
      </c>
    </row>
    <row r="112" spans="2:28" x14ac:dyDescent="0.2">
      <c r="B112" s="13" t="s">
        <v>85</v>
      </c>
      <c r="C112" s="213" t="s">
        <v>240</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5">
        <v>43998</v>
      </c>
      <c r="I114" s="138" t="s">
        <v>92</v>
      </c>
      <c r="AB114">
        <v>6</v>
      </c>
    </row>
    <row r="115" spans="2:28" ht="25.5" x14ac:dyDescent="0.2">
      <c r="B115" s="187" t="s">
        <v>57</v>
      </c>
      <c r="C115" s="133" t="s">
        <v>264</v>
      </c>
      <c r="D115" s="15" t="s">
        <v>99</v>
      </c>
      <c r="E115" s="16" t="s">
        <v>62</v>
      </c>
      <c r="F115" s="175">
        <v>43998</v>
      </c>
      <c r="I115" s="138" t="s">
        <v>92</v>
      </c>
      <c r="AB115">
        <v>7</v>
      </c>
    </row>
    <row r="116" spans="2:28" x14ac:dyDescent="0.2">
      <c r="B116" s="13"/>
      <c r="C116" s="15"/>
      <c r="D116" s="15"/>
      <c r="E116" s="18"/>
      <c r="F116" s="19"/>
      <c r="I116" s="138" t="s">
        <v>92</v>
      </c>
      <c r="AB116">
        <v>8</v>
      </c>
    </row>
    <row r="117" spans="2:28" ht="38.25" x14ac:dyDescent="0.2">
      <c r="B117" s="20"/>
      <c r="C117" s="21" t="s">
        <v>89</v>
      </c>
      <c r="D117" s="174" t="s">
        <v>283</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282</v>
      </c>
      <c r="E119" s="18"/>
      <c r="F119" s="19"/>
      <c r="I119" s="138" t="s">
        <v>92</v>
      </c>
      <c r="AB119">
        <v>11</v>
      </c>
    </row>
    <row r="120" spans="2:28" ht="6" customHeight="1" x14ac:dyDescent="0.2">
      <c r="B120" s="20"/>
      <c r="C120" s="21"/>
      <c r="D120" s="22"/>
      <c r="E120" s="18"/>
      <c r="F120" s="19"/>
      <c r="I120" s="138" t="s">
        <v>92</v>
      </c>
      <c r="AB120">
        <v>12</v>
      </c>
    </row>
    <row r="121" spans="2:28" ht="63.75" x14ac:dyDescent="0.2">
      <c r="B121" s="20"/>
      <c r="C121" s="21" t="s">
        <v>3</v>
      </c>
      <c r="D121" s="22" t="s">
        <v>318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240</v>
      </c>
      <c r="C128" s="26">
        <v>1</v>
      </c>
      <c r="D128" s="22" t="s">
        <v>335</v>
      </c>
      <c r="E128" s="27">
        <v>43998</v>
      </c>
      <c r="F128" s="28" t="s">
        <v>86</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11" t="s">
        <v>357</v>
      </c>
      <c r="D134" s="166" t="s">
        <v>246</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v>43997</v>
      </c>
      <c r="D136" s="15" t="str">
        <f>IF(OR(C139="",C140=""),"",VLOOKUP(CONCATENATE(C139," - ",C140),Exposure,2))</f>
        <v>Y</v>
      </c>
      <c r="E136" s="16" t="s">
        <v>135</v>
      </c>
      <c r="F136" s="113">
        <v>7</v>
      </c>
      <c r="I136" s="138" t="s">
        <v>92</v>
      </c>
      <c r="AB136">
        <v>2</v>
      </c>
    </row>
    <row r="137" spans="2:28" x14ac:dyDescent="0.2">
      <c r="B137" s="13" t="s">
        <v>84</v>
      </c>
      <c r="C137" s="212" t="s">
        <v>240</v>
      </c>
      <c r="D137" s="15" t="s">
        <v>126</v>
      </c>
      <c r="E137" s="16" t="s">
        <v>56</v>
      </c>
      <c r="F137" s="134" t="s">
        <v>271</v>
      </c>
      <c r="I137" s="138" t="s">
        <v>92</v>
      </c>
      <c r="AB137">
        <v>3</v>
      </c>
    </row>
    <row r="138" spans="2:28" x14ac:dyDescent="0.2">
      <c r="B138" s="13" t="s">
        <v>85</v>
      </c>
      <c r="C138" s="213" t="s">
        <v>240</v>
      </c>
      <c r="D138" s="18"/>
      <c r="E138" s="16" t="s">
        <v>91</v>
      </c>
      <c r="F138" s="134" t="s">
        <v>106</v>
      </c>
      <c r="I138" s="138" t="s">
        <v>92</v>
      </c>
      <c r="AB138">
        <v>4</v>
      </c>
    </row>
    <row r="139" spans="2:28" x14ac:dyDescent="0.2">
      <c r="B139" s="13" t="s">
        <v>44</v>
      </c>
      <c r="C139" s="133" t="s">
        <v>262</v>
      </c>
      <c r="D139" s="49" t="str">
        <f>IF(C139="","WARNING - Please enter a Probability.","")</f>
        <v/>
      </c>
      <c r="E139" s="16" t="s">
        <v>60</v>
      </c>
      <c r="F139" s="134" t="s">
        <v>107</v>
      </c>
      <c r="I139" s="138" t="s">
        <v>92</v>
      </c>
      <c r="AB139">
        <v>5</v>
      </c>
    </row>
    <row r="140" spans="2:28" x14ac:dyDescent="0.2">
      <c r="B140" s="13" t="s">
        <v>50</v>
      </c>
      <c r="C140" s="133" t="s">
        <v>262</v>
      </c>
      <c r="D140" s="15" t="s">
        <v>96</v>
      </c>
      <c r="E140" s="16" t="s">
        <v>61</v>
      </c>
      <c r="F140" s="135">
        <v>43998</v>
      </c>
      <c r="I140" s="138" t="s">
        <v>92</v>
      </c>
      <c r="AB140">
        <v>6</v>
      </c>
    </row>
    <row r="141" spans="2:28" ht="25.5" x14ac:dyDescent="0.2">
      <c r="B141" s="187" t="s">
        <v>57</v>
      </c>
      <c r="C141" s="133" t="s">
        <v>95</v>
      </c>
      <c r="D141" s="15" t="s">
        <v>99</v>
      </c>
      <c r="E141" s="16" t="s">
        <v>62</v>
      </c>
      <c r="F141" s="175">
        <v>43998</v>
      </c>
      <c r="I141" s="138" t="s">
        <v>92</v>
      </c>
      <c r="AB141">
        <v>7</v>
      </c>
    </row>
    <row r="142" spans="2:28" x14ac:dyDescent="0.2">
      <c r="B142" s="13"/>
      <c r="C142" s="15"/>
      <c r="D142" s="15"/>
      <c r="E142" s="18"/>
      <c r="F142" s="19"/>
      <c r="I142" s="138" t="s">
        <v>92</v>
      </c>
      <c r="AB142">
        <v>8</v>
      </c>
    </row>
    <row r="143" spans="2:28" ht="25.5" x14ac:dyDescent="0.2">
      <c r="B143" s="20"/>
      <c r="C143" s="21" t="s">
        <v>89</v>
      </c>
      <c r="D143" s="174" t="s">
        <v>284</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282</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22" t="s">
        <v>319</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240</v>
      </c>
      <c r="C154" s="26">
        <v>1</v>
      </c>
      <c r="D154" s="22" t="s">
        <v>336</v>
      </c>
      <c r="E154" s="27">
        <v>43998</v>
      </c>
      <c r="F154" s="28" t="s">
        <v>86</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11" t="s">
        <v>358</v>
      </c>
      <c r="D160" s="166" t="s">
        <v>247</v>
      </c>
      <c r="E160" s="167" t="s">
        <v>51</v>
      </c>
      <c r="F160" s="168" t="s">
        <v>267</v>
      </c>
      <c r="I160" s="138" t="s">
        <v>93</v>
      </c>
      <c r="AB160">
        <v>1</v>
      </c>
    </row>
    <row r="161" spans="2:28" x14ac:dyDescent="0.2">
      <c r="B161" s="190" t="s">
        <v>215</v>
      </c>
      <c r="C161" s="191"/>
      <c r="D161" s="192"/>
      <c r="E161" s="21"/>
      <c r="F161" s="193"/>
      <c r="I161" s="138"/>
    </row>
    <row r="162" spans="2:28" x14ac:dyDescent="0.2">
      <c r="B162" s="13" t="s">
        <v>39</v>
      </c>
      <c r="C162" s="131">
        <v>43997</v>
      </c>
      <c r="D162" s="15" t="str">
        <f>IF(OR(C165="",C166=""),"",VLOOKUP(CONCATENATE(C165," - ",C166),Exposure,2))</f>
        <v>G</v>
      </c>
      <c r="E162" s="16" t="s">
        <v>135</v>
      </c>
      <c r="F162" s="113">
        <v>5</v>
      </c>
      <c r="I162" s="138" t="s">
        <v>93</v>
      </c>
      <c r="AB162">
        <v>2</v>
      </c>
    </row>
    <row r="163" spans="2:28" x14ac:dyDescent="0.2">
      <c r="B163" s="13" t="s">
        <v>84</v>
      </c>
      <c r="C163" s="212" t="s">
        <v>240</v>
      </c>
      <c r="D163" s="15" t="s">
        <v>126</v>
      </c>
      <c r="E163" s="16" t="s">
        <v>56</v>
      </c>
      <c r="F163" s="134" t="s">
        <v>272</v>
      </c>
      <c r="I163" s="138" t="s">
        <v>93</v>
      </c>
      <c r="AB163">
        <v>3</v>
      </c>
    </row>
    <row r="164" spans="2:28" x14ac:dyDescent="0.2">
      <c r="B164" s="13" t="s">
        <v>85</v>
      </c>
      <c r="C164" s="213" t="s">
        <v>240</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5">
        <v>43998</v>
      </c>
      <c r="I166" s="138" t="s">
        <v>93</v>
      </c>
      <c r="AB166">
        <v>6</v>
      </c>
    </row>
    <row r="167" spans="2:28" ht="25.5" x14ac:dyDescent="0.2">
      <c r="B167" s="187" t="s">
        <v>57</v>
      </c>
      <c r="C167" s="133" t="s">
        <v>95</v>
      </c>
      <c r="D167" s="15" t="s">
        <v>99</v>
      </c>
      <c r="E167" s="16" t="s">
        <v>62</v>
      </c>
      <c r="F167" s="175">
        <v>43998</v>
      </c>
      <c r="I167" s="138" t="s">
        <v>93</v>
      </c>
      <c r="AB167">
        <v>7</v>
      </c>
    </row>
    <row r="168" spans="2:28" x14ac:dyDescent="0.2">
      <c r="B168" s="13"/>
      <c r="C168" s="15"/>
      <c r="D168" s="15"/>
      <c r="E168" s="18"/>
      <c r="F168" s="19"/>
      <c r="I168" s="138" t="s">
        <v>93</v>
      </c>
      <c r="AB168">
        <v>8</v>
      </c>
    </row>
    <row r="169" spans="2:28" ht="25.5" x14ac:dyDescent="0.2">
      <c r="B169" s="20"/>
      <c r="C169" s="21" t="s">
        <v>89</v>
      </c>
      <c r="D169" s="174" t="s">
        <v>285</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286</v>
      </c>
      <c r="E171" s="18"/>
      <c r="F171" s="19"/>
      <c r="I171" s="138" t="s">
        <v>93</v>
      </c>
      <c r="AB171">
        <v>11</v>
      </c>
    </row>
    <row r="172" spans="2:28" ht="6" customHeight="1" x14ac:dyDescent="0.2">
      <c r="B172" s="20"/>
      <c r="C172" s="21"/>
      <c r="D172" s="22"/>
      <c r="E172" s="18"/>
      <c r="F172" s="19"/>
      <c r="I172" s="138" t="s">
        <v>93</v>
      </c>
      <c r="AB172">
        <v>12</v>
      </c>
    </row>
    <row r="173" spans="2:28" ht="38.25" x14ac:dyDescent="0.2">
      <c r="B173" s="20"/>
      <c r="C173" s="21" t="s">
        <v>3</v>
      </c>
      <c r="D173" s="22" t="s">
        <v>320</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240</v>
      </c>
      <c r="C180" s="26">
        <v>1</v>
      </c>
      <c r="D180" s="22" t="s">
        <v>337</v>
      </c>
      <c r="E180" s="27">
        <v>43998</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11" t="s">
        <v>359</v>
      </c>
      <c r="D186" s="166" t="s">
        <v>248</v>
      </c>
      <c r="E186" s="167" t="s">
        <v>51</v>
      </c>
      <c r="F186" s="168" t="s">
        <v>104</v>
      </c>
      <c r="I186" s="138" t="s">
        <v>93</v>
      </c>
      <c r="AB186">
        <v>1</v>
      </c>
    </row>
    <row r="187" spans="2:28" x14ac:dyDescent="0.2">
      <c r="B187" s="190" t="s">
        <v>215</v>
      </c>
      <c r="C187" s="191"/>
      <c r="D187" s="192"/>
      <c r="E187" s="21"/>
      <c r="F187" s="193"/>
      <c r="I187" s="138"/>
    </row>
    <row r="188" spans="2:28" x14ac:dyDescent="0.2">
      <c r="B188" s="13" t="s">
        <v>39</v>
      </c>
      <c r="C188" s="131">
        <v>43997</v>
      </c>
      <c r="D188" s="15" t="str">
        <f>IF(OR(C191="",C192=""),"",VLOOKUP(CONCATENATE(C191," - ",C192),Exposure,2))</f>
        <v>Y</v>
      </c>
      <c r="E188" s="16" t="s">
        <v>135</v>
      </c>
      <c r="F188" s="113">
        <v>6</v>
      </c>
      <c r="I188" s="138" t="s">
        <v>93</v>
      </c>
      <c r="AB188">
        <v>2</v>
      </c>
    </row>
    <row r="189" spans="2:28" x14ac:dyDescent="0.2">
      <c r="B189" s="13" t="s">
        <v>84</v>
      </c>
      <c r="C189" s="212" t="s">
        <v>240</v>
      </c>
      <c r="D189" s="15" t="s">
        <v>126</v>
      </c>
      <c r="E189" s="16" t="s">
        <v>56</v>
      </c>
      <c r="F189" s="134" t="s">
        <v>271</v>
      </c>
      <c r="I189" s="138" t="s">
        <v>93</v>
      </c>
      <c r="AB189">
        <v>3</v>
      </c>
    </row>
    <row r="190" spans="2:28" x14ac:dyDescent="0.2">
      <c r="B190" s="13" t="s">
        <v>85</v>
      </c>
      <c r="C190" s="213" t="s">
        <v>240</v>
      </c>
      <c r="D190" s="18"/>
      <c r="E190" s="16" t="s">
        <v>91</v>
      </c>
      <c r="F190" s="134" t="s">
        <v>106</v>
      </c>
      <c r="I190" s="138" t="s">
        <v>93</v>
      </c>
      <c r="AB190">
        <v>4</v>
      </c>
    </row>
    <row r="191" spans="2:28" x14ac:dyDescent="0.2">
      <c r="B191" s="13" t="s">
        <v>44</v>
      </c>
      <c r="C191" s="133" t="s">
        <v>262</v>
      </c>
      <c r="D191" s="49" t="str">
        <f>IF(C191="","WARNING - Please enter a Probability.","")</f>
        <v/>
      </c>
      <c r="E191" s="16" t="s">
        <v>60</v>
      </c>
      <c r="F191" s="134" t="s">
        <v>107</v>
      </c>
      <c r="I191" s="138" t="s">
        <v>93</v>
      </c>
      <c r="AB191">
        <v>5</v>
      </c>
    </row>
    <row r="192" spans="2:28" x14ac:dyDescent="0.2">
      <c r="B192" s="13" t="s">
        <v>50</v>
      </c>
      <c r="C192" s="133" t="s">
        <v>262</v>
      </c>
      <c r="D192" s="15" t="s">
        <v>96</v>
      </c>
      <c r="E192" s="16" t="s">
        <v>61</v>
      </c>
      <c r="F192" s="135">
        <v>43998</v>
      </c>
      <c r="I192" s="138" t="s">
        <v>93</v>
      </c>
      <c r="AB192">
        <v>6</v>
      </c>
    </row>
    <row r="193" spans="2:28" ht="25.5" x14ac:dyDescent="0.2">
      <c r="B193" s="187" t="s">
        <v>57</v>
      </c>
      <c r="C193" s="133" t="s">
        <v>264</v>
      </c>
      <c r="D193" s="15" t="s">
        <v>99</v>
      </c>
      <c r="E193" s="16" t="s">
        <v>62</v>
      </c>
      <c r="F193" s="175">
        <v>43998</v>
      </c>
      <c r="I193" s="138" t="s">
        <v>93</v>
      </c>
      <c r="AB193">
        <v>7</v>
      </c>
    </row>
    <row r="194" spans="2:28" x14ac:dyDescent="0.2">
      <c r="B194" s="13"/>
      <c r="C194" s="15"/>
      <c r="D194" s="15"/>
      <c r="E194" s="18"/>
      <c r="F194" s="19"/>
      <c r="I194" s="138" t="s">
        <v>93</v>
      </c>
      <c r="AB194">
        <v>8</v>
      </c>
    </row>
    <row r="195" spans="2:28" x14ac:dyDescent="0.2">
      <c r="B195" s="20"/>
      <c r="C195" s="21" t="s">
        <v>89</v>
      </c>
      <c r="D195" s="174" t="s">
        <v>287</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2" t="s">
        <v>288</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22" t="s">
        <v>321</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240</v>
      </c>
      <c r="C206" s="26">
        <v>1</v>
      </c>
      <c r="D206" s="22" t="s">
        <v>336</v>
      </c>
      <c r="E206" s="27">
        <v>43998</v>
      </c>
      <c r="F206" s="28" t="s">
        <v>86</v>
      </c>
      <c r="I206" s="138" t="s">
        <v>93</v>
      </c>
      <c r="AB206">
        <v>20</v>
      </c>
    </row>
    <row r="207" spans="2:28" x14ac:dyDescent="0.2">
      <c r="B207" s="25"/>
      <c r="C207" s="26"/>
      <c r="D207" s="22"/>
      <c r="E207" s="27"/>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1" t="s">
        <v>360</v>
      </c>
      <c r="D212" s="166" t="s">
        <v>249</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v>43997</v>
      </c>
      <c r="D214" s="15" t="str">
        <f>IF(OR(C217="",C218=""),"",VLOOKUP(CONCATENATE(C217," - ",C218),Exposure,2))</f>
        <v>G</v>
      </c>
      <c r="E214" s="16" t="s">
        <v>135</v>
      </c>
      <c r="F214" s="113">
        <v>6</v>
      </c>
      <c r="I214" s="138" t="s">
        <v>93</v>
      </c>
      <c r="AB214">
        <v>2</v>
      </c>
    </row>
    <row r="215" spans="2:28" x14ac:dyDescent="0.2">
      <c r="B215" s="13" t="s">
        <v>84</v>
      </c>
      <c r="C215" s="212" t="s">
        <v>240</v>
      </c>
      <c r="D215" s="15" t="s">
        <v>126</v>
      </c>
      <c r="E215" s="16" t="s">
        <v>56</v>
      </c>
      <c r="F215" s="134" t="s">
        <v>268</v>
      </c>
      <c r="I215" s="138" t="s">
        <v>93</v>
      </c>
      <c r="AB215">
        <v>3</v>
      </c>
    </row>
    <row r="216" spans="2:28" x14ac:dyDescent="0.2">
      <c r="B216" s="13" t="s">
        <v>85</v>
      </c>
      <c r="C216" s="213" t="s">
        <v>240</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5">
        <v>43998</v>
      </c>
      <c r="I218" s="138" t="s">
        <v>93</v>
      </c>
      <c r="AB218">
        <v>6</v>
      </c>
    </row>
    <row r="219" spans="2:28" ht="25.5" x14ac:dyDescent="0.2">
      <c r="B219" s="187" t="s">
        <v>57</v>
      </c>
      <c r="C219" s="133" t="s">
        <v>95</v>
      </c>
      <c r="D219" s="15" t="s">
        <v>99</v>
      </c>
      <c r="E219" s="16" t="s">
        <v>62</v>
      </c>
      <c r="F219" s="175">
        <v>43998</v>
      </c>
      <c r="I219" s="138" t="s">
        <v>93</v>
      </c>
      <c r="AB219">
        <v>7</v>
      </c>
    </row>
    <row r="220" spans="2:28" x14ac:dyDescent="0.2">
      <c r="B220" s="13"/>
      <c r="C220" s="15"/>
      <c r="D220" s="15"/>
      <c r="E220" s="18"/>
      <c r="F220" s="19"/>
      <c r="I220" s="138" t="s">
        <v>93</v>
      </c>
      <c r="AB220">
        <v>8</v>
      </c>
    </row>
    <row r="221" spans="2:28" ht="25.5" x14ac:dyDescent="0.2">
      <c r="B221" s="20"/>
      <c r="C221" s="21" t="s">
        <v>89</v>
      </c>
      <c r="D221" s="174" t="s">
        <v>289</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2" t="s">
        <v>290</v>
      </c>
      <c r="E223" s="18"/>
      <c r="F223" s="19"/>
      <c r="I223" s="138" t="s">
        <v>93</v>
      </c>
      <c r="AB223">
        <v>11</v>
      </c>
    </row>
    <row r="224" spans="2:28" ht="6" customHeight="1" x14ac:dyDescent="0.2">
      <c r="B224" s="20"/>
      <c r="C224" s="21"/>
      <c r="D224" s="22"/>
      <c r="E224" s="18"/>
      <c r="F224" s="19"/>
      <c r="I224" s="138" t="s">
        <v>93</v>
      </c>
      <c r="AB224">
        <v>12</v>
      </c>
    </row>
    <row r="225" spans="2:28" ht="51" x14ac:dyDescent="0.2">
      <c r="B225" s="20"/>
      <c r="C225" s="21" t="s">
        <v>3</v>
      </c>
      <c r="D225" s="22" t="s">
        <v>349</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ht="25.5" x14ac:dyDescent="0.2">
      <c r="B232" s="25" t="s">
        <v>240</v>
      </c>
      <c r="C232" s="26">
        <v>1</v>
      </c>
      <c r="D232" s="22" t="s">
        <v>338</v>
      </c>
      <c r="E232" s="27">
        <v>43998</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11" t="s">
        <v>361</v>
      </c>
      <c r="D238" s="166" t="s">
        <v>250</v>
      </c>
      <c r="E238" s="167" t="s">
        <v>51</v>
      </c>
      <c r="F238" s="168" t="s">
        <v>266</v>
      </c>
      <c r="I238" s="138" t="s">
        <v>93</v>
      </c>
      <c r="AB238">
        <v>1</v>
      </c>
    </row>
    <row r="239" spans="2:28" x14ac:dyDescent="0.2">
      <c r="B239" s="190" t="s">
        <v>215</v>
      </c>
      <c r="C239" s="191"/>
      <c r="D239" s="192"/>
      <c r="E239" s="21"/>
      <c r="F239" s="193"/>
      <c r="I239" s="138"/>
    </row>
    <row r="240" spans="2:28" x14ac:dyDescent="0.2">
      <c r="B240" s="13" t="s">
        <v>39</v>
      </c>
      <c r="C240" s="131">
        <v>43997</v>
      </c>
      <c r="D240" s="15" t="str">
        <f>IF(OR(C243="",C244=""),"",VLOOKUP(CONCATENATE(C243," - ",C244),Exposure,2))</f>
        <v>Y</v>
      </c>
      <c r="E240" s="16" t="s">
        <v>135</v>
      </c>
      <c r="F240" s="113">
        <v>2</v>
      </c>
      <c r="I240" s="138" t="s">
        <v>93</v>
      </c>
      <c r="AB240">
        <v>2</v>
      </c>
    </row>
    <row r="241" spans="2:28" x14ac:dyDescent="0.2">
      <c r="B241" s="13" t="s">
        <v>84</v>
      </c>
      <c r="C241" s="212" t="s">
        <v>240</v>
      </c>
      <c r="D241" s="15" t="s">
        <v>126</v>
      </c>
      <c r="E241" s="16" t="s">
        <v>56</v>
      </c>
      <c r="F241" s="134" t="s">
        <v>268</v>
      </c>
      <c r="I241" s="138" t="s">
        <v>93</v>
      </c>
      <c r="AB241">
        <v>3</v>
      </c>
    </row>
    <row r="242" spans="2:28" x14ac:dyDescent="0.2">
      <c r="B242" s="13" t="s">
        <v>85</v>
      </c>
      <c r="C242" s="213" t="s">
        <v>240</v>
      </c>
      <c r="D242" s="18"/>
      <c r="E242" s="16" t="s">
        <v>91</v>
      </c>
      <c r="F242" s="134" t="s">
        <v>106</v>
      </c>
      <c r="I242" s="138" t="s">
        <v>93</v>
      </c>
      <c r="AB242">
        <v>4</v>
      </c>
    </row>
    <row r="243" spans="2:28" x14ac:dyDescent="0.2">
      <c r="B243" s="13" t="s">
        <v>44</v>
      </c>
      <c r="C243" s="133" t="s">
        <v>262</v>
      </c>
      <c r="D243" s="49" t="str">
        <f>IF(C243="","WARNING - Please enter a Probability.","")</f>
        <v/>
      </c>
      <c r="E243" s="16" t="s">
        <v>60</v>
      </c>
      <c r="F243" s="134" t="s">
        <v>107</v>
      </c>
      <c r="I243" s="138" t="s">
        <v>93</v>
      </c>
      <c r="AB243">
        <v>5</v>
      </c>
    </row>
    <row r="244" spans="2:28" x14ac:dyDescent="0.2">
      <c r="B244" s="13" t="s">
        <v>50</v>
      </c>
      <c r="C244" s="133" t="s">
        <v>263</v>
      </c>
      <c r="D244" s="15" t="s">
        <v>96</v>
      </c>
      <c r="E244" s="16" t="s">
        <v>61</v>
      </c>
      <c r="F244" s="135">
        <v>43998</v>
      </c>
      <c r="I244" s="138" t="s">
        <v>93</v>
      </c>
      <c r="AB244">
        <v>6</v>
      </c>
    </row>
    <row r="245" spans="2:28" ht="25.5" x14ac:dyDescent="0.2">
      <c r="B245" s="187" t="s">
        <v>57</v>
      </c>
      <c r="C245" s="133" t="s">
        <v>264</v>
      </c>
      <c r="D245" s="15" t="s">
        <v>99</v>
      </c>
      <c r="E245" s="16" t="s">
        <v>62</v>
      </c>
      <c r="F245" s="175">
        <v>43998</v>
      </c>
      <c r="I245" s="138" t="s">
        <v>93</v>
      </c>
      <c r="AB245">
        <v>7</v>
      </c>
    </row>
    <row r="246" spans="2:28" x14ac:dyDescent="0.2">
      <c r="B246" s="13"/>
      <c r="C246" s="15"/>
      <c r="D246" s="15"/>
      <c r="E246" s="18"/>
      <c r="F246" s="19"/>
      <c r="I246" s="138" t="s">
        <v>93</v>
      </c>
      <c r="AB246">
        <v>8</v>
      </c>
    </row>
    <row r="247" spans="2:28" x14ac:dyDescent="0.2">
      <c r="B247" s="20"/>
      <c r="C247" s="21" t="s">
        <v>89</v>
      </c>
      <c r="D247" s="174" t="s">
        <v>291</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292</v>
      </c>
      <c r="E249" s="18"/>
      <c r="F249" s="19"/>
      <c r="I249" s="138" t="s">
        <v>93</v>
      </c>
      <c r="AB249">
        <v>11</v>
      </c>
    </row>
    <row r="250" spans="2:28" ht="6" customHeight="1" x14ac:dyDescent="0.2">
      <c r="B250" s="20"/>
      <c r="C250" s="21"/>
      <c r="D250" s="22"/>
      <c r="E250" s="18"/>
      <c r="F250" s="19"/>
      <c r="I250" s="138" t="s">
        <v>93</v>
      </c>
      <c r="AB250">
        <v>12</v>
      </c>
    </row>
    <row r="251" spans="2:28" ht="51" x14ac:dyDescent="0.2">
      <c r="B251" s="20"/>
      <c r="C251" s="21" t="s">
        <v>3</v>
      </c>
      <c r="D251" s="22" t="s">
        <v>350</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240</v>
      </c>
      <c r="C258" s="26">
        <v>1</v>
      </c>
      <c r="D258" s="22" t="s">
        <v>339</v>
      </c>
      <c r="E258" s="27">
        <v>43998</v>
      </c>
      <c r="F258" s="28" t="s">
        <v>86</v>
      </c>
      <c r="I258" s="138" t="s">
        <v>93</v>
      </c>
      <c r="AB258">
        <v>20</v>
      </c>
    </row>
    <row r="259" spans="2:28" x14ac:dyDescent="0.2">
      <c r="B259" s="25" t="s">
        <v>240</v>
      </c>
      <c r="C259" s="26">
        <v>2</v>
      </c>
      <c r="D259" s="22" t="s">
        <v>340</v>
      </c>
      <c r="E259" s="27">
        <v>43998</v>
      </c>
      <c r="F259" s="28" t="s">
        <v>86</v>
      </c>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1" t="s">
        <v>362</v>
      </c>
      <c r="D264" s="166" t="s">
        <v>251</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v>43997</v>
      </c>
      <c r="D266" s="15" t="str">
        <f>IF(OR(C269="",C270=""),"",VLOOKUP(CONCATENATE(C269," - ",C270),Exposure,2))</f>
        <v>G</v>
      </c>
      <c r="E266" s="16" t="s">
        <v>135</v>
      </c>
      <c r="F266" s="113">
        <v>2</v>
      </c>
      <c r="I266" s="138" t="s">
        <v>93</v>
      </c>
      <c r="AB266">
        <v>2</v>
      </c>
    </row>
    <row r="267" spans="2:28" x14ac:dyDescent="0.2">
      <c r="B267" s="13" t="s">
        <v>84</v>
      </c>
      <c r="C267" s="212" t="s">
        <v>240</v>
      </c>
      <c r="D267" s="15" t="s">
        <v>126</v>
      </c>
      <c r="E267" s="16" t="s">
        <v>56</v>
      </c>
      <c r="F267" s="134" t="s">
        <v>272</v>
      </c>
      <c r="I267" s="138" t="s">
        <v>93</v>
      </c>
      <c r="AB267">
        <v>3</v>
      </c>
    </row>
    <row r="268" spans="2:28" x14ac:dyDescent="0.2">
      <c r="B268" s="13" t="s">
        <v>85</v>
      </c>
      <c r="C268" s="213" t="s">
        <v>240</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262</v>
      </c>
      <c r="D270" s="15" t="s">
        <v>96</v>
      </c>
      <c r="E270" s="16" t="s">
        <v>61</v>
      </c>
      <c r="F270" s="135">
        <v>43998</v>
      </c>
      <c r="I270" s="138" t="s">
        <v>93</v>
      </c>
      <c r="AB270">
        <v>6</v>
      </c>
    </row>
    <row r="271" spans="2:28" ht="25.5" x14ac:dyDescent="0.2">
      <c r="B271" s="187" t="s">
        <v>57</v>
      </c>
      <c r="C271" s="133" t="s">
        <v>95</v>
      </c>
      <c r="D271" s="15" t="s">
        <v>99</v>
      </c>
      <c r="E271" s="16" t="s">
        <v>62</v>
      </c>
      <c r="F271" s="175">
        <v>43998</v>
      </c>
      <c r="I271" s="138" t="s">
        <v>93</v>
      </c>
      <c r="AB271">
        <v>7</v>
      </c>
    </row>
    <row r="272" spans="2:28" x14ac:dyDescent="0.2">
      <c r="B272" s="13"/>
      <c r="C272" s="15"/>
      <c r="D272" s="15"/>
      <c r="E272" s="18"/>
      <c r="F272" s="19"/>
      <c r="I272" s="138" t="s">
        <v>93</v>
      </c>
      <c r="AB272">
        <v>8</v>
      </c>
    </row>
    <row r="273" spans="2:28" x14ac:dyDescent="0.2">
      <c r="B273" s="20"/>
      <c r="C273" s="21" t="s">
        <v>89</v>
      </c>
      <c r="D273" s="174" t="s">
        <v>293</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294</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22" t="s">
        <v>322</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5" t="s">
        <v>240</v>
      </c>
      <c r="C284" s="26">
        <v>1</v>
      </c>
      <c r="D284" s="22" t="s">
        <v>341</v>
      </c>
      <c r="E284" s="27">
        <v>43998</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11" t="s">
        <v>363</v>
      </c>
      <c r="D290" s="166" t="s">
        <v>252</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v>43997</v>
      </c>
      <c r="D292" s="15" t="str">
        <f>IF(OR(C295="",C296=""),"",VLOOKUP(CONCATENATE(C295," - ",C296),Exposure,2))</f>
        <v>G</v>
      </c>
      <c r="E292" s="16" t="s">
        <v>135</v>
      </c>
      <c r="F292" s="113">
        <v>3</v>
      </c>
      <c r="I292" s="138" t="s">
        <v>93</v>
      </c>
      <c r="AB292">
        <v>2</v>
      </c>
    </row>
    <row r="293" spans="2:28" x14ac:dyDescent="0.2">
      <c r="B293" s="13" t="s">
        <v>84</v>
      </c>
      <c r="C293" s="212" t="s">
        <v>240</v>
      </c>
      <c r="D293" s="15" t="s">
        <v>126</v>
      </c>
      <c r="E293" s="16" t="s">
        <v>56</v>
      </c>
      <c r="F293" s="134" t="s">
        <v>268</v>
      </c>
      <c r="I293" s="138" t="s">
        <v>93</v>
      </c>
      <c r="AB293">
        <v>3</v>
      </c>
    </row>
    <row r="294" spans="2:28" x14ac:dyDescent="0.2">
      <c r="B294" s="13" t="s">
        <v>85</v>
      </c>
      <c r="C294" s="213" t="s">
        <v>240</v>
      </c>
      <c r="D294" s="18"/>
      <c r="E294" s="16" t="s">
        <v>91</v>
      </c>
      <c r="F294" s="134" t="s">
        <v>142</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262</v>
      </c>
      <c r="D296" s="15" t="s">
        <v>96</v>
      </c>
      <c r="E296" s="16" t="s">
        <v>61</v>
      </c>
      <c r="F296" s="135">
        <v>43998</v>
      </c>
      <c r="I296" s="138" t="s">
        <v>93</v>
      </c>
      <c r="AB296">
        <v>6</v>
      </c>
    </row>
    <row r="297" spans="2:28" ht="25.5" x14ac:dyDescent="0.2">
      <c r="B297" s="187" t="s">
        <v>57</v>
      </c>
      <c r="C297" s="133" t="s">
        <v>95</v>
      </c>
      <c r="D297" s="15" t="s">
        <v>99</v>
      </c>
      <c r="E297" s="16" t="s">
        <v>62</v>
      </c>
      <c r="F297" s="175">
        <v>43998</v>
      </c>
      <c r="I297" s="138" t="s">
        <v>93</v>
      </c>
      <c r="AB297">
        <v>7</v>
      </c>
    </row>
    <row r="298" spans="2:28" x14ac:dyDescent="0.2">
      <c r="B298" s="13"/>
      <c r="C298" s="15"/>
      <c r="D298" s="15"/>
      <c r="E298" s="18"/>
      <c r="F298" s="19"/>
      <c r="I298" s="138" t="s">
        <v>93</v>
      </c>
      <c r="AB298">
        <v>8</v>
      </c>
    </row>
    <row r="299" spans="2:28" x14ac:dyDescent="0.2">
      <c r="B299" s="20"/>
      <c r="C299" s="21" t="s">
        <v>89</v>
      </c>
      <c r="D299" s="174" t="s">
        <v>295</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296</v>
      </c>
      <c r="E301" s="18"/>
      <c r="F301" s="19"/>
      <c r="I301" s="138" t="s">
        <v>93</v>
      </c>
      <c r="AB301">
        <v>11</v>
      </c>
    </row>
    <row r="302" spans="2:28" ht="6" customHeight="1" x14ac:dyDescent="0.2">
      <c r="B302" s="20"/>
      <c r="C302" s="21"/>
      <c r="D302" s="22"/>
      <c r="E302" s="18"/>
      <c r="F302" s="19"/>
      <c r="I302" s="138" t="s">
        <v>93</v>
      </c>
      <c r="AB302">
        <v>12</v>
      </c>
    </row>
    <row r="303" spans="2:28" ht="51" x14ac:dyDescent="0.2">
      <c r="B303" s="20"/>
      <c r="C303" s="21" t="s">
        <v>3</v>
      </c>
      <c r="D303" s="22" t="s">
        <v>323</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5" t="s">
        <v>240</v>
      </c>
      <c r="C310" s="26">
        <v>1</v>
      </c>
      <c r="D310" s="22" t="s">
        <v>341</v>
      </c>
      <c r="E310" s="27">
        <v>43998</v>
      </c>
      <c r="F310" s="28" t="s">
        <v>86</v>
      </c>
      <c r="I310" s="138" t="s">
        <v>93</v>
      </c>
      <c r="AB310">
        <v>20</v>
      </c>
    </row>
    <row r="311" spans="2:28" x14ac:dyDescent="0.2">
      <c r="B311" s="25"/>
      <c r="C311" s="26"/>
      <c r="D311" s="22"/>
      <c r="E311" s="27"/>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1" t="s">
        <v>364</v>
      </c>
      <c r="D316" s="166" t="s">
        <v>273</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v>43997</v>
      </c>
      <c r="D318" s="15" t="str">
        <f>IF(OR(C321="",C322=""),"",VLOOKUP(CONCATENATE(C321," - ",C322),Exposure,2))</f>
        <v>Y</v>
      </c>
      <c r="E318" s="16" t="s">
        <v>135</v>
      </c>
      <c r="F318" s="113">
        <v>8</v>
      </c>
      <c r="I318" s="138" t="s">
        <v>93</v>
      </c>
      <c r="AB318">
        <v>2</v>
      </c>
    </row>
    <row r="319" spans="2:28" x14ac:dyDescent="0.2">
      <c r="B319" s="13" t="s">
        <v>84</v>
      </c>
      <c r="C319" s="212" t="s">
        <v>259</v>
      </c>
      <c r="D319" s="15" t="s">
        <v>126</v>
      </c>
      <c r="E319" s="16" t="s">
        <v>56</v>
      </c>
      <c r="F319" s="134" t="s">
        <v>268</v>
      </c>
      <c r="I319" s="138" t="s">
        <v>93</v>
      </c>
      <c r="AB319">
        <v>3</v>
      </c>
    </row>
    <row r="320" spans="2:28" x14ac:dyDescent="0.2">
      <c r="B320" s="13" t="s">
        <v>85</v>
      </c>
      <c r="C320" s="213" t="s">
        <v>259</v>
      </c>
      <c r="D320" s="18"/>
      <c r="E320" s="16" t="s">
        <v>91</v>
      </c>
      <c r="F320" s="134" t="s">
        <v>142</v>
      </c>
      <c r="I320" s="138" t="s">
        <v>93</v>
      </c>
      <c r="AB320">
        <v>4</v>
      </c>
    </row>
    <row r="321" spans="2:28" x14ac:dyDescent="0.2">
      <c r="B321" s="13" t="s">
        <v>44</v>
      </c>
      <c r="C321" s="133" t="s">
        <v>262</v>
      </c>
      <c r="D321" s="49" t="str">
        <f>IF(C321="","WARNING - Please enter a Probability.","")</f>
        <v/>
      </c>
      <c r="E321" s="16" t="s">
        <v>60</v>
      </c>
      <c r="F321" s="134" t="s">
        <v>107</v>
      </c>
      <c r="I321" s="138" t="s">
        <v>93</v>
      </c>
      <c r="AB321">
        <v>5</v>
      </c>
    </row>
    <row r="322" spans="2:28" x14ac:dyDescent="0.2">
      <c r="B322" s="13" t="s">
        <v>50</v>
      </c>
      <c r="C322" s="133" t="s">
        <v>94</v>
      </c>
      <c r="D322" s="15" t="s">
        <v>96</v>
      </c>
      <c r="E322" s="16" t="s">
        <v>61</v>
      </c>
      <c r="F322" s="135">
        <v>43998</v>
      </c>
      <c r="I322" s="138" t="s">
        <v>93</v>
      </c>
      <c r="AB322">
        <v>6</v>
      </c>
    </row>
    <row r="323" spans="2:28" ht="25.5" x14ac:dyDescent="0.2">
      <c r="B323" s="187" t="s">
        <v>57</v>
      </c>
      <c r="C323" s="133" t="s">
        <v>95</v>
      </c>
      <c r="D323" s="15" t="s">
        <v>99</v>
      </c>
      <c r="E323" s="16" t="s">
        <v>62</v>
      </c>
      <c r="F323" s="175">
        <v>43998</v>
      </c>
      <c r="I323" s="138" t="s">
        <v>93</v>
      </c>
      <c r="AB323">
        <v>7</v>
      </c>
    </row>
    <row r="324" spans="2:28" x14ac:dyDescent="0.2">
      <c r="B324" s="13"/>
      <c r="C324" s="15"/>
      <c r="D324" s="15"/>
      <c r="E324" s="18"/>
      <c r="F324" s="19"/>
      <c r="I324" s="138" t="s">
        <v>93</v>
      </c>
      <c r="AB324">
        <v>8</v>
      </c>
    </row>
    <row r="325" spans="2:28" ht="25.5" x14ac:dyDescent="0.2">
      <c r="B325" s="20"/>
      <c r="C325" s="21" t="s">
        <v>89</v>
      </c>
      <c r="D325" s="174" t="s">
        <v>297</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298</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324</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259</v>
      </c>
      <c r="C336" s="26">
        <v>1</v>
      </c>
      <c r="D336" s="22" t="s">
        <v>342</v>
      </c>
      <c r="E336" s="27">
        <v>43998</v>
      </c>
      <c r="F336" s="28" t="s">
        <v>86</v>
      </c>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1" t="s">
        <v>365</v>
      </c>
      <c r="D342" s="166" t="s">
        <v>253</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v>43997</v>
      </c>
      <c r="D344" s="15" t="str">
        <f>IF(OR(C347="",C348=""),"",VLOOKUP(CONCATENATE(C347," - ",C348),Exposure,2))</f>
        <v>Y</v>
      </c>
      <c r="E344" s="16" t="s">
        <v>135</v>
      </c>
      <c r="F344" s="113">
        <v>9</v>
      </c>
      <c r="I344" s="138" t="s">
        <v>93</v>
      </c>
      <c r="AB344">
        <v>2</v>
      </c>
    </row>
    <row r="345" spans="2:28" x14ac:dyDescent="0.2">
      <c r="B345" s="13" t="s">
        <v>84</v>
      </c>
      <c r="C345" s="212" t="s">
        <v>259</v>
      </c>
      <c r="D345" s="15" t="s">
        <v>126</v>
      </c>
      <c r="E345" s="16" t="s">
        <v>56</v>
      </c>
      <c r="F345" s="134" t="s">
        <v>268</v>
      </c>
      <c r="I345" s="138" t="s">
        <v>93</v>
      </c>
      <c r="AB345">
        <v>3</v>
      </c>
    </row>
    <row r="346" spans="2:28" x14ac:dyDescent="0.2">
      <c r="B346" s="13" t="s">
        <v>85</v>
      </c>
      <c r="C346" s="213" t="s">
        <v>259</v>
      </c>
      <c r="D346" s="18"/>
      <c r="E346" s="16" t="s">
        <v>91</v>
      </c>
      <c r="F346" s="134" t="s">
        <v>142</v>
      </c>
      <c r="I346" s="138" t="s">
        <v>93</v>
      </c>
      <c r="AB346">
        <v>4</v>
      </c>
    </row>
    <row r="347" spans="2:28" x14ac:dyDescent="0.2">
      <c r="B347" s="13" t="s">
        <v>44</v>
      </c>
      <c r="C347" s="133" t="s">
        <v>262</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135">
        <v>43998</v>
      </c>
      <c r="I348" s="138" t="s">
        <v>93</v>
      </c>
      <c r="AB348">
        <v>6</v>
      </c>
    </row>
    <row r="349" spans="2:28" ht="25.5" x14ac:dyDescent="0.2">
      <c r="B349" s="187" t="s">
        <v>57</v>
      </c>
      <c r="C349" s="133" t="s">
        <v>95</v>
      </c>
      <c r="D349" s="15" t="s">
        <v>99</v>
      </c>
      <c r="E349" s="16" t="s">
        <v>62</v>
      </c>
      <c r="F349" s="175">
        <v>43998</v>
      </c>
      <c r="I349" s="138" t="s">
        <v>93</v>
      </c>
      <c r="AB349">
        <v>7</v>
      </c>
    </row>
    <row r="350" spans="2:28" x14ac:dyDescent="0.2">
      <c r="B350" s="13"/>
      <c r="C350" s="15"/>
      <c r="D350" s="15"/>
      <c r="E350" s="18"/>
      <c r="F350" s="19"/>
      <c r="I350" s="138" t="s">
        <v>93</v>
      </c>
      <c r="AB350">
        <v>8</v>
      </c>
    </row>
    <row r="351" spans="2:28" x14ac:dyDescent="0.2">
      <c r="B351" s="20"/>
      <c r="C351" s="21" t="s">
        <v>89</v>
      </c>
      <c r="D351" s="174" t="s">
        <v>299</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300</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325</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5" t="s">
        <v>259</v>
      </c>
      <c r="C362" s="26">
        <v>1</v>
      </c>
      <c r="D362" s="22" t="s">
        <v>342</v>
      </c>
      <c r="E362" s="27">
        <v>43998</v>
      </c>
      <c r="F362" s="28" t="s">
        <v>86</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11" t="s">
        <v>366</v>
      </c>
      <c r="D368" s="166" t="s">
        <v>254</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131">
        <v>43997</v>
      </c>
      <c r="D370" s="15" t="str">
        <f>IF(OR(C373="",C374=""),"",VLOOKUP(CONCATENATE(C373," - ",C374),Exposure,2))</f>
        <v>G</v>
      </c>
      <c r="E370" s="16" t="s">
        <v>135</v>
      </c>
      <c r="F370" s="113">
        <v>8</v>
      </c>
      <c r="I370" s="138" t="s">
        <v>93</v>
      </c>
      <c r="AB370">
        <v>2</v>
      </c>
    </row>
    <row r="371" spans="2:28" x14ac:dyDescent="0.2">
      <c r="B371" s="13" t="s">
        <v>84</v>
      </c>
      <c r="C371" s="212" t="s">
        <v>259</v>
      </c>
      <c r="D371" s="15" t="s">
        <v>126</v>
      </c>
      <c r="E371" s="16" t="s">
        <v>56</v>
      </c>
      <c r="F371" s="134" t="s">
        <v>268</v>
      </c>
      <c r="I371" s="138" t="s">
        <v>93</v>
      </c>
      <c r="AB371">
        <v>3</v>
      </c>
    </row>
    <row r="372" spans="2:28" x14ac:dyDescent="0.2">
      <c r="B372" s="13" t="s">
        <v>85</v>
      </c>
      <c r="C372" s="213" t="s">
        <v>259</v>
      </c>
      <c r="D372" s="18"/>
      <c r="E372" s="16" t="s">
        <v>91</v>
      </c>
      <c r="F372" s="134" t="s">
        <v>142</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262</v>
      </c>
      <c r="D374" s="15" t="s">
        <v>96</v>
      </c>
      <c r="E374" s="16" t="s">
        <v>61</v>
      </c>
      <c r="F374" s="135">
        <v>43998</v>
      </c>
      <c r="I374" s="138" t="s">
        <v>93</v>
      </c>
      <c r="AB374">
        <v>6</v>
      </c>
    </row>
    <row r="375" spans="2:28" ht="25.5" x14ac:dyDescent="0.2">
      <c r="B375" s="187" t="s">
        <v>57</v>
      </c>
      <c r="C375" s="133" t="s">
        <v>265</v>
      </c>
      <c r="D375" s="15" t="s">
        <v>99</v>
      </c>
      <c r="E375" s="16" t="s">
        <v>62</v>
      </c>
      <c r="F375" s="175">
        <v>43998</v>
      </c>
      <c r="I375" s="138" t="s">
        <v>93</v>
      </c>
      <c r="AB375">
        <v>7</v>
      </c>
    </row>
    <row r="376" spans="2:28" x14ac:dyDescent="0.2">
      <c r="B376" s="13"/>
      <c r="C376" s="15"/>
      <c r="D376" s="15"/>
      <c r="E376" s="18"/>
      <c r="F376" s="19"/>
      <c r="I376" s="138" t="s">
        <v>93</v>
      </c>
      <c r="AB376">
        <v>8</v>
      </c>
    </row>
    <row r="377" spans="2:28" x14ac:dyDescent="0.2">
      <c r="B377" s="20"/>
      <c r="C377" s="21" t="s">
        <v>89</v>
      </c>
      <c r="D377" s="174" t="s">
        <v>301</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302</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326</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259</v>
      </c>
      <c r="C388" s="26">
        <v>1</v>
      </c>
      <c r="D388" s="22" t="s">
        <v>342</v>
      </c>
      <c r="E388" s="27">
        <v>43998</v>
      </c>
      <c r="F388" s="28" t="s">
        <v>86</v>
      </c>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1" t="s">
        <v>367</v>
      </c>
      <c r="D394" s="166" t="s">
        <v>255</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v>43997</v>
      </c>
      <c r="D396" s="15" t="str">
        <f>IF(OR(C399="",C400=""),"",VLOOKUP(CONCATENATE(C399," - ",C400),Exposure,2))</f>
        <v>Y</v>
      </c>
      <c r="E396" s="16" t="s">
        <v>135</v>
      </c>
      <c r="F396" s="113">
        <v>10</v>
      </c>
      <c r="I396" s="138" t="s">
        <v>93</v>
      </c>
      <c r="AB396">
        <v>2</v>
      </c>
    </row>
    <row r="397" spans="2:28" x14ac:dyDescent="0.2">
      <c r="B397" s="13" t="s">
        <v>84</v>
      </c>
      <c r="C397" s="212" t="s">
        <v>260</v>
      </c>
      <c r="D397" s="15" t="s">
        <v>126</v>
      </c>
      <c r="E397" s="16" t="s">
        <v>56</v>
      </c>
      <c r="F397" s="134" t="s">
        <v>142</v>
      </c>
      <c r="I397" s="138" t="s">
        <v>93</v>
      </c>
      <c r="AB397">
        <v>3</v>
      </c>
    </row>
    <row r="398" spans="2:28" x14ac:dyDescent="0.2">
      <c r="B398" s="13" t="s">
        <v>85</v>
      </c>
      <c r="C398" s="213" t="s">
        <v>260</v>
      </c>
      <c r="D398" s="18"/>
      <c r="E398" s="16" t="s">
        <v>91</v>
      </c>
      <c r="F398" s="134" t="s">
        <v>142</v>
      </c>
      <c r="I398" s="138" t="s">
        <v>93</v>
      </c>
      <c r="AB398">
        <v>4</v>
      </c>
    </row>
    <row r="399" spans="2:28" x14ac:dyDescent="0.2">
      <c r="B399" s="13" t="s">
        <v>44</v>
      </c>
      <c r="C399" s="133" t="s">
        <v>262</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135">
        <v>43998</v>
      </c>
      <c r="I400" s="138" t="s">
        <v>93</v>
      </c>
      <c r="AB400">
        <v>6</v>
      </c>
    </row>
    <row r="401" spans="2:28" ht="25.5" x14ac:dyDescent="0.2">
      <c r="B401" s="187" t="s">
        <v>57</v>
      </c>
      <c r="C401" s="133" t="s">
        <v>95</v>
      </c>
      <c r="D401" s="15" t="s">
        <v>99</v>
      </c>
      <c r="E401" s="16" t="s">
        <v>62</v>
      </c>
      <c r="F401" s="175">
        <v>43998</v>
      </c>
      <c r="I401" s="138" t="s">
        <v>93</v>
      </c>
      <c r="AB401">
        <v>7</v>
      </c>
    </row>
    <row r="402" spans="2:28" x14ac:dyDescent="0.2">
      <c r="B402" s="13"/>
      <c r="C402" s="15"/>
      <c r="D402" s="15"/>
      <c r="E402" s="18"/>
      <c r="F402" s="19"/>
      <c r="I402" s="138" t="s">
        <v>93</v>
      </c>
      <c r="AB402">
        <v>8</v>
      </c>
    </row>
    <row r="403" spans="2:28" x14ac:dyDescent="0.2">
      <c r="B403" s="20"/>
      <c r="C403" s="21" t="s">
        <v>89</v>
      </c>
      <c r="D403" s="174" t="s">
        <v>303</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22" t="s">
        <v>304</v>
      </c>
      <c r="E405" s="18"/>
      <c r="F405" s="19"/>
      <c r="I405" s="138" t="s">
        <v>93</v>
      </c>
      <c r="AB405">
        <v>11</v>
      </c>
    </row>
    <row r="406" spans="2:28" ht="6" customHeight="1" x14ac:dyDescent="0.2">
      <c r="B406" s="20"/>
      <c r="C406" s="21"/>
      <c r="D406" s="22"/>
      <c r="E406" s="18"/>
      <c r="F406" s="19"/>
      <c r="I406" s="138" t="s">
        <v>93</v>
      </c>
      <c r="AB406">
        <v>12</v>
      </c>
    </row>
    <row r="407" spans="2:28" ht="51" x14ac:dyDescent="0.2">
      <c r="B407" s="20"/>
      <c r="C407" s="21" t="s">
        <v>3</v>
      </c>
      <c r="D407" s="22" t="s">
        <v>327</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260</v>
      </c>
      <c r="C414" s="26">
        <v>1</v>
      </c>
      <c r="D414" s="22" t="s">
        <v>343</v>
      </c>
      <c r="E414" s="27">
        <v>43998</v>
      </c>
      <c r="F414" s="28" t="s">
        <v>86</v>
      </c>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11" t="s">
        <v>368</v>
      </c>
      <c r="D420" s="166" t="s">
        <v>256</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v>43997</v>
      </c>
      <c r="D422" s="15" t="str">
        <f>IF(OR(C425="",C426=""),"",VLOOKUP(CONCATENATE(C425," - ",C426),Exposure,2))</f>
        <v>G</v>
      </c>
      <c r="E422" s="16" t="s">
        <v>135</v>
      </c>
      <c r="F422" s="113">
        <v>9</v>
      </c>
      <c r="I422" s="138" t="s">
        <v>93</v>
      </c>
      <c r="AB422">
        <v>2</v>
      </c>
    </row>
    <row r="423" spans="2:28" x14ac:dyDescent="0.2">
      <c r="B423" s="13" t="s">
        <v>84</v>
      </c>
      <c r="C423" s="212" t="s">
        <v>261</v>
      </c>
      <c r="D423" s="15" t="s">
        <v>126</v>
      </c>
      <c r="E423" s="16" t="s">
        <v>56</v>
      </c>
      <c r="F423" s="134" t="s">
        <v>142</v>
      </c>
      <c r="I423" s="138" t="s">
        <v>93</v>
      </c>
      <c r="AB423">
        <v>3</v>
      </c>
    </row>
    <row r="424" spans="2:28" x14ac:dyDescent="0.2">
      <c r="B424" s="13" t="s">
        <v>85</v>
      </c>
      <c r="C424" s="213" t="s">
        <v>261</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262</v>
      </c>
      <c r="D426" s="15" t="s">
        <v>96</v>
      </c>
      <c r="E426" s="16" t="s">
        <v>61</v>
      </c>
      <c r="F426" s="135">
        <v>43998</v>
      </c>
      <c r="I426" s="138" t="s">
        <v>93</v>
      </c>
      <c r="AB426">
        <v>6</v>
      </c>
    </row>
    <row r="427" spans="2:28" ht="25.5" x14ac:dyDescent="0.2">
      <c r="B427" s="187" t="s">
        <v>57</v>
      </c>
      <c r="C427" s="133" t="s">
        <v>265</v>
      </c>
      <c r="D427" s="15" t="s">
        <v>99</v>
      </c>
      <c r="E427" s="16" t="s">
        <v>62</v>
      </c>
      <c r="F427" s="175">
        <v>43998</v>
      </c>
      <c r="I427" s="138" t="s">
        <v>93</v>
      </c>
      <c r="AB427">
        <v>7</v>
      </c>
    </row>
    <row r="428" spans="2:28" x14ac:dyDescent="0.2">
      <c r="B428" s="13"/>
      <c r="C428" s="15"/>
      <c r="D428" s="15"/>
      <c r="E428" s="18"/>
      <c r="F428" s="19"/>
      <c r="I428" s="138" t="s">
        <v>93</v>
      </c>
      <c r="AB428">
        <v>8</v>
      </c>
    </row>
    <row r="429" spans="2:28" x14ac:dyDescent="0.2">
      <c r="B429" s="20"/>
      <c r="C429" s="21" t="s">
        <v>89</v>
      </c>
      <c r="D429" s="174" t="s">
        <v>305</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306</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22" t="s">
        <v>373</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5" t="s">
        <v>261</v>
      </c>
      <c r="C440" s="26">
        <v>1</v>
      </c>
      <c r="D440" s="22" t="s">
        <v>344</v>
      </c>
      <c r="E440" s="27">
        <v>43998</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1" t="s">
        <v>369</v>
      </c>
      <c r="D446" s="166" t="s">
        <v>257</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v>43997</v>
      </c>
      <c r="D448" s="15" t="str">
        <f>IF(OR(C451="",C452=""),"",VLOOKUP(CONCATENATE(C451," - ",C452),Exposure,2))</f>
        <v>G</v>
      </c>
      <c r="E448" s="16" t="s">
        <v>135</v>
      </c>
      <c r="F448" s="113">
        <v>7</v>
      </c>
      <c r="I448" s="138" t="s">
        <v>93</v>
      </c>
      <c r="AB448">
        <v>2</v>
      </c>
    </row>
    <row r="449" spans="2:28" x14ac:dyDescent="0.2">
      <c r="B449" s="13" t="s">
        <v>84</v>
      </c>
      <c r="C449" s="212" t="s">
        <v>261</v>
      </c>
      <c r="D449" s="15" t="s">
        <v>126</v>
      </c>
      <c r="E449" s="16" t="s">
        <v>56</v>
      </c>
      <c r="F449" s="134" t="s">
        <v>142</v>
      </c>
      <c r="I449" s="138" t="s">
        <v>93</v>
      </c>
      <c r="AB449">
        <v>3</v>
      </c>
    </row>
    <row r="450" spans="2:28" x14ac:dyDescent="0.2">
      <c r="B450" s="13" t="s">
        <v>85</v>
      </c>
      <c r="C450" s="213" t="s">
        <v>261</v>
      </c>
      <c r="D450" s="18"/>
      <c r="E450" s="16" t="s">
        <v>91</v>
      </c>
      <c r="F450" s="134" t="s">
        <v>142</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262</v>
      </c>
      <c r="D452" s="15" t="s">
        <v>96</v>
      </c>
      <c r="E452" s="16" t="s">
        <v>61</v>
      </c>
      <c r="F452" s="135">
        <v>43998</v>
      </c>
      <c r="I452" s="138" t="s">
        <v>93</v>
      </c>
      <c r="AB452">
        <v>6</v>
      </c>
    </row>
    <row r="453" spans="2:28" ht="25.5" x14ac:dyDescent="0.2">
      <c r="B453" s="187" t="s">
        <v>57</v>
      </c>
      <c r="C453" s="133" t="s">
        <v>95</v>
      </c>
      <c r="D453" s="15" t="s">
        <v>99</v>
      </c>
      <c r="E453" s="16" t="s">
        <v>62</v>
      </c>
      <c r="F453" s="175">
        <v>43998</v>
      </c>
      <c r="I453" s="138" t="s">
        <v>93</v>
      </c>
      <c r="AB453">
        <v>7</v>
      </c>
    </row>
    <row r="454" spans="2:28" x14ac:dyDescent="0.2">
      <c r="B454" s="13"/>
      <c r="C454" s="15"/>
      <c r="D454" s="15"/>
      <c r="E454" s="18"/>
      <c r="F454" s="19"/>
      <c r="I454" s="138" t="s">
        <v>93</v>
      </c>
      <c r="AB454">
        <v>8</v>
      </c>
    </row>
    <row r="455" spans="2:28" ht="25.5" x14ac:dyDescent="0.2">
      <c r="B455" s="20"/>
      <c r="C455" s="21" t="s">
        <v>89</v>
      </c>
      <c r="D455" s="174" t="s">
        <v>307</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2" t="s">
        <v>308</v>
      </c>
      <c r="E457" s="18"/>
      <c r="F457" s="19"/>
      <c r="I457" s="138" t="s">
        <v>93</v>
      </c>
      <c r="AB457">
        <v>11</v>
      </c>
    </row>
    <row r="458" spans="2:28" ht="6" customHeight="1" x14ac:dyDescent="0.2">
      <c r="B458" s="20"/>
      <c r="C458" s="21"/>
      <c r="D458" s="22"/>
      <c r="E458" s="18"/>
      <c r="F458" s="19"/>
      <c r="I458" s="138" t="s">
        <v>93</v>
      </c>
      <c r="AB458">
        <v>12</v>
      </c>
    </row>
    <row r="459" spans="2:28" ht="51" x14ac:dyDescent="0.2">
      <c r="B459" s="20"/>
      <c r="C459" s="21" t="s">
        <v>3</v>
      </c>
      <c r="D459" s="22" t="s">
        <v>328</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5" t="s">
        <v>261</v>
      </c>
      <c r="C466" s="26">
        <v>1</v>
      </c>
      <c r="D466" s="22" t="s">
        <v>345</v>
      </c>
      <c r="E466" s="27">
        <v>43998</v>
      </c>
      <c r="F466" s="28" t="s">
        <v>86</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1" t="s">
        <v>370</v>
      </c>
      <c r="D472" s="166" t="s">
        <v>274</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v>43997</v>
      </c>
      <c r="D474" s="15" t="str">
        <f>IF(OR(C477="",C478=""),"",VLOOKUP(CONCATENATE(C477," - ",C478),Exposure,2))</f>
        <v>Y</v>
      </c>
      <c r="E474" s="16" t="s">
        <v>135</v>
      </c>
      <c r="F474" s="113">
        <v>3</v>
      </c>
      <c r="I474" s="138" t="s">
        <v>93</v>
      </c>
      <c r="AB474">
        <v>2</v>
      </c>
    </row>
    <row r="475" spans="2:28" x14ac:dyDescent="0.2">
      <c r="B475" s="13" t="s">
        <v>84</v>
      </c>
      <c r="C475" s="212" t="s">
        <v>261</v>
      </c>
      <c r="D475" s="15" t="s">
        <v>126</v>
      </c>
      <c r="E475" s="16" t="s">
        <v>56</v>
      </c>
      <c r="F475" s="134" t="s">
        <v>268</v>
      </c>
      <c r="I475" s="138" t="s">
        <v>93</v>
      </c>
      <c r="AB475">
        <v>3</v>
      </c>
    </row>
    <row r="476" spans="2:28" x14ac:dyDescent="0.2">
      <c r="B476" s="13" t="s">
        <v>85</v>
      </c>
      <c r="C476" s="213" t="s">
        <v>261</v>
      </c>
      <c r="D476" s="18"/>
      <c r="E476" s="16" t="s">
        <v>91</v>
      </c>
      <c r="F476" s="134" t="s">
        <v>142</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263</v>
      </c>
      <c r="D478" s="15" t="s">
        <v>96</v>
      </c>
      <c r="E478" s="16" t="s">
        <v>61</v>
      </c>
      <c r="F478" s="135">
        <v>43998</v>
      </c>
      <c r="I478" s="138" t="s">
        <v>93</v>
      </c>
      <c r="AB478">
        <v>6</v>
      </c>
    </row>
    <row r="479" spans="2:28" ht="25.5" x14ac:dyDescent="0.2">
      <c r="B479" s="187" t="s">
        <v>57</v>
      </c>
      <c r="C479" s="133" t="s">
        <v>265</v>
      </c>
      <c r="D479" s="15" t="s">
        <v>99</v>
      </c>
      <c r="E479" s="16" t="s">
        <v>62</v>
      </c>
      <c r="F479" s="175">
        <v>43998</v>
      </c>
      <c r="I479" s="138" t="s">
        <v>93</v>
      </c>
      <c r="AB479">
        <v>7</v>
      </c>
    </row>
    <row r="480" spans="2:28" x14ac:dyDescent="0.2">
      <c r="B480" s="13"/>
      <c r="C480" s="15"/>
      <c r="D480" s="15"/>
      <c r="E480" s="18"/>
      <c r="F480" s="19"/>
      <c r="I480" s="138" t="s">
        <v>93</v>
      </c>
      <c r="AB480">
        <v>8</v>
      </c>
    </row>
    <row r="481" spans="2:28" x14ac:dyDescent="0.2">
      <c r="B481" s="20"/>
      <c r="C481" s="21" t="s">
        <v>89</v>
      </c>
      <c r="D481" s="174" t="s">
        <v>309</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310</v>
      </c>
      <c r="E483" s="18"/>
      <c r="F483" s="19"/>
      <c r="I483" s="138" t="s">
        <v>93</v>
      </c>
      <c r="AB483">
        <v>11</v>
      </c>
    </row>
    <row r="484" spans="2:28" ht="6" customHeight="1" x14ac:dyDescent="0.2">
      <c r="B484" s="20"/>
      <c r="C484" s="21"/>
      <c r="D484" s="22"/>
      <c r="E484" s="18"/>
      <c r="F484" s="19"/>
      <c r="I484" s="138" t="s">
        <v>93</v>
      </c>
      <c r="AB484">
        <v>12</v>
      </c>
    </row>
    <row r="485" spans="2:28" ht="51" x14ac:dyDescent="0.2">
      <c r="B485" s="20"/>
      <c r="C485" s="21" t="s">
        <v>3</v>
      </c>
      <c r="D485" s="22" t="s">
        <v>329</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346</v>
      </c>
      <c r="C492" s="26">
        <v>1</v>
      </c>
      <c r="D492" s="22" t="s">
        <v>347</v>
      </c>
      <c r="E492" s="27">
        <v>43998</v>
      </c>
      <c r="F492" s="28" t="s">
        <v>86</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11" t="s">
        <v>371</v>
      </c>
      <c r="D498" s="166" t="s">
        <v>258</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v>43997</v>
      </c>
      <c r="D500" s="15" t="str">
        <f>IF(OR(C503="",C504=""),"",VLOOKUP(CONCATENATE(C503," - ",C504),Exposure,2))</f>
        <v>Y</v>
      </c>
      <c r="E500" s="16" t="s">
        <v>135</v>
      </c>
      <c r="F500" s="113">
        <v>1</v>
      </c>
      <c r="I500" s="138" t="s">
        <v>93</v>
      </c>
      <c r="AB500">
        <v>2</v>
      </c>
    </row>
    <row r="501" spans="2:28" x14ac:dyDescent="0.2">
      <c r="B501" s="13" t="s">
        <v>84</v>
      </c>
      <c r="C501" s="212" t="s">
        <v>240</v>
      </c>
      <c r="D501" s="15" t="s">
        <v>126</v>
      </c>
      <c r="E501" s="16" t="s">
        <v>56</v>
      </c>
      <c r="F501" s="134" t="s">
        <v>275</v>
      </c>
      <c r="I501" s="138" t="s">
        <v>93</v>
      </c>
      <c r="AB501">
        <v>3</v>
      </c>
    </row>
    <row r="502" spans="2:28" x14ac:dyDescent="0.2">
      <c r="B502" s="13" t="s">
        <v>85</v>
      </c>
      <c r="C502" s="213" t="s">
        <v>240</v>
      </c>
      <c r="D502" s="18"/>
      <c r="E502" s="16" t="s">
        <v>91</v>
      </c>
      <c r="F502" s="134" t="s">
        <v>106</v>
      </c>
      <c r="I502" s="138" t="s">
        <v>93</v>
      </c>
      <c r="AB502">
        <v>4</v>
      </c>
    </row>
    <row r="503" spans="2:28" x14ac:dyDescent="0.2">
      <c r="B503" s="13" t="s">
        <v>44</v>
      </c>
      <c r="C503" s="133" t="s">
        <v>262</v>
      </c>
      <c r="D503" s="49" t="str">
        <f>IF(C503="","WARNING - Please enter a Probability.","")</f>
        <v/>
      </c>
      <c r="E503" s="16" t="s">
        <v>60</v>
      </c>
      <c r="F503" s="134" t="s">
        <v>107</v>
      </c>
      <c r="I503" s="138" t="s">
        <v>93</v>
      </c>
      <c r="AB503">
        <v>5</v>
      </c>
    </row>
    <row r="504" spans="2:28" x14ac:dyDescent="0.2">
      <c r="B504" s="13" t="s">
        <v>50</v>
      </c>
      <c r="C504" s="133" t="s">
        <v>262</v>
      </c>
      <c r="D504" s="15" t="s">
        <v>96</v>
      </c>
      <c r="E504" s="16" t="s">
        <v>61</v>
      </c>
      <c r="F504" s="135">
        <v>43998</v>
      </c>
      <c r="I504" s="138" t="s">
        <v>93</v>
      </c>
      <c r="AB504">
        <v>6</v>
      </c>
    </row>
    <row r="505" spans="2:28" ht="25.5" x14ac:dyDescent="0.2">
      <c r="B505" s="187" t="s">
        <v>57</v>
      </c>
      <c r="C505" s="133" t="s">
        <v>95</v>
      </c>
      <c r="D505" s="15" t="s">
        <v>99</v>
      </c>
      <c r="E505" s="16" t="s">
        <v>62</v>
      </c>
      <c r="F505" s="175">
        <v>43998</v>
      </c>
      <c r="I505" s="138" t="s">
        <v>93</v>
      </c>
      <c r="AB505">
        <v>7</v>
      </c>
    </row>
    <row r="506" spans="2:28" x14ac:dyDescent="0.2">
      <c r="B506" s="13"/>
      <c r="C506" s="15"/>
      <c r="D506" s="15"/>
      <c r="E506" s="18"/>
      <c r="F506" s="19"/>
      <c r="I506" s="138" t="s">
        <v>93</v>
      </c>
      <c r="AB506">
        <v>8</v>
      </c>
    </row>
    <row r="507" spans="2:28" ht="38.25" x14ac:dyDescent="0.2">
      <c r="B507" s="20"/>
      <c r="C507" s="21" t="s">
        <v>89</v>
      </c>
      <c r="D507" s="174" t="s">
        <v>311</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312</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22" t="s">
        <v>330</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240</v>
      </c>
      <c r="C518" s="26">
        <v>1</v>
      </c>
      <c r="D518" s="22" t="s">
        <v>348</v>
      </c>
      <c r="E518" s="27">
        <v>43998</v>
      </c>
      <c r="F518" s="28" t="s">
        <v>86</v>
      </c>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214"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4"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TWFF</v>
      </c>
      <c r="D1" s="153"/>
      <c r="E1" s="152"/>
      <c r="F1" s="152"/>
      <c r="G1" s="152"/>
      <c r="H1" s="152"/>
      <c r="I1" s="154" t="s">
        <v>216</v>
      </c>
      <c r="J1" s="155">
        <f>'Detalle del Riesgo'!F2</f>
        <v>43998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v>
      </c>
      <c r="H6" s="123">
        <f>Exposure!D5</f>
        <v>1</v>
      </c>
      <c r="I6" s="123">
        <f>Exposure!E5</f>
        <v>0</v>
      </c>
      <c r="J6" s="91">
        <f>Exposure!F5</f>
        <v>1</v>
      </c>
    </row>
    <row r="7" spans="1:10" x14ac:dyDescent="0.2">
      <c r="A7" s="84"/>
      <c r="B7" s="92" t="s">
        <v>122</v>
      </c>
      <c r="C7" s="93"/>
      <c r="D7" s="147"/>
      <c r="E7" s="84"/>
      <c r="F7" s="120" t="s">
        <v>19</v>
      </c>
      <c r="G7" s="124">
        <f>Exposure!C7</f>
        <v>10</v>
      </c>
      <c r="H7" s="124">
        <f>Exposure!D7</f>
        <v>10</v>
      </c>
      <c r="I7" s="124">
        <f>Exposure!E7</f>
        <v>0</v>
      </c>
      <c r="J7" s="94">
        <f>Exposure!F7</f>
        <v>10</v>
      </c>
    </row>
    <row r="8" spans="1:10" ht="13.5" thickBot="1" x14ac:dyDescent="0.25">
      <c r="A8" s="84"/>
      <c r="B8" s="92" t="s">
        <v>123</v>
      </c>
      <c r="C8" s="93"/>
      <c r="D8" s="147"/>
      <c r="E8" s="84"/>
      <c r="F8" s="120" t="s">
        <v>20</v>
      </c>
      <c r="G8" s="125">
        <f>Exposure!C9</f>
        <v>9</v>
      </c>
      <c r="H8" s="125">
        <f>Exposure!D9</f>
        <v>9</v>
      </c>
      <c r="I8" s="125">
        <f>Exposure!E9</f>
        <v>0</v>
      </c>
      <c r="J8" s="95">
        <f>Exposure!F9</f>
        <v>9</v>
      </c>
    </row>
    <row r="9" spans="1:10" ht="13.5" thickBot="1" x14ac:dyDescent="0.25">
      <c r="A9" s="84"/>
      <c r="B9" s="96" t="s">
        <v>124</v>
      </c>
      <c r="C9" s="97"/>
      <c r="D9" s="147"/>
      <c r="E9" s="84"/>
      <c r="F9" s="121" t="s">
        <v>120</v>
      </c>
      <c r="G9" s="125">
        <f>SUM(G6:G8)</f>
        <v>20</v>
      </c>
      <c r="H9" s="125">
        <f>SUM(H6:H8)</f>
        <v>20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RG_121</v>
      </c>
      <c r="B12" s="158">
        <f>IF($A12="","",'Detalle del Riesgo'!F5)</f>
        <v>4</v>
      </c>
      <c r="C12" s="159" t="str">
        <f>IF($A12="","",LEFT('Detalle del Riesgo'!D10,1))</f>
        <v>N</v>
      </c>
      <c r="D12" s="160" t="str">
        <f>IF($A12="","",'Detalle del Riesgo'!D3)</f>
        <v>Conflictos entre miembros del equipo</v>
      </c>
      <c r="E12" s="161" t="str">
        <f>IF($A12="","",'Detalle del Riesgo'!C7)</f>
        <v>María Alejandra Almaraz García</v>
      </c>
      <c r="F12" s="159" t="str">
        <f>IF(OR($A12="",$H12="Retirar"),"",'Detalle del Riesgo'!D5)</f>
        <v>Y</v>
      </c>
      <c r="G12" s="159" t="str">
        <f>IF($A12="","",'Detalle del Riesgo'!C10)</f>
        <v>1-3 meses</v>
      </c>
      <c r="H12" s="159" t="str">
        <f>IF($A12= "","",'Detalle del Riesgo'!F3)</f>
        <v>Investigar</v>
      </c>
      <c r="I12" s="162">
        <f>IF($A12= "","",'Detalle del Riesgo'!C5)</f>
        <v>43997</v>
      </c>
      <c r="J12" s="163">
        <f>IF($A12= "","",'Detalle del Riesgo'!F9)</f>
        <v>43998</v>
      </c>
    </row>
    <row r="13" spans="1:10" x14ac:dyDescent="0.2">
      <c r="A13" s="157" t="str">
        <f>IF(LEFT('Detalle del Riesgo'!D30)="&lt;","",'Detalle del Riesgo'!C30)</f>
        <v>RG_122</v>
      </c>
      <c r="B13" s="158">
        <f>IF($A13="","",'Detalle del Riesgo'!F32)</f>
        <v>1</v>
      </c>
      <c r="C13" s="159" t="str">
        <f>IF($A13="","",LEFT('Detalle del Riesgo'!D37,1))</f>
        <v>N</v>
      </c>
      <c r="D13" s="160" t="str">
        <f>IF($A13="","",'Detalle del Riesgo'!D30)</f>
        <v>Enfermedad de los miembros del equipo por estrés</v>
      </c>
      <c r="E13" s="161" t="str">
        <f>IF($A13="","",'Detalle del Riesgo'!C34)</f>
        <v>María Alejandra Almaraz García</v>
      </c>
      <c r="F13" s="159" t="str">
        <f>IF(OR($A13="",$H13="Retired"),"",'Detalle del Riesgo'!D32)</f>
        <v>R</v>
      </c>
      <c r="G13" s="159" t="str">
        <f>IF($A13="","",'Detalle del Riesgo'!C37)</f>
        <v>&lt;1 mes</v>
      </c>
      <c r="H13" s="159" t="str">
        <f>IF($A13= "","",'Detalle del Riesgo'!F30)</f>
        <v>Prevenir</v>
      </c>
      <c r="I13" s="162">
        <f>IF($A13= "","",'Detalle del Riesgo'!C32)</f>
        <v>43997</v>
      </c>
      <c r="J13" s="163">
        <f>IF($A13= "","",'Detalle del Riesgo'!F36)</f>
        <v>43998</v>
      </c>
    </row>
    <row r="14" spans="1:10" x14ac:dyDescent="0.2">
      <c r="A14" s="157" t="str">
        <f>IF(LEFT('Detalle del Riesgo'!D56)="&lt;","",'Detalle del Riesgo'!C56)</f>
        <v>RG_123</v>
      </c>
      <c r="B14" s="158">
        <f>IF($A14="","",'Detalle del Riesgo'!F58)</f>
        <v>1</v>
      </c>
      <c r="C14" s="159" t="str">
        <f>IF($A14="","",LEFT('Detalle del Riesgo'!D63,1))</f>
        <v>N</v>
      </c>
      <c r="D14" s="160" t="str">
        <f>IF($A14="","",'Detalle del Riesgo'!D56)</f>
        <v>Miembros problemáticos del equipo</v>
      </c>
      <c r="E14" s="161" t="str">
        <f>IF($A14="","",'Detalle del Riesgo'!C60)</f>
        <v>María Alejandra Almaraz García</v>
      </c>
      <c r="F14" s="159" t="str">
        <f>IF(OR($A14="",$H14="Retired"),"",'Detalle del Riesgo'!D58)</f>
        <v>G</v>
      </c>
      <c r="G14" s="159" t="str">
        <f>IF($A14="","",'Detalle del Riesgo'!C63)</f>
        <v>1-3 meses</v>
      </c>
      <c r="H14" s="159" t="str">
        <f>IF($A14= "","",'Detalle del Riesgo'!F56)</f>
        <v>Investigar</v>
      </c>
      <c r="I14" s="162">
        <f>IF($A14= "","",'Detalle del Riesgo'!C58)</f>
        <v>43997</v>
      </c>
      <c r="J14" s="163">
        <f>IF($A14= "","",'Detalle del Riesgo'!F62)</f>
        <v>43998</v>
      </c>
    </row>
    <row r="15" spans="1:10" x14ac:dyDescent="0.2">
      <c r="A15" s="157" t="str">
        <f>IF(LEFT('Detalle del Riesgo'!D82)="&lt;","",'Detalle del Riesgo'!C82)</f>
        <v>RG_124</v>
      </c>
      <c r="B15" s="158">
        <f>IF($A15="","",'Detalle del Riesgo'!F84)</f>
        <v>5</v>
      </c>
      <c r="C15" s="159" t="str">
        <f>IF($A15="","",LEFT('Detalle del Riesgo'!D89,1))</f>
        <v>N</v>
      </c>
      <c r="D15" s="160" t="str">
        <f>IF($A15="","",'Detalle del Riesgo'!D82)</f>
        <v>No disponibilidad de personas apropiadas</v>
      </c>
      <c r="E15" s="161" t="str">
        <f>IF($A15="","",'Detalle del Riesgo'!C86)</f>
        <v>María Alejandra Almaraz García</v>
      </c>
      <c r="F15" s="159" t="str">
        <f>IF(OR($A15="",$H15="Retired"),"",'Detalle del Riesgo'!D84)</f>
        <v>Y</v>
      </c>
      <c r="G15" s="159" t="str">
        <f>IF($A15="","",'Detalle del Riesgo'!C89)</f>
        <v>&lt;1 mes</v>
      </c>
      <c r="H15" s="159" t="str">
        <f>IF($A15= "","",'Detalle del Riesgo'!F82)</f>
        <v>Aceptar</v>
      </c>
      <c r="I15" s="162">
        <f>IF($A15= "","",'Detalle del Riesgo'!C84)</f>
        <v>43997</v>
      </c>
      <c r="J15" s="163">
        <f>IF($A15= "","",'Detalle del Riesgo'!F88)</f>
        <v>43998</v>
      </c>
    </row>
    <row r="16" spans="1:10" x14ac:dyDescent="0.2">
      <c r="A16" s="157" t="str">
        <f>IF(LEFT('Detalle del Riesgo'!D108)="&lt;","",'Detalle del Riesgo'!C108)</f>
        <v>RG_125</v>
      </c>
      <c r="B16" s="158">
        <f>IF($A16="","",'Detalle del Riesgo'!F110)</f>
        <v>4</v>
      </c>
      <c r="C16" s="159" t="str">
        <f>IF($A16="","",LEFT('Detalle del Riesgo'!D115,1))</f>
        <v>N</v>
      </c>
      <c r="D16" s="160" t="str">
        <f>IF($A16="","",'Detalle del Riesgo'!D108)</f>
        <v>Personas apropiadas disponIbles, no incorporadas por otras cuestiones</v>
      </c>
      <c r="E16" s="161" t="str">
        <f>IF($A16="","",'Detalle del Riesgo'!C112)</f>
        <v>María Alejandra Almaraz García</v>
      </c>
      <c r="F16" s="159" t="str">
        <f>IF(OR($A16="",$H16="Retired"),"",'Detalle del Riesgo'!D110)</f>
        <v>G</v>
      </c>
      <c r="G16" s="159" t="str">
        <f>IF($A16="","",'Detalle del Riesgo'!C115)</f>
        <v>&lt;1 mes</v>
      </c>
      <c r="H16" s="159" t="str">
        <f>IF($A16= "","",'Detalle del Riesgo'!F108)</f>
        <v>Investigar</v>
      </c>
      <c r="I16" s="162">
        <f>IF($A16= "","",'Detalle del Riesgo'!C110)</f>
        <v>43997</v>
      </c>
      <c r="J16" s="163">
        <f>IF($A16= "","",'Detalle del Riesgo'!F114)</f>
        <v>43998</v>
      </c>
    </row>
    <row r="17" spans="1:10" x14ac:dyDescent="0.2">
      <c r="A17" s="157" t="str">
        <f>IF(LEFT('Detalle del Riesgo'!D134)="&lt;","",'Detalle del Riesgo'!C134)</f>
        <v>RG_126</v>
      </c>
      <c r="B17" s="158">
        <f>IF($A17="","",'Detalle del Riesgo'!F136)</f>
        <v>7</v>
      </c>
      <c r="C17" s="159" t="str">
        <f>IF($A17="","",LEFT('Detalle del Riesgo'!D141,1))</f>
        <v>N</v>
      </c>
      <c r="D17" s="160" t="str">
        <f>IF($A17="","",'Detalle del Riesgo'!D134)</f>
        <v>No encontrar personas con  habilidades muy específicas</v>
      </c>
      <c r="E17" s="161" t="str">
        <f>IF($A17="","",'Detalle del Riesgo'!C138)</f>
        <v>María Alejandra Almaraz García</v>
      </c>
      <c r="F17" s="159" t="str">
        <f>IF(OR($A17="",$H17="Retired"),"",'Detalle del Riesgo'!D136)</f>
        <v>Y</v>
      </c>
      <c r="G17" s="159" t="str">
        <f>IF($A17="","",'Detalle del Riesgo'!C141)</f>
        <v>1-3 meses</v>
      </c>
      <c r="H17" s="159" t="str">
        <f>IF($A17= "","",'Detalle del Riesgo'!F134)</f>
        <v>Investigar</v>
      </c>
      <c r="I17" s="162">
        <f>IF($A17= "","",'Detalle del Riesgo'!C136)</f>
        <v>43997</v>
      </c>
      <c r="J17" s="163">
        <f>IF($A17= "","",'Detalle del Riesgo'!F140)</f>
        <v>43998</v>
      </c>
    </row>
    <row r="18" spans="1:10" x14ac:dyDescent="0.2">
      <c r="A18" s="157" t="str">
        <f>IF(LEFT('Detalle del Riesgo'!D160)="&lt;","",'Detalle del Riesgo'!C160)</f>
        <v>RG_127</v>
      </c>
      <c r="B18" s="158">
        <f>IF($A18="","",'Detalle del Riesgo'!F162)</f>
        <v>5</v>
      </c>
      <c r="C18" s="159" t="str">
        <f>IF($A18="","",LEFT('Detalle del Riesgo'!D167,1))</f>
        <v>N</v>
      </c>
      <c r="D18" s="160" t="str">
        <f>IF($A18="","",'Detalle del Riesgo'!D160)</f>
        <v>Límite de tiempo con personas claves</v>
      </c>
      <c r="E18" s="161" t="str">
        <f>IF($A18="","",'Detalle del Riesgo'!C164)</f>
        <v>María Alejandra Almaraz García</v>
      </c>
      <c r="F18" s="159" t="str">
        <f>IF(OR($A18="",$H18="Retired"),"",'Detalle del Riesgo'!D162)</f>
        <v>G</v>
      </c>
      <c r="G18" s="159" t="str">
        <f>IF($A18="","",'Detalle del Riesgo'!C167)</f>
        <v>1-3 meses</v>
      </c>
      <c r="H18" s="159" t="str">
        <f>IF($A18= "","",'Detalle del Riesgo'!F160)</f>
        <v>Aceptar</v>
      </c>
      <c r="I18" s="162">
        <f>IF($A18= "","",'Detalle del Riesgo'!C162)</f>
        <v>43997</v>
      </c>
      <c r="J18" s="163">
        <f>IF($A18= "","",'Detalle del Riesgo'!F166)</f>
        <v>43998</v>
      </c>
    </row>
    <row r="19" spans="1:10" x14ac:dyDescent="0.2">
      <c r="A19" s="157" t="str">
        <f>IF(LEFT('Detalle del Riesgo'!D186)="&lt;","",'Detalle del Riesgo'!C186)</f>
        <v>RG_128</v>
      </c>
      <c r="B19" s="158">
        <f>IF($A19="","",'Detalle del Riesgo'!F188)</f>
        <v>6</v>
      </c>
      <c r="C19" s="159" t="str">
        <f>IF($A19="","",LEFT('Detalle del Riesgo'!D193,1))</f>
        <v>N</v>
      </c>
      <c r="D19" s="160" t="str">
        <f>IF($A19="","",'Detalle del Riesgo'!D186)</f>
        <v>Personal disponible insuficiente</v>
      </c>
      <c r="E19" s="161" t="str">
        <f>IF($A19="","",'Detalle del Riesgo'!C190)</f>
        <v>María Alejandra Almaraz García</v>
      </c>
      <c r="F19" s="159" t="str">
        <f>IF(OR($A19="",$H19="Retired"),"",'Detalle del Riesgo'!D188)</f>
        <v>Y</v>
      </c>
      <c r="G19" s="159" t="str">
        <f>IF($A19="","",'Detalle del Riesgo'!C193)</f>
        <v>&lt;1 mes</v>
      </c>
      <c r="H19" s="159" t="str">
        <f>IF($A19= "","",'Detalle del Riesgo'!F186)</f>
        <v>Investigar</v>
      </c>
      <c r="I19" s="162">
        <f>IF($A19= "","",'Detalle del Riesgo'!C188)</f>
        <v>43997</v>
      </c>
      <c r="J19" s="163">
        <f>IF($A19= "","",'Detalle del Riesgo'!F192)</f>
        <v>43998</v>
      </c>
    </row>
    <row r="20" spans="1:10" x14ac:dyDescent="0.2">
      <c r="A20" s="157" t="str">
        <f>IF(LEFT('Detalle del Riesgo'!D212)="&lt;","",'Detalle del Riesgo'!C212)</f>
        <v>RG_129</v>
      </c>
      <c r="B20" s="158">
        <f>IF($A20="","",'Detalle del Riesgo'!F214)</f>
        <v>6</v>
      </c>
      <c r="C20" s="159" t="str">
        <f>IF($A20="","",LEFT('Detalle del Riesgo'!D219,1))</f>
        <v>N</v>
      </c>
      <c r="D20" s="160" t="str">
        <f>IF($A20="","",'Detalle del Riesgo'!D212)</f>
        <v>Tareas no aptas para las posibilidades del personal</v>
      </c>
      <c r="E20" s="161" t="str">
        <f>IF($A20="","",'Detalle del Riesgo'!C216)</f>
        <v>María Alejandra Almaraz García</v>
      </c>
      <c r="F20" s="159" t="str">
        <f>IF(OR($A20="",$H20="Retired"),"",'Detalle del Riesgo'!D214)</f>
        <v>G</v>
      </c>
      <c r="G20" s="159" t="str">
        <f>IF($A20="","",'Detalle del Riesgo'!C219)</f>
        <v>1-3 meses</v>
      </c>
      <c r="H20" s="159" t="str">
        <f>IF($A20= "","",'Detalle del Riesgo'!F212)</f>
        <v>Investigar</v>
      </c>
      <c r="I20" s="162">
        <f>IF($A20= "","",'Detalle del Riesgo'!C214)</f>
        <v>43997</v>
      </c>
      <c r="J20" s="163">
        <f>IF($A20= "","",'Detalle del Riesgo'!F218)</f>
        <v>43998</v>
      </c>
    </row>
    <row r="21" spans="1:10" x14ac:dyDescent="0.2">
      <c r="A21" s="157" t="str">
        <f>IF(LEFT('Detalle del Riesgo'!D238)="&lt;","",'Detalle del Riesgo'!C238)</f>
        <v>RG_130</v>
      </c>
      <c r="B21" s="158">
        <f>IF($A21="","",'Detalle del Riesgo'!F240)</f>
        <v>2</v>
      </c>
      <c r="C21" s="159" t="str">
        <f>IF($A21="","",LEFT('Detalle del Riesgo'!D245,1))</f>
        <v>N</v>
      </c>
      <c r="D21" s="160" t="str">
        <f>IF($A21="","",'Detalle del Riesgo'!D238)</f>
        <v>El personal trabaja lento</v>
      </c>
      <c r="E21" s="161" t="str">
        <f>IF($A21="","",'Detalle del Riesgo'!C242)</f>
        <v>María Alejandra Almaraz García</v>
      </c>
      <c r="F21" s="159" t="str">
        <f>IF(OR($A21="",$H21="Retired"),"",'Detalle del Riesgo'!D240)</f>
        <v>Y</v>
      </c>
      <c r="G21" s="159" t="str">
        <f>IF($A21="","",'Detalle del Riesgo'!C245)</f>
        <v>&lt;1 mes</v>
      </c>
      <c r="H21" s="159" t="str">
        <f>IF($A21= "","",'Detalle del Riesgo'!F238)</f>
        <v>Prevenir</v>
      </c>
      <c r="I21" s="162">
        <f>IF($A21= "","",'Detalle del Riesgo'!C240)</f>
        <v>43997</v>
      </c>
      <c r="J21" s="163">
        <f>IF($A21= "","",'Detalle del Riesgo'!F244)</f>
        <v>43998</v>
      </c>
    </row>
    <row r="22" spans="1:10" x14ac:dyDescent="0.2">
      <c r="A22" s="157" t="str">
        <f>IF(LEFT('Detalle del Riesgo'!D264)="&lt;","",'Detalle del Riesgo'!C264)</f>
        <v>RG_131</v>
      </c>
      <c r="B22" s="158">
        <f>IF($A22="","",'Detalle del Riesgo'!F266)</f>
        <v>2</v>
      </c>
      <c r="C22" s="159" t="str">
        <f>IF($A22="","",LEFT('Detalle del Riesgo'!D271,1))</f>
        <v>N</v>
      </c>
      <c r="D22" s="160" t="str">
        <f>IF($A22="","",'Detalle del Riesgo'!D264)</f>
        <v>Sabotaje por la dirección del proyecto</v>
      </c>
      <c r="E22" s="161" t="str">
        <f>IF($A22="","",'Detalle del Riesgo'!C268)</f>
        <v>María Alejandra Almaraz García</v>
      </c>
      <c r="F22" s="159" t="str">
        <f>IF(OR($A22="",$H22="Retired"),"",'Detalle del Riesgo'!D266)</f>
        <v>G</v>
      </c>
      <c r="G22" s="159" t="str">
        <f>IF($A22="","",'Detalle del Riesgo'!C271)</f>
        <v>1-3 meses</v>
      </c>
      <c r="H22" s="159" t="str">
        <f>IF($A22= "","",'Detalle del Riesgo'!F264)</f>
        <v>Investigar</v>
      </c>
      <c r="I22" s="162">
        <f>IF($A22= "","",'Detalle del Riesgo'!C266)</f>
        <v>43997</v>
      </c>
      <c r="J22" s="163">
        <f>IF($A22= "","",'Detalle del Riesgo'!F270)</f>
        <v>43998</v>
      </c>
    </row>
    <row r="23" spans="1:10" x14ac:dyDescent="0.2">
      <c r="A23" s="157" t="str">
        <f>IF(LEFT('Detalle del Riesgo'!D290)="&lt;","",'Detalle del Riesgo'!C290)</f>
        <v>RG_132</v>
      </c>
      <c r="B23" s="158">
        <f>IF($A23="","",'Detalle del Riesgo'!F292)</f>
        <v>3</v>
      </c>
      <c r="C23" s="159" t="str">
        <f>IF($A23="","",LEFT('Detalle del Riesgo'!D297,1))</f>
        <v>N</v>
      </c>
      <c r="D23" s="160" t="str">
        <f>IF($A23="","",'Detalle del Riesgo'!D290)</f>
        <v>Sabotaje por el personal técnico</v>
      </c>
      <c r="E23" s="161" t="str">
        <f>IF($A23="","",'Detalle del Riesgo'!C294)</f>
        <v>María Alejandra Almaraz García</v>
      </c>
      <c r="F23" s="159" t="str">
        <f>IF(OR($A23="",$H23="Retired"),"",'Detalle del Riesgo'!D292)</f>
        <v>G</v>
      </c>
      <c r="G23" s="159" t="str">
        <f>IF($A23="","",'Detalle del Riesgo'!C297)</f>
        <v>1-3 meses</v>
      </c>
      <c r="H23" s="159" t="str">
        <f>IF($A23= "","",'Detalle del Riesgo'!F290)</f>
        <v>Investigar</v>
      </c>
      <c r="I23" s="162">
        <f>IF($A23= "","",'Detalle del Riesgo'!C292)</f>
        <v>43997</v>
      </c>
      <c r="J23" s="163">
        <f>IF($A23= "","",'Detalle del Riesgo'!F296)</f>
        <v>43998</v>
      </c>
    </row>
    <row r="24" spans="1:10" x14ac:dyDescent="0.2">
      <c r="A24" s="157" t="str">
        <f>IF(LEFT('Detalle del Riesgo'!D316)="&lt;","",'Detalle del Riesgo'!C316)</f>
        <v>RG_133</v>
      </c>
      <c r="B24" s="158">
        <f>IF($A24="","",'Detalle del Riesgo'!F318)</f>
        <v>8</v>
      </c>
      <c r="C24" s="159" t="str">
        <f>IF($A24="","",LEFT('Detalle del Riesgo'!D323,1))</f>
        <v>N</v>
      </c>
      <c r="D24" s="160" t="str">
        <f>IF($A24="","",'Detalle del Riesgo'!D316)</f>
        <v>Diseño sencillo que no cubre cuestiones principales</v>
      </c>
      <c r="E24" s="161" t="str">
        <f>IF($A24="","",'Detalle del Riesgo'!C320)</f>
        <v>Agustín Serrano Martínez</v>
      </c>
      <c r="F24" s="159" t="str">
        <f>IF(OR($A24="",$H24="Retired"),"",'Detalle del Riesgo'!D318)</f>
        <v>Y</v>
      </c>
      <c r="G24" s="159" t="str">
        <f>IF($A24="","",'Detalle del Riesgo'!C323)</f>
        <v>1-3 meses</v>
      </c>
      <c r="H24" s="159" t="str">
        <f>IF($A24= "","",'Detalle del Riesgo'!F316)</f>
        <v>Investigar</v>
      </c>
      <c r="I24" s="162">
        <f>IF($A24= "","",'Detalle del Riesgo'!C318)</f>
        <v>43997</v>
      </c>
      <c r="J24" s="163">
        <f>IF($A24= "","",'Detalle del Riesgo'!F322)</f>
        <v>43998</v>
      </c>
    </row>
    <row r="25" spans="1:10" x14ac:dyDescent="0.2">
      <c r="A25" s="157" t="str">
        <f>IF(LEFT('Detalle del Riesgo'!D342)="&lt;","",'Detalle del Riesgo'!C342)</f>
        <v>RG_134</v>
      </c>
      <c r="B25" s="158">
        <f>IF($A25="","",'Detalle del Riesgo'!F344)</f>
        <v>9</v>
      </c>
      <c r="C25" s="159" t="str">
        <f>IF($A25="","",LEFT('Detalle del Riesgo'!D349,1))</f>
        <v>N</v>
      </c>
      <c r="D25" s="160" t="str">
        <f>IF($A25="","",'Detalle del Riesgo'!D342)</f>
        <v>Diseño complejo con complicaciones innecesarias</v>
      </c>
      <c r="E25" s="161" t="str">
        <f>IF($A25="","",'Detalle del Riesgo'!C346)</f>
        <v>Agustín Serrano Martínez</v>
      </c>
      <c r="F25" s="159" t="str">
        <f>IF(OR($A25="",$H25="Retired"),"",'Detalle del Riesgo'!D344)</f>
        <v>Y</v>
      </c>
      <c r="G25" s="159" t="str">
        <f>IF($A25="","",'Detalle del Riesgo'!C349)</f>
        <v>1-3 meses</v>
      </c>
      <c r="H25" s="159" t="str">
        <f>IF($A25= "","",'Detalle del Riesgo'!F342)</f>
        <v>Investigar</v>
      </c>
      <c r="I25" s="162">
        <f>IF($A25= "","",'Detalle del Riesgo'!C344)</f>
        <v>43997</v>
      </c>
      <c r="J25" s="163">
        <f>IF($A25= "","",'Detalle del Riesgo'!F348)</f>
        <v>43998</v>
      </c>
    </row>
    <row r="26" spans="1:10" x14ac:dyDescent="0.2">
      <c r="A26" s="157" t="str">
        <f>IF(LEFT('Detalle del Riesgo'!D368)="&lt;","",'Detalle del Riesgo'!C368)</f>
        <v>RG_135</v>
      </c>
      <c r="B26" s="158">
        <f>IF($A26="","",'Detalle del Riesgo'!F370)</f>
        <v>8</v>
      </c>
      <c r="C26" s="159" t="str">
        <f>IF($A26="","",LEFT('Detalle del Riesgo'!D375,1))</f>
        <v>N</v>
      </c>
      <c r="D26" s="160" t="str">
        <f>IF($A26="","",'Detalle del Riesgo'!D368)</f>
        <v>Mal diseño</v>
      </c>
      <c r="E26" s="161" t="str">
        <f>IF($A26="","",'Detalle del Riesgo'!C372)</f>
        <v>Agustín Serrano Martínez</v>
      </c>
      <c r="F26" s="159" t="str">
        <f>IF(OR($A26="",$H26="Retired"),"",'Detalle del Riesgo'!D370)</f>
        <v>G</v>
      </c>
      <c r="G26" s="159" t="str">
        <f>IF($A26="","",'Detalle del Riesgo'!C375)</f>
        <v>&gt; 3 meses</v>
      </c>
      <c r="H26" s="159" t="str">
        <f>IF($A26= "","",'Detalle del Riesgo'!F368)</f>
        <v>Investigar</v>
      </c>
      <c r="I26" s="162">
        <f>IF($A26= "","",'Detalle del Riesgo'!C370)</f>
        <v>43997</v>
      </c>
      <c r="J26" s="163">
        <f>IF($A26= "","",'Detalle del Riesgo'!F374)</f>
        <v>43998</v>
      </c>
    </row>
    <row r="27" spans="1:10" x14ac:dyDescent="0.2">
      <c r="A27" s="157" t="str">
        <f>IF(LEFT('Detalle del Riesgo'!D394)="&lt;","",'Detalle del Riesgo'!C394)</f>
        <v>RG_136</v>
      </c>
      <c r="B27" s="158">
        <f>IF($A27="","",'Detalle del Riesgo'!F396)</f>
        <v>10</v>
      </c>
      <c r="C27" s="159" t="str">
        <f>IF($A27="","",LEFT('Detalle del Riesgo'!D401,1))</f>
        <v>N</v>
      </c>
      <c r="D27" s="160" t="str">
        <f>IF($A27="","",'Detalle del Riesgo'!D394)</f>
        <v>Utilizar metodologías desconocidas</v>
      </c>
      <c r="E27" s="161" t="str">
        <f>IF($A27="","",'Detalle del Riesgo'!C398)</f>
        <v>Giovanni Guijosa Suárez</v>
      </c>
      <c r="F27" s="159" t="str">
        <f>IF(OR($A27="",$H27="Retired"),"",'Detalle del Riesgo'!D396)</f>
        <v>Y</v>
      </c>
      <c r="G27" s="159" t="str">
        <f>IF($A27="","",'Detalle del Riesgo'!C401)</f>
        <v>1-3 meses</v>
      </c>
      <c r="H27" s="159" t="str">
        <f>IF($A27= "","",'Detalle del Riesgo'!F394)</f>
        <v>Investigar</v>
      </c>
      <c r="I27" s="162">
        <f>IF($A27= "","",'Detalle del Riesgo'!C396)</f>
        <v>43997</v>
      </c>
      <c r="J27" s="163">
        <f>IF($A27= "","",'Detalle del Riesgo'!F400)</f>
        <v>43998</v>
      </c>
    </row>
    <row r="28" spans="1:10" x14ac:dyDescent="0.2">
      <c r="A28" s="157" t="str">
        <f>IF(LEFT('Detalle del Riesgo'!D420)="&lt;","",'Detalle del Riesgo'!C420)</f>
        <v>RG_137</v>
      </c>
      <c r="B28" s="158">
        <f>IF($A28="","",'Detalle del Riesgo'!F422)</f>
        <v>9</v>
      </c>
      <c r="C28" s="159" t="str">
        <f>IF($A28="","",LEFT('Detalle del Riesgo'!D427,1))</f>
        <v>N</v>
      </c>
      <c r="D28" s="160" t="str">
        <f>IF($A28="","",'Detalle del Riesgo'!D420)</f>
        <v>Implementación en lenguaje de bajo nivel</v>
      </c>
      <c r="E28" s="161" t="str">
        <f>IF($A28="","",'Detalle del Riesgo'!C424)</f>
        <v>Octavio Muñoz Bernabé</v>
      </c>
      <c r="F28" s="159" t="str">
        <f>IF(OR($A28="",$H28="Retired"),"",'Detalle del Riesgo'!D422)</f>
        <v>G</v>
      </c>
      <c r="G28" s="159" t="str">
        <f>IF($A28="","",'Detalle del Riesgo'!C427)</f>
        <v>&gt; 3 meses</v>
      </c>
      <c r="H28" s="159" t="str">
        <f>IF($A28= "","",'Detalle del Riesgo'!F420)</f>
        <v>Investigar</v>
      </c>
      <c r="I28" s="162">
        <f>IF($A28= "","",'Detalle del Riesgo'!C422)</f>
        <v>43997</v>
      </c>
      <c r="J28" s="163">
        <f>IF($A28= "","",'Detalle del Riesgo'!F426)</f>
        <v>43998</v>
      </c>
    </row>
    <row r="29" spans="1:10" x14ac:dyDescent="0.2">
      <c r="A29" s="157" t="str">
        <f>IF(LEFT('Detalle del Riesgo'!D446)="&lt;","",'Detalle del Riesgo'!C446)</f>
        <v>RG_138</v>
      </c>
      <c r="B29" s="158">
        <f>IF($A29="","",'Detalle del Riesgo'!F448)</f>
        <v>7</v>
      </c>
      <c r="C29" s="159" t="str">
        <f>IF($A29="","",LEFT('Detalle del Riesgo'!D453,1))</f>
        <v>N</v>
      </c>
      <c r="D29" s="160" t="str">
        <f>IF($A29="","",'Detalle del Riesgo'!D446)</f>
        <v>No poder implementar funcionalidades con el lenguaje</v>
      </c>
      <c r="E29" s="161" t="str">
        <f>IF($A29="","",'Detalle del Riesgo'!C450)</f>
        <v>Octavio Muñoz Bernabé</v>
      </c>
      <c r="F29" s="159" t="str">
        <f>IF(OR($A29="",$H29="Retired"),"",'Detalle del Riesgo'!D448)</f>
        <v>G</v>
      </c>
      <c r="G29" s="159" t="str">
        <f>IF($A29="","",'Detalle del Riesgo'!C453)</f>
        <v>1-3 meses</v>
      </c>
      <c r="H29" s="159" t="str">
        <f>IF($A29= "","",'Detalle del Riesgo'!F446)</f>
        <v>Investigar</v>
      </c>
      <c r="I29" s="162">
        <f>IF($A29= "","",'Detalle del Riesgo'!C448)</f>
        <v>43997</v>
      </c>
      <c r="J29" s="163">
        <f>IF($A29= "","",'Detalle del Riesgo'!F452)</f>
        <v>43998</v>
      </c>
    </row>
    <row r="30" spans="1:10" x14ac:dyDescent="0.2">
      <c r="A30" s="157" t="str">
        <f>IF(LEFT('Detalle del Riesgo'!D472)="&lt;","",'Detalle del Riesgo'!C472)</f>
        <v>RG_139</v>
      </c>
      <c r="B30" s="158">
        <f>IF($A30="","",'Detalle del Riesgo'!F474)</f>
        <v>3</v>
      </c>
      <c r="C30" s="159" t="str">
        <f>IF($A30="","",LEFT('Detalle del Riesgo'!D479,1))</f>
        <v>N</v>
      </c>
      <c r="D30" s="160" t="str">
        <f>IF($A30="","",'Detalle del Riesgo'!D472)</f>
        <v>Poca calidad en la biblioteca de código o clases</v>
      </c>
      <c r="E30" s="161" t="str">
        <f>IF($A30="","",'Detalle del Riesgo'!C476)</f>
        <v>Octavio Muñoz Bernabé</v>
      </c>
      <c r="F30" s="159" t="str">
        <f>IF(OR($A30="",$H30="Retired"),"",'Detalle del Riesgo'!D474)</f>
        <v>Y</v>
      </c>
      <c r="G30" s="159" t="str">
        <f>IF($A30="","",'Detalle del Riesgo'!C479)</f>
        <v>&gt; 3 meses</v>
      </c>
      <c r="H30" s="159" t="str">
        <f>IF($A30= "","",'Detalle del Riesgo'!F472)</f>
        <v>Investigar</v>
      </c>
      <c r="I30" s="162">
        <f>IF($A30= "","",'Detalle del Riesgo'!C474)</f>
        <v>43997</v>
      </c>
      <c r="J30" s="163">
        <f>IF($A30= "","",'Detalle del Riesgo'!F478)</f>
        <v>43998</v>
      </c>
    </row>
    <row r="31" spans="1:10" x14ac:dyDescent="0.2">
      <c r="A31" s="157" t="str">
        <f>IF(LEFT('Detalle del Riesgo'!D498)="&lt;","",'Detalle del Riesgo'!C498)</f>
        <v>RG_140</v>
      </c>
      <c r="B31" s="158">
        <f>IF($A31="","",'Detalle del Riesgo'!F500)</f>
        <v>1</v>
      </c>
      <c r="C31" s="159" t="str">
        <f>IF($A31="","",LEFT('Detalle del Riesgo'!D505,1))</f>
        <v>N</v>
      </c>
      <c r="D31" s="160" t="str">
        <f>IF($A31="","",'Detalle del Riesgo'!D498)</f>
        <v>Sobrestimación del ahorro de la planificación por mejorar la productividad</v>
      </c>
      <c r="E31" s="161" t="str">
        <f>IF($A31="","",'Detalle del Riesgo'!C502)</f>
        <v>María Alejandra Almaraz García</v>
      </c>
      <c r="F31" s="159" t="str">
        <f>IF(OR($A31="",$H31="Retired"),"",'Detalle del Riesgo'!D500)</f>
        <v>Y</v>
      </c>
      <c r="G31" s="159" t="str">
        <f>IF($A31="","",'Detalle del Riesgo'!C505)</f>
        <v>1-3 meses</v>
      </c>
      <c r="H31" s="159" t="str">
        <f>IF($A31= "","",'Detalle del Riesgo'!F498)</f>
        <v>Investigar</v>
      </c>
      <c r="I31" s="162">
        <f>IF($A31= "","",'Detalle del Riesgo'!C500)</f>
        <v>43997</v>
      </c>
      <c r="J31" s="163">
        <f>IF($A31= "","",'Detalle del Riesgo'!F504)</f>
        <v>43998</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8:H1002"/>
  <sheetViews>
    <sheetView topLeftCell="A17" workbookViewId="0">
      <selection activeCell="A3" sqref="A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1</v>
      </c>
      <c r="D12" s="123">
        <f>Resumen!I6</f>
        <v>0</v>
      </c>
      <c r="E12" s="123">
        <f>COUNTIF($H$14:$H$1002,"RMitigar")</f>
        <v>0</v>
      </c>
      <c r="F12" s="123">
        <f>COUNTIF($H$14:$H$1002,"RAceptar")</f>
        <v>0</v>
      </c>
    </row>
    <row r="13" spans="1:8" x14ac:dyDescent="0.2">
      <c r="B13" s="120" t="s">
        <v>19</v>
      </c>
      <c r="C13" s="124">
        <f>Resumen!G7</f>
        <v>10</v>
      </c>
      <c r="D13" s="124">
        <f>Resumen!I7</f>
        <v>0</v>
      </c>
      <c r="E13" s="124">
        <f>COUNTIF($H$14:$H$1002,"YMitigar")</f>
        <v>0</v>
      </c>
      <c r="F13" s="124">
        <f>COUNTIF($H$14:$H$1002,"YAceptar")</f>
        <v>1</v>
      </c>
      <c r="H13" t="s">
        <v>238</v>
      </c>
    </row>
    <row r="14" spans="1:8" ht="13.5" thickBot="1" x14ac:dyDescent="0.25">
      <c r="B14" s="120" t="s">
        <v>20</v>
      </c>
      <c r="C14" s="125">
        <f>Resumen!G8</f>
        <v>9</v>
      </c>
      <c r="D14" s="125">
        <f>Resumen!I8</f>
        <v>0</v>
      </c>
      <c r="E14" s="125">
        <f>COUNTIF($H$14:$H$1002,"gMitigar")</f>
        <v>0</v>
      </c>
      <c r="F14" s="125">
        <f>COUNTIF($H$14:$H$1002,"GAceptar")</f>
        <v>1</v>
      </c>
      <c r="H14" s="205" t="str">
        <f>CONCATENATE(Resumen!F12,Resumen!H12)</f>
        <v>YInvestigar</v>
      </c>
    </row>
    <row r="15" spans="1:8" ht="13.5" thickBot="1" x14ac:dyDescent="0.25">
      <c r="B15" s="206" t="s">
        <v>120</v>
      </c>
      <c r="C15" s="207">
        <f>SUM(C12:C14)</f>
        <v>20</v>
      </c>
      <c r="D15" s="207">
        <f>SUM(D12:D14)</f>
        <v>0</v>
      </c>
      <c r="E15" s="207">
        <f>SUM(E12:E14)</f>
        <v>0</v>
      </c>
      <c r="F15" s="207">
        <f>SUM(F12:F14)</f>
        <v>2</v>
      </c>
      <c r="H15" s="205" t="str">
        <f>CONCATENATE(Resumen!F13,Resumen!H13)</f>
        <v>RPrevenir</v>
      </c>
    </row>
    <row r="16" spans="1:8" x14ac:dyDescent="0.2">
      <c r="H16" s="205" t="str">
        <f>CONCATENATE(Resumen!F14,Resumen!H14)</f>
        <v>GInvestigar</v>
      </c>
    </row>
    <row r="17" spans="8:8" x14ac:dyDescent="0.2">
      <c r="H17" s="205" t="str">
        <f>CONCATENATE(Resumen!F15,Resumen!H15)</f>
        <v>YAceptar</v>
      </c>
    </row>
    <row r="18" spans="8:8" x14ac:dyDescent="0.2">
      <c r="H18" s="205" t="str">
        <f>CONCATENATE(Resumen!F16,Resumen!H16)</f>
        <v>GInvestigar</v>
      </c>
    </row>
    <row r="19" spans="8:8" x14ac:dyDescent="0.2">
      <c r="H19" s="205" t="str">
        <f>CONCATENATE(Resumen!F17,Resumen!H17)</f>
        <v>YInvestigar</v>
      </c>
    </row>
    <row r="20" spans="8:8" x14ac:dyDescent="0.2">
      <c r="H20" s="205" t="str">
        <f>CONCATENATE(Resumen!F18,Resumen!H18)</f>
        <v>GAceptar</v>
      </c>
    </row>
    <row r="21" spans="8:8" x14ac:dyDescent="0.2">
      <c r="H21" s="205" t="str">
        <f>CONCATENATE(Resumen!F19,Resumen!H19)</f>
        <v>YInvestigar</v>
      </c>
    </row>
    <row r="22" spans="8:8" x14ac:dyDescent="0.2">
      <c r="H22" s="205" t="str">
        <f>CONCATENATE(Resumen!F20,Resumen!H20)</f>
        <v>GInvestigar</v>
      </c>
    </row>
    <row r="23" spans="8:8" x14ac:dyDescent="0.2">
      <c r="H23" s="205" t="str">
        <f>CONCATENATE(Resumen!F21,Resumen!H21)</f>
        <v>YPrevenir</v>
      </c>
    </row>
    <row r="24" spans="8:8" x14ac:dyDescent="0.2">
      <c r="H24" s="205" t="str">
        <f>CONCATENATE(Resumen!F22,Resumen!H22)</f>
        <v>GInvestigar</v>
      </c>
    </row>
    <row r="25" spans="8:8" x14ac:dyDescent="0.2">
      <c r="H25" s="205" t="str">
        <f>CONCATENATE(Resumen!F23,Resumen!H23)</f>
        <v>GInvestigar</v>
      </c>
    </row>
    <row r="26" spans="8:8" x14ac:dyDescent="0.2">
      <c r="H26" s="205" t="str">
        <f>CONCATENATE(Resumen!F24,Resumen!H24)</f>
        <v>YInvestigar</v>
      </c>
    </row>
    <row r="27" spans="8:8" x14ac:dyDescent="0.2">
      <c r="H27" s="205" t="str">
        <f>CONCATENATE(Resumen!F25,Resumen!H25)</f>
        <v>YInvestigar</v>
      </c>
    </row>
    <row r="28" spans="8:8" x14ac:dyDescent="0.2">
      <c r="H28" s="205" t="str">
        <f>CONCATENATE(Resumen!F26,Resumen!H26)</f>
        <v>GInvestigar</v>
      </c>
    </row>
    <row r="29" spans="8:8" x14ac:dyDescent="0.2">
      <c r="H29" s="205" t="str">
        <f>CONCATENATE(Resumen!F27,Resumen!H27)</f>
        <v>YInvestigar</v>
      </c>
    </row>
    <row r="30" spans="8:8" x14ac:dyDescent="0.2">
      <c r="H30" s="205" t="str">
        <f>CONCATENATE(Resumen!F28,Resumen!H28)</f>
        <v>GInvestigar</v>
      </c>
    </row>
    <row r="31" spans="8:8" x14ac:dyDescent="0.2">
      <c r="H31" s="205" t="str">
        <f>CONCATENATE(Resumen!F29,Resumen!H29)</f>
        <v>GInvestigar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1</v>
      </c>
      <c r="D5" s="54">
        <f>COUNTIF($D$16:$D$45,"R-M")</f>
        <v>1</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1</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3</v>
      </c>
      <c r="N6" s="109">
        <f>COUNTIF($M$16:$M$45,"Media - Media")</f>
        <v>4</v>
      </c>
      <c r="O6" s="109">
        <f>COUNTIF($M$16:$M$45,"Media - Alta")</f>
        <v>1</v>
      </c>
      <c r="P6" s="110">
        <f>COUNTIF($M$16:$M$45,"Media - Muy alta")</f>
        <v>0</v>
      </c>
      <c r="R6" s="188"/>
      <c r="S6" s="2" t="s">
        <v>151</v>
      </c>
      <c r="T6" s="4" t="s">
        <v>19</v>
      </c>
      <c r="U6" s="2">
        <v>8</v>
      </c>
    </row>
    <row r="7" spans="2:27" x14ac:dyDescent="0.2">
      <c r="B7" s="42" t="s">
        <v>19</v>
      </c>
      <c r="C7" s="54">
        <f>COUNTIF($C$16:$C$45,"Y-N")</f>
        <v>10</v>
      </c>
      <c r="D7" s="54">
        <f>COUNTIF($D$16:$D$45,"Y-M")</f>
        <v>10</v>
      </c>
      <c r="E7" s="54">
        <f>COUNTIF($E$16:$E$45,"Y-Retirar")</f>
        <v>0</v>
      </c>
      <c r="F7" s="55">
        <f>COUNTIF($F$16:$F$45,"Y-Abierto")</f>
        <v>10</v>
      </c>
      <c r="G7" s="51"/>
      <c r="H7" s="52"/>
      <c r="I7" s="52"/>
      <c r="J7" s="52"/>
      <c r="K7" s="111" t="s">
        <v>13</v>
      </c>
      <c r="L7" s="112">
        <f>COUNTIF($M$16:$M$45,"Baja - Muy baja")</f>
        <v>0</v>
      </c>
      <c r="M7" s="112">
        <f>COUNTIF($M$16:$M$45,"Baja - Baja")</f>
        <v>3</v>
      </c>
      <c r="N7" s="112">
        <f>COUNTIF($M$16:$M$45,"Baja - Media")</f>
        <v>6</v>
      </c>
      <c r="O7" s="112">
        <f>COUNTIF($M$16:$M$45,"Baja - Alta")</f>
        <v>2</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9</v>
      </c>
      <c r="D9" s="54">
        <f>COUNTIF($D$16:$D$45,"G-M")</f>
        <v>9</v>
      </c>
      <c r="E9" s="54">
        <f>COUNTIF($E$16:$E$45,"G-Retirar")</f>
        <v>0</v>
      </c>
      <c r="F9" s="55">
        <f>COUNTIF($F$16:$F$45,"G-Abierto")</f>
        <v>9</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20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RG_121</v>
      </c>
      <c r="C16" s="51" t="str">
        <f>IF($B16="","",CONCATENATE(I16,"-",Resumen!C12))</f>
        <v>Y-N</v>
      </c>
      <c r="D16" s="51" t="str">
        <f>IF($B16="","",CONCATENATE(I16,"-",H16))</f>
        <v>Y-M</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Baja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RG_122</v>
      </c>
      <c r="C17" s="51" t="str">
        <f>IF(B17="","",CONCATENATE(I17,"-",Resumen!C13))</f>
        <v>R-N</v>
      </c>
      <c r="D17" s="51" t="str">
        <f>IF($B17="","",CONCATENATE(I17,"-",H17))</f>
        <v>R-M</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RG_123</v>
      </c>
      <c r="C18" s="51" t="str">
        <f>IF(B18="","",CONCATENATE(I18,"-",Resumen!C14))</f>
        <v>G-N</v>
      </c>
      <c r="D18" s="51" t="str">
        <f t="shared" ref="D18:D45" si="1">IF($B18="","",CONCATENATE(I18,"-",H18))</f>
        <v>G-M</v>
      </c>
      <c r="E18" s="51" t="str">
        <f>IF($B18="","",CONCATENATE(I18,"-",Resumen!H14))</f>
        <v>G-Investigar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8"/>
      <c r="S18" s="2" t="s">
        <v>163</v>
      </c>
      <c r="T18" s="4" t="s">
        <v>20</v>
      </c>
      <c r="U18" s="2">
        <v>15</v>
      </c>
      <c r="V18" s="3" t="s">
        <v>15</v>
      </c>
      <c r="W18" s="6">
        <v>4</v>
      </c>
      <c r="X18" s="7">
        <v>8</v>
      </c>
      <c r="Y18" s="7">
        <v>12</v>
      </c>
      <c r="Z18" s="8">
        <v>16</v>
      </c>
      <c r="AA18" s="8">
        <v>20</v>
      </c>
    </row>
    <row r="19" spans="2:27" x14ac:dyDescent="0.2">
      <c r="B19" s="60" t="str">
        <f>Resumen!A15</f>
        <v>RG_124</v>
      </c>
      <c r="C19" s="51" t="str">
        <f>IF(B19="","",CONCATENATE(I19,"-",Resumen!C15))</f>
        <v>Y-N</v>
      </c>
      <c r="D19" s="51" t="str">
        <f t="shared" si="1"/>
        <v>Y-M</v>
      </c>
      <c r="E19" s="51" t="str">
        <f>IF($B19="","",CONCATENATE(I19,"-",Resumen!H15))</f>
        <v>Y-Aceptar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RG_125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8"/>
      <c r="S20" s="2" t="s">
        <v>165</v>
      </c>
      <c r="T20" s="4" t="s">
        <v>19</v>
      </c>
      <c r="U20" s="2">
        <v>4</v>
      </c>
      <c r="V20" s="3" t="s">
        <v>13</v>
      </c>
      <c r="W20" s="6">
        <v>2</v>
      </c>
      <c r="X20" s="6">
        <v>4</v>
      </c>
      <c r="Y20" s="6">
        <v>6</v>
      </c>
      <c r="Z20" s="7">
        <v>8</v>
      </c>
      <c r="AA20" s="7">
        <v>10</v>
      </c>
    </row>
    <row r="21" spans="2:27" x14ac:dyDescent="0.2">
      <c r="B21" s="60" t="str">
        <f>Resumen!A17</f>
        <v>RG_126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Media</v>
      </c>
      <c r="L21" t="str">
        <f>'Detalle del Riesgo'!$C140</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RG_127</v>
      </c>
      <c r="C22" s="51" t="str">
        <f>IF(B22="","",CONCATENATE(I22,"-",Resumen!C18))</f>
        <v>G-N</v>
      </c>
      <c r="D22" s="51" t="str">
        <f t="shared" si="1"/>
        <v>G-M</v>
      </c>
      <c r="E22" s="51" t="str">
        <f>IF($B22="","",CONCATENATE(I22,"-",Resumen!H18))</f>
        <v>G-Aceptar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Baja</v>
      </c>
      <c r="M22" t="str">
        <f>IF(OR(B22="",Resumen!H18="Retired"),"",CONCATENATE(K22," - ",L22))</f>
        <v>Baja - Baja</v>
      </c>
      <c r="N22"/>
      <c r="O22"/>
      <c r="P22"/>
      <c r="R22" s="188"/>
      <c r="S22" s="2" t="s">
        <v>167</v>
      </c>
      <c r="T22" s="4" t="s">
        <v>18</v>
      </c>
      <c r="U22" s="2">
        <v>1</v>
      </c>
    </row>
    <row r="23" spans="2:27" x14ac:dyDescent="0.2">
      <c r="B23" s="60" t="str">
        <f>Resumen!A19</f>
        <v>RG_128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Media</v>
      </c>
      <c r="M23" t="str">
        <f>IF(OR(B23="",Resumen!H19="Retired"),"",CONCATENATE(K23," - ",L23))</f>
        <v>Media - Media</v>
      </c>
      <c r="N23"/>
      <c r="O23"/>
      <c r="P23"/>
      <c r="R23" s="188"/>
      <c r="S23" s="2" t="s">
        <v>168</v>
      </c>
      <c r="T23" s="4" t="s">
        <v>20</v>
      </c>
      <c r="U23" s="2">
        <v>5</v>
      </c>
    </row>
    <row r="24" spans="2:27" x14ac:dyDescent="0.2">
      <c r="B24" s="60" t="str">
        <f>Resumen!A20</f>
        <v>RG_129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8"/>
      <c r="S24" s="2" t="s">
        <v>169</v>
      </c>
      <c r="T24" s="4" t="s">
        <v>20</v>
      </c>
      <c r="U24" s="2">
        <v>22</v>
      </c>
    </row>
    <row r="25" spans="2:27" x14ac:dyDescent="0.2">
      <c r="B25" s="60" t="str">
        <f>Resumen!A21</f>
        <v>RG_130</v>
      </c>
      <c r="C25" s="51" t="str">
        <f>IF(B25="","",CONCATENATE(I25,"-",Resumen!C21))</f>
        <v>Y-N</v>
      </c>
      <c r="D25" s="51" t="str">
        <f t="shared" si="1"/>
        <v>Y-M</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RG_131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8"/>
      <c r="S26" s="2" t="s">
        <v>171</v>
      </c>
      <c r="T26" s="4" t="s">
        <v>20</v>
      </c>
      <c r="U26" s="2">
        <v>23</v>
      </c>
    </row>
    <row r="27" spans="2:27" x14ac:dyDescent="0.2">
      <c r="B27" s="60" t="str">
        <f>Resumen!A23</f>
        <v>RG_132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Baja</v>
      </c>
      <c r="L27" t="str">
        <f>'Detalle del Riesgo'!$C296</f>
        <v>Media</v>
      </c>
      <c r="M27" t="str">
        <f>IF(OR(B27="",Resumen!H23="Retired"),"",CONCATENATE(K27," - ",L27))</f>
        <v>Baja - Media</v>
      </c>
      <c r="N27"/>
      <c r="O27"/>
      <c r="P27"/>
      <c r="R27" s="188"/>
      <c r="S27" s="2" t="s">
        <v>172</v>
      </c>
      <c r="T27" s="4" t="s">
        <v>19</v>
      </c>
      <c r="U27" s="2">
        <v>21</v>
      </c>
    </row>
    <row r="28" spans="2:27" x14ac:dyDescent="0.2">
      <c r="B28" s="60" t="str">
        <f>Resumen!A24</f>
        <v>RG_133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Baja</v>
      </c>
      <c r="M28" t="str">
        <f>IF(OR(B28="",Resumen!H24="Retired"),"",CONCATENATE(K28," - ",L28))</f>
        <v>Media - Baja</v>
      </c>
      <c r="N28"/>
      <c r="O28"/>
      <c r="P28"/>
      <c r="R28" s="188"/>
      <c r="S28" s="2" t="s">
        <v>173</v>
      </c>
      <c r="T28" s="4" t="s">
        <v>20</v>
      </c>
      <c r="U28" s="2">
        <v>25</v>
      </c>
    </row>
    <row r="29" spans="2:27" x14ac:dyDescent="0.2">
      <c r="B29" s="60" t="str">
        <f>Resumen!A25</f>
        <v>RG_134</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Media</v>
      </c>
      <c r="L29" t="str">
        <f>'Detalle del Riesgo'!$C348</f>
        <v>Baja</v>
      </c>
      <c r="M29" t="str">
        <f>IF(OR(B29="",Resumen!H25="Retired"),"",CONCATENATE(K29," - ",L29))</f>
        <v>Media - Baja</v>
      </c>
      <c r="N29"/>
      <c r="O29"/>
      <c r="P29"/>
    </row>
    <row r="30" spans="2:27" x14ac:dyDescent="0.2">
      <c r="B30" s="60" t="str">
        <f>Resumen!A26</f>
        <v>RG_135</v>
      </c>
      <c r="C30" s="51" t="str">
        <f>IF(B30="","",CONCATENATE(I30,"-",Resumen!C26))</f>
        <v>G-N</v>
      </c>
      <c r="D30" s="51" t="str">
        <f t="shared" si="1"/>
        <v>G-M</v>
      </c>
      <c r="E30" s="51" t="str">
        <f>IF($B30="","",CONCATENATE(I30,"-",Resumen!H26))</f>
        <v>G-Investigar</v>
      </c>
      <c r="F30" s="51" t="str">
        <f t="shared" si="0"/>
        <v>G-Abierto</v>
      </c>
      <c r="G30" s="51" t="str">
        <f>IF(Resumen!H26="Retirar","Cerrado","Abierto")</f>
        <v>Abierto</v>
      </c>
      <c r="H30" s="9" t="str">
        <f>IF($B$16="","",IF(OR(ISBLANK('Detalle del Riesgo'!F375),ISTEXT('Detalle del Riesgo'!F375)),"",IF($H$15-'Detalle del Riesgo'!F375&gt;$H$14,"Not Modified","M")))</f>
        <v>M</v>
      </c>
      <c r="I30" s="10" t="str">
        <f>'Detalle del Riesgo'!D370</f>
        <v>G</v>
      </c>
      <c r="J30"/>
      <c r="K30" t="str">
        <f>'Detalle del Riesgo'!C373</f>
        <v>Baja</v>
      </c>
      <c r="L30" t="str">
        <f>'Detalle del Riesgo'!$C374</f>
        <v>Media</v>
      </c>
      <c r="M30" t="str">
        <f>IF(OR(B30="",Resumen!H26="Retired"),"",CONCATENATE(K30," - ",L30))</f>
        <v>Baja - Media</v>
      </c>
      <c r="N30"/>
      <c r="O30"/>
      <c r="P30"/>
    </row>
    <row r="31" spans="2:27" x14ac:dyDescent="0.2">
      <c r="B31" s="60" t="str">
        <f>Resumen!A27</f>
        <v>RG_136</v>
      </c>
      <c r="C31" s="51" t="str">
        <f>IF(B31="","",CONCATENATE(I31,"-",Resumen!C27))</f>
        <v>Y-N</v>
      </c>
      <c r="D31" s="51" t="str">
        <f t="shared" si="1"/>
        <v>Y-M</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Media</v>
      </c>
      <c r="L31" t="str">
        <f>'Detalle del Riesgo'!$C400</f>
        <v>Baja</v>
      </c>
      <c r="M31" t="str">
        <f>IF(OR(B31="",Resumen!H27="Retired"),"",CONCATENATE(K31," - ",L31))</f>
        <v>Media - Baja</v>
      </c>
      <c r="N31"/>
      <c r="O31"/>
      <c r="P31"/>
    </row>
    <row r="32" spans="2:27" x14ac:dyDescent="0.2">
      <c r="B32" s="60" t="str">
        <f>Resumen!A28</f>
        <v>RG_137</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RG_138</v>
      </c>
      <c r="C33" s="51" t="str">
        <f>IF(B33="","",CONCATENATE(I33,"-",Resumen!C29))</f>
        <v>G-N</v>
      </c>
      <c r="D33" s="51" t="str">
        <f t="shared" si="1"/>
        <v>G-M</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Media</v>
      </c>
      <c r="M33" t="str">
        <f>IF(OR(B33="",Resumen!H29="Retired"),"",CONCATENATE(K33," - ",L33))</f>
        <v>Baja - Media</v>
      </c>
      <c r="N33"/>
      <c r="O33"/>
      <c r="P33"/>
    </row>
    <row r="34" spans="1:16" x14ac:dyDescent="0.2">
      <c r="B34" s="60" t="str">
        <f>Resumen!A30</f>
        <v>RG_139</v>
      </c>
      <c r="C34" s="51" t="str">
        <f>IF(B34="","",CONCATENATE(I34,"-",Resumen!C30))</f>
        <v>Y-N</v>
      </c>
      <c r="D34" s="51" t="str">
        <f t="shared" si="1"/>
        <v>Y-M</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M</v>
      </c>
      <c r="I34" s="10" t="str">
        <f>'Detalle del Riesgo'!D474</f>
        <v>Y</v>
      </c>
      <c r="J34"/>
      <c r="K34" t="str">
        <f>'Detalle del Riesgo'!C477</f>
        <v>Baja</v>
      </c>
      <c r="L34" t="str">
        <f>'Detalle del Riesgo'!$C478</f>
        <v>Alta</v>
      </c>
      <c r="M34" t="str">
        <f>IF(OR(B34="",Resumen!H30="Retired"),"",CONCATENATE(K34," - ",L34))</f>
        <v>Baja - Alta</v>
      </c>
      <c r="N34"/>
      <c r="O34"/>
      <c r="P34"/>
    </row>
    <row r="35" spans="1:16" x14ac:dyDescent="0.2">
      <c r="B35" s="60" t="str">
        <f>Resumen!A31</f>
        <v>RG_140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Media</v>
      </c>
      <c r="L35" t="str">
        <f>'Detalle del Riesgo'!$C504</f>
        <v>Media</v>
      </c>
      <c r="M35" t="str">
        <f>IF(OR(B35="",Resumen!H31="Retired"),"",CONCATENATE(K35," - ",L35))</f>
        <v>Media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almar</cp:lastModifiedBy>
  <cp:lastPrinted>2007-01-10T23:08:00Z</cp:lastPrinted>
  <dcterms:created xsi:type="dcterms:W3CDTF">2006-10-01T23:23:18Z</dcterms:created>
  <dcterms:modified xsi:type="dcterms:W3CDTF">2020-07-02T05:08:04Z</dcterms:modified>
</cp:coreProperties>
</file>