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ols\New Portfolio Dec 2024\Finance\Option Pricing\Upload\"/>
    </mc:Choice>
  </mc:AlternateContent>
  <xr:revisionPtr revIDLastSave="0" documentId="13_ncr:1_{90028E92-1D3F-4F5B-A59D-C206AF2BA3E9}" xr6:coauthVersionLast="47" xr6:coauthVersionMax="47" xr10:uidLastSave="{00000000-0000-0000-0000-000000000000}"/>
  <bookViews>
    <workbookView xWindow="-108" yWindow="-108" windowWidth="23256" windowHeight="12456" activeTab="1" xr2:uid="{67EF3DC0-213C-4F16-A999-3237873F3675}"/>
  </bookViews>
  <sheets>
    <sheet name="Option Greeks" sheetId="2" r:id="rId1"/>
    <sheet name="Delta Hedging" sheetId="1" r:id="rId2"/>
  </sheets>
  <definedNames>
    <definedName name="_xlnm._FilterDatabase" localSheetId="0" hidden="1">'Option Greeks'!$D$29:$D$38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6" i="1" l="1"/>
  <c r="M35" i="1"/>
  <c r="M34" i="1"/>
  <c r="M33" i="1"/>
  <c r="M32" i="1"/>
  <c r="S27" i="1"/>
  <c r="U26" i="1"/>
  <c r="S26" i="1"/>
  <c r="U25" i="1"/>
  <c r="S25" i="1"/>
  <c r="U24" i="1"/>
  <c r="S24" i="1"/>
  <c r="U23" i="1"/>
  <c r="S23" i="1"/>
  <c r="U22" i="1"/>
  <c r="S22" i="1"/>
  <c r="U21" i="1"/>
  <c r="K27" i="2"/>
  <c r="K27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9" i="1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9" i="2"/>
  <c r="M9" i="2" a="1"/>
  <c r="M9" i="2" l="1"/>
  <c r="N9" i="2" a="1"/>
  <c r="N9" i="2" l="1"/>
  <c r="O9" i="2" a="1"/>
  <c r="O9" i="2" l="1"/>
  <c r="P9" i="2" a="1"/>
  <c r="P9" i="2" l="1"/>
  <c r="Q9" i="2" a="1"/>
  <c r="Q9" i="2" l="1"/>
  <c r="M10" i="2" a="1"/>
  <c r="M10" i="2" l="1"/>
  <c r="N10" i="2" a="1"/>
  <c r="N10" i="2" l="1"/>
  <c r="O10" i="2" a="1"/>
  <c r="O10" i="2" l="1"/>
  <c r="P10" i="2" a="1"/>
  <c r="P10" i="2" l="1"/>
  <c r="Q10" i="2" a="1"/>
  <c r="M11" i="2" a="1"/>
  <c r="Q10" i="2" l="1"/>
  <c r="M11" i="2"/>
  <c r="N11" i="2" a="1"/>
  <c r="N11" i="2" l="1"/>
  <c r="O11" i="2" a="1"/>
  <c r="O11" i="2" l="1"/>
  <c r="P11" i="2" a="1"/>
  <c r="P11" i="2" l="1"/>
  <c r="Q11" i="2" a="1"/>
  <c r="M12" i="2" a="1"/>
  <c r="Q11" i="2" l="1"/>
  <c r="M12" i="2"/>
  <c r="N12" i="2" a="1"/>
  <c r="N12" i="2" l="1"/>
  <c r="O12" i="2" a="1"/>
  <c r="O12" i="2" l="1"/>
  <c r="P12" i="2" a="1"/>
  <c r="P12" i="2" l="1"/>
  <c r="Q12" i="2" a="1"/>
  <c r="Q12" i="2" l="1"/>
  <c r="M13" i="2" a="1"/>
  <c r="N13" i="2" a="1"/>
  <c r="M13" i="2" l="1"/>
  <c r="N13" i="2"/>
  <c r="O13" i="2" a="1"/>
  <c r="O13" i="2" l="1"/>
  <c r="P13" i="2" a="1"/>
  <c r="P13" i="2" l="1"/>
  <c r="Q13" i="2" a="1"/>
  <c r="Q13" i="2" l="1"/>
  <c r="E14" i="2" a="1"/>
  <c r="E14" i="2" l="1"/>
  <c r="M14" i="2" a="1"/>
  <c r="N14" i="2" a="1"/>
  <c r="M14" i="2" l="1"/>
  <c r="N14" i="2"/>
  <c r="O14" i="2" a="1"/>
  <c r="O14" i="2" l="1"/>
  <c r="P14" i="2" a="1"/>
  <c r="P14" i="2" l="1"/>
  <c r="Q14" i="2" a="1"/>
  <c r="M15" i="2" a="1"/>
  <c r="Q14" i="2" l="1"/>
  <c r="M15" i="2"/>
  <c r="N15" i="2" a="1"/>
  <c r="N15" i="2" l="1"/>
  <c r="O15" i="2" a="1"/>
  <c r="O15" i="2" l="1"/>
  <c r="P15" i="2" a="1"/>
  <c r="P15" i="2" l="1"/>
  <c r="Q15" i="2" a="1"/>
  <c r="M16" i="2" a="1"/>
  <c r="Q15" i="2" l="1"/>
  <c r="M16" i="2"/>
  <c r="N16" i="2" a="1"/>
  <c r="N16" i="2" l="1"/>
  <c r="O16" i="2" a="1"/>
  <c r="O16" i="2" l="1"/>
  <c r="P16" i="2" a="1"/>
  <c r="P16" i="2" l="1"/>
  <c r="Q16" i="2" a="1"/>
  <c r="Q16" i="2" l="1"/>
  <c r="M17" i="2" a="1"/>
  <c r="M17" i="2" l="1"/>
  <c r="N17" i="2" a="1"/>
  <c r="O17" i="2" a="1"/>
  <c r="N17" i="2" l="1"/>
  <c r="O17" i="2"/>
  <c r="P17" i="2" a="1"/>
  <c r="P17" i="2" l="1"/>
  <c r="Q17" i="2" a="1"/>
  <c r="M18" i="2" a="1"/>
  <c r="Q17" i="2" l="1"/>
  <c r="M18" i="2"/>
  <c r="N18" i="2" a="1"/>
  <c r="N18" i="2" l="1"/>
  <c r="O18" i="2" a="1"/>
  <c r="O18" i="2" l="1"/>
  <c r="P18" i="2" a="1"/>
  <c r="P18" i="2" l="1"/>
  <c r="Q18" i="2" a="1"/>
  <c r="Q18" i="2" l="1"/>
  <c r="M19" i="2" a="1"/>
  <c r="M19" i="2" l="1"/>
  <c r="N19" i="2" a="1"/>
  <c r="O19" i="2" a="1"/>
  <c r="N19" i="2" l="1"/>
  <c r="O19" i="2"/>
  <c r="P19" i="2" a="1"/>
  <c r="P19" i="2" l="1"/>
  <c r="Q19" i="2" a="1"/>
  <c r="Q19" i="2" l="1"/>
  <c r="M20" i="2" a="1"/>
  <c r="M20" i="2" l="1"/>
  <c r="N20" i="2" a="1"/>
  <c r="N20" i="2" l="1"/>
  <c r="O20" i="2" a="1"/>
  <c r="O20" i="2" l="1"/>
  <c r="P20" i="2" a="1"/>
  <c r="P20" i="2" l="1"/>
  <c r="Q20" i="2" a="1"/>
  <c r="Q20" i="2" l="1"/>
  <c r="M21" i="2" a="1"/>
  <c r="M21" i="2" l="1"/>
  <c r="N21" i="2" a="1"/>
  <c r="N21" i="2" l="1"/>
  <c r="O21" i="2" a="1"/>
  <c r="O21" i="2" l="1"/>
  <c r="P21" i="2" a="1"/>
  <c r="P21" i="2" l="1"/>
  <c r="Q21" i="2" a="1"/>
  <c r="Q21" i="2" l="1"/>
  <c r="M22" i="2" a="1"/>
  <c r="M22" i="2" l="1"/>
  <c r="N22" i="2" a="1"/>
  <c r="N22" i="2" l="1"/>
  <c r="O22" i="2" a="1"/>
  <c r="O22" i="2" l="1"/>
  <c r="P22" i="2" a="1"/>
  <c r="P22" i="2" l="1"/>
  <c r="Q22" i="2" a="1"/>
  <c r="Q22" i="2" l="1"/>
  <c r="M23" i="2" a="1"/>
  <c r="M23" i="2" l="1"/>
  <c r="N23" i="2" a="1"/>
  <c r="N23" i="2" l="1"/>
  <c r="O23" i="2" a="1"/>
  <c r="O23" i="2" l="1"/>
  <c r="P23" i="2" a="1"/>
  <c r="P23" i="2" l="1"/>
  <c r="Q23" i="2" a="1"/>
  <c r="Q23" i="2" l="1"/>
  <c r="M24" i="2" a="1"/>
  <c r="M24" i="2" l="1"/>
  <c r="N24" i="2" a="1"/>
  <c r="N24" i="2" l="1"/>
  <c r="O24" i="2" a="1"/>
  <c r="O24" i="2" l="1"/>
  <c r="P24" i="2" a="1"/>
  <c r="P24" i="2" l="1"/>
  <c r="Q24" i="2" a="1"/>
  <c r="Q24" i="2" l="1"/>
  <c r="M25" i="2" a="1"/>
  <c r="M25" i="2" l="1"/>
  <c r="N25" i="2" a="1"/>
  <c r="N25" i="2" l="1"/>
  <c r="O25" i="2" a="1"/>
  <c r="O25" i="2" l="1"/>
  <c r="P25" i="2" a="1"/>
  <c r="P25" i="2" l="1"/>
  <c r="Q25" i="2" a="1"/>
  <c r="Q25" i="2" l="1"/>
  <c r="M26" i="2" a="1"/>
  <c r="M26" i="2" l="1"/>
  <c r="N26" i="2" a="1"/>
  <c r="N26" i="2" l="1"/>
  <c r="O26" i="2" a="1"/>
  <c r="O26" i="2" l="1"/>
  <c r="P26" i="2" a="1"/>
  <c r="P26" i="2" l="1"/>
  <c r="Q26" i="2" a="1"/>
  <c r="Q26" i="2" l="1"/>
  <c r="M27" i="2" a="1"/>
  <c r="M27" i="2" l="1"/>
  <c r="N27" i="2" a="1"/>
  <c r="N27" i="2" l="1"/>
  <c r="O27" i="2" a="1"/>
  <c r="O27" i="2" l="1"/>
  <c r="P27" i="2" a="1"/>
  <c r="P27" i="2" l="1"/>
  <c r="Q27" i="2" a="1"/>
  <c r="Q27" i="2" l="1"/>
  <c r="B29" i="2" a="1"/>
  <c r="B30" i="2" a="1"/>
  <c r="M9" i="1" a="1"/>
  <c r="B29" i="2" l="1"/>
  <c r="B30" i="2"/>
  <c r="C30" i="2" s="1" a="1"/>
  <c r="C30" i="2" s="1"/>
  <c r="M9" i="1"/>
  <c r="M10" i="1" a="1"/>
  <c r="M10" i="1" l="1"/>
  <c r="N9" i="1"/>
  <c r="M11" i="1" a="1"/>
  <c r="M11" i="1" l="1"/>
  <c r="P9" i="1"/>
  <c r="Q9" i="1" s="1"/>
  <c r="S9" i="1" s="1"/>
  <c r="N10" i="1"/>
  <c r="M12" i="1" a="1"/>
  <c r="S10" i="1" l="1"/>
  <c r="U9" i="1"/>
  <c r="P10" i="1"/>
  <c r="Q10" i="1" s="1"/>
  <c r="M12" i="1"/>
  <c r="N11" i="1"/>
  <c r="M13" i="1" a="1"/>
  <c r="U10" i="1" l="1"/>
  <c r="S11" i="1"/>
  <c r="P11" i="1"/>
  <c r="Q11" i="1" s="1"/>
  <c r="M13" i="1"/>
  <c r="N12" i="1"/>
  <c r="E14" i="1" a="1"/>
  <c r="U11" i="1" l="1"/>
  <c r="S12" i="1" s="1"/>
  <c r="P12" i="1"/>
  <c r="Q12" i="1" s="1"/>
  <c r="E14" i="1"/>
  <c r="N13" i="1"/>
  <c r="P13" i="1" s="1"/>
  <c r="Q13" i="1" s="1"/>
  <c r="M14" i="1" a="1"/>
  <c r="U12" i="1" l="1"/>
  <c r="S13" i="1" s="1"/>
  <c r="M14" i="1"/>
  <c r="M15" i="1" a="1"/>
  <c r="U13" i="1" l="1"/>
  <c r="M15" i="1"/>
  <c r="N14" i="1"/>
  <c r="M16" i="1" a="1"/>
  <c r="M16" i="1" l="1"/>
  <c r="P14" i="1"/>
  <c r="Q14" i="1" s="1"/>
  <c r="S14" i="1" s="1"/>
  <c r="N15" i="1"/>
  <c r="M17" i="1" a="1"/>
  <c r="U14" i="1" l="1"/>
  <c r="S15" i="1" s="1"/>
  <c r="P15" i="1"/>
  <c r="Q15" i="1" s="1"/>
  <c r="M17" i="1"/>
  <c r="N16" i="1"/>
  <c r="M18" i="1" a="1"/>
  <c r="U15" i="1" l="1"/>
  <c r="P16" i="1"/>
  <c r="Q16" i="1" s="1"/>
  <c r="S16" i="1" s="1"/>
  <c r="M18" i="1"/>
  <c r="N17" i="1"/>
  <c r="P17" i="1" s="1"/>
  <c r="Q17" i="1" s="1"/>
  <c r="M19" i="1" a="1"/>
  <c r="U16" i="1" l="1"/>
  <c r="S17" i="1"/>
  <c r="M19" i="1"/>
  <c r="N18" i="1"/>
  <c r="M20" i="1" a="1"/>
  <c r="U17" i="1" l="1"/>
  <c r="S18" i="1" s="1"/>
  <c r="M20" i="1"/>
  <c r="P18" i="1"/>
  <c r="Q18" i="1" s="1"/>
  <c r="N19" i="1"/>
  <c r="P19" i="1" s="1"/>
  <c r="Q19" i="1" s="1"/>
  <c r="M21" i="1" a="1"/>
  <c r="U18" i="1" l="1"/>
  <c r="S19" i="1" s="1"/>
  <c r="M21" i="1"/>
  <c r="N20" i="1"/>
  <c r="P20" i="1" s="1"/>
  <c r="Q20" i="1" s="1"/>
  <c r="M22" i="1" a="1"/>
  <c r="U19" i="1" l="1"/>
  <c r="S20" i="1" s="1"/>
  <c r="M22" i="1"/>
  <c r="N21" i="1"/>
  <c r="M23" i="1" a="1"/>
  <c r="U20" i="1" l="1"/>
  <c r="M23" i="1"/>
  <c r="P21" i="1"/>
  <c r="Q21" i="1" s="1"/>
  <c r="S21" i="1" s="1"/>
  <c r="N22" i="1"/>
  <c r="M24" i="1" a="1"/>
  <c r="P22" i="1" l="1"/>
  <c r="Q22" i="1" s="1"/>
  <c r="M24" i="1"/>
  <c r="N23" i="1"/>
  <c r="P23" i="1" s="1"/>
  <c r="Q23" i="1" s="1"/>
  <c r="M25" i="1" a="1"/>
  <c r="M25" i="1" l="1"/>
  <c r="N24" i="1"/>
  <c r="M26" i="1" a="1"/>
  <c r="P24" i="1" l="1"/>
  <c r="Q24" i="1" s="1"/>
  <c r="M26" i="1"/>
  <c r="N25" i="1"/>
  <c r="M27" i="1" a="1"/>
  <c r="P25" i="1" l="1"/>
  <c r="Q25" i="1" s="1"/>
  <c r="M27" i="1"/>
  <c r="N27" i="1" s="1"/>
  <c r="N26" i="1"/>
  <c r="P26" i="1" s="1"/>
  <c r="Q26" i="1" s="1"/>
  <c r="P27" i="1" l="1"/>
  <c r="Q27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97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</futureMetadata>
  <cellMetadata count="1">
    <bk>
      <rc t="1" v="0"/>
    </bk>
  </cellMetadata>
  <valueMetadata count="97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import numpy as np
import pandas as pd
from scipy.stats import norm
def option_greeks(S, K, T, r, sigma):
 d1 = (np.log(S/K) + (r + 0.5*sigma**2)*T)/(sigma*np.sqrt(T))
 d2 = d1 - sigma*np.sqrt(T)    
 delta = norm.cdf(d1)
 gamma = norm.pdf(d1) / (S * sigma * np.sqrt(T))
 theta = - (S * sigma * norm.pdf(d1)) / (2 * np.sqrt(T)) - r * K * np.exp(-r * T) * norm.cdf(d2)
 vega = S * np.sqrt(T) * norm.pdf(d1)
 rho = K * T * np.exp(-r * T) * norm.cdf(d2)   
 return delta
option_greeks(xl(%P2%),xl(%P3%),xl(%P4%),xl(%P5%),xl(%P6%))</code>
    </pythonScript>
    <pythonScript>
      <code>import numpy as np
import pandas as pd
from scipy.stats import norm
def option_greeks(S, K, T, r, sigma):
 d1 = (np.log(S/K) + (r + 0.5*sigma**2)*T)/(sigma*np.sqrt(T))
 d2 = d1 - sigma*np.sqrt(T)    
 delta = norm.cdf(d1)
 gamma = norm.pdf(d1) / (S * sigma * np.sqrt(T))
 theta = - (S * sigma * norm.pdf(d1)) / (2 * np.sqrt(T)) - r * K * np.exp(-r * T) * norm.cdf(d2)
 vega = S * np.sqrt(T) * norm.pdf(d1)
 rho = K * T * np.exp(-r * T) * norm.cdf(d2)   
 return gamma
option_greeks(xl(%P2%),xl(%P3%),xl(%P4%),xl(%P5%),xl(%P6%))</code>
    </pythonScript>
    <pythonScript>
      <code>import numpy as np
import pandas as pd
from scipy.stats import norm
def option_greeks(S, K, T, r, sigma):
 d1 = (np.log(S/K) + (r + 0.5*sigma**2)*T)/(sigma*np.sqrt(T))
 d2 = d1 - sigma*np.sqrt(T)    
 delta = norm.cdf(d1)
 gamma = norm.pdf(d1) / (S * sigma * np.sqrt(T))
 theta = - (S * sigma * norm.pdf(d1)) / (2 * np.sqrt(T)) - r * K * np.exp(-r * T) * norm.cdf(d2)
 vega = S * np.sqrt(T) * norm.pdf(d1)
 rho = K * T * np.exp(-r * T) * norm.cdf(d2)   
 return theta
option_greeks(xl(%P2%),xl(%P3%),xl(%P4%),xl(%P5%),xl(%P6%))</code>
    </pythonScript>
    <pythonScript>
      <code>import numpy as np
import pandas as pd
from scipy.stats import norm
def option_greeks(S, K, T, r, sigma):
 d1 = (np.log(S/K) + (r + 0.5*sigma**2)*T)/(sigma*np.sqrt(T))
 d2 = d1 - sigma*np.sqrt(T)    
 delta = norm.cdf(d1)
 gamma = norm.pdf(d1) / (S * sigma * np.sqrt(T))
 theta = - (S * sigma * norm.pdf(d1)) / (2 * np.sqrt(T)) - r * K * np.exp(-r * T) * norm.cdf(d2)
 vega = S * np.sqrt(T) * norm.pdf(d1)
 rho = K * T * np.exp(-r * T) * norm.cdf(d2)   
 return vega
option_greeks(xl(%P2%),xl(%P3%),xl(%P4%),xl(%P5%),xl(%P6%))</code>
    </pythonScript>
    <pythonScript>
      <code>import numpy as np
import pandas as pd
from scipy.stats import norm
def option_greeks(S, K, T, r, sigma):
 d1 = (np.log(S/K) + (r + 0.5*sigma**2)*T)/(sigma*np.sqrt(T))
 d2 = d1 - sigma*np.sqrt(T)    
 delta = norm.cdf(d1)
 gamma = norm.pdf(d1) / (S * sigma * np.sqrt(T))
 theta = - (S * sigma * norm.pdf(d1)) / (2 * np.sqrt(T)) - r * K * np.exp(-r * T) * norm.cdf(d2)
 vega = S * np.sqrt(T) * norm.pdf(d1)
 rho = K * T * np.exp(-r * T) * norm.cdf(d2)   
 return rho
option_greeks(xl(%P2%),xl(%P3%),xl(%P4%),xl(%P5%),xl(%P6%))</code>
    </pythonScript>
    <pythonScript>
      <code xml:space="preserve">import numpy as np
import pandas as pd 
import seaborn as sns
import matplotlib.pyplot as plt
from scipy.stats import norm
def blackScholes(r, S, K, T, sigma):
 d1 = (np.log(S/K) + (r + sigma**2/2)*T)/(sigma*np.sqrt(T))
 d2 = d1 - sigma*np.sqrt(T)
 price = S*norm.cdf(d1) - K*np.exp(-r*T)*norm.cdf(d2)
 return round(price,2)
blackScholes(xl(%P2%), xl(%P3%), xl(%P4%),xl(%P5%), xl(%P6%))    </code>
    </pythonScript>
    <pythonScript>
      <code>df = xl(%P2%,headers=True)</code>
    </pythonScript>
    <pythonScript>
      <code xml:space="preserve">import numpy as np
import pandas as pd
import matplotlib.pyplot as plt
import seaborn as sns
fig,axes = plt.subplots(nrows=5,ncols=2,figsize=(10,20))
sns.lineplot(ax=axes[0,0],y=df["Delta"],x=df["Underlying Value"])
sns.lineplot(ax=axes[0,1],y=df["Delta"],x=df["Time to Maturity"])
sns.lineplot(ax=axes[1,0],y=df["Gamma"],x=df["Underlying Value"])
sns.lineplot(ax=axes[1,1],y=df["Gamma"],x=df["Time to Maturity"])
sns.lineplot(ax=axes[2,0],y=df["Theta"],x=df["Underlying Value"])
sns.lineplot(ax=axes[2,1],y=df["Theta"],x=df["Time to Maturity"])
sns.lineplot(ax=axes[3,0],y=df["Vega"],x=df["Underlying Value"])
sns.lineplot(ax=axes[3,1],y=df["Vega"],x=df["Time to Maturity"])
sns.lineplot(ax=axes[4,0],y=df["Rho"],x=df["Underlying Value"])
sns.lineplot(ax=axes[4,1],y=df["Rho"],x=df["Time to Maturity"])
</code>
    </pythonScript>
    <pythonScript>
      <code xml:space="preserve">import numpy as np
import pandas as pd 
import seaborn as sns
import matplotlib.pyplot as plt
from scipy.stats import norm
def blackScholes(r, S, K, T, sigma):
 d1 = (np.log(S/K) + (r + sigma**2/2)*T)/(sigma*np.sqrt(T))
 d2 = d1 - sigma*np.sqrt(T)
 price = S*norm.cdf(d1) - K*np.exp(-r*T)*norm.cdf(d2)
 return round(price,2)
blackScholes(xl(%P2%), xl(%P3%), xl(%P4%), xl(%P5%), xl(%P6%))   </code>
    </pythonScript>
  </pythonScripts>
</python>
</file>

<file path=xl/sharedStrings.xml><?xml version="1.0" encoding="utf-8"?>
<sst xmlns="http://schemas.openxmlformats.org/spreadsheetml/2006/main" count="46" uniqueCount="33">
  <si>
    <t xml:space="preserve">Date  </t>
  </si>
  <si>
    <t>S.No.</t>
  </si>
  <si>
    <t xml:space="preserve">Expiry  </t>
  </si>
  <si>
    <t xml:space="preserve">Underlying Value  </t>
  </si>
  <si>
    <t>Delta</t>
  </si>
  <si>
    <t>Shares Purchased/Sold</t>
  </si>
  <si>
    <t>Cost of Shares Purchased/Sold</t>
  </si>
  <si>
    <t>Cumulative Cost including Interest</t>
  </si>
  <si>
    <t>Interest Cost</t>
  </si>
  <si>
    <t>Shares Required (Delta*No. of options sold)</t>
  </si>
  <si>
    <t>Strike Price</t>
  </si>
  <si>
    <t xml:space="preserve">Delta Hedging - TATASTEEL Call Options </t>
  </si>
  <si>
    <t>Selling Date</t>
  </si>
  <si>
    <t>Expiry Date</t>
  </si>
  <si>
    <t>No. of options sold</t>
  </si>
  <si>
    <t>Underlying on Selling Date</t>
  </si>
  <si>
    <t>Volatility</t>
  </si>
  <si>
    <t>Rate of Interest</t>
  </si>
  <si>
    <t>Black - Scholes Price per option</t>
  </si>
  <si>
    <t>Option Greeks - TATASTEEL Call Options</t>
  </si>
  <si>
    <t>Time to Maturity</t>
  </si>
  <si>
    <t>Gamma</t>
  </si>
  <si>
    <t>Theta</t>
  </si>
  <si>
    <t>Vega</t>
  </si>
  <si>
    <t>Rho</t>
  </si>
  <si>
    <t>Underlying Value</t>
  </si>
  <si>
    <t>Negative is Buy</t>
  </si>
  <si>
    <t>Positive is Sold</t>
  </si>
  <si>
    <t>Cumulative Cost (as on 28-Dec-23)</t>
  </si>
  <si>
    <t>Money received for stocks held (as on 28-Dec-2023)</t>
  </si>
  <si>
    <t>Cost of Hedging</t>
  </si>
  <si>
    <t>Discounted Cost of Hedging (as on 1-Dec-2023)</t>
  </si>
  <si>
    <t>Premium received for options written (as on 1-Dec-2023)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</si>
</sst>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21" xfId="0" applyBorder="1"/>
    <xf numFmtId="0" fontId="0" fillId="0" borderId="19" xfId="0" applyBorder="1"/>
    <xf numFmtId="0" fontId="0" fillId="0" borderId="20" xfId="0" applyBorder="1"/>
    <xf numFmtId="15" fontId="0" fillId="0" borderId="21" xfId="0" applyNumberFormat="1" applyBorder="1"/>
    <xf numFmtId="15" fontId="0" fillId="0" borderId="19" xfId="0" applyNumberFormat="1" applyBorder="1"/>
    <xf numFmtId="15" fontId="0" fillId="0" borderId="20" xfId="0" applyNumberFormat="1" applyBorder="1"/>
    <xf numFmtId="0" fontId="0" fillId="0" borderId="22" xfId="0" applyBorder="1" applyAlignment="1">
      <alignment horizontal="center" vertical="center"/>
    </xf>
    <xf numFmtId="15" fontId="0" fillId="0" borderId="23" xfId="0" applyNumberFormat="1" applyBorder="1" applyAlignment="1">
      <alignment horizontal="center" vertical="center"/>
    </xf>
    <xf numFmtId="3" fontId="0" fillId="0" borderId="23" xfId="0" applyNumberForma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164" fontId="0" fillId="0" borderId="21" xfId="0" applyNumberFormat="1" applyBorder="1"/>
    <xf numFmtId="0" fontId="0" fillId="0" borderId="21" xfId="0" applyBorder="1" applyAlignment="1">
      <alignment horizontal="center" vertical="center"/>
    </xf>
    <xf numFmtId="15" fontId="0" fillId="0" borderId="21" xfId="0" applyNumberFormat="1" applyBorder="1" applyAlignment="1">
      <alignment horizontal="center" vertical="center"/>
    </xf>
    <xf numFmtId="164" fontId="0" fillId="0" borderId="21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15" fontId="0" fillId="0" borderId="19" xfId="0" applyNumberFormat="1" applyBorder="1" applyAlignment="1">
      <alignment horizontal="center" vertical="center"/>
    </xf>
    <xf numFmtId="15" fontId="0" fillId="0" borderId="20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165" fontId="0" fillId="0" borderId="21" xfId="0" applyNumberFormat="1" applyBorder="1" applyAlignment="1">
      <alignment horizontal="center" vertical="center"/>
    </xf>
    <xf numFmtId="1" fontId="0" fillId="0" borderId="19" xfId="0" applyNumberFormat="1" applyBorder="1"/>
    <xf numFmtId="1" fontId="0" fillId="4" borderId="21" xfId="0" applyNumberFormat="1" applyFill="1" applyBorder="1"/>
    <xf numFmtId="15" fontId="0" fillId="0" borderId="0" xfId="0" applyNumberFormat="1"/>
    <xf numFmtId="164" fontId="0" fillId="0" borderId="0" xfId="0" applyNumberFormat="1"/>
    <xf numFmtId="1" fontId="0" fillId="0" borderId="0" xfId="0" applyNumberFormat="1" applyAlignment="1">
      <alignment horizontal="center"/>
    </xf>
    <xf numFmtId="1" fontId="0" fillId="0" borderId="0" xfId="0" applyNumberFormat="1"/>
    <xf numFmtId="2" fontId="0" fillId="0" borderId="0" xfId="0" applyNumberFormat="1" applyAlignment="1">
      <alignment horizontal="center"/>
    </xf>
    <xf numFmtId="0" fontId="0" fillId="0" borderId="20" xfId="0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164" fontId="0" fillId="0" borderId="20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20" xfId="0" applyNumberFormat="1" applyBorder="1" applyAlignment="1">
      <alignment horizontal="center" vertical="center"/>
    </xf>
    <xf numFmtId="165" fontId="0" fillId="0" borderId="19" xfId="0" applyNumberFormat="1" applyBorder="1" applyAlignment="1">
      <alignment horizontal="center" vertical="center"/>
    </xf>
    <xf numFmtId="165" fontId="0" fillId="0" borderId="20" xfId="0" applyNumberFormat="1" applyBorder="1" applyAlignment="1">
      <alignment horizontal="center" vertical="center"/>
    </xf>
    <xf numFmtId="164" fontId="0" fillId="0" borderId="19" xfId="0" applyNumberFormat="1" applyBorder="1"/>
    <xf numFmtId="164" fontId="0" fillId="0" borderId="20" xfId="0" applyNumberFormat="1" applyBorder="1"/>
    <xf numFmtId="1" fontId="0" fillId="0" borderId="20" xfId="0" applyNumberFormat="1" applyBorder="1"/>
    <xf numFmtId="0" fontId="0" fillId="0" borderId="25" xfId="0" applyBorder="1"/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2" fontId="0" fillId="0" borderId="29" xfId="0" applyNumberFormat="1" applyBorder="1" applyAlignment="1">
      <alignment horizontal="left" indent="4"/>
    </xf>
    <xf numFmtId="2" fontId="0" fillId="0" borderId="12" xfId="0" applyNumberFormat="1" applyBorder="1" applyAlignment="1">
      <alignment horizontal="left" indent="4"/>
    </xf>
    <xf numFmtId="2" fontId="0" fillId="0" borderId="30" xfId="0" applyNumberFormat="1" applyBorder="1" applyAlignment="1">
      <alignment horizontal="left" indent="4"/>
    </xf>
    <xf numFmtId="2" fontId="0" fillId="0" borderId="15" xfId="0" applyNumberFormat="1" applyBorder="1" applyAlignment="1">
      <alignment horizontal="left" indent="4"/>
    </xf>
    <xf numFmtId="2" fontId="0" fillId="0" borderId="26" xfId="0" applyNumberFormat="1" applyBorder="1" applyAlignment="1">
      <alignment horizontal="center"/>
    </xf>
    <xf numFmtId="2" fontId="0" fillId="0" borderId="27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1" fontId="0" fillId="0" borderId="16" xfId="0" applyNumberFormat="1" applyBorder="1" applyAlignment="1">
      <alignment horizontal="center"/>
    </xf>
    <xf numFmtId="1" fontId="0" fillId="0" borderId="17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2" fontId="0" fillId="0" borderId="28" xfId="0" applyNumberFormat="1" applyBorder="1" applyAlignment="1">
      <alignment horizontal="left" indent="4"/>
    </xf>
    <xf numFmtId="2" fontId="0" fillId="0" borderId="10" xfId="0" applyNumberFormat="1" applyBorder="1" applyAlignment="1">
      <alignment horizontal="left" indent="4"/>
    </xf>
    <xf numFmtId="1" fontId="0" fillId="0" borderId="13" xfId="0" applyNumberFormat="1" applyBorder="1" applyAlignment="1">
      <alignment horizontal="center"/>
    </xf>
    <xf numFmtId="1" fontId="0" fillId="0" borderId="15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2"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SupportingPropertyBag" Target="richData/rdsupportingpropertybag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12" Type="http://schemas.microsoft.com/office/2017/06/relationships/rdSupportingPropertyBagStructure" Target="richData/rdsupportingpropertybagstructure.xml"/><Relationship Id="rId2" Type="http://schemas.openxmlformats.org/officeDocument/2006/relationships/worksheet" Target="worksheets/sheet2.xml"/><Relationship Id="rId16" Type="http://schemas.microsoft.com/office/2023/09/relationships/Python" Target="python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ichStyles" Target="richData/richStyles.xml"/><Relationship Id="rId5" Type="http://schemas.openxmlformats.org/officeDocument/2006/relationships/sharedStrings" Target="sharedStrings.xml"/><Relationship Id="rId15" Type="http://schemas.openxmlformats.org/officeDocument/2006/relationships/calcChain" Target="calcChain.xml"/><Relationship Id="rId10" Type="http://schemas.microsoft.com/office/2017/06/relationships/rdArray" Target="richData/rdarray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Relationship Id="rId14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492894</xdr:colOff>
      <xdr:row>3</xdr:row>
      <xdr:rowOff>21772</xdr:rowOff>
    </xdr:from>
    <xdr:to>
      <xdr:col>28</xdr:col>
      <xdr:colOff>423333</xdr:colOff>
      <xdr:row>70</xdr:row>
      <xdr:rowOff>140219</xdr:rowOff>
    </xdr:to>
    <xdr:pic>
      <xdr:nvPicPr>
        <xdr:cNvPr id="4" name="Picture 3" descr="Image generated by Python">
          <a:extLst>
            <a:ext uri="{FF2B5EF4-FFF2-40B4-BE49-F238E27FC236}">
              <a16:creationId xmlns:a16="http://schemas.microsoft.com/office/drawing/2014/main" id="{377A5184-1C38-0CA5-92A7-ABAA4DA0F12D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'Option Greeks'!B30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07561" y="586216"/>
          <a:ext cx="6788439" cy="11604892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12" c="11">
    <v t="s"/>
    <v t="s">S.No.</v>
    <v t="s" xml:space="preserve">Date  </v>
    <v t="s" xml:space="preserve">Expiry  </v>
    <v t="s">Time to Maturity</v>
    <v t="s">Underlying Value</v>
    <v t="s">Delta</v>
    <v t="s">Gamma</v>
    <v t="s">Theta</v>
    <v t="s">Vega</v>
    <v t="s">Rho</v>
    <v>0</v>
    <v t="r">92</v>
    <v t="r">95</v>
    <v t="r">95</v>
    <v t="r">92</v>
    <v t="r">92</v>
    <v t="r">92</v>
    <v t="r">92</v>
    <v t="r">92</v>
    <v t="r">92</v>
    <v t="r">92</v>
    <v>1</v>
    <v t="r">92</v>
    <v t="r">95</v>
    <v t="r">95</v>
    <v t="r">92</v>
    <v t="r">92</v>
    <v t="r">92</v>
    <v t="r">92</v>
    <v t="r">92</v>
    <v t="r">92</v>
    <v t="r">92</v>
    <v>2</v>
    <v>1</v>
    <v t="r">96</v>
    <v t="r">97</v>
    <v>7.3972602739726029E-2</v>
    <v>130</v>
    <v>0.54275192437947983</v>
    <v>4.1719314157273438E-2</v>
    <v>-30.140447600027283</v>
    <v>14.024441227767898</v>
    <v>4.9140176234421844</v>
    <v>3</v>
    <v>2</v>
    <v t="r">98</v>
    <v t="r">97</v>
    <v>6.575342465753424E-2</v>
    <v>131</v>
    <v>0.58408737928125654</v>
    <v>4.3181331343914255E-2</v>
    <v>-31.836651797249139</v>
    <v>13.102307837731999</v>
    <v>4.7394799502215248</v>
    <v>4</v>
    <v>3</v>
    <v t="r">99</v>
    <v t="r">97</v>
    <v>6.3013698630136991E-2</v>
    <v>131.6</v>
    <v>0.6103834448032156</v>
    <v>4.3180014595052899E-2</v>
    <v>-32.329647771393681</v>
    <v>12.671275606299467</v>
    <v>4.7651096602588314</v>
    <v t="s">...</v>
    <v t="s">...</v>
    <v t="s">...</v>
    <v t="s">...</v>
    <v t="s">...</v>
    <v t="s">...</v>
    <v t="s">...</v>
    <v t="s">...</v>
    <v t="s">...</v>
    <v t="s">...</v>
    <v t="s">...</v>
    <v>16</v>
    <v>15</v>
    <v t="r">100</v>
    <v t="r">97</v>
    <v>1.9178082191780823E-2</v>
    <v>131</v>
    <v>0.60274063465851946</v>
    <v>7.905251134018218E-2</v>
    <v>-54.393179268347915</v>
    <v>6.9960715148027912</v>
    <v>1.4647863930772813</v>
    <v>17</v>
    <v>16</v>
    <v t="r">101</v>
    <v t="r">97</v>
    <v>1.643835616438356E-2</v>
    <v>133.55000000000001</v>
    <v>0.79731387707385082</v>
    <v>6.129261524952602E-2</v>
    <v>-46.68029804028734</v>
    <v>4.8322024945571869</v>
    <v>1.6808248521800788</v>
    <v>18</v>
    <v>17</v>
    <v t="r">102</v>
    <v t="r">97</v>
    <v>5.4794520547945206E-3</v>
    <v>135.19999999999999</v>
    <v>0.97722988264472144</v>
    <v>2.0077351046964873E-2</v>
    <v>-22.14758343485676</v>
    <v>0.54073904441007548</v>
    <v>0.69506081485606164</v>
    <v>19</v>
    <v>18</v>
    <v t="r">103</v>
    <v t="r">97</v>
    <v>2.7397260273972603E-3</v>
    <v>137.19999999999999</v>
    <v>0.99994107542565425</v>
    <v>1.2459884100452493E-4</v>
    <v>-9.1824828911097978</v>
    <v>1.7279062006760717E-3</v>
    <v>0.35607386263175222</v>
    <v>20</v>
    <v>19</v>
    <v t="r">97</v>
    <v t="r">97</v>
    <v>0</v>
    <v>138.15</v>
    <v>1</v>
    <v t="r">92</v>
    <v t="r">92</v>
    <v>0</v>
    <v>0</v>
  </a>
</arrayData>
</file>

<file path=xl/richData/rdrichvalue.xml><?xml version="1.0" encoding="utf-8"?>
<rvData xmlns="http://schemas.microsoft.com/office/spreadsheetml/2017/richdata" count="109">
  <rv s="0">
    <fb>0.54275192437947983</fb>
    <v>&lt;class 'numpy.float64'&gt;</v>
    <v>float64</v>
    <v>0.5427519243794798</v>
    <v>0.54275192437947983</v>
    <v>0</v>
    <v>1</v>
  </rv>
  <rv s="0">
    <fb>4.1719314157273438E-2</fb>
    <v>&lt;class 'numpy.float64'&gt;</v>
    <v>float64</v>
    <v>0.04171931415727344</v>
    <v>4.1719314157273438E-2</v>
    <v>0</v>
    <v>1</v>
  </rv>
  <rv s="0">
    <fb>-30.140447600027283</fb>
    <v>&lt;class 'numpy.float64'&gt;</v>
    <v>float64</v>
    <v>-30.140447600027283</v>
    <v>-30.140447600027283</v>
    <v>0</v>
    <v>1</v>
  </rv>
  <rv s="0">
    <fb>14.024441227767898</fb>
    <v>&lt;class 'numpy.float64'&gt;</v>
    <v>float64</v>
    <v>14.024441227767898</v>
    <v>14.024441227767898</v>
    <v>0</v>
    <v>1</v>
  </rv>
  <rv s="0">
    <fb>4.9140176234421844</fb>
    <v>&lt;class 'numpy.float64'&gt;</v>
    <v>float64</v>
    <v>4.914017623442184</v>
    <v>4.9140176234421844</v>
    <v>0</v>
    <v>1</v>
  </rv>
  <rv s="0">
    <fb>0.58408737928125654</fb>
    <v>&lt;class 'numpy.float64'&gt;</v>
    <v>float64</v>
    <v>0.5840873792812565</v>
    <v>0.58408737928125654</v>
    <v>0</v>
    <v>1</v>
  </rv>
  <rv s="0">
    <fb>4.3181331343914255E-2</fb>
    <v>&lt;class 'numpy.float64'&gt;</v>
    <v>float64</v>
    <v>0.043181331343914255</v>
    <v>4.3181331343914255E-2</v>
    <v>0</v>
    <v>1</v>
  </rv>
  <rv s="0">
    <fb>-31.836651797249139</fb>
    <v>&lt;class 'numpy.float64'&gt;</v>
    <v>float64</v>
    <v>-31.83665179724914</v>
    <v>-31.836651797249139</v>
    <v>0</v>
    <v>1</v>
  </rv>
  <rv s="0">
    <fb>13.102307837731999</fb>
    <v>&lt;class 'numpy.float64'&gt;</v>
    <v>float64</v>
    <v>13.102307837731999</v>
    <v>13.102307837731999</v>
    <v>0</v>
    <v>1</v>
  </rv>
  <rv s="0">
    <fb>4.7394799502215248</fb>
    <v>&lt;class 'numpy.float64'&gt;</v>
    <v>float64</v>
    <v>4.739479950221525</v>
    <v>4.7394799502215248</v>
    <v>0</v>
    <v>1</v>
  </rv>
  <rv s="0">
    <fb>0.6103834448032156</fb>
    <v>&lt;class 'numpy.float64'&gt;</v>
    <v>float64</v>
    <v>0.6103834448032156</v>
    <v>0.6103834448032156</v>
    <v>0</v>
    <v>1</v>
  </rv>
  <rv s="0">
    <fb>4.3180014595052899E-2</fb>
    <v>&lt;class 'numpy.float64'&gt;</v>
    <v>float64</v>
    <v>0.0431800145950529</v>
    <v>4.3180014595052899E-2</v>
    <v>0</v>
    <v>1</v>
  </rv>
  <rv s="0">
    <fb>-32.329647771393681</fb>
    <v>&lt;class 'numpy.float64'&gt;</v>
    <v>float64</v>
    <v>-32.32964777139368</v>
    <v>-32.329647771393681</v>
    <v>0</v>
    <v>1</v>
  </rv>
  <rv s="0">
    <fb>12.671275606299467</fb>
    <v>&lt;class 'numpy.float64'&gt;</v>
    <v>float64</v>
    <v>12.671275606299467</v>
    <v>12.671275606299467</v>
    <v>0</v>
    <v>1</v>
  </rv>
  <rv s="0">
    <fb>4.7651096602588314</fb>
    <v>&lt;class 'numpy.float64'&gt;</v>
    <v>float64</v>
    <v>4.765109660258831</v>
    <v>4.7651096602588314</v>
    <v>0</v>
    <v>1</v>
  </rv>
  <rv s="0">
    <fb>0.62208517006790953</fb>
    <v>&lt;class 'numpy.float64'&gt;</v>
    <v>float64</v>
    <v>0.6220851700679095</v>
    <v>0.62208517006790953</v>
    <v>0</v>
    <v>1</v>
  </rv>
  <rv s="0">
    <fb>4.3669345385695141E-2</fb>
    <v>&lt;class 'numpy.float64'&gt;</v>
    <v>float64</v>
    <v>0.04366934538569514</v>
    <v>4.3669345385695141E-2</v>
    <v>0</v>
    <v>1</v>
  </rv>
  <rv s="0">
    <fb>-32.854165499824106</fb>
    <v>&lt;class 'numpy.float64'&gt;</v>
    <v>float64</v>
    <v>-32.854165499824106</v>
    <v>-32.854165499824106</v>
    <v>0</v>
    <v>1</v>
  </rv>
  <rv s="0">
    <fb>12.304318619696984</fb>
    <v>&lt;class 'numpy.float64'&gt;</v>
    <v>float64</v>
    <v>12.304318619696984</v>
    <v>12.304318619696984</v>
    <v>0</v>
    <v>1</v>
  </rv>
  <rv s="0">
    <fb>4.6562204686287973</fb>
    <v>&lt;class 'numpy.float64'&gt;</v>
    <v>float64</v>
    <v>4.656220468628797</v>
    <v>4.6562204686287973</v>
    <v>0</v>
    <v>1</v>
  </rv>
  <rv s="0">
    <fb>0.53771973301178422</fb>
    <v>&lt;class 'numpy.float64'&gt;</v>
    <v>float64</v>
    <v>0.5377197330117842</v>
    <v>0.53771973301178422</v>
    <v>0</v>
    <v>1</v>
  </rv>
  <rv s="0">
    <fb>4.7365888042354434E-2</fb>
    <v>&lt;class 'numpy.float64'&gt;</v>
    <v>float64</v>
    <v>0.047365888042354434</v>
    <v>4.7365888042354434E-2</v>
    <v>0</v>
    <v>1</v>
  </rv>
  <rv s="0">
    <fb>-33.581226118846807</fb>
    <v>&lt;class 'numpy.float64'&gt;</v>
    <v>float64</v>
    <v>-33.58122611884681</v>
    <v>-33.581226118846807</v>
    <v>0</v>
    <v>1</v>
  </rv>
  <rv s="0">
    <fb>12.384247454382667</fb>
    <v>&lt;class 'numpy.float64'&gt;</v>
    <v>float64</v>
    <v>12.384247454382667</v>
    <v>12.384247454382667</v>
    <v>0</v>
    <v>1</v>
  </rv>
  <rv s="0">
    <fb>3.8144067654616247</fb>
    <v>&lt;class 'numpy.float64'&gt;</v>
    <v>float64</v>
    <v>3.8144067654616247</v>
    <v>3.8144067654616247</v>
    <v>0</v>
    <v>1</v>
  </rv>
  <rv s="0">
    <fb>4.13</fb>
    <v>&lt;class 'numpy.float64'&gt;</v>
    <v>float64</v>
    <v>4.13</v>
    <v>4.13</v>
    <v>0</v>
    <v>1</v>
  </rv>
  <rv s="0">
    <fb>0.497742277293938</fb>
    <v>&lt;class 'numpy.float64'&gt;</v>
    <v>float64</v>
    <v>0.497742277293938</v>
    <v>0.497742277293938</v>
    <v>0</v>
    <v>1</v>
  </rv>
  <rv s="0">
    <fb>4.9054768396530536E-2</fb>
    <v>&lt;class 'numpy.float64'&gt;</v>
    <v>float64</v>
    <v>0.049054768396530536</v>
    <v>4.9054768396530536E-2</v>
    <v>0</v>
    <v>1</v>
  </rv>
  <rv s="0">
    <fb>-33.889180188559138</fb>
    <v>&lt;class 'numpy.float64'&gt;</v>
    <v>float64</v>
    <v>-33.88918018855914</v>
    <v>-33.889180188559138</v>
    <v>0</v>
    <v>1</v>
  </rv>
  <rv s="0">
    <fb>12.065190691296394</fb>
    <v>&lt;class 'numpy.float64'&gt;</v>
    <v>float64</v>
    <v>12.065190691296394</v>
    <v>12.065190691296394</v>
    <v>0</v>
    <v>1</v>
  </rv>
  <rv s="0">
    <fb>3.353949882146011</fb>
    <v>&lt;class 'numpy.float64'&gt;</v>
    <v>float64</v>
    <v>3.353949882146011</v>
    <v>3.353949882146011</v>
    <v>0</v>
    <v>1</v>
  </rv>
  <rv s="0">
    <fb>0.53658062227795866</fb>
    <v>&lt;class 'numpy.float64'&gt;</v>
    <v>float64</v>
    <v>0.5365806222779587</v>
    <v>0.53658062227795866</v>
    <v>0</v>
    <v>1</v>
  </rv>
  <rv s="0">
    <fb>5.2638076862097108E-2</fb>
    <v>&lt;class 'numpy.float64'&gt;</v>
    <v>float64</v>
    <v>0.05263807686209711</v>
    <v>5.2638076862097108E-2</v>
    <v>0</v>
    <v>1</v>
  </rv>
  <rv s="0">
    <fb>-36.843835248215498</fb>
    <v>&lt;class 'numpy.float64'&gt;</v>
    <v>float64</v>
    <v>-36.8438352482155</v>
    <v>-36.843835248215498</v>
    <v>0</v>
    <v>1</v>
  </rv>
  <rv s="0">
    <fb>11.14981306336982</fb>
    <v>&lt;class 'numpy.float64'&gt;</v>
    <v>float64</v>
    <v>11.14981306336982</v>
    <v>11.14981306336982</v>
    <v>0</v>
    <v>1</v>
  </rv>
  <rv s="0">
    <fb>3.0988839723908894</fb>
    <v>&lt;class 'numpy.float64'&gt;</v>
    <v>float64</v>
    <v>3.0988839723908894</v>
    <v>3.0988839723908894</v>
    <v>0</v>
    <v>1</v>
  </rv>
  <rv s="0">
    <fb>0.53836310555379896</fb>
    <v>&lt;class 'numpy.float64'&gt;</v>
    <v>float64</v>
    <v>0.538363105553799</v>
    <v>0.53836310555379896</v>
    <v>0</v>
    <v>1</v>
  </rv>
  <rv s="0">
    <fb>5.4214343476361809E-2</fb>
    <v>&lt;class 'numpy.float64'&gt;</v>
    <v>float64</v>
    <v>0.05421434347636181</v>
    <v>5.4214343476361809E-2</v>
    <v>0</v>
    <v>1</v>
  </rv>
  <rv s="0">
    <fb>-37.856555594230038</fb>
    <v>&lt;class 'numpy.float64'&gt;</v>
    <v>float64</v>
    <v>-37.85655559423004</v>
    <v>-37.856555594230038</v>
    <v>0</v>
    <v>1</v>
  </rv>
  <rv s="0">
    <fb>10.816499050115663</fb>
    <v>&lt;class 'numpy.float64'&gt;</v>
    <v>float64</v>
    <v>10.816499050115663</v>
    <v>10.816499050115663</v>
    <v>0</v>
    <v>1</v>
  </rv>
  <rv s="0">
    <fb>2.9312450488274768</fb>
    <v>&lt;class 'numpy.float64'&gt;</v>
    <v>float64</v>
    <v>2.931245048827477</v>
    <v>2.9312450488274768</v>
    <v>0</v>
    <v>1</v>
  </rv>
  <rv s="0">
    <fb>0.60892950800321577</fb>
    <v>&lt;class 'numpy.float64'&gt;</v>
    <v>float64</v>
    <v>0.6089295080032158</v>
    <v>0.60892950800321577</v>
    <v>0</v>
    <v>1</v>
  </rv>
  <rv s="0">
    <fb>5.360677706805346E-2</fb>
    <v>&lt;class 'numpy.float64'&gt;</v>
    <v>float64</v>
    <v>0.05360677706805346</v>
    <v>5.360677706805346E-2</v>
    <v>0</v>
    <v>1</v>
  </rv>
  <rv s="0">
    <fb>-38.796851449297506</fb>
    <v>&lt;class 'numpy.float64'&gt;</v>
    <v>float64</v>
    <v>-38.796851449297506</v>
    <v>-38.796851449297506</v>
    <v>0</v>
    <v>1</v>
  </rv>
  <rv s="0">
    <fb>10.228209731620113</fb>
    <v>&lt;class 'numpy.float64'&gt;</v>
    <v>float64</v>
    <v>10.228209731620113</v>
    <v>10.228209731620113</v>
    <v>0</v>
    <v>1</v>
  </rv>
  <rv s="0">
    <fb>3.1315479576322667</fb>
    <v>&lt;class 'numpy.float64'&gt;</v>
    <v>float64</v>
    <v>3.1315479576322667</v>
    <v>3.1315479576322667</v>
    <v>0</v>
    <v>1</v>
  </rv>
  <rv s="0">
    <fb>0.64327314834178351</fb>
    <v>&lt;class 'numpy.float64'&gt;</v>
    <v>float64</v>
    <v>0.6432731483417835</v>
    <v>0.64327314834178351</v>
    <v>0</v>
    <v>1</v>
  </rv>
  <rv s="0">
    <fb>5.3646953708868433E-2</fb>
    <v>&lt;class 'numpy.float64'&gt;</v>
    <v>float64</v>
    <v>0.05364695370886843</v>
    <v>5.3646953708868433E-2</v>
    <v>0</v>
    <v>1</v>
  </rv>
  <rv s="0">
    <fb>-39.452580352112193</fb>
    <v>&lt;class 'numpy.float64'&gt;</v>
    <v>float64</v>
    <v>-39.45258035211219</v>
    <v>-39.452580352112193</v>
    <v>0</v>
    <v>1</v>
  </rv>
  <rv s="0">
    <fb>9.6409293845212165</fb>
    <v>&lt;class 'numpy.float64'&gt;</v>
    <v>float64</v>
    <v>9.640929384521217</v>
    <v>9.6409293845212165</v>
    <v>0</v>
    <v>1</v>
  </rv>
  <rv s="0">
    <fb>3.1003814513201724</fb>
    <v>&lt;class 'numpy.float64'&gt;</v>
    <v>float64</v>
    <v>3.1003814513201724</v>
    <v>3.1003814513201724</v>
    <v>0</v>
    <v>1</v>
  </rv>
  <rv s="0">
    <fb>0.84819193076608324</fb>
    <v>&lt;class 'numpy.float64'&gt;</v>
    <v>float64</v>
    <v>0.8481919307660832</v>
    <v>0.84819193076608324</v>
    <v>0</v>
    <v>1</v>
  </rv>
  <rv s="0">
    <fb>3.3941092564352619E-2</fb>
    <v>&lt;class 'numpy.float64'&gt;</v>
    <v>float64</v>
    <v>0.03394109256435262</v>
    <v>3.3941092564352619E-2</v>
    <v>0</v>
    <v>1</v>
  </rv>
  <rv s="0">
    <fb>-30.434988121325159</fb>
    <v>&lt;class 'numpy.float64'&gt;</v>
    <v>float64</v>
    <v>-30.43498812132516</v>
    <v>-30.434988121325159</v>
    <v>0</v>
    <v>1</v>
  </rv>
  <rv s="0">
    <fb>6.0522127794331713</fb>
    <v>&lt;class 'numpy.float64'&gt;</v>
    <v>float64</v>
    <v>6.052212779433171</v>
    <v>6.0522127794331713</v>
    <v>0</v>
    <v>1</v>
  </rv>
  <rv s="0">
    <fb>3.8609410014140408</fb>
    <v>&lt;class 'numpy.float64'&gt;</v>
    <v>float64</v>
    <v>3.860941001414041</v>
    <v>3.8609410014140408</v>
    <v>0</v>
    <v>1</v>
  </rv>
  <rv s="0">
    <fb>0.88060004512341905</fb>
    <v>&lt;class 'numpy.float64'&gt;</v>
    <v>float64</v>
    <v>0.880600045123419</v>
    <v>0.88060004512341905</v>
    <v>0</v>
    <v>1</v>
  </rv>
  <rv s="0">
    <fb>3.2785928231778137E-2</fb>
    <v>&lt;class 'numpy.float64'&gt;</v>
    <v>float64</v>
    <v>0.03278592823177814</v>
    <v>3.2785928231778137E-2</v>
    <v>0</v>
    <v>1</v>
  </rv>
  <rv s="0">
    <fb>-30.03313002731284</fb>
    <v>&lt;class 'numpy.float64'&gt;</v>
    <v>float64</v>
    <v>-30.03313002731284</v>
    <v>-30.03313002731284</v>
    <v>0</v>
    <v>1</v>
  </rv>
  <rv s="0">
    <fb>4.5069923439609427</fb>
    <v>&lt;class 'numpy.float64'&gt;</v>
    <v>float64</v>
    <v>4.506992343960943</v>
    <v>4.5069923439609427</v>
    <v>0</v>
    <v>1</v>
  </rv>
  <rv s="0">
    <fb>3.0980051364971852</fb>
    <v>&lt;class 'numpy.float64'&gt;</v>
    <v>float64</v>
    <v>3.0980051364971852</v>
    <v>3.0980051364971852</v>
    <v>0</v>
    <v>1</v>
  </rv>
  <rv s="0">
    <fb>0.84752042861911348</fb>
    <v>&lt;class 'numpy.float64'&gt;</v>
    <v>float64</v>
    <v>0.8475204286191135</v>
    <v>0.84752042861911348</v>
    <v>0</v>
    <v>1</v>
  </rv>
  <rv s="0">
    <fb>4.1229108388292739E-2</fb>
    <v>&lt;class 'numpy.float64'&gt;</v>
    <v>float64</v>
    <v>0.04122910838829274</v>
    <v>4.1229108388292739E-2</v>
    <v>0</v>
    <v>1</v>
  </rv>
  <rv s="0">
    <fb>-34.933818465318978</fb>
    <v>&lt;class 'numpy.float64'&gt;</v>
    <v>float64</v>
    <v>-34.93381846531898</v>
    <v>-34.933818465318978</v>
    <v>0</v>
    <v>1</v>
  </rv>
  <rv s="0">
    <fb>5.011661371437433</fb>
    <v>&lt;class 'numpy.float64'&gt;</v>
    <v>float64</v>
    <v>5.011661371437433</v>
    <v>5.011661371437433</v>
    <v>0</v>
    <v>1</v>
  </rv>
  <rv s="0">
    <fb>2.6794850540355108</fb>
    <v>&lt;class 'numpy.float64'&gt;</v>
    <v>float64</v>
    <v>2.679485054035511</v>
    <v>2.6794850540355108</v>
    <v>0</v>
    <v>1</v>
  </rv>
  <rv s="0">
    <fb>0.50402571674748675</fb>
    <v>&lt;class 'numpy.float64'&gt;</v>
    <v>float64</v>
    <v>0.5040257167474868</v>
    <v>0.50402571674748675</v>
    <v>0</v>
    <v>1</v>
  </rv>
  <rv s="0">
    <fb>7.723092268685651E-2</fb>
    <v>&lt;class 'numpy.float64'&gt;</v>
    <v>float64</v>
    <v>0.07723092268685651</v>
    <v>7.723092268685651E-2</v>
    <v>0</v>
    <v>1</v>
  </rv>
  <rv s="0">
    <fb>-51.441778209807545</fb>
    <v>&lt;class 'numpy.float64'&gt;</v>
    <v>float64</v>
    <v>-51.441778209807545</v>
    <v>-51.441778209807545</v>
    <v>0</v>
    <v>1</v>
  </rv>
  <rv s="0">
    <fb>7.6629127593948434</fb>
    <v>&lt;class 'numpy.float64'&gt;</v>
    <v>float64</v>
    <v>7.662912759394843</v>
    <v>7.6629127593948434</v>
    <v>0</v>
    <v>1</v>
  </rv>
  <rv s="0">
    <fb>1.3887486965059923</fb>
    <v>&lt;class 'numpy.float64'&gt;</v>
    <v>float64</v>
    <v>1.3887486965059923</v>
    <v>1.3887486965059923</v>
    <v>0</v>
    <v>1</v>
  </rv>
  <rv s="0">
    <fb>0.60274063465851946</fb>
    <v>&lt;class 'numpy.float64'&gt;</v>
    <v>float64</v>
    <v>0.6027406346585195</v>
    <v>0.60274063465851946</v>
    <v>0</v>
    <v>1</v>
  </rv>
  <rv s="0">
    <fb>7.905251134018218E-2</fb>
    <v>&lt;class 'numpy.float64'&gt;</v>
    <v>float64</v>
    <v>0.07905251134018218</v>
    <v>7.905251134018218E-2</v>
    <v>0</v>
    <v>1</v>
  </rv>
  <rv s="0">
    <fb>-54.393179268347915</fb>
    <v>&lt;class 'numpy.float64'&gt;</v>
    <v>float64</v>
    <v>-54.393179268347915</v>
    <v>-54.393179268347915</v>
    <v>0</v>
    <v>1</v>
  </rv>
  <rv s="0">
    <fb>6.9960715148027912</fb>
    <v>&lt;class 'numpy.float64'&gt;</v>
    <v>float64</v>
    <v>6.996071514802791</v>
    <v>6.9960715148027912</v>
    <v>0</v>
    <v>1</v>
  </rv>
  <rv s="0">
    <fb>1.4647863930772813</fb>
    <v>&lt;class 'numpy.float64'&gt;</v>
    <v>float64</v>
    <v>1.4647863930772813</v>
    <v>1.4647863930772813</v>
    <v>0</v>
    <v>1</v>
  </rv>
  <rv s="0">
    <fb>0.79731387707385082</fb>
    <v>&lt;class 'numpy.float64'&gt;</v>
    <v>float64</v>
    <v>0.7973138770738508</v>
    <v>0.79731387707385082</v>
    <v>0</v>
    <v>1</v>
  </rv>
  <rv s="0">
    <fb>6.129261524952602E-2</fb>
    <v>&lt;class 'numpy.float64'&gt;</v>
    <v>float64</v>
    <v>0.06129261524952602</v>
    <v>6.129261524952602E-2</v>
    <v>0</v>
    <v>1</v>
  </rv>
  <rv s="0">
    <fb>-46.68029804028734</fb>
    <v>&lt;class 'numpy.float64'&gt;</v>
    <v>float64</v>
    <v>-46.68029804028734</v>
    <v>-46.68029804028734</v>
    <v>0</v>
    <v>1</v>
  </rv>
  <rv s="0">
    <fb>4.8322024945571869</fb>
    <v>&lt;class 'numpy.float64'&gt;</v>
    <v>float64</v>
    <v>4.832202494557187</v>
    <v>4.8322024945571869</v>
    <v>0</v>
    <v>1</v>
  </rv>
  <rv s="0">
    <fb>1.6808248521800788</fb>
    <v>&lt;class 'numpy.float64'&gt;</v>
    <v>float64</v>
    <v>1.6808248521800788</v>
    <v>1.6808248521800788</v>
    <v>0</v>
    <v>1</v>
  </rv>
  <rv s="0">
    <fb>0.97722988264472144</fb>
    <v>&lt;class 'numpy.float64'&gt;</v>
    <v>float64</v>
    <v>0.9772298826447214</v>
    <v>0.97722988264472144</v>
    <v>0</v>
    <v>1</v>
  </rv>
  <rv s="0">
    <fb>2.0077351046964873E-2</fb>
    <v>&lt;class 'numpy.float64'&gt;</v>
    <v>float64</v>
    <v>0.020077351046964873</v>
    <v>2.0077351046964873E-2</v>
    <v>0</v>
    <v>1</v>
  </rv>
  <rv s="0">
    <fb>-22.14758343485676</fb>
    <v>&lt;class 'numpy.float64'&gt;</v>
    <v>float64</v>
    <v>-22.14758343485676</v>
    <v>-22.14758343485676</v>
    <v>0</v>
    <v>1</v>
  </rv>
  <rv s="0">
    <fb>0.54073904441007548</fb>
    <v>&lt;class 'numpy.float64'&gt;</v>
    <v>float64</v>
    <v>0.5407390444100755</v>
    <v>0.54073904441007548</v>
    <v>0</v>
    <v>1</v>
  </rv>
  <rv s="0">
    <fb>0.69506081485606164</fb>
    <v>&lt;class 'numpy.float64'&gt;</v>
    <v>float64</v>
    <v>0.6950608148560616</v>
    <v>0.69506081485606164</v>
    <v>0</v>
    <v>1</v>
  </rv>
  <rv s="0">
    <fb>0.99994107542565425</fb>
    <v>&lt;class 'numpy.float64'&gt;</v>
    <v>float64</v>
    <v>0.9999410754256542</v>
    <v>0.99994107542565425</v>
    <v>0</v>
    <v>1</v>
  </rv>
  <rv s="0">
    <fb>1.2459884100452493E-4</fb>
    <v>&lt;class 'numpy.float64'&gt;</v>
    <v>float64</v>
    <v>0.00012459884100452493</v>
    <v>1.2459884100452493E-4</v>
    <v>0</v>
    <v>1</v>
  </rv>
  <rv s="0">
    <fb>-9.1824828911097978</fb>
    <v>&lt;class 'numpy.float64'&gt;</v>
    <v>float64</v>
    <v>-9.182482891109798</v>
    <v>-9.1824828911097978</v>
    <v>0</v>
    <v>1</v>
  </rv>
  <rv s="0">
    <fb>1.7279062006760717E-3</fb>
    <v>&lt;class 'numpy.float64'&gt;</v>
    <v>float64</v>
    <v>0.0017279062006760717</v>
    <v>1.7279062006760717E-3</v>
    <v>0</v>
    <v>1</v>
  </rv>
  <rv s="0">
    <fb>0.35607386263175222</fb>
    <v>&lt;class 'numpy.float64'&gt;</v>
    <v>float64</v>
    <v>0.3560738626317522</v>
    <v>0.35607386263175222</v>
    <v>0</v>
    <v>1</v>
  </rv>
  <rv s="0">
    <fb>1</fb>
    <v>&lt;class 'numpy.float64'&gt;</v>
    <v>float64</v>
    <v>1.0</v>
    <v>1</v>
    <v>0</v>
    <v>1</v>
  </rv>
  <rv s="1">
    <fb>0</fb>
    <v>2</v>
  </rv>
  <rv s="2">
    <fb t="e">#NUM!</fb>
    <v>&lt;class 'numpy.float64'&gt;</v>
    <v>float64</v>
    <v>nan</v>
    <v>92</v>
    <v>#NUM!</v>
    <v>0</v>
    <v>1</v>
  </rv>
  <rv s="0">
    <fb>0</fb>
    <v>&lt;class 'numpy.float64'&gt;</v>
    <v>float64</v>
    <v>0.0</v>
    <v>0</v>
    <v>0</v>
    <v>1</v>
  </rv>
  <rv s="1">
    <fb>0</fb>
    <v>5</v>
  </rv>
  <rv s="1">
    <fb>45261</fb>
    <v>6</v>
  </rv>
  <rv s="1">
    <fb>45288</fb>
    <v>6</v>
  </rv>
  <rv s="1">
    <fb>45264</fb>
    <v>6</v>
  </rv>
  <rv s="1">
    <fb>45265</fb>
    <v>6</v>
  </rv>
  <rv s="1">
    <fb>45281</fb>
    <v>6</v>
  </rv>
  <rv s="1">
    <fb>45282</fb>
    <v>6</v>
  </rv>
  <rv s="1">
    <fb>45286</fb>
    <v>6</v>
  </rv>
  <rv s="1">
    <fb>45287</fb>
    <v>6</v>
  </rv>
  <rv s="3">
    <v>0</v>
  </rv>
  <rv s="4">
    <v>DataFrame</v>
    <v>4</v>
    <v>104</v>
  </rv>
  <rv s="5">
    <v>&lt;class 'pandas.core.frame.DataFrame'&gt;</v>
    <v>DataFrame</v>
    <v xml:space="preserve">    S.No.     Date     Expiry    Time to Maturity  Underlying Value     Delta  \
0     NaN        NaT        NaT               NaN               NaN       NaN   
1     NaN        NaT        NaT               NaN               NaN       NaN   
2     1.0...</v>
    <v>105</v>
    <v>0</v>
    <v>1</v>
  </rv>
  <rv s="6">
    <v>0</v>
    <v>9</v>
    <v>Image generated by Python</v>
  </rv>
  <rv s="7">
    <v>12</v>
    <v>image</v>
    <v>0</v>
  </rv>
</rvData>
</file>

<file path=xl/richData/rdrichvaluestructure.xml><?xml version="1.0" encoding="utf-8"?>
<rvStructures xmlns="http://schemas.microsoft.com/office/spreadsheetml/2017/richdata" count="8">
  <s t="_python">
    <k n="Python_type" t="s"/>
    <k n="Python_typeName" t="s"/>
    <k n="Python_str" t="s"/>
    <k n="basicValue"/>
    <k n="_Provider" t="spb"/>
    <k n="provider" t="spb"/>
  </s>
  <s t="_formattednumber">
    <k n="_Format" t="spb"/>
  </s>
  <s t="_python">
    <k n="Python_type" t="s"/>
    <k n="Python_typeName" t="s"/>
    <k n="Python_str" t="s"/>
    <k n="preview" t="r"/>
    <k n="basicValue" t="e"/>
    <k n="_Provider" t="spb"/>
    <k n="provider" t="spb"/>
  </s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  <k n="provider" t="spb"/>
  </s>
  <s t="_localImage">
    <k n="_rvRel:LocalImageIdentifier" t="i"/>
    <k n="CalcOrigin" t="i"/>
    <k n="Text" t="s"/>
  </s>
  <s t="_error">
    <k n="errorType" t="i"/>
    <k n="field" t="s"/>
    <k n="subType" t="i"/>
  </s>
</rvStructures>
</file>

<file path=xl/richData/rdsupportingpropertybag.xml><?xml version="1.0" encoding="utf-8"?>
<supportingPropertyBags xmlns="http://schemas.microsoft.com/office/spreadsheetml/2017/richdata2">
  <spbData count="7">
    <spb s="0">
      <v>https://www.anaconda.com/excel</v>
      <v>https://res.cdn.office.net/officepysvc/prod-service/anacondalogo.png</v>
      <v>Python provided by Anaconda</v>
    </spb>
    <spb s="1">
      <v>https://www.anaconda.com/excel</v>
      <v>https://res.cdn.office.net/officepysvc/prod-service/anacondalogo.png</v>
      <v>Python provided by Anaconda</v>
    </spb>
    <spb s="2">
      <v>1</v>
    </spb>
    <spb s="3">
      <v>21</v>
      <v>10</v>
      <v>DataFrame</v>
      <v>arrayPreview</v>
      <v>1</v>
    </spb>
    <spb s="4">
      <v>3</v>
    </spb>
    <spb s="2">
      <v>2</v>
    </spb>
    <spb s="2">
      <v>3</v>
    </spb>
  </spbData>
</supportingPropertyBags>
</file>

<file path=xl/richData/rdsupportingpropertybagstructure.xml><?xml version="1.0" encoding="utf-8"?>
<spbStructures xmlns="http://schemas.microsoft.com/office/spreadsheetml/2017/richdata2" count="5">
  <s>
    <k n="link" t="s"/>
    <k n="logo" t="s"/>
    <k n="name" t="s"/>
  </s>
  <s>
    <k n="url" t="s"/>
    <k n="logoUrl" t="s"/>
    <k n="description" t="s"/>
  </s>
  <s>
    <k n="_Self" t="i"/>
  </s>
  <s>
    <k n="drw" t="i"/>
    <k n="dcol" t="i"/>
    <k n="name" t="s"/>
    <k n="array" t="s"/>
    <k n="headers" t="b"/>
  </s>
  <s>
    <k n="ArrayCardInfo" t="spb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0" formatCode="General"/>
    </x:dxf>
    <x:dxf>
      <x:numFmt numFmtId="19" formatCode="dd/mm/yyyy"/>
    </x:dxf>
  </dxfs>
  <richProperties>
    <rPr n="NumberFormat" t="s"/>
  </richProperties>
  <richStyles>
    <rSty dxfid="0">
      <rpv i="0">0;-0;"nan"</rpv>
    </rSty>
    <rSty dxfid="0">
      <rpv i="0">0;-0;"nat"</rpv>
    </rSty>
    <rSty dxfid="1"/>
  </richStyles>
</richStyleSheet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CDF15-249B-43DA-AF3F-3A11BDD43297}">
  <dimension ref="B1:S30"/>
  <sheetViews>
    <sheetView showGridLines="0" zoomScale="70" zoomScaleNormal="70" workbookViewId="0">
      <selection activeCell="M32" sqref="M32"/>
    </sheetView>
  </sheetViews>
  <sheetFormatPr defaultRowHeight="14.4" x14ac:dyDescent="0.3"/>
  <cols>
    <col min="2" max="2" width="9.33203125" bestFit="1" customWidth="1"/>
    <col min="4" max="4" width="9.33203125" bestFit="1" customWidth="1"/>
    <col min="5" max="5" width="10.5546875" customWidth="1"/>
    <col min="6" max="6" width="9.33203125" bestFit="1" customWidth="1"/>
    <col min="9" max="10" width="10.5546875" customWidth="1"/>
    <col min="11" max="11" width="9.5546875" customWidth="1"/>
    <col min="12" max="12" width="10.6640625" customWidth="1"/>
    <col min="13" max="13" width="10.6640625" bestFit="1" customWidth="1"/>
    <col min="14" max="14" width="10" customWidth="1"/>
    <col min="15" max="15" width="10.77734375" customWidth="1"/>
    <col min="16" max="16" width="10.6640625" customWidth="1"/>
    <col min="17" max="17" width="10.33203125" customWidth="1"/>
    <col min="20" max="20" width="9.33203125" bestFit="1" customWidth="1"/>
  </cols>
  <sheetData>
    <row r="1" spans="2:19" ht="15" thickBot="1" x14ac:dyDescent="0.35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2:19" x14ac:dyDescent="0.3">
      <c r="B2" s="2"/>
      <c r="C2" s="2"/>
      <c r="D2" s="2"/>
      <c r="E2" s="2"/>
      <c r="F2" s="2"/>
      <c r="G2" s="42" t="s">
        <v>19</v>
      </c>
      <c r="H2" s="43"/>
      <c r="I2" s="43"/>
      <c r="J2" s="43"/>
      <c r="K2" s="43"/>
      <c r="L2" s="43"/>
      <c r="M2" s="43"/>
      <c r="N2" s="43"/>
      <c r="O2" s="43"/>
      <c r="P2" s="44"/>
      <c r="Q2" s="2"/>
    </row>
    <row r="3" spans="2:19" ht="15" thickBot="1" x14ac:dyDescent="0.35">
      <c r="B3" s="2"/>
      <c r="C3" s="2"/>
      <c r="D3" s="2"/>
      <c r="E3" s="2"/>
      <c r="F3" s="2"/>
      <c r="G3" s="45"/>
      <c r="H3" s="46"/>
      <c r="I3" s="46"/>
      <c r="J3" s="46"/>
      <c r="K3" s="46"/>
      <c r="L3" s="46"/>
      <c r="M3" s="46"/>
      <c r="N3" s="46"/>
      <c r="O3" s="46"/>
      <c r="P3" s="47"/>
      <c r="Q3" s="2"/>
    </row>
    <row r="4" spans="2:19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2:19" ht="15" thickBot="1" x14ac:dyDescent="0.3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2:19" ht="15" thickBot="1" x14ac:dyDescent="0.35">
      <c r="B6" s="2"/>
      <c r="C6" s="2"/>
      <c r="D6" s="2"/>
      <c r="E6" s="2"/>
      <c r="F6" s="2"/>
      <c r="G6" s="2"/>
      <c r="H6" s="54" t="s">
        <v>1</v>
      </c>
      <c r="I6" s="54" t="s">
        <v>0</v>
      </c>
      <c r="J6" s="54" t="s">
        <v>2</v>
      </c>
      <c r="K6" s="54" t="s">
        <v>20</v>
      </c>
      <c r="L6" s="54" t="s">
        <v>25</v>
      </c>
      <c r="M6" s="54" t="s">
        <v>4</v>
      </c>
      <c r="N6" s="54" t="s">
        <v>21</v>
      </c>
      <c r="O6" s="54" t="s">
        <v>22</v>
      </c>
      <c r="P6" s="54" t="s">
        <v>23</v>
      </c>
      <c r="Q6" s="54" t="s">
        <v>24</v>
      </c>
      <c r="R6" s="14"/>
      <c r="S6" s="14"/>
    </row>
    <row r="7" spans="2:19" x14ac:dyDescent="0.3">
      <c r="B7" s="48" t="s">
        <v>10</v>
      </c>
      <c r="C7" s="49"/>
      <c r="D7" s="50"/>
      <c r="E7" s="9">
        <v>130</v>
      </c>
      <c r="F7" s="2"/>
      <c r="G7" s="2"/>
      <c r="H7" s="55"/>
      <c r="I7" s="55"/>
      <c r="J7" s="55"/>
      <c r="K7" s="55"/>
      <c r="L7" s="55"/>
      <c r="M7" s="55"/>
      <c r="N7" s="55"/>
      <c r="O7" s="55"/>
      <c r="P7" s="55"/>
      <c r="Q7" s="55"/>
      <c r="R7" s="14"/>
      <c r="S7" s="14"/>
    </row>
    <row r="8" spans="2:19" ht="15" thickBot="1" x14ac:dyDescent="0.35">
      <c r="B8" s="51" t="s">
        <v>12</v>
      </c>
      <c r="C8" s="52"/>
      <c r="D8" s="53"/>
      <c r="E8" s="10">
        <v>45261</v>
      </c>
      <c r="F8" s="2"/>
      <c r="G8" s="2"/>
      <c r="H8" s="56"/>
      <c r="I8" s="56"/>
      <c r="J8" s="56"/>
      <c r="K8" s="56"/>
      <c r="L8" s="56"/>
      <c r="M8" s="56"/>
      <c r="N8" s="56"/>
      <c r="O8" s="56"/>
      <c r="P8" s="56"/>
      <c r="Q8" s="56"/>
      <c r="R8" s="14"/>
      <c r="S8" s="14"/>
    </row>
    <row r="9" spans="2:19" x14ac:dyDescent="0.3">
      <c r="B9" s="51" t="s">
        <v>13</v>
      </c>
      <c r="C9" s="52"/>
      <c r="D9" s="53"/>
      <c r="E9" s="10">
        <v>45288</v>
      </c>
      <c r="F9" s="2"/>
      <c r="G9" s="2"/>
      <c r="H9" s="16">
        <v>1</v>
      </c>
      <c r="I9" s="17">
        <v>45261</v>
      </c>
      <c r="J9" s="17">
        <v>45288</v>
      </c>
      <c r="K9" s="18">
        <f>(DATEDIF(I9,J9,"D"))/365</f>
        <v>7.3972602739726029E-2</v>
      </c>
      <c r="L9" s="16">
        <v>130</v>
      </c>
      <c r="M9" s="18" cm="1" vm="1">
        <f t="array" ref="M9">_xlfn._xlws.PY(0,1,L9,$E$7,K9,$E$13,$E$12)</f>
        <v>0.54275192437947983</v>
      </c>
      <c r="N9" s="18" cm="1" vm="2">
        <f t="array" ref="N9">_xlfn._xlws.PY(1,1,L9,$E$7,K9,$E$13,$E$12)</f>
        <v>4.1719314157273438E-2</v>
      </c>
      <c r="O9" s="22" cm="1" vm="3">
        <f t="array" ref="O9">_xlfn._xlws.PY(2,1,L9,$E$7,K9,$E$13,$E$12)</f>
        <v>-30.140447600027283</v>
      </c>
      <c r="P9" s="22" cm="1" vm="4">
        <f t="array" ref="P9">_xlfn._xlws.PY(3,1,L9,$E$7,K9,$E$13,$E$12)</f>
        <v>14.024441227767898</v>
      </c>
      <c r="Q9" s="23" cm="1" vm="5">
        <f t="array" ref="Q9">_xlfn._xlws.PY(4,1,L9,$E$7,K9,$E$13,$E$12)</f>
        <v>4.9140176234421844</v>
      </c>
    </row>
    <row r="10" spans="2:19" x14ac:dyDescent="0.3">
      <c r="B10" s="51" t="s">
        <v>14</v>
      </c>
      <c r="C10" s="52"/>
      <c r="D10" s="53"/>
      <c r="E10" s="11">
        <v>100000</v>
      </c>
      <c r="F10" s="2"/>
      <c r="G10" s="2"/>
      <c r="H10" s="19">
        <v>2</v>
      </c>
      <c r="I10" s="20">
        <v>45264</v>
      </c>
      <c r="J10" s="20">
        <v>45288</v>
      </c>
      <c r="K10" s="32">
        <f t="shared" ref="K10:K27" si="0">(DATEDIF(I10,J10,"D"))/365</f>
        <v>6.575342465753424E-2</v>
      </c>
      <c r="L10" s="19">
        <v>131</v>
      </c>
      <c r="M10" s="32" cm="1" vm="6">
        <f t="array" ref="M10">_xlfn._xlws.PY(0,1,L10,$E$7,K10,$E$13,$E$12)</f>
        <v>0.58408737928125654</v>
      </c>
      <c r="N10" s="32" cm="1" vm="7">
        <f t="array" ref="N10">_xlfn._xlws.PY(1,1,L10,$E$7,K10,$E$13,$E$12)</f>
        <v>4.3181331343914255E-2</v>
      </c>
      <c r="O10" s="34" cm="1" vm="8">
        <f t="array" ref="O10">_xlfn._xlws.PY(2,1,L10,$E$7,K10,$E$13,$E$12)</f>
        <v>-31.836651797249139</v>
      </c>
      <c r="P10" s="34" cm="1" vm="9">
        <f t="array" ref="P10">_xlfn._xlws.PY(3,1,L10,$E$7,K10,$E$13,$E$12)</f>
        <v>13.102307837731999</v>
      </c>
      <c r="Q10" s="36" cm="1" vm="10">
        <f t="array" ref="Q10">_xlfn._xlws.PY(4,1,L10,$E$7,K10,$E$13,$E$12)</f>
        <v>4.7394799502215248</v>
      </c>
    </row>
    <row r="11" spans="2:19" x14ac:dyDescent="0.3">
      <c r="B11" s="51" t="s">
        <v>15</v>
      </c>
      <c r="C11" s="52"/>
      <c r="D11" s="53"/>
      <c r="E11" s="12">
        <v>130</v>
      </c>
      <c r="F11" s="2"/>
      <c r="G11" s="2"/>
      <c r="H11" s="19">
        <v>3</v>
      </c>
      <c r="I11" s="20">
        <v>45265</v>
      </c>
      <c r="J11" s="20">
        <v>45288</v>
      </c>
      <c r="K11" s="32">
        <f t="shared" si="0"/>
        <v>6.3013698630136991E-2</v>
      </c>
      <c r="L11" s="19">
        <v>131.6</v>
      </c>
      <c r="M11" s="32" cm="1" vm="11">
        <f t="array" ref="M11">_xlfn._xlws.PY(0,1,L11,$E$7,K11,$E$13,$E$12)</f>
        <v>0.6103834448032156</v>
      </c>
      <c r="N11" s="32" cm="1" vm="12">
        <f t="array" ref="N11">_xlfn._xlws.PY(1,1,L11,$E$7,K11,$E$13,$E$12)</f>
        <v>4.3180014595052899E-2</v>
      </c>
      <c r="O11" s="34" cm="1" vm="13">
        <f t="array" ref="O11">_xlfn._xlws.PY(2,1,L11,$E$7,K11,$E$13,$E$12)</f>
        <v>-32.329647771393681</v>
      </c>
      <c r="P11" s="34" cm="1" vm="14">
        <f t="array" ref="P11">_xlfn._xlws.PY(3,1,L11,$E$7,K11,$E$13,$E$12)</f>
        <v>12.671275606299467</v>
      </c>
      <c r="Q11" s="36" cm="1" vm="15">
        <f t="array" ref="Q11">_xlfn._xlws.PY(4,1,L11,$E$7,K11,$E$13,$E$12)</f>
        <v>4.7651096602588314</v>
      </c>
    </row>
    <row r="12" spans="2:19" x14ac:dyDescent="0.3">
      <c r="B12" s="51" t="s">
        <v>16</v>
      </c>
      <c r="C12" s="52"/>
      <c r="D12" s="53"/>
      <c r="E12" s="12">
        <v>0.26889999999999997</v>
      </c>
      <c r="F12" s="2"/>
      <c r="G12" s="2"/>
      <c r="H12" s="19">
        <v>4</v>
      </c>
      <c r="I12" s="20">
        <v>45266</v>
      </c>
      <c r="J12" s="20">
        <v>45288</v>
      </c>
      <c r="K12" s="32">
        <f t="shared" si="0"/>
        <v>6.0273972602739728E-2</v>
      </c>
      <c r="L12" s="19">
        <v>131.85</v>
      </c>
      <c r="M12" s="32" cm="1" vm="16">
        <f t="array" ref="M12">_xlfn._xlws.PY(0,1,L12,$E$7,K12,$E$13,$E$12)</f>
        <v>0.62208517006790953</v>
      </c>
      <c r="N12" s="32" cm="1" vm="17">
        <f t="array" ref="N12">_xlfn._xlws.PY(1,1,L12,$E$7,K12,$E$13,$E$12)</f>
        <v>4.3669345385695141E-2</v>
      </c>
      <c r="O12" s="34" cm="1" vm="18">
        <f t="array" ref="O12">_xlfn._xlws.PY(2,1,L12,$E$7,K12,$E$13,$E$12)</f>
        <v>-32.854165499824106</v>
      </c>
      <c r="P12" s="34" cm="1" vm="19">
        <f t="array" ref="P12">_xlfn._xlws.PY(3,1,L12,$E$7,K12,$E$13,$E$12)</f>
        <v>12.304318619696984</v>
      </c>
      <c r="Q12" s="36" cm="1" vm="20">
        <f t="array" ref="Q12">_xlfn._xlws.PY(4,1,L12,$E$7,K12,$E$13,$E$12)</f>
        <v>4.6562204686287973</v>
      </c>
    </row>
    <row r="13" spans="2:19" x14ac:dyDescent="0.3">
      <c r="B13" s="51" t="s">
        <v>17</v>
      </c>
      <c r="C13" s="52"/>
      <c r="D13" s="53"/>
      <c r="E13" s="12">
        <v>7.0000000000000007E-2</v>
      </c>
      <c r="F13" s="2"/>
      <c r="G13" s="2"/>
      <c r="H13" s="19">
        <v>5</v>
      </c>
      <c r="I13" s="20">
        <v>45267</v>
      </c>
      <c r="J13" s="20">
        <v>45288</v>
      </c>
      <c r="K13" s="32">
        <f t="shared" si="0"/>
        <v>5.7534246575342465E-2</v>
      </c>
      <c r="L13" s="19">
        <v>130</v>
      </c>
      <c r="M13" s="32" cm="1" vm="21">
        <f t="array" ref="M13">_xlfn._xlws.PY(0,1,L13,$E$7,K13,$E$13,$E$12)</f>
        <v>0.53771973301178422</v>
      </c>
      <c r="N13" s="32" cm="1" vm="22">
        <f t="array" ref="N13">_xlfn._xlws.PY(1,1,L13,$E$7,K13,$E$13,$E$12)</f>
        <v>4.7365888042354434E-2</v>
      </c>
      <c r="O13" s="34" cm="1" vm="23">
        <f t="array" ref="O13">_xlfn._xlws.PY(2,1,L13,$E$7,K13,$E$13,$E$12)</f>
        <v>-33.581226118846807</v>
      </c>
      <c r="P13" s="34" cm="1" vm="24">
        <f t="array" ref="P13">_xlfn._xlws.PY(3,1,L13,$E$7,K13,$E$13,$E$12)</f>
        <v>12.384247454382667</v>
      </c>
      <c r="Q13" s="36" cm="1" vm="25">
        <f t="array" ref="Q13">_xlfn._xlws.PY(4,1,L13,$E$7,K13,$E$13,$E$12)</f>
        <v>3.8144067654616247</v>
      </c>
    </row>
    <row r="14" spans="2:19" ht="15" thickBot="1" x14ac:dyDescent="0.35">
      <c r="B14" s="57" t="s">
        <v>18</v>
      </c>
      <c r="C14" s="58"/>
      <c r="D14" s="59"/>
      <c r="E14" s="13" cm="1" vm="26">
        <f t="array" ref="E14">_xlfn._xlws.PY(5,1,$E$13,L9,$E$7,K9,$E$12)</f>
        <v>4.13</v>
      </c>
      <c r="F14" s="2"/>
      <c r="G14" s="2"/>
      <c r="H14" s="19">
        <v>6</v>
      </c>
      <c r="I14" s="20">
        <v>45268</v>
      </c>
      <c r="J14" s="20">
        <v>45288</v>
      </c>
      <c r="K14" s="32">
        <f t="shared" si="0"/>
        <v>5.4794520547945202E-2</v>
      </c>
      <c r="L14" s="19">
        <v>129.19999999999999</v>
      </c>
      <c r="M14" s="32" cm="1" vm="27">
        <f t="array" ref="M14">_xlfn._xlws.PY(0,1,L14,$E$7,K14,$E$13,$E$12)</f>
        <v>0.497742277293938</v>
      </c>
      <c r="N14" s="32" cm="1" vm="28">
        <f t="array" ref="N14">_xlfn._xlws.PY(1,1,L14,$E$7,K14,$E$13,$E$12)</f>
        <v>4.9054768396530536E-2</v>
      </c>
      <c r="O14" s="34" cm="1" vm="29">
        <f t="array" ref="O14">_xlfn._xlws.PY(2,1,L14,$E$7,K14,$E$13,$E$12)</f>
        <v>-33.889180188559138</v>
      </c>
      <c r="P14" s="34" cm="1" vm="30">
        <f t="array" ref="P14">_xlfn._xlws.PY(3,1,L14,$E$7,K14,$E$13,$E$12)</f>
        <v>12.065190691296394</v>
      </c>
      <c r="Q14" s="36" cm="1" vm="31">
        <f t="array" ref="Q14">_xlfn._xlws.PY(4,1,L14,$E$7,K14,$E$13,$E$12)</f>
        <v>3.353949882146011</v>
      </c>
    </row>
    <row r="15" spans="2:19" x14ac:dyDescent="0.3">
      <c r="B15" s="2"/>
      <c r="C15" s="2"/>
      <c r="D15" s="2"/>
      <c r="E15" s="2"/>
      <c r="F15" s="2"/>
      <c r="G15" s="2"/>
      <c r="H15" s="19">
        <v>7</v>
      </c>
      <c r="I15" s="20">
        <v>45271</v>
      </c>
      <c r="J15" s="20">
        <v>45288</v>
      </c>
      <c r="K15" s="32">
        <f t="shared" si="0"/>
        <v>4.6575342465753428E-2</v>
      </c>
      <c r="L15" s="19">
        <v>130.05000000000001</v>
      </c>
      <c r="M15" s="32" cm="1" vm="32">
        <f t="array" ref="M15">_xlfn._xlws.PY(0,1,L15,$E$7,K15,$E$13,$E$12)</f>
        <v>0.53658062227795866</v>
      </c>
      <c r="N15" s="32" cm="1" vm="33">
        <f t="array" ref="N15">_xlfn._xlws.PY(1,1,L15,$E$7,K15,$E$13,$E$12)</f>
        <v>5.2638076862097108E-2</v>
      </c>
      <c r="O15" s="34" cm="1" vm="34">
        <f t="array" ref="O15">_xlfn._xlws.PY(2,1,L15,$E$7,K15,$E$13,$E$12)</f>
        <v>-36.843835248215498</v>
      </c>
      <c r="P15" s="34" cm="1" vm="35">
        <f t="array" ref="P15">_xlfn._xlws.PY(3,1,L15,$E$7,K15,$E$13,$E$12)</f>
        <v>11.14981306336982</v>
      </c>
      <c r="Q15" s="36" cm="1" vm="36">
        <f t="array" ref="Q15">_xlfn._xlws.PY(4,1,L15,$E$7,K15,$E$13,$E$12)</f>
        <v>3.0988839723908894</v>
      </c>
    </row>
    <row r="16" spans="2:19" x14ac:dyDescent="0.3">
      <c r="B16" s="2"/>
      <c r="C16" s="2"/>
      <c r="D16" s="2"/>
      <c r="E16" s="2"/>
      <c r="F16" s="2"/>
      <c r="G16" s="2"/>
      <c r="H16" s="19">
        <v>8</v>
      </c>
      <c r="I16" s="20">
        <v>45272</v>
      </c>
      <c r="J16" s="20">
        <v>45288</v>
      </c>
      <c r="K16" s="32">
        <f t="shared" si="0"/>
        <v>4.3835616438356165E-2</v>
      </c>
      <c r="L16" s="19">
        <v>130.1</v>
      </c>
      <c r="M16" s="32" cm="1" vm="37">
        <f t="array" ref="M16">_xlfn._xlws.PY(0,1,L16,$E$7,K16,$E$13,$E$12)</f>
        <v>0.53836310555379896</v>
      </c>
      <c r="N16" s="32" cm="1" vm="38">
        <f t="array" ref="N16">_xlfn._xlws.PY(1,1,L16,$E$7,K16,$E$13,$E$12)</f>
        <v>5.4214343476361809E-2</v>
      </c>
      <c r="O16" s="34" cm="1" vm="39">
        <f t="array" ref="O16">_xlfn._xlws.PY(2,1,L16,$E$7,K16,$E$13,$E$12)</f>
        <v>-37.856555594230038</v>
      </c>
      <c r="P16" s="34" cm="1" vm="40">
        <f t="array" ref="P16">_xlfn._xlws.PY(3,1,L16,$E$7,K16,$E$13,$E$12)</f>
        <v>10.816499050115663</v>
      </c>
      <c r="Q16" s="36" cm="1" vm="41">
        <f t="array" ref="Q16">_xlfn._xlws.PY(4,1,L16,$E$7,K16,$E$13,$E$12)</f>
        <v>2.9312450488274768</v>
      </c>
    </row>
    <row r="17" spans="2:17" x14ac:dyDescent="0.3">
      <c r="B17" s="2"/>
      <c r="C17" s="2"/>
      <c r="D17" s="2"/>
      <c r="E17" s="2"/>
      <c r="F17" s="2"/>
      <c r="G17" s="2"/>
      <c r="H17" s="19">
        <v>9</v>
      </c>
      <c r="I17" s="20">
        <v>45273</v>
      </c>
      <c r="J17" s="20">
        <v>45288</v>
      </c>
      <c r="K17" s="32">
        <f t="shared" si="0"/>
        <v>4.1095890410958902E-2</v>
      </c>
      <c r="L17" s="19">
        <v>131.4</v>
      </c>
      <c r="M17" s="32" cm="1" vm="42">
        <f t="array" ref="M17">_xlfn._xlws.PY(0,1,L17,$E$7,K17,$E$13,$E$12)</f>
        <v>0.60892950800321577</v>
      </c>
      <c r="N17" s="32" cm="1" vm="43">
        <f t="array" ref="N17">_xlfn._xlws.PY(1,1,L17,$E$7,K17,$E$13,$E$12)</f>
        <v>5.360677706805346E-2</v>
      </c>
      <c r="O17" s="34" cm="1" vm="44">
        <f t="array" ref="O17">_xlfn._xlws.PY(2,1,L17,$E$7,K17,$E$13,$E$12)</f>
        <v>-38.796851449297506</v>
      </c>
      <c r="P17" s="34" cm="1" vm="45">
        <f t="array" ref="P17">_xlfn._xlws.PY(3,1,L17,$E$7,K17,$E$13,$E$12)</f>
        <v>10.228209731620113</v>
      </c>
      <c r="Q17" s="36" cm="1" vm="46">
        <f t="array" ref="Q17">_xlfn._xlws.PY(4,1,L17,$E$7,K17,$E$13,$E$12)</f>
        <v>3.1315479576322667</v>
      </c>
    </row>
    <row r="18" spans="2:17" x14ac:dyDescent="0.3">
      <c r="B18" s="2"/>
      <c r="C18" s="2"/>
      <c r="D18" s="2"/>
      <c r="E18" s="2"/>
      <c r="F18" s="2"/>
      <c r="G18" s="2"/>
      <c r="H18" s="19">
        <v>10</v>
      </c>
      <c r="I18" s="20">
        <v>45274</v>
      </c>
      <c r="J18" s="20">
        <v>45288</v>
      </c>
      <c r="K18" s="32">
        <f t="shared" si="0"/>
        <v>3.8356164383561646E-2</v>
      </c>
      <c r="L18" s="19">
        <v>132</v>
      </c>
      <c r="M18" s="32" cm="1" vm="47">
        <f t="array" ref="M18">_xlfn._xlws.PY(0,1,L18,$E$7,K18,$E$13,$E$12)</f>
        <v>0.64327314834178351</v>
      </c>
      <c r="N18" s="32" cm="1" vm="48">
        <f t="array" ref="N18">_xlfn._xlws.PY(1,1,L18,$E$7,K18,$E$13,$E$12)</f>
        <v>5.3646953708868433E-2</v>
      </c>
      <c r="O18" s="34" cm="1" vm="49">
        <f t="array" ref="O18">_xlfn._xlws.PY(2,1,L18,$E$7,K18,$E$13,$E$12)</f>
        <v>-39.452580352112193</v>
      </c>
      <c r="P18" s="34" cm="1" vm="50">
        <f t="array" ref="P18">_xlfn._xlws.PY(3,1,L18,$E$7,K18,$E$13,$E$12)</f>
        <v>9.6409293845212165</v>
      </c>
      <c r="Q18" s="36" cm="1" vm="51">
        <f t="array" ref="Q18">_xlfn._xlws.PY(4,1,L18,$E$7,K18,$E$13,$E$12)</f>
        <v>3.1003814513201724</v>
      </c>
    </row>
    <row r="19" spans="2:17" x14ac:dyDescent="0.3">
      <c r="B19" s="2"/>
      <c r="C19" s="2"/>
      <c r="D19" s="2"/>
      <c r="E19" s="2"/>
      <c r="F19" s="2"/>
      <c r="G19" s="2"/>
      <c r="H19" s="19">
        <v>11</v>
      </c>
      <c r="I19" s="20">
        <v>45275</v>
      </c>
      <c r="J19" s="20">
        <v>45288</v>
      </c>
      <c r="K19" s="32">
        <f t="shared" si="0"/>
        <v>3.5616438356164383E-2</v>
      </c>
      <c r="L19" s="19">
        <v>136.44999999999999</v>
      </c>
      <c r="M19" s="32" cm="1" vm="52">
        <f t="array" ref="M19">_xlfn._xlws.PY(0,1,L19,$E$7,K19,$E$13,$E$12)</f>
        <v>0.84819193076608324</v>
      </c>
      <c r="N19" s="32" cm="1" vm="53">
        <f t="array" ref="N19">_xlfn._xlws.PY(1,1,L19,$E$7,K19,$E$13,$E$12)</f>
        <v>3.3941092564352619E-2</v>
      </c>
      <c r="O19" s="34" cm="1" vm="54">
        <f t="array" ref="O19">_xlfn._xlws.PY(2,1,L19,$E$7,K19,$E$13,$E$12)</f>
        <v>-30.434988121325159</v>
      </c>
      <c r="P19" s="34" cm="1" vm="55">
        <f t="array" ref="P19">_xlfn._xlws.PY(3,1,L19,$E$7,K19,$E$13,$E$12)</f>
        <v>6.0522127794331713</v>
      </c>
      <c r="Q19" s="36" cm="1" vm="56">
        <f t="array" ref="Q19">_xlfn._xlws.PY(4,1,L19,$E$7,K19,$E$13,$E$12)</f>
        <v>3.8609410014140408</v>
      </c>
    </row>
    <row r="20" spans="2:17" x14ac:dyDescent="0.3">
      <c r="B20" s="2"/>
      <c r="C20" s="2"/>
      <c r="D20" s="2"/>
      <c r="E20" s="2"/>
      <c r="F20" s="2"/>
      <c r="G20" s="2"/>
      <c r="H20" s="19">
        <v>12</v>
      </c>
      <c r="I20" s="20">
        <v>45278</v>
      </c>
      <c r="J20" s="20">
        <v>45288</v>
      </c>
      <c r="K20" s="32">
        <f t="shared" si="0"/>
        <v>2.7397260273972601E-2</v>
      </c>
      <c r="L20" s="19">
        <v>136.6</v>
      </c>
      <c r="M20" s="32" cm="1" vm="57">
        <f t="array" ref="M20">_xlfn._xlws.PY(0,1,L20,$E$7,K20,$E$13,$E$12)</f>
        <v>0.88060004512341905</v>
      </c>
      <c r="N20" s="32" cm="1" vm="58">
        <f t="array" ref="N20">_xlfn._xlws.PY(1,1,L20,$E$7,K20,$E$13,$E$12)</f>
        <v>3.2785928231778137E-2</v>
      </c>
      <c r="O20" s="34" cm="1" vm="59">
        <f t="array" ref="O20">_xlfn._xlws.PY(2,1,L20,$E$7,K20,$E$13,$E$12)</f>
        <v>-30.03313002731284</v>
      </c>
      <c r="P20" s="34" cm="1" vm="60">
        <f t="array" ref="P20">_xlfn._xlws.PY(3,1,L20,$E$7,K20,$E$13,$E$12)</f>
        <v>4.5069923439609427</v>
      </c>
      <c r="Q20" s="36" cm="1" vm="61">
        <f t="array" ref="Q20">_xlfn._xlws.PY(4,1,L20,$E$7,K20,$E$13,$E$12)</f>
        <v>3.0980051364971852</v>
      </c>
    </row>
    <row r="21" spans="2:17" x14ac:dyDescent="0.3">
      <c r="B21" s="2"/>
      <c r="C21" s="2"/>
      <c r="D21" s="2"/>
      <c r="E21" s="2"/>
      <c r="F21" s="2"/>
      <c r="G21" s="2"/>
      <c r="H21" s="19">
        <v>13</v>
      </c>
      <c r="I21" s="20">
        <v>45279</v>
      </c>
      <c r="J21" s="20">
        <v>45288</v>
      </c>
      <c r="K21" s="32">
        <f t="shared" si="0"/>
        <v>2.4657534246575342E-2</v>
      </c>
      <c r="L21" s="19">
        <v>135.4</v>
      </c>
      <c r="M21" s="32" cm="1" vm="62">
        <f t="array" ref="M21">_xlfn._xlws.PY(0,1,L21,$E$7,K21,$E$13,$E$12)</f>
        <v>0.84752042861911348</v>
      </c>
      <c r="N21" s="32" cm="1" vm="63">
        <f t="array" ref="N21">_xlfn._xlws.PY(1,1,L21,$E$7,K21,$E$13,$E$12)</f>
        <v>4.1229108388292739E-2</v>
      </c>
      <c r="O21" s="34" cm="1" vm="64">
        <f t="array" ref="O21">_xlfn._xlws.PY(2,1,L21,$E$7,K21,$E$13,$E$12)</f>
        <v>-34.933818465318978</v>
      </c>
      <c r="P21" s="34" cm="1" vm="65">
        <f t="array" ref="P21">_xlfn._xlws.PY(3,1,L21,$E$7,K21,$E$13,$E$12)</f>
        <v>5.011661371437433</v>
      </c>
      <c r="Q21" s="36" cm="1" vm="66">
        <f t="array" ref="Q21">_xlfn._xlws.PY(4,1,L21,$E$7,K21,$E$13,$E$12)</f>
        <v>2.6794850540355108</v>
      </c>
    </row>
    <row r="22" spans="2:17" x14ac:dyDescent="0.3">
      <c r="B22" s="2"/>
      <c r="C22" s="2"/>
      <c r="D22" s="2"/>
      <c r="E22" s="2"/>
      <c r="F22" s="2"/>
      <c r="G22" s="2"/>
      <c r="H22" s="19">
        <v>14</v>
      </c>
      <c r="I22" s="20">
        <v>45280</v>
      </c>
      <c r="J22" s="20">
        <v>45288</v>
      </c>
      <c r="K22" s="32">
        <f t="shared" si="0"/>
        <v>2.1917808219178082E-2</v>
      </c>
      <c r="L22" s="19">
        <v>129.75</v>
      </c>
      <c r="M22" s="32" cm="1" vm="67">
        <f t="array" ref="M22">_xlfn._xlws.PY(0,1,L22,$E$7,K22,$E$13,$E$12)</f>
        <v>0.50402571674748675</v>
      </c>
      <c r="N22" s="32" cm="1" vm="68">
        <f t="array" ref="N22">_xlfn._xlws.PY(1,1,L22,$E$7,K22,$E$13,$E$12)</f>
        <v>7.723092268685651E-2</v>
      </c>
      <c r="O22" s="34" cm="1" vm="69">
        <f t="array" ref="O22">_xlfn._xlws.PY(2,1,L22,$E$7,K22,$E$13,$E$12)</f>
        <v>-51.441778209807545</v>
      </c>
      <c r="P22" s="34" cm="1" vm="70">
        <f t="array" ref="P22">_xlfn._xlws.PY(3,1,L22,$E$7,K22,$E$13,$E$12)</f>
        <v>7.6629127593948434</v>
      </c>
      <c r="Q22" s="36" cm="1" vm="71">
        <f t="array" ref="Q22">_xlfn._xlws.PY(4,1,L22,$E$7,K22,$E$13,$E$12)</f>
        <v>1.3887486965059923</v>
      </c>
    </row>
    <row r="23" spans="2:17" x14ac:dyDescent="0.3">
      <c r="B23" s="2"/>
      <c r="C23" s="2"/>
      <c r="D23" s="2"/>
      <c r="E23" s="2"/>
      <c r="F23" s="2"/>
      <c r="G23" s="2"/>
      <c r="H23" s="19">
        <v>15</v>
      </c>
      <c r="I23" s="20">
        <v>45281</v>
      </c>
      <c r="J23" s="20">
        <v>45288</v>
      </c>
      <c r="K23" s="32">
        <f t="shared" si="0"/>
        <v>1.9178082191780823E-2</v>
      </c>
      <c r="L23" s="19">
        <v>131</v>
      </c>
      <c r="M23" s="32" cm="1" vm="72">
        <f t="array" ref="M23">_xlfn._xlws.PY(0,1,L23,$E$7,K23,$E$13,$E$12)</f>
        <v>0.60274063465851946</v>
      </c>
      <c r="N23" s="32" cm="1" vm="73">
        <f t="array" ref="N23">_xlfn._xlws.PY(1,1,L23,$E$7,K23,$E$13,$E$12)</f>
        <v>7.905251134018218E-2</v>
      </c>
      <c r="O23" s="34" cm="1" vm="74">
        <f t="array" ref="O23">_xlfn._xlws.PY(2,1,L23,$E$7,K23,$E$13,$E$12)</f>
        <v>-54.393179268347915</v>
      </c>
      <c r="P23" s="34" cm="1" vm="75">
        <f t="array" ref="P23">_xlfn._xlws.PY(3,1,L23,$E$7,K23,$E$13,$E$12)</f>
        <v>6.9960715148027912</v>
      </c>
      <c r="Q23" s="36" cm="1" vm="76">
        <f t="array" ref="Q23">_xlfn._xlws.PY(4,1,L23,$E$7,K23,$E$13,$E$12)</f>
        <v>1.4647863930772813</v>
      </c>
    </row>
    <row r="24" spans="2:17" x14ac:dyDescent="0.3">
      <c r="B24" s="2"/>
      <c r="C24" s="2"/>
      <c r="D24" s="2"/>
      <c r="E24" s="2"/>
      <c r="F24" s="2"/>
      <c r="G24" s="2"/>
      <c r="H24" s="19">
        <v>16</v>
      </c>
      <c r="I24" s="20">
        <v>45282</v>
      </c>
      <c r="J24" s="20">
        <v>45288</v>
      </c>
      <c r="K24" s="32">
        <f t="shared" si="0"/>
        <v>1.643835616438356E-2</v>
      </c>
      <c r="L24" s="19">
        <v>133.55000000000001</v>
      </c>
      <c r="M24" s="32" cm="1" vm="77">
        <f t="array" ref="M24">_xlfn._xlws.PY(0,1,L24,$E$7,K24,$E$13,$E$12)</f>
        <v>0.79731387707385082</v>
      </c>
      <c r="N24" s="32" cm="1" vm="78">
        <f t="array" ref="N24">_xlfn._xlws.PY(1,1,L24,$E$7,K24,$E$13,$E$12)</f>
        <v>6.129261524952602E-2</v>
      </c>
      <c r="O24" s="34" cm="1" vm="79">
        <f t="array" ref="O24">_xlfn._xlws.PY(2,1,L24,$E$7,K24,$E$13,$E$12)</f>
        <v>-46.68029804028734</v>
      </c>
      <c r="P24" s="34" cm="1" vm="80">
        <f t="array" ref="P24">_xlfn._xlws.PY(3,1,L24,$E$7,K24,$E$13,$E$12)</f>
        <v>4.8322024945571869</v>
      </c>
      <c r="Q24" s="36" cm="1" vm="81">
        <f t="array" ref="Q24">_xlfn._xlws.PY(4,1,L24,$E$7,K24,$E$13,$E$12)</f>
        <v>1.6808248521800788</v>
      </c>
    </row>
    <row r="25" spans="2:17" x14ac:dyDescent="0.3">
      <c r="B25" s="2"/>
      <c r="C25" s="2"/>
      <c r="D25" s="2"/>
      <c r="E25" s="2"/>
      <c r="F25" s="2"/>
      <c r="G25" s="2"/>
      <c r="H25" s="19">
        <v>17</v>
      </c>
      <c r="I25" s="20">
        <v>45286</v>
      </c>
      <c r="J25" s="20">
        <v>45288</v>
      </c>
      <c r="K25" s="32">
        <f t="shared" si="0"/>
        <v>5.4794520547945206E-3</v>
      </c>
      <c r="L25" s="19">
        <v>135.19999999999999</v>
      </c>
      <c r="M25" s="32" cm="1" vm="82">
        <f t="array" ref="M25">_xlfn._xlws.PY(0,1,L25,$E$7,K25,$E$13,$E$12)</f>
        <v>0.97722988264472144</v>
      </c>
      <c r="N25" s="32" cm="1" vm="83">
        <f t="array" ref="N25">_xlfn._xlws.PY(1,1,L25,$E$7,K25,$E$13,$E$12)</f>
        <v>2.0077351046964873E-2</v>
      </c>
      <c r="O25" s="34" cm="1" vm="84">
        <f t="array" ref="O25">_xlfn._xlws.PY(2,1,L25,$E$7,K25,$E$13,$E$12)</f>
        <v>-22.14758343485676</v>
      </c>
      <c r="P25" s="34" cm="1" vm="85">
        <f t="array" ref="P25">_xlfn._xlws.PY(3,1,L25,$E$7,K25,$E$13,$E$12)</f>
        <v>0.54073904441007548</v>
      </c>
      <c r="Q25" s="36" cm="1" vm="86">
        <f t="array" ref="Q25">_xlfn._xlws.PY(4,1,L25,$E$7,K25,$E$13,$E$12)</f>
        <v>0.69506081485606164</v>
      </c>
    </row>
    <row r="26" spans="2:17" x14ac:dyDescent="0.3">
      <c r="B26" s="2"/>
      <c r="C26" s="2"/>
      <c r="D26" s="2"/>
      <c r="E26" s="2"/>
      <c r="F26" s="2"/>
      <c r="G26" s="2"/>
      <c r="H26" s="19">
        <v>18</v>
      </c>
      <c r="I26" s="20">
        <v>45287</v>
      </c>
      <c r="J26" s="20">
        <v>45288</v>
      </c>
      <c r="K26" s="32">
        <f t="shared" si="0"/>
        <v>2.7397260273972603E-3</v>
      </c>
      <c r="L26" s="19">
        <v>137.19999999999999</v>
      </c>
      <c r="M26" s="32" cm="1" vm="87">
        <f t="array" ref="M26">_xlfn._xlws.PY(0,1,L26,$E$7,K26,$E$13,$E$12)</f>
        <v>0.99994107542565425</v>
      </c>
      <c r="N26" s="32" cm="1" vm="88">
        <f t="array" ref="N26">_xlfn._xlws.PY(1,1,L26,$E$7,K26,$E$13,$E$12)</f>
        <v>1.2459884100452493E-4</v>
      </c>
      <c r="O26" s="34" cm="1" vm="89">
        <f t="array" ref="O26">_xlfn._xlws.PY(2,1,L26,$E$7,K26,$E$13,$E$12)</f>
        <v>-9.1824828911097978</v>
      </c>
      <c r="P26" s="34" cm="1" vm="90">
        <f t="array" ref="P26">_xlfn._xlws.PY(3,1,L26,$E$7,K26,$E$13,$E$12)</f>
        <v>1.7279062006760717E-3</v>
      </c>
      <c r="Q26" s="36" cm="1" vm="91">
        <f t="array" ref="Q26">_xlfn._xlws.PY(4,1,L26,$E$7,K26,$E$13,$E$12)</f>
        <v>0.35607386263175222</v>
      </c>
    </row>
    <row r="27" spans="2:17" ht="15" thickBot="1" x14ac:dyDescent="0.35">
      <c r="H27" s="31">
        <v>19</v>
      </c>
      <c r="I27" s="21">
        <v>45288</v>
      </c>
      <c r="J27" s="21">
        <v>45288</v>
      </c>
      <c r="K27" s="33">
        <f t="shared" si="0"/>
        <v>0</v>
      </c>
      <c r="L27" s="31">
        <v>138.15</v>
      </c>
      <c r="M27" s="33" cm="1" vm="92">
        <f t="array" ref="M27">_xlfn._xlws.PY(0,1,L27,$E$7,K27,$E$13,$E$12)</f>
        <v>1</v>
      </c>
      <c r="N27" s="33" t="e" cm="1" vm="93">
        <f t="array" ref="N27">_xlfn._xlws.PY(1,1,L27,$E$7,K27,$E$13,$E$12)</f>
        <v>#NUM!</v>
      </c>
      <c r="O27" s="35" t="e" cm="1" vm="93">
        <f t="array" ref="O27">_xlfn._xlws.PY(2,1,L27,$E$7,K27,$E$13,$E$12)</f>
        <v>#NUM!</v>
      </c>
      <c r="P27" s="35" cm="1" vm="94">
        <f t="array" ref="P27">_xlfn._xlws.PY(3,1,L27,$E$7,K27,$E$13,$E$12)</f>
        <v>0</v>
      </c>
      <c r="Q27" s="37" cm="1" vm="94">
        <f t="array" ref="Q27">_xlfn._xlws.PY(4,1,L27,$E$7,K27,$E$13,$E$12)</f>
        <v>0</v>
      </c>
    </row>
    <row r="29" spans="2:17" x14ac:dyDescent="0.3">
      <c r="B29" t="e" cm="1" vm="95">
        <f t="array" ref="B29">_xlfn._xlws.PY(6,1,H6:Q27)</f>
        <v>#VALUE!</v>
      </c>
    </row>
    <row r="30" spans="2:17" x14ac:dyDescent="0.3">
      <c r="B30" t="e" cm="1" vm="96">
        <f t="array" ref="B30">_xlfn._xlws.PY(7,0)</f>
        <v>#VALUE!</v>
      </c>
      <c r="C30" t="e" cm="1" vm="97">
        <f t="array" ref="C30">_FV(B30,"image")</f>
        <v>#VALUE!</v>
      </c>
    </row>
  </sheetData>
  <mergeCells count="19">
    <mergeCell ref="Q6:Q8"/>
    <mergeCell ref="B12:D12"/>
    <mergeCell ref="B13:D13"/>
    <mergeCell ref="B14:D14"/>
    <mergeCell ref="H6:H8"/>
    <mergeCell ref="I6:I8"/>
    <mergeCell ref="J6:J8"/>
    <mergeCell ref="B11:D11"/>
    <mergeCell ref="G2:P3"/>
    <mergeCell ref="B7:D7"/>
    <mergeCell ref="B8:D8"/>
    <mergeCell ref="B9:D9"/>
    <mergeCell ref="B10:D10"/>
    <mergeCell ref="L6:L8"/>
    <mergeCell ref="M6:M8"/>
    <mergeCell ref="O6:O8"/>
    <mergeCell ref="K6:K8"/>
    <mergeCell ref="N6:N8"/>
    <mergeCell ref="P6:P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9E535-A2B2-4DBA-BF76-B854751D10E8}">
  <dimension ref="B1:U36"/>
  <sheetViews>
    <sheetView showGridLines="0" tabSelected="1" zoomScale="73" zoomScaleNormal="73" workbookViewId="0">
      <selection activeCell="Z16" sqref="Z16"/>
    </sheetView>
  </sheetViews>
  <sheetFormatPr defaultRowHeight="14.4" x14ac:dyDescent="0.3"/>
  <cols>
    <col min="2" max="3" width="9.5546875" bestFit="1" customWidth="1"/>
    <col min="4" max="4" width="9.21875" customWidth="1"/>
    <col min="5" max="5" width="9.88671875" customWidth="1"/>
    <col min="8" max="8" width="9.6640625" customWidth="1"/>
    <col min="9" max="9" width="11.21875" customWidth="1"/>
    <col min="10" max="10" width="10.88671875" customWidth="1"/>
    <col min="11" max="11" width="10.44140625" customWidth="1"/>
    <col min="12" max="12" width="11.88671875" customWidth="1"/>
    <col min="13" max="13" width="10.21875" customWidth="1"/>
    <col min="16" max="16" width="11" customWidth="1"/>
  </cols>
  <sheetData>
    <row r="1" spans="2:21" ht="15" thickBot="1" x14ac:dyDescent="0.35"/>
    <row r="2" spans="2:21" x14ac:dyDescent="0.3">
      <c r="G2" s="42" t="s">
        <v>11</v>
      </c>
      <c r="H2" s="43"/>
      <c r="I2" s="43"/>
      <c r="J2" s="43"/>
      <c r="K2" s="43"/>
      <c r="L2" s="43"/>
      <c r="M2" s="43"/>
      <c r="N2" s="43"/>
      <c r="O2" s="43"/>
      <c r="P2" s="43"/>
      <c r="Q2" s="43"/>
      <c r="R2" s="44"/>
    </row>
    <row r="3" spans="2:21" ht="15" thickBot="1" x14ac:dyDescent="0.35">
      <c r="G3" s="45"/>
      <c r="H3" s="46"/>
      <c r="I3" s="46"/>
      <c r="J3" s="46"/>
      <c r="K3" s="46"/>
      <c r="L3" s="46"/>
      <c r="M3" s="46"/>
      <c r="N3" s="46"/>
      <c r="O3" s="46"/>
      <c r="P3" s="46"/>
      <c r="Q3" s="46"/>
      <c r="R3" s="47"/>
    </row>
    <row r="4" spans="2:21" x14ac:dyDescent="0.3"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2:21" ht="15" thickBot="1" x14ac:dyDescent="0.35"/>
    <row r="6" spans="2:21" ht="15" thickBot="1" x14ac:dyDescent="0.35">
      <c r="H6" s="54" t="s">
        <v>1</v>
      </c>
      <c r="I6" s="54" t="s">
        <v>0</v>
      </c>
      <c r="J6" s="54" t="s">
        <v>2</v>
      </c>
      <c r="K6" s="54" t="s">
        <v>20</v>
      </c>
      <c r="L6" s="54" t="s">
        <v>3</v>
      </c>
      <c r="M6" s="54" t="s">
        <v>4</v>
      </c>
      <c r="N6" s="78" t="s">
        <v>9</v>
      </c>
      <c r="O6" s="79"/>
      <c r="P6" s="54" t="s">
        <v>5</v>
      </c>
      <c r="Q6" s="78" t="s">
        <v>6</v>
      </c>
      <c r="R6" s="79"/>
      <c r="S6" s="78" t="s">
        <v>7</v>
      </c>
      <c r="T6" s="79"/>
      <c r="U6" s="54" t="s">
        <v>8</v>
      </c>
    </row>
    <row r="7" spans="2:21" x14ac:dyDescent="0.3">
      <c r="B7" s="48" t="s">
        <v>10</v>
      </c>
      <c r="C7" s="49"/>
      <c r="D7" s="50"/>
      <c r="E7" s="9">
        <v>130</v>
      </c>
      <c r="H7" s="55"/>
      <c r="I7" s="55"/>
      <c r="J7" s="55"/>
      <c r="K7" s="55"/>
      <c r="L7" s="55"/>
      <c r="M7" s="55"/>
      <c r="N7" s="80"/>
      <c r="O7" s="81"/>
      <c r="P7" s="55"/>
      <c r="Q7" s="80"/>
      <c r="R7" s="81"/>
      <c r="S7" s="80"/>
      <c r="T7" s="81"/>
      <c r="U7" s="55"/>
    </row>
    <row r="8" spans="2:21" ht="15" thickBot="1" x14ac:dyDescent="0.35">
      <c r="B8" s="51" t="s">
        <v>12</v>
      </c>
      <c r="C8" s="52"/>
      <c r="D8" s="53"/>
      <c r="E8" s="10">
        <v>45261</v>
      </c>
      <c r="H8" s="56"/>
      <c r="I8" s="56"/>
      <c r="J8" s="56"/>
      <c r="K8" s="56"/>
      <c r="L8" s="56"/>
      <c r="M8" s="56"/>
      <c r="N8" s="82"/>
      <c r="O8" s="83"/>
      <c r="P8" s="56"/>
      <c r="Q8" s="82"/>
      <c r="R8" s="83"/>
      <c r="S8" s="82"/>
      <c r="T8" s="83"/>
      <c r="U8" s="56"/>
    </row>
    <row r="9" spans="2:21" x14ac:dyDescent="0.3">
      <c r="B9" s="51" t="s">
        <v>13</v>
      </c>
      <c r="C9" s="52"/>
      <c r="D9" s="53"/>
      <c r="E9" s="10">
        <v>45288</v>
      </c>
      <c r="H9" s="3">
        <v>1</v>
      </c>
      <c r="I9" s="6">
        <v>45261</v>
      </c>
      <c r="J9" s="6">
        <v>45288</v>
      </c>
      <c r="K9" s="15">
        <f>(DATEDIF(I9,J9,"D"))/365</f>
        <v>7.3972602739726029E-2</v>
      </c>
      <c r="L9" s="3">
        <v>130</v>
      </c>
      <c r="M9" s="15" cm="1" vm="1">
        <f t="array" ref="M9">_xlfn._xlws.PY(0,1,L9,$E$7,K9,$E$13,$E$12)</f>
        <v>0.54275192437947983</v>
      </c>
      <c r="N9" s="84">
        <f>M9*$E$10</f>
        <v>54275.192437947982</v>
      </c>
      <c r="O9" s="85"/>
      <c r="P9" s="25">
        <f>-N9</f>
        <v>-54275.192437947982</v>
      </c>
      <c r="Q9" s="74">
        <f>-P9*L9</f>
        <v>7055775.0169332381</v>
      </c>
      <c r="R9" s="75"/>
      <c r="S9" s="74">
        <f>Q9</f>
        <v>7055775.0169332381</v>
      </c>
      <c r="T9" s="86"/>
      <c r="U9" s="3">
        <f t="shared" ref="U9:U26" si="0">S9*((1+$E$13)^(1/365)-1)</f>
        <v>1308.0231500093598</v>
      </c>
    </row>
    <row r="10" spans="2:21" x14ac:dyDescent="0.3">
      <c r="B10" s="51" t="s">
        <v>14</v>
      </c>
      <c r="C10" s="52"/>
      <c r="D10" s="53"/>
      <c r="E10" s="11">
        <v>100000</v>
      </c>
      <c r="H10" s="4">
        <v>2</v>
      </c>
      <c r="I10" s="7">
        <v>45264</v>
      </c>
      <c r="J10" s="7">
        <v>45288</v>
      </c>
      <c r="K10" s="38">
        <f t="shared" ref="K10:K27" si="1">(DATEDIF(I10,J10,"D"))/365</f>
        <v>6.575342465753424E-2</v>
      </c>
      <c r="L10" s="4">
        <v>131</v>
      </c>
      <c r="M10" s="38" cm="1" vm="6">
        <f t="array" ref="M10">_xlfn._xlws.PY(0,1,L10,$E$7,K10,$E$13,$E$12)</f>
        <v>0.58408737928125654</v>
      </c>
      <c r="N10" s="76">
        <f t="shared" ref="N10:N26" si="2">M10*$E$10</f>
        <v>58408.737928125651</v>
      </c>
      <c r="O10" s="77"/>
      <c r="P10" s="24">
        <f>N9-N10</f>
        <v>-4133.5454901776684</v>
      </c>
      <c r="Q10" s="74">
        <f t="shared" ref="Q10:Q27" si="3">-P10*L10</f>
        <v>541494.45921327453</v>
      </c>
      <c r="R10" s="75"/>
      <c r="S10" s="73">
        <f t="shared" ref="S10:S27" si="4">S9+U9+Q10</f>
        <v>7598577.4992965218</v>
      </c>
      <c r="T10" s="62"/>
      <c r="U10" s="3">
        <f t="shared" si="0"/>
        <v>1408.6496880026757</v>
      </c>
    </row>
    <row r="11" spans="2:21" x14ac:dyDescent="0.3">
      <c r="B11" s="51" t="s">
        <v>15</v>
      </c>
      <c r="C11" s="52"/>
      <c r="D11" s="53"/>
      <c r="E11" s="12">
        <v>130</v>
      </c>
      <c r="H11" s="4">
        <v>3</v>
      </c>
      <c r="I11" s="7">
        <v>45265</v>
      </c>
      <c r="J11" s="7">
        <v>45288</v>
      </c>
      <c r="K11" s="38">
        <f t="shared" si="1"/>
        <v>6.3013698630136991E-2</v>
      </c>
      <c r="L11" s="4">
        <v>131.6</v>
      </c>
      <c r="M11" s="38" cm="1" vm="11">
        <f t="array" ref="M11">_xlfn._xlws.PY(0,1,L11,$E$7,K11,$E$13,$E$12)</f>
        <v>0.6103834448032156</v>
      </c>
      <c r="N11" s="76">
        <f t="shared" si="2"/>
        <v>61038.344480321561</v>
      </c>
      <c r="O11" s="77"/>
      <c r="P11" s="24">
        <f t="shared" ref="P11:P27" si="5">N10-N11</f>
        <v>-2629.6065521959099</v>
      </c>
      <c r="Q11" s="74">
        <f t="shared" si="3"/>
        <v>346056.22226898174</v>
      </c>
      <c r="R11" s="75"/>
      <c r="S11" s="73">
        <f t="shared" si="4"/>
        <v>7946042.3712535063</v>
      </c>
      <c r="T11" s="62"/>
      <c r="U11" s="3">
        <f t="shared" si="0"/>
        <v>1473.0638870444582</v>
      </c>
    </row>
    <row r="12" spans="2:21" ht="14.4" customHeight="1" x14ac:dyDescent="0.3">
      <c r="B12" s="51" t="s">
        <v>16</v>
      </c>
      <c r="C12" s="52"/>
      <c r="D12" s="53"/>
      <c r="E12" s="12">
        <v>0.26889999999999997</v>
      </c>
      <c r="H12" s="4">
        <v>4</v>
      </c>
      <c r="I12" s="7">
        <v>45266</v>
      </c>
      <c r="J12" s="7">
        <v>45288</v>
      </c>
      <c r="K12" s="38">
        <f t="shared" si="1"/>
        <v>6.0273972602739728E-2</v>
      </c>
      <c r="L12" s="4">
        <v>131.85</v>
      </c>
      <c r="M12" s="38" cm="1" vm="16">
        <f t="array" ref="M12">_xlfn._xlws.PY(0,1,L12,$E$7,K12,$E$13,$E$12)</f>
        <v>0.62208517006790953</v>
      </c>
      <c r="N12" s="76">
        <f t="shared" si="2"/>
        <v>62208.517006790957</v>
      </c>
      <c r="O12" s="77"/>
      <c r="P12" s="24">
        <f t="shared" si="5"/>
        <v>-1170.172526469396</v>
      </c>
      <c r="Q12" s="74">
        <f t="shared" si="3"/>
        <v>154287.24761498984</v>
      </c>
      <c r="R12" s="75"/>
      <c r="S12" s="73">
        <f t="shared" si="4"/>
        <v>8101802.6827555411</v>
      </c>
      <c r="T12" s="62"/>
      <c r="U12" s="3">
        <f t="shared" si="0"/>
        <v>1501.9392540747813</v>
      </c>
    </row>
    <row r="13" spans="2:21" x14ac:dyDescent="0.3">
      <c r="B13" s="51" t="s">
        <v>17</v>
      </c>
      <c r="C13" s="52"/>
      <c r="D13" s="53"/>
      <c r="E13" s="12">
        <v>7.0000000000000007E-2</v>
      </c>
      <c r="H13" s="4">
        <v>5</v>
      </c>
      <c r="I13" s="7">
        <v>45267</v>
      </c>
      <c r="J13" s="7">
        <v>45288</v>
      </c>
      <c r="K13" s="38">
        <f t="shared" si="1"/>
        <v>5.7534246575342465E-2</v>
      </c>
      <c r="L13" s="4">
        <v>130</v>
      </c>
      <c r="M13" s="38" cm="1" vm="21">
        <f t="array" ref="M13">_xlfn._xlws.PY(0,1,L13,$E$7,K13,$E$13,$E$12)</f>
        <v>0.53771973301178422</v>
      </c>
      <c r="N13" s="76">
        <f t="shared" si="2"/>
        <v>53771.973301178419</v>
      </c>
      <c r="O13" s="77"/>
      <c r="P13" s="24">
        <f t="shared" si="5"/>
        <v>8436.5437056125375</v>
      </c>
      <c r="Q13" s="74">
        <f t="shared" si="3"/>
        <v>-1096750.6817296299</v>
      </c>
      <c r="R13" s="75"/>
      <c r="S13" s="73">
        <f t="shared" si="4"/>
        <v>7006553.9402799858</v>
      </c>
      <c r="T13" s="62"/>
      <c r="U13" s="3">
        <f t="shared" si="0"/>
        <v>1298.8983823436777</v>
      </c>
    </row>
    <row r="14" spans="2:21" ht="15" thickBot="1" x14ac:dyDescent="0.35">
      <c r="B14" s="57" t="s">
        <v>18</v>
      </c>
      <c r="C14" s="58"/>
      <c r="D14" s="59"/>
      <c r="E14" s="13" cm="1" vm="26">
        <f t="array" ref="E14">_xlfn._xlws.PY(8,1,$E$13,$E$11,$E$7,K9,$E$12)</f>
        <v>4.13</v>
      </c>
      <c r="H14" s="4">
        <v>6</v>
      </c>
      <c r="I14" s="7">
        <v>45268</v>
      </c>
      <c r="J14" s="7">
        <v>45288</v>
      </c>
      <c r="K14" s="38">
        <f t="shared" si="1"/>
        <v>5.4794520547945202E-2</v>
      </c>
      <c r="L14" s="4">
        <v>129.19999999999999</v>
      </c>
      <c r="M14" s="38" cm="1" vm="27">
        <f t="array" ref="M14">_xlfn._xlws.PY(0,1,L14,$E$7,K14,$E$13,$E$12)</f>
        <v>0.497742277293938</v>
      </c>
      <c r="N14" s="76">
        <f t="shared" si="2"/>
        <v>49774.227729393802</v>
      </c>
      <c r="O14" s="77"/>
      <c r="P14" s="24">
        <f t="shared" si="5"/>
        <v>3997.7455717846169</v>
      </c>
      <c r="Q14" s="74">
        <f t="shared" si="3"/>
        <v>-516508.72787457245</v>
      </c>
      <c r="R14" s="75"/>
      <c r="S14" s="73">
        <f t="shared" si="4"/>
        <v>6491344.1107877567</v>
      </c>
      <c r="T14" s="62"/>
      <c r="U14" s="3">
        <f t="shared" si="0"/>
        <v>1203.3870625423951</v>
      </c>
    </row>
    <row r="15" spans="2:21" x14ac:dyDescent="0.3">
      <c r="H15" s="4">
        <v>7</v>
      </c>
      <c r="I15" s="7">
        <v>45271</v>
      </c>
      <c r="J15" s="7">
        <v>45288</v>
      </c>
      <c r="K15" s="38">
        <f t="shared" si="1"/>
        <v>4.6575342465753428E-2</v>
      </c>
      <c r="L15" s="4">
        <v>130.05000000000001</v>
      </c>
      <c r="M15" s="38" cm="1" vm="32">
        <f t="array" ref="M15">_xlfn._xlws.PY(0,1,L15,$E$7,K15,$E$13,$E$12)</f>
        <v>0.53658062227795866</v>
      </c>
      <c r="N15" s="76">
        <f t="shared" si="2"/>
        <v>53658.062227795868</v>
      </c>
      <c r="O15" s="77"/>
      <c r="P15" s="24">
        <f t="shared" si="5"/>
        <v>-3883.8344984020659</v>
      </c>
      <c r="Q15" s="74">
        <f t="shared" si="3"/>
        <v>505092.67651718872</v>
      </c>
      <c r="R15" s="75"/>
      <c r="S15" s="73">
        <f t="shared" si="4"/>
        <v>6997640.1743674874</v>
      </c>
      <c r="T15" s="62"/>
      <c r="U15" s="3">
        <f t="shared" si="0"/>
        <v>1297.2459186328408</v>
      </c>
    </row>
    <row r="16" spans="2:21" x14ac:dyDescent="0.3">
      <c r="H16" s="4">
        <v>8</v>
      </c>
      <c r="I16" s="7">
        <v>45272</v>
      </c>
      <c r="J16" s="7">
        <v>45288</v>
      </c>
      <c r="K16" s="38">
        <f t="shared" si="1"/>
        <v>4.3835616438356165E-2</v>
      </c>
      <c r="L16" s="4">
        <v>130.1</v>
      </c>
      <c r="M16" s="38" cm="1" vm="37">
        <f t="array" ref="M16">_xlfn._xlws.PY(0,1,L16,$E$7,K16,$E$13,$E$12)</f>
        <v>0.53836310555379896</v>
      </c>
      <c r="N16" s="76">
        <f t="shared" si="2"/>
        <v>53836.310555379896</v>
      </c>
      <c r="O16" s="77"/>
      <c r="P16" s="24">
        <f t="shared" si="5"/>
        <v>-178.24832758402772</v>
      </c>
      <c r="Q16" s="74">
        <f t="shared" si="3"/>
        <v>23190.107418682004</v>
      </c>
      <c r="R16" s="75"/>
      <c r="S16" s="73">
        <f t="shared" si="4"/>
        <v>7022127.5277048023</v>
      </c>
      <c r="T16" s="62"/>
      <c r="U16" s="3">
        <f t="shared" si="0"/>
        <v>1301.785466020732</v>
      </c>
    </row>
    <row r="17" spans="8:21" x14ac:dyDescent="0.3">
      <c r="H17" s="4">
        <v>9</v>
      </c>
      <c r="I17" s="7">
        <v>45273</v>
      </c>
      <c r="J17" s="7">
        <v>45288</v>
      </c>
      <c r="K17" s="38">
        <f t="shared" si="1"/>
        <v>4.1095890410958902E-2</v>
      </c>
      <c r="L17" s="4">
        <v>131.4</v>
      </c>
      <c r="M17" s="38" cm="1" vm="42">
        <f t="array" ref="M17">_xlfn._xlws.PY(0,1,L17,$E$7,K17,$E$13,$E$12)</f>
        <v>0.60892950800321577</v>
      </c>
      <c r="N17" s="76">
        <f t="shared" si="2"/>
        <v>60892.950800321574</v>
      </c>
      <c r="O17" s="77"/>
      <c r="P17" s="24">
        <f t="shared" si="5"/>
        <v>-7056.6402449416782</v>
      </c>
      <c r="Q17" s="74">
        <f t="shared" si="3"/>
        <v>927242.52818533662</v>
      </c>
      <c r="R17" s="75"/>
      <c r="S17" s="73">
        <f t="shared" si="4"/>
        <v>7950671.8413561601</v>
      </c>
      <c r="T17" s="62"/>
      <c r="U17" s="3">
        <f t="shared" si="0"/>
        <v>1473.9221136817894</v>
      </c>
    </row>
    <row r="18" spans="8:21" x14ac:dyDescent="0.3">
      <c r="H18" s="4">
        <v>10</v>
      </c>
      <c r="I18" s="7">
        <v>45274</v>
      </c>
      <c r="J18" s="7">
        <v>45288</v>
      </c>
      <c r="K18" s="38">
        <f t="shared" si="1"/>
        <v>3.8356164383561646E-2</v>
      </c>
      <c r="L18" s="4">
        <v>132</v>
      </c>
      <c r="M18" s="38" cm="1" vm="47">
        <f t="array" ref="M18">_xlfn._xlws.PY(0,1,L18,$E$7,K18,$E$13,$E$12)</f>
        <v>0.64327314834178351</v>
      </c>
      <c r="N18" s="76">
        <f t="shared" si="2"/>
        <v>64327.314834178353</v>
      </c>
      <c r="O18" s="77"/>
      <c r="P18" s="24">
        <f t="shared" si="5"/>
        <v>-3434.3640338567784</v>
      </c>
      <c r="Q18" s="74">
        <f t="shared" si="3"/>
        <v>453336.05246909475</v>
      </c>
      <c r="R18" s="75"/>
      <c r="S18" s="73">
        <f t="shared" si="4"/>
        <v>8405481.8159389365</v>
      </c>
      <c r="T18" s="62"/>
      <c r="U18" s="3">
        <f t="shared" si="0"/>
        <v>1558.2363065495788</v>
      </c>
    </row>
    <row r="19" spans="8:21" x14ac:dyDescent="0.3">
      <c r="H19" s="4">
        <v>11</v>
      </c>
      <c r="I19" s="7">
        <v>45275</v>
      </c>
      <c r="J19" s="7">
        <v>45288</v>
      </c>
      <c r="K19" s="38">
        <f t="shared" si="1"/>
        <v>3.5616438356164383E-2</v>
      </c>
      <c r="L19" s="4">
        <v>136.44999999999999</v>
      </c>
      <c r="M19" s="38" cm="1" vm="52">
        <f t="array" ref="M19">_xlfn._xlws.PY(0,1,L19,$E$7,K19,$E$13,$E$12)</f>
        <v>0.84819193076608324</v>
      </c>
      <c r="N19" s="76">
        <f t="shared" si="2"/>
        <v>84819.193076608324</v>
      </c>
      <c r="O19" s="77"/>
      <c r="P19" s="24">
        <f t="shared" si="5"/>
        <v>-20491.878242429972</v>
      </c>
      <c r="Q19" s="74">
        <f t="shared" si="3"/>
        <v>2796116.7861795695</v>
      </c>
      <c r="R19" s="75"/>
      <c r="S19" s="73">
        <f t="shared" si="4"/>
        <v>11203156.838425055</v>
      </c>
      <c r="T19" s="62"/>
      <c r="U19" s="3">
        <f t="shared" si="0"/>
        <v>2076.8786508466269</v>
      </c>
    </row>
    <row r="20" spans="8:21" x14ac:dyDescent="0.3">
      <c r="H20" s="4">
        <v>12</v>
      </c>
      <c r="I20" s="7">
        <v>45278</v>
      </c>
      <c r="J20" s="7">
        <v>45288</v>
      </c>
      <c r="K20" s="38">
        <f t="shared" si="1"/>
        <v>2.7397260273972601E-2</v>
      </c>
      <c r="L20" s="4">
        <v>136.6</v>
      </c>
      <c r="M20" s="38" cm="1" vm="57">
        <f t="array" ref="M20">_xlfn._xlws.PY(0,1,L20,$E$7,K20,$E$13,$E$12)</f>
        <v>0.88060004512341905</v>
      </c>
      <c r="N20" s="76">
        <f t="shared" si="2"/>
        <v>88060.004512341911</v>
      </c>
      <c r="O20" s="77"/>
      <c r="P20" s="24">
        <f t="shared" si="5"/>
        <v>-3240.8114357335871</v>
      </c>
      <c r="Q20" s="74">
        <f t="shared" si="3"/>
        <v>442694.84212120797</v>
      </c>
      <c r="R20" s="75"/>
      <c r="S20" s="73">
        <f t="shared" si="4"/>
        <v>11647928.559197109</v>
      </c>
      <c r="T20" s="62"/>
      <c r="U20" s="3">
        <f t="shared" si="0"/>
        <v>2159.3319186794511</v>
      </c>
    </row>
    <row r="21" spans="8:21" x14ac:dyDescent="0.3">
      <c r="H21" s="4">
        <v>13</v>
      </c>
      <c r="I21" s="7">
        <v>45279</v>
      </c>
      <c r="J21" s="7">
        <v>45288</v>
      </c>
      <c r="K21" s="38">
        <f t="shared" si="1"/>
        <v>2.4657534246575342E-2</v>
      </c>
      <c r="L21" s="4">
        <v>135.4</v>
      </c>
      <c r="M21" s="38" cm="1" vm="62">
        <f t="array" ref="M21">_xlfn._xlws.PY(0,1,L21,$E$7,K21,$E$13,$E$12)</f>
        <v>0.84752042861911348</v>
      </c>
      <c r="N21" s="76">
        <f t="shared" si="2"/>
        <v>84752.042861911352</v>
      </c>
      <c r="O21" s="77"/>
      <c r="P21" s="24">
        <f t="shared" si="5"/>
        <v>3307.9616504305595</v>
      </c>
      <c r="Q21" s="74">
        <f t="shared" si="3"/>
        <v>-447898.00746829779</v>
      </c>
      <c r="R21" s="75"/>
      <c r="S21" s="73">
        <f t="shared" si="4"/>
        <v>11202189.88364749</v>
      </c>
      <c r="T21" s="62"/>
      <c r="U21" s="3">
        <f t="shared" si="0"/>
        <v>2076.6993935388145</v>
      </c>
    </row>
    <row r="22" spans="8:21" x14ac:dyDescent="0.3">
      <c r="H22" s="4">
        <v>14</v>
      </c>
      <c r="I22" s="7">
        <v>45280</v>
      </c>
      <c r="J22" s="7">
        <v>45288</v>
      </c>
      <c r="K22" s="38">
        <f t="shared" si="1"/>
        <v>2.1917808219178082E-2</v>
      </c>
      <c r="L22" s="4">
        <v>129.75</v>
      </c>
      <c r="M22" s="38" cm="1" vm="67">
        <f t="array" ref="M22">_xlfn._xlws.PY(0,1,L22,$E$7,K22,$E$13,$E$12)</f>
        <v>0.50402571674748675</v>
      </c>
      <c r="N22" s="76">
        <f t="shared" si="2"/>
        <v>50402.571674748673</v>
      </c>
      <c r="O22" s="77"/>
      <c r="P22" s="24">
        <f t="shared" si="5"/>
        <v>34349.471187162679</v>
      </c>
      <c r="Q22" s="74">
        <f t="shared" si="3"/>
        <v>-4456843.8865343574</v>
      </c>
      <c r="R22" s="75"/>
      <c r="S22" s="73">
        <f t="shared" si="4"/>
        <v>6747422.6965066716</v>
      </c>
      <c r="T22" s="62"/>
      <c r="U22" s="3">
        <f t="shared" si="0"/>
        <v>1250.8597664676379</v>
      </c>
    </row>
    <row r="23" spans="8:21" x14ac:dyDescent="0.3">
      <c r="H23" s="4">
        <v>15</v>
      </c>
      <c r="I23" s="7">
        <v>45281</v>
      </c>
      <c r="J23" s="7">
        <v>45288</v>
      </c>
      <c r="K23" s="38">
        <f t="shared" si="1"/>
        <v>1.9178082191780823E-2</v>
      </c>
      <c r="L23" s="4">
        <v>131</v>
      </c>
      <c r="M23" s="38" cm="1" vm="72">
        <f t="array" ref="M23">_xlfn._xlws.PY(0,1,L23,$E$7,K23,$E$13,$E$12)</f>
        <v>0.60274063465851946</v>
      </c>
      <c r="N23" s="76">
        <f t="shared" si="2"/>
        <v>60274.063465851948</v>
      </c>
      <c r="O23" s="77"/>
      <c r="P23" s="24">
        <f t="shared" si="5"/>
        <v>-9871.4917911032753</v>
      </c>
      <c r="Q23" s="74">
        <f t="shared" si="3"/>
        <v>1293165.424634529</v>
      </c>
      <c r="R23" s="75"/>
      <c r="S23" s="73">
        <f t="shared" si="4"/>
        <v>8041838.9809076684</v>
      </c>
      <c r="T23" s="62"/>
      <c r="U23" s="3">
        <f t="shared" si="0"/>
        <v>1490.82298265328</v>
      </c>
    </row>
    <row r="24" spans="8:21" x14ac:dyDescent="0.3">
      <c r="H24" s="4">
        <v>16</v>
      </c>
      <c r="I24" s="7">
        <v>45282</v>
      </c>
      <c r="J24" s="7">
        <v>45288</v>
      </c>
      <c r="K24" s="38">
        <f t="shared" si="1"/>
        <v>1.643835616438356E-2</v>
      </c>
      <c r="L24" s="4">
        <v>133.55000000000001</v>
      </c>
      <c r="M24" s="38" cm="1" vm="77">
        <f t="array" ref="M24">_xlfn._xlws.PY(0,1,L24,$E$7,K24,$E$13,$E$12)</f>
        <v>0.79731387707385082</v>
      </c>
      <c r="N24" s="76">
        <f t="shared" si="2"/>
        <v>79731.387707385089</v>
      </c>
      <c r="O24" s="77"/>
      <c r="P24" s="24">
        <f t="shared" si="5"/>
        <v>-19457.324241533141</v>
      </c>
      <c r="Q24" s="74">
        <f t="shared" si="3"/>
        <v>2598525.6524567511</v>
      </c>
      <c r="R24" s="75"/>
      <c r="S24" s="73">
        <f t="shared" si="4"/>
        <v>10641855.456347072</v>
      </c>
      <c r="T24" s="62"/>
      <c r="U24" s="3">
        <f t="shared" si="0"/>
        <v>1972.822725008821</v>
      </c>
    </row>
    <row r="25" spans="8:21" x14ac:dyDescent="0.3">
      <c r="H25" s="4">
        <v>17</v>
      </c>
      <c r="I25" s="7">
        <v>45286</v>
      </c>
      <c r="J25" s="7">
        <v>45288</v>
      </c>
      <c r="K25" s="38">
        <f t="shared" si="1"/>
        <v>5.4794520547945206E-3</v>
      </c>
      <c r="L25" s="4">
        <v>135.19999999999999</v>
      </c>
      <c r="M25" s="38" cm="1" vm="82">
        <f t="array" ref="M25">_xlfn._xlws.PY(0,1,L25,$E$7,K25,$E$13,$E$12)</f>
        <v>0.97722988264472144</v>
      </c>
      <c r="N25" s="76">
        <f t="shared" si="2"/>
        <v>97722.988264472137</v>
      </c>
      <c r="O25" s="77"/>
      <c r="P25" s="24">
        <f t="shared" si="5"/>
        <v>-17991.600557087047</v>
      </c>
      <c r="Q25" s="74">
        <f t="shared" si="3"/>
        <v>2432464.3953181687</v>
      </c>
      <c r="R25" s="75"/>
      <c r="S25" s="73">
        <f t="shared" si="4"/>
        <v>13076292.674390251</v>
      </c>
      <c r="T25" s="62"/>
      <c r="U25" s="3">
        <f t="shared" si="0"/>
        <v>2424.1268313334726</v>
      </c>
    </row>
    <row r="26" spans="8:21" x14ac:dyDescent="0.3">
      <c r="H26" s="4">
        <v>18</v>
      </c>
      <c r="I26" s="7">
        <v>45287</v>
      </c>
      <c r="J26" s="7">
        <v>45288</v>
      </c>
      <c r="K26" s="38">
        <f t="shared" si="1"/>
        <v>2.7397260273972603E-3</v>
      </c>
      <c r="L26" s="4">
        <v>137.19999999999999</v>
      </c>
      <c r="M26" s="38" cm="1" vm="87">
        <f t="array" ref="M26">_xlfn._xlws.PY(0,1,L26,$E$7,K26,$E$13,$E$12)</f>
        <v>0.99994107542565425</v>
      </c>
      <c r="N26" s="76">
        <f t="shared" si="2"/>
        <v>99994.107542565427</v>
      </c>
      <c r="O26" s="77"/>
      <c r="P26" s="24">
        <f t="shared" si="5"/>
        <v>-2271.1192780932906</v>
      </c>
      <c r="Q26" s="74">
        <f t="shared" si="3"/>
        <v>311597.56495439942</v>
      </c>
      <c r="R26" s="75"/>
      <c r="S26" s="73">
        <f t="shared" si="4"/>
        <v>13390314.366175985</v>
      </c>
      <c r="T26" s="62"/>
      <c r="U26" s="3">
        <f t="shared" si="0"/>
        <v>2482.3412218823614</v>
      </c>
    </row>
    <row r="27" spans="8:21" ht="15" thickBot="1" x14ac:dyDescent="0.35">
      <c r="H27" s="5">
        <v>19</v>
      </c>
      <c r="I27" s="8">
        <v>45288</v>
      </c>
      <c r="J27" s="8">
        <v>45288</v>
      </c>
      <c r="K27" s="39">
        <f t="shared" si="1"/>
        <v>0</v>
      </c>
      <c r="L27" s="5">
        <v>138.15</v>
      </c>
      <c r="M27" s="39" cm="1" vm="92">
        <f t="array" ref="M27">_xlfn._xlws.PY(0,1,L27,$E$7,K27,$E$13,$E$12)</f>
        <v>1</v>
      </c>
      <c r="N27" s="89">
        <f t="shared" ref="N27" si="6">M27*$E$10</f>
        <v>100000</v>
      </c>
      <c r="O27" s="90"/>
      <c r="P27" s="40">
        <f t="shared" si="5"/>
        <v>-5.8924574345728615</v>
      </c>
      <c r="Q27" s="70">
        <f t="shared" si="3"/>
        <v>814.04299458624087</v>
      </c>
      <c r="R27" s="71"/>
      <c r="S27" s="72">
        <f t="shared" si="4"/>
        <v>13393610.750392454</v>
      </c>
      <c r="T27" s="65"/>
      <c r="U27" s="41"/>
    </row>
    <row r="28" spans="8:21" x14ac:dyDescent="0.3">
      <c r="I28" s="26"/>
      <c r="J28" s="26"/>
      <c r="K28" s="27"/>
      <c r="M28" s="27"/>
      <c r="N28" s="28"/>
      <c r="O28" s="28"/>
      <c r="P28" s="29"/>
      <c r="Q28" s="30"/>
      <c r="R28" s="30"/>
      <c r="S28" s="1"/>
      <c r="T28" s="1"/>
    </row>
    <row r="29" spans="8:21" x14ac:dyDescent="0.3">
      <c r="K29" s="1"/>
      <c r="P29" s="94" t="s">
        <v>26</v>
      </c>
      <c r="Q29" s="94"/>
      <c r="R29" s="94"/>
    </row>
    <row r="30" spans="8:21" x14ac:dyDescent="0.3">
      <c r="K30" s="1"/>
      <c r="P30" s="95" t="s">
        <v>27</v>
      </c>
      <c r="Q30" s="95"/>
      <c r="R30" s="95"/>
    </row>
    <row r="31" spans="8:21" ht="15" thickBot="1" x14ac:dyDescent="0.35">
      <c r="K31" s="1"/>
    </row>
    <row r="32" spans="8:21" x14ac:dyDescent="0.3">
      <c r="H32" s="91" t="s">
        <v>28</v>
      </c>
      <c r="I32" s="92"/>
      <c r="J32" s="92"/>
      <c r="K32" s="92"/>
      <c r="L32" s="93"/>
      <c r="M32" s="87">
        <f>S27</f>
        <v>13393610.750392454</v>
      </c>
      <c r="N32" s="88"/>
    </row>
    <row r="33" spans="8:14" x14ac:dyDescent="0.3">
      <c r="H33" s="60" t="s">
        <v>29</v>
      </c>
      <c r="I33" s="61"/>
      <c r="J33" s="61"/>
      <c r="K33" s="61"/>
      <c r="L33" s="62"/>
      <c r="M33" s="66">
        <f>E7*E10</f>
        <v>13000000</v>
      </c>
      <c r="N33" s="67"/>
    </row>
    <row r="34" spans="8:14" x14ac:dyDescent="0.3">
      <c r="H34" s="60" t="s">
        <v>30</v>
      </c>
      <c r="I34" s="61"/>
      <c r="J34" s="61"/>
      <c r="K34" s="61"/>
      <c r="L34" s="62"/>
      <c r="M34" s="66">
        <f>M32-M33</f>
        <v>393610.75039245375</v>
      </c>
      <c r="N34" s="67"/>
    </row>
    <row r="35" spans="8:14" x14ac:dyDescent="0.3">
      <c r="H35" s="60" t="s">
        <v>31</v>
      </c>
      <c r="I35" s="61"/>
      <c r="J35" s="61"/>
      <c r="K35" s="61"/>
      <c r="L35" s="62"/>
      <c r="M35" s="66">
        <f>M34/((1+$E$13)^(28/365))</f>
        <v>391573.10374144098</v>
      </c>
      <c r="N35" s="67"/>
    </row>
    <row r="36" spans="8:14" ht="15" thickBot="1" x14ac:dyDescent="0.35">
      <c r="H36" s="63" t="s">
        <v>32</v>
      </c>
      <c r="I36" s="64"/>
      <c r="J36" s="64"/>
      <c r="K36" s="64"/>
      <c r="L36" s="65"/>
      <c r="M36" s="68">
        <f>E14*E10</f>
        <v>413000</v>
      </c>
      <c r="N36" s="69"/>
    </row>
  </sheetData>
  <mergeCells count="89">
    <mergeCell ref="N24:O24"/>
    <mergeCell ref="N13:O13"/>
    <mergeCell ref="H32:L32"/>
    <mergeCell ref="H33:L33"/>
    <mergeCell ref="P29:R29"/>
    <mergeCell ref="P30:R30"/>
    <mergeCell ref="G2:R3"/>
    <mergeCell ref="H6:H8"/>
    <mergeCell ref="I6:I8"/>
    <mergeCell ref="J6:J8"/>
    <mergeCell ref="L6:L8"/>
    <mergeCell ref="M6:M8"/>
    <mergeCell ref="P6:P8"/>
    <mergeCell ref="N6:O8"/>
    <mergeCell ref="K6:K8"/>
    <mergeCell ref="N11:O11"/>
    <mergeCell ref="Q10:R10"/>
    <mergeCell ref="Q11:R11"/>
    <mergeCell ref="M33:N33"/>
    <mergeCell ref="N25:O25"/>
    <mergeCell ref="N26:O26"/>
    <mergeCell ref="M32:N32"/>
    <mergeCell ref="N27:O27"/>
    <mergeCell ref="S6:T8"/>
    <mergeCell ref="N12:O12"/>
    <mergeCell ref="Q6:R8"/>
    <mergeCell ref="U6:U8"/>
    <mergeCell ref="N9:O9"/>
    <mergeCell ref="Q9:R9"/>
    <mergeCell ref="S9:T9"/>
    <mergeCell ref="N10:O10"/>
    <mergeCell ref="N14:O14"/>
    <mergeCell ref="N15:O15"/>
    <mergeCell ref="N16:O16"/>
    <mergeCell ref="N17:O17"/>
    <mergeCell ref="N18:O18"/>
    <mergeCell ref="N19:O19"/>
    <mergeCell ref="N20:O20"/>
    <mergeCell ref="N21:O21"/>
    <mergeCell ref="N22:O22"/>
    <mergeCell ref="N23:O23"/>
    <mergeCell ref="Q22:R22"/>
    <mergeCell ref="Q23:R23"/>
    <mergeCell ref="Q12:R12"/>
    <mergeCell ref="Q13:R13"/>
    <mergeCell ref="Q14:R14"/>
    <mergeCell ref="Q15:R15"/>
    <mergeCell ref="Q16:R16"/>
    <mergeCell ref="Q17:R17"/>
    <mergeCell ref="Q20:R20"/>
    <mergeCell ref="Q21:R21"/>
    <mergeCell ref="S25:T25"/>
    <mergeCell ref="S26:T26"/>
    <mergeCell ref="B7:D7"/>
    <mergeCell ref="B8:D8"/>
    <mergeCell ref="B9:D9"/>
    <mergeCell ref="B12:D12"/>
    <mergeCell ref="B11:D11"/>
    <mergeCell ref="S17:T17"/>
    <mergeCell ref="S18:T18"/>
    <mergeCell ref="S19:T19"/>
    <mergeCell ref="S20:T20"/>
    <mergeCell ref="S21:T21"/>
    <mergeCell ref="S22:T22"/>
    <mergeCell ref="Q24:R24"/>
    <mergeCell ref="Q25:R25"/>
    <mergeCell ref="Q26:R26"/>
    <mergeCell ref="Q27:R27"/>
    <mergeCell ref="S27:T27"/>
    <mergeCell ref="B13:D13"/>
    <mergeCell ref="B10:D10"/>
    <mergeCell ref="B14:D14"/>
    <mergeCell ref="S23:T23"/>
    <mergeCell ref="S24:T24"/>
    <mergeCell ref="S10:T10"/>
    <mergeCell ref="S11:T11"/>
    <mergeCell ref="S12:T12"/>
    <mergeCell ref="S13:T13"/>
    <mergeCell ref="S14:T14"/>
    <mergeCell ref="S15:T15"/>
    <mergeCell ref="S16:T16"/>
    <mergeCell ref="Q18:R18"/>
    <mergeCell ref="Q19:R19"/>
    <mergeCell ref="H34:L34"/>
    <mergeCell ref="H35:L35"/>
    <mergeCell ref="H36:L36"/>
    <mergeCell ref="M34:N34"/>
    <mergeCell ref="M35:N35"/>
    <mergeCell ref="M36:N36"/>
  </mergeCells>
  <conditionalFormatting sqref="P9:P28">
    <cfRule type="expression" dxfId="1" priority="1">
      <formula>P9&lt;0</formula>
    </cfRule>
    <cfRule type="expression" dxfId="0" priority="2">
      <formula>P9&gt;0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Option Greeks</vt:lpstr>
      <vt:lpstr>Delta Hedging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 Sharma</dc:creator>
  <cp:lastModifiedBy>Amol Sharma</cp:lastModifiedBy>
  <dcterms:created xsi:type="dcterms:W3CDTF">2024-12-15T14:58:28Z</dcterms:created>
  <dcterms:modified xsi:type="dcterms:W3CDTF">2025-01-08T20:35:34Z</dcterms:modified>
</cp:coreProperties>
</file>